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mc:AlternateContent xmlns:mc="http://schemas.openxmlformats.org/markup-compatibility/2006">
    <mc:Choice Requires="x15">
      <x15ac:absPath xmlns:x15ac="http://schemas.microsoft.com/office/spreadsheetml/2010/11/ac" url="https://d.docs.live.net/8c6b0ebfcf5b454c/Documents/Rapports ITIE/Rapport ITIE standard/Rapport 2023/Rapport/"/>
    </mc:Choice>
  </mc:AlternateContent>
  <xr:revisionPtr revIDLastSave="0" documentId="8_{5B7908CA-78DA-449A-868B-846335974FA5}" xr6:coauthVersionLast="36" xr6:coauthVersionMax="36" xr10:uidLastSave="{00000000-0000-0000-0000-000000000000}"/>
  <bookViews>
    <workbookView xWindow="0" yWindow="0" windowWidth="19200" windowHeight="8010" tabRatio="859" xr2:uid="{81CE01CF-AE95-4050-94B2-C59FA101169D}"/>
  </bookViews>
  <sheets>
    <sheet name="Sommaire" sheetId="1" r:id="rId1"/>
    <sheet name="Annexe 0 " sheetId="122" r:id="rId2"/>
    <sheet name="Annexe 1.1" sheetId="136" r:id="rId3"/>
    <sheet name="Annexe 1.2" sheetId="55" r:id="rId4"/>
    <sheet name="Annexe 2 " sheetId="130" r:id="rId5"/>
    <sheet name="Annexe 3" sheetId="4" r:id="rId6"/>
    <sheet name="Annexe 4" sheetId="51" r:id="rId7"/>
    <sheet name="Annexe 5 " sheetId="156" r:id="rId8"/>
    <sheet name="Annexe 6 " sheetId="157" r:id="rId9"/>
    <sheet name="Annexe 7 " sheetId="131" r:id="rId10"/>
    <sheet name="Annexe 8 " sheetId="163" r:id="rId11"/>
    <sheet name="Annexe 9" sheetId="56" r:id="rId12"/>
    <sheet name="Annexe 10" sheetId="10" r:id="rId13"/>
    <sheet name="Annexe 11 " sheetId="115" r:id="rId14"/>
    <sheet name="Annexe 12 " sheetId="134" r:id="rId15"/>
    <sheet name="Annexe 13 " sheetId="114" r:id="rId16"/>
    <sheet name="Annexe 14" sheetId="72" r:id="rId17"/>
    <sheet name="Annexe 15 " sheetId="135" r:id="rId18"/>
    <sheet name="Annexe 16 " sheetId="128" r:id="rId19"/>
    <sheet name="Annexe 17.1 " sheetId="113" r:id="rId20"/>
    <sheet name="Annexe 17.2" sheetId="109" r:id="rId21"/>
    <sheet name="Annexe 18.1" sheetId="75" r:id="rId22"/>
    <sheet name="Annexe 18.2" sheetId="110" r:id="rId23"/>
    <sheet name="Annexe 19" sheetId="124" r:id="rId24"/>
    <sheet name="Annexe 20" sheetId="137" r:id="rId25"/>
    <sheet name="Annexe 21" sheetId="33" r:id="rId26"/>
    <sheet name="Annexe 22" sheetId="34" r:id="rId27"/>
    <sheet name="Annexe 23" sheetId="35" r:id="rId28"/>
    <sheet name="Annexe 24" sheetId="36" r:id="rId29"/>
    <sheet name="Annexe 25 " sheetId="126" r:id="rId30"/>
    <sheet name="Annexe 26" sheetId="38" r:id="rId31"/>
    <sheet name="Annexe 27" sheetId="37" r:id="rId32"/>
    <sheet name="Annexe 28 " sheetId="167" r:id="rId33"/>
    <sheet name="Annexe 29" sheetId="140" r:id="rId34"/>
    <sheet name="Annexe 30" sheetId="141" r:id="rId35"/>
    <sheet name="Annexe 31" sheetId="142" r:id="rId36"/>
    <sheet name="Annexe 32" sheetId="143" r:id="rId37"/>
    <sheet name="Annexe 33" sheetId="144" r:id="rId38"/>
    <sheet name="Annexe 34" sheetId="145" r:id="rId39"/>
    <sheet name="Annexe 35" sheetId="146" r:id="rId40"/>
    <sheet name="Annexe 36" sheetId="147" r:id="rId41"/>
    <sheet name="Annexe 37" sheetId="57" r:id="rId42"/>
    <sheet name="Annexe 38 " sheetId="117" r:id="rId43"/>
    <sheet name="Annexe 39 " sheetId="118" r:id="rId44"/>
    <sheet name="Annexe 40" sheetId="81" r:id="rId45"/>
    <sheet name="Annexe 41 " sheetId="120" r:id="rId46"/>
    <sheet name="Annexe 42 " sheetId="127" r:id="rId47"/>
    <sheet name="Annexe 43" sheetId="121" r:id="rId48"/>
    <sheet name="Annexe 44 " sheetId="125" r:id="rId49"/>
    <sheet name="Annexe 45" sheetId="26" r:id="rId50"/>
    <sheet name="Annexe 46" sheetId="90" r:id="rId51"/>
    <sheet name="Annexe 47" sheetId="91" r:id="rId52"/>
    <sheet name="Annexe 48" sheetId="92" r:id="rId53"/>
    <sheet name="Annexe 49 " sheetId="159" r:id="rId54"/>
    <sheet name="Annexe 50 " sheetId="160" r:id="rId55"/>
    <sheet name="Annexe 51" sheetId="149" r:id="rId56"/>
    <sheet name="Annexe 52" sheetId="103" r:id="rId57"/>
    <sheet name="Annexe 53" sheetId="150" r:id="rId58"/>
    <sheet name="Annexe 54" sheetId="151" r:id="rId59"/>
    <sheet name="Annexe 55" sheetId="161" r:id="rId60"/>
    <sheet name="Annexe 56 " sheetId="112" r:id="rId61"/>
    <sheet name="Annexe 57 " sheetId="153" r:id="rId62"/>
    <sheet name="Annexe 58" sheetId="64" r:id="rId63"/>
    <sheet name="Annexe 59 " sheetId="155" r:id="rId64"/>
    <sheet name="Annexe 60-1" sheetId="164" r:id="rId65"/>
    <sheet name="Annexe 60-2" sheetId="168" r:id="rId66"/>
    <sheet name="Annexe 61" sheetId="165" r:id="rId67"/>
    <sheet name="Annexe 62" sheetId="166" r:id="rId68"/>
  </sheets>
  <externalReferences>
    <externalReference r:id="rId69"/>
    <externalReference r:id="rId70"/>
  </externalReferences>
  <definedNames>
    <definedName name="_xlnm._FilterDatabase" localSheetId="1" hidden="1">'Annexe 0 '!$A$6:$H$56</definedName>
    <definedName name="_xlnm._FilterDatabase" localSheetId="2" hidden="1">'Annexe 1.1'!$A$3:$H$53</definedName>
    <definedName name="_xlnm._FilterDatabase" localSheetId="13" hidden="1">'Annexe 11 '!$H$8:$N$98</definedName>
    <definedName name="_xlnm._FilterDatabase" localSheetId="14" hidden="1">'Annexe 12 '!$A$7:$G$10</definedName>
    <definedName name="_xlnm._FilterDatabase" localSheetId="15" hidden="1">'Annexe 13 '!$A$10:$P$76</definedName>
    <definedName name="_xlnm._FilterDatabase" localSheetId="16" hidden="1">'Annexe 14'!$A$7:$E$15</definedName>
    <definedName name="_xlnm._FilterDatabase" localSheetId="17" hidden="1">'Annexe 15 '!$A$21:$O$21</definedName>
    <definedName name="_xlnm._FilterDatabase" localSheetId="19" hidden="1">'Annexe 17.1 '!$A$6:$AI$88</definedName>
    <definedName name="_xlnm._FilterDatabase" localSheetId="21" hidden="1">'Annexe 18.1'!$A$6:$AH$87</definedName>
    <definedName name="_xlnm._FilterDatabase" localSheetId="23" hidden="1">'Annexe 19'!$B$11:$G$60</definedName>
    <definedName name="_xlnm._FilterDatabase" localSheetId="4" hidden="1">'Annexe 2 '!$A$42:$J$55</definedName>
    <definedName name="_xlnm._FilterDatabase" localSheetId="24" hidden="1">'Annexe 20'!$A$11:$F$18</definedName>
    <definedName name="_xlnm._FilterDatabase" localSheetId="25" hidden="1">'Annexe 21'!$A$7:$E$110</definedName>
    <definedName name="_xlnm._FilterDatabase" localSheetId="27" hidden="1">'Annexe 23'!$A$6:$D$55</definedName>
    <definedName name="_xlnm._FilterDatabase" localSheetId="28" hidden="1">'Annexe 24'!$A$6:$C$447</definedName>
    <definedName name="_xlnm._FilterDatabase" localSheetId="29" hidden="1">'Annexe 25 '!$A$6:$I$56</definedName>
    <definedName name="_xlnm._FilterDatabase" localSheetId="30" hidden="1">'Annexe 26'!$A$6:$D$6</definedName>
    <definedName name="_xlnm._FilterDatabase" localSheetId="32" hidden="1">'Annexe 28 '!$A$4:$C$4</definedName>
    <definedName name="_xlnm._FilterDatabase" localSheetId="5" hidden="1">'Annexe 3'!$A$5:$I$1030</definedName>
    <definedName name="_xlnm._FilterDatabase" localSheetId="34" hidden="1">'Annexe 30'!$B$4:$C$486</definedName>
    <definedName name="_xlnm._FilterDatabase" localSheetId="38" hidden="1">'Annexe 34'!$B$4:$C$461</definedName>
    <definedName name="_xlnm._FilterDatabase" localSheetId="40" hidden="1">'Annexe 36'!$G$5:$J$439</definedName>
    <definedName name="_xlnm._FilterDatabase" localSheetId="42" hidden="1">'Annexe 38 '!$A$7:$B$175</definedName>
    <definedName name="_xlnm._FilterDatabase" localSheetId="43" hidden="1">'Annexe 39 '!$A$6:$C$269</definedName>
    <definedName name="_xlnm._FilterDatabase" localSheetId="6" hidden="1">'Annexe 4'!$A$4:$I$2566</definedName>
    <definedName name="_xlnm._FilterDatabase" localSheetId="45" hidden="1">'Annexe 41 '!$A$7:$B$159</definedName>
    <definedName name="_xlnm._FilterDatabase" localSheetId="46" hidden="1">'Annexe 42 '!$A$7:$BQ$59</definedName>
    <definedName name="_xlnm._FilterDatabase" localSheetId="47" hidden="1">'Annexe 43'!$A$7:$I$1402</definedName>
    <definedName name="_xlnm._FilterDatabase" localSheetId="48" hidden="1">'Annexe 44 '!$A$11:$J$60</definedName>
    <definedName name="_xlnm._FilterDatabase" localSheetId="50" hidden="1">'Annexe 46'!$A$5:$F$5</definedName>
    <definedName name="_xlnm._FilterDatabase" localSheetId="51" hidden="1">'Annexe 47'!$A$5:$E$5</definedName>
    <definedName name="_xlnm._FilterDatabase" localSheetId="53" hidden="1">'Annexe 49 '!$J$4:$M$99</definedName>
    <definedName name="_xlnm._FilterDatabase" localSheetId="55" hidden="1">'Annexe 51'!$B$4:$E$81</definedName>
    <definedName name="_xlnm._FilterDatabase" localSheetId="57" hidden="1">'Annexe 53'!$B$4:$I$52</definedName>
    <definedName name="_xlnm._FilterDatabase" localSheetId="58" hidden="1">'Annexe 54'!$B$4:$E$111</definedName>
    <definedName name="_xlnm._FilterDatabase" localSheetId="59" hidden="1">'Annexe 55'!$B$4:$E$682</definedName>
    <definedName name="_xlnm._FilterDatabase" localSheetId="60" hidden="1">'Annexe 56 '!$A$29:$S$139</definedName>
    <definedName name="_xlnm._FilterDatabase" localSheetId="63" hidden="1">'Annexe 59 '!$A$4:$H$1255</definedName>
    <definedName name="_xlnm._FilterDatabase" localSheetId="10" hidden="1">'Annexe 8 '!$A$5:$I$43</definedName>
    <definedName name="_xlnm._FilterDatabase" localSheetId="11" hidden="1">'Annexe 9'!$M$7:$O$78</definedName>
    <definedName name="BAS_Uele" localSheetId="1">#REF!</definedName>
    <definedName name="BAS_Uele" localSheetId="6">#REF!</definedName>
    <definedName name="BAS_Uele">#REF!</definedName>
    <definedName name="_xlnm.Print_Titles" localSheetId="6">'Annexe 4'!$4:$4</definedName>
    <definedName name="TITULAIRES_30112021_Requête" localSheetId="1">#REF!</definedName>
    <definedName name="TITULAIRES_30112021_Requête" localSheetId="6">#REF!</definedName>
    <definedName name="TITULAIRES_30112021_Requête">#REF!</definedName>
    <definedName name="w" localSheetId="1">#REF!</definedName>
    <definedName name="w" localSheetId="6">#REF!</definedName>
    <definedName name="w">#REF!</definedName>
    <definedName name="z" localSheetId="1">#REF!</definedName>
    <definedName name="z" localSheetId="6">#REF!</definedName>
    <definedName name="z">#REF!</definedName>
    <definedName name="Z_433B0927_43E7_4617_BABB_39E137257A37_.wvu.FilterData" localSheetId="6" hidden="1">'Annexe 4'!$A$4:$I$4</definedName>
    <definedName name="Z_433B0927_43E7_4617_BABB_39E137257A37_.wvu.PrintTitles" localSheetId="6" hidden="1">'Annexe 4'!$4:$4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A7" i="51" l="1"/>
  <c r="A8" i="51" s="1"/>
  <c r="A9" i="51" s="1"/>
  <c r="A10" i="51" s="1"/>
  <c r="A11" i="51" s="1"/>
  <c r="A12" i="51" s="1"/>
  <c r="A13" i="51" s="1"/>
  <c r="A14" i="51" s="1"/>
  <c r="A15" i="51" s="1"/>
  <c r="A16" i="51" s="1"/>
  <c r="A17" i="51" s="1"/>
  <c r="A18" i="51" s="1"/>
  <c r="A19" i="51" s="1"/>
  <c r="A20" i="51" s="1"/>
  <c r="A21" i="51" s="1"/>
  <c r="A22" i="51" s="1"/>
  <c r="A23" i="51" s="1"/>
  <c r="A24" i="51" s="1"/>
  <c r="A25" i="51" s="1"/>
  <c r="A26" i="51" s="1"/>
  <c r="A27" i="51" s="1"/>
  <c r="A28" i="51" s="1"/>
  <c r="A29" i="51" s="1"/>
  <c r="A30" i="51" s="1"/>
  <c r="A31" i="51" s="1"/>
  <c r="A32" i="51" s="1"/>
  <c r="A33" i="51" s="1"/>
  <c r="A34" i="51" s="1"/>
  <c r="A35" i="51" s="1"/>
  <c r="A36" i="51" s="1"/>
  <c r="A37" i="51" s="1"/>
  <c r="A38" i="51" s="1"/>
  <c r="A39" i="51" s="1"/>
  <c r="A40" i="51" s="1"/>
  <c r="A41" i="51" s="1"/>
  <c r="A42" i="51" s="1"/>
  <c r="A43" i="51" s="1"/>
  <c r="A44" i="51" s="1"/>
  <c r="A45" i="51" s="1"/>
  <c r="A46" i="51" s="1"/>
  <c r="A47" i="51" s="1"/>
  <c r="A48" i="51" s="1"/>
  <c r="A49" i="51" s="1"/>
  <c r="A50" i="51" s="1"/>
  <c r="A51" i="51" s="1"/>
  <c r="A52" i="51" s="1"/>
  <c r="A53" i="51" s="1"/>
  <c r="A54" i="51" s="1"/>
  <c r="A55" i="51" s="1"/>
  <c r="A56" i="51" s="1"/>
  <c r="A57" i="51" s="1"/>
  <c r="A58" i="51" s="1"/>
  <c r="A59" i="51" s="1"/>
  <c r="A60" i="51" s="1"/>
  <c r="A61" i="51" s="1"/>
  <c r="A62" i="51" s="1"/>
  <c r="A63" i="51" s="1"/>
  <c r="A64" i="51" s="1"/>
  <c r="A65" i="51" s="1"/>
  <c r="A66" i="51" s="1"/>
  <c r="A67" i="51" s="1"/>
  <c r="A68" i="51" s="1"/>
  <c r="A69" i="51" s="1"/>
  <c r="A70" i="51" s="1"/>
  <c r="A71" i="51" s="1"/>
  <c r="A72" i="51" s="1"/>
  <c r="A73" i="51" s="1"/>
  <c r="A74" i="51" s="1"/>
  <c r="A75" i="51" s="1"/>
  <c r="A76" i="51" s="1"/>
  <c r="A77" i="51" s="1"/>
  <c r="A78" i="51" s="1"/>
  <c r="A79" i="51" s="1"/>
  <c r="A80" i="51" s="1"/>
  <c r="A81" i="51" s="1"/>
  <c r="A82" i="51" s="1"/>
  <c r="A83" i="51" s="1"/>
  <c r="A84" i="51" s="1"/>
  <c r="A85" i="51" s="1"/>
  <c r="A86" i="51" s="1"/>
  <c r="A87" i="51" s="1"/>
  <c r="A88" i="51" s="1"/>
  <c r="A89" i="51" s="1"/>
  <c r="A90" i="51" s="1"/>
  <c r="A91" i="51" s="1"/>
  <c r="A92" i="51" s="1"/>
  <c r="A93" i="51" s="1"/>
  <c r="A94" i="51" s="1"/>
  <c r="A95" i="51" s="1"/>
  <c r="A96" i="51" s="1"/>
  <c r="A97" i="51" s="1"/>
  <c r="A98" i="51" s="1"/>
  <c r="A99" i="51" s="1"/>
  <c r="A100" i="51" s="1"/>
  <c r="A101" i="51" s="1"/>
  <c r="A102" i="51" s="1"/>
  <c r="A103" i="51" s="1"/>
  <c r="A104" i="51" s="1"/>
  <c r="A105" i="51" s="1"/>
  <c r="A106" i="51" s="1"/>
  <c r="A107" i="51" s="1"/>
  <c r="A108" i="51" s="1"/>
  <c r="A109" i="51" s="1"/>
  <c r="A110" i="51" s="1"/>
  <c r="A111" i="51" s="1"/>
  <c r="A112" i="51" s="1"/>
  <c r="A113" i="51" s="1"/>
  <c r="A114" i="51" s="1"/>
  <c r="A115" i="51" s="1"/>
  <c r="A116" i="51" s="1"/>
  <c r="A117" i="51" s="1"/>
  <c r="A118" i="51" s="1"/>
  <c r="A119" i="51" s="1"/>
  <c r="A120" i="51" s="1"/>
  <c r="A121" i="51" s="1"/>
  <c r="A122" i="51" s="1"/>
  <c r="A123" i="51" s="1"/>
  <c r="A124" i="51" s="1"/>
  <c r="A125" i="51" s="1"/>
  <c r="A126" i="51" s="1"/>
  <c r="A127" i="51" s="1"/>
  <c r="A128" i="51" s="1"/>
  <c r="A129" i="51" s="1"/>
  <c r="A130" i="51" s="1"/>
  <c r="A131" i="51" s="1"/>
  <c r="A132" i="51" s="1"/>
  <c r="A133" i="51" s="1"/>
  <c r="A134" i="51" s="1"/>
  <c r="A135" i="51" s="1"/>
  <c r="A136" i="51" s="1"/>
  <c r="A137" i="51" s="1"/>
  <c r="A138" i="51" s="1"/>
  <c r="A139" i="51" s="1"/>
  <c r="A140" i="51" s="1"/>
  <c r="A141" i="51" s="1"/>
  <c r="A142" i="51" s="1"/>
  <c r="A143" i="51" s="1"/>
  <c r="A144" i="51" s="1"/>
  <c r="A145" i="51" s="1"/>
  <c r="A146" i="51" s="1"/>
  <c r="A147" i="51" s="1"/>
  <c r="A148" i="51" s="1"/>
  <c r="A149" i="51" s="1"/>
  <c r="A150" i="51" s="1"/>
  <c r="A151" i="51" s="1"/>
  <c r="A152" i="51" s="1"/>
  <c r="A153" i="51" s="1"/>
  <c r="A154" i="51" s="1"/>
  <c r="A155" i="51" s="1"/>
  <c r="A156" i="51" s="1"/>
  <c r="A157" i="51" s="1"/>
  <c r="A158" i="51" s="1"/>
  <c r="A159" i="51" s="1"/>
  <c r="A160" i="51" s="1"/>
  <c r="A161" i="51" s="1"/>
  <c r="A162" i="51" s="1"/>
  <c r="A163" i="51" s="1"/>
  <c r="A164" i="51" s="1"/>
  <c r="A165" i="51" s="1"/>
  <c r="A166" i="51" s="1"/>
  <c r="A167" i="51" s="1"/>
  <c r="A168" i="51" s="1"/>
  <c r="A169" i="51" s="1"/>
  <c r="A170" i="51" s="1"/>
  <c r="A171" i="51" s="1"/>
  <c r="A172" i="51" s="1"/>
  <c r="A173" i="51" s="1"/>
  <c r="A174" i="51" s="1"/>
  <c r="A175" i="51" s="1"/>
  <c r="A176" i="51" s="1"/>
  <c r="A177" i="51" s="1"/>
  <c r="A178" i="51" s="1"/>
  <c r="A179" i="51" s="1"/>
  <c r="A180" i="51" s="1"/>
  <c r="A181" i="51" s="1"/>
  <c r="A182" i="51" s="1"/>
  <c r="A183" i="51" s="1"/>
  <c r="A184" i="51" s="1"/>
  <c r="A185" i="51" s="1"/>
  <c r="A186" i="51" s="1"/>
  <c r="A187" i="51" s="1"/>
  <c r="A188" i="51" s="1"/>
  <c r="A189" i="51" s="1"/>
  <c r="A190" i="51" s="1"/>
  <c r="A191" i="51" s="1"/>
  <c r="A192" i="51" s="1"/>
  <c r="A193" i="51" s="1"/>
  <c r="A194" i="51" s="1"/>
  <c r="A195" i="51" s="1"/>
  <c r="A196" i="51" s="1"/>
  <c r="A197" i="51" s="1"/>
  <c r="A198" i="51" s="1"/>
  <c r="A199" i="51" s="1"/>
  <c r="A200" i="51" s="1"/>
  <c r="A201" i="51" s="1"/>
  <c r="A202" i="51" s="1"/>
  <c r="A203" i="51" s="1"/>
  <c r="A204" i="51" s="1"/>
  <c r="A205" i="51" s="1"/>
  <c r="A206" i="51" s="1"/>
  <c r="A207" i="51" s="1"/>
  <c r="A208" i="51" s="1"/>
  <c r="A209" i="51" s="1"/>
  <c r="A210" i="51" s="1"/>
  <c r="A211" i="51" s="1"/>
  <c r="A212" i="51" s="1"/>
  <c r="A213" i="51" s="1"/>
  <c r="A214" i="51" s="1"/>
  <c r="A215" i="51" s="1"/>
  <c r="A216" i="51" s="1"/>
  <c r="A217" i="51" s="1"/>
  <c r="A218" i="51" s="1"/>
  <c r="A219" i="51" s="1"/>
  <c r="A220" i="51" s="1"/>
  <c r="A221" i="51" s="1"/>
  <c r="A222" i="51" s="1"/>
  <c r="A223" i="51" s="1"/>
  <c r="A224" i="51" s="1"/>
  <c r="A225" i="51" s="1"/>
  <c r="A226" i="51" s="1"/>
  <c r="A227" i="51" s="1"/>
  <c r="A228" i="51" s="1"/>
  <c r="A229" i="51" s="1"/>
  <c r="A230" i="51" s="1"/>
  <c r="A231" i="51" s="1"/>
  <c r="A232" i="51" s="1"/>
  <c r="A233" i="51" s="1"/>
  <c r="A234" i="51" s="1"/>
  <c r="A235" i="51" s="1"/>
  <c r="A236" i="51" s="1"/>
  <c r="A237" i="51" s="1"/>
  <c r="A238" i="51" s="1"/>
  <c r="A239" i="51" s="1"/>
  <c r="A240" i="51" s="1"/>
  <c r="A241" i="51" s="1"/>
  <c r="A242" i="51" s="1"/>
  <c r="A243" i="51" s="1"/>
  <c r="A244" i="51" s="1"/>
  <c r="A245" i="51" s="1"/>
  <c r="A246" i="51" s="1"/>
  <c r="A247" i="51" s="1"/>
  <c r="A248" i="51" s="1"/>
  <c r="A249" i="51" s="1"/>
  <c r="A250" i="51" s="1"/>
  <c r="A251" i="51" s="1"/>
  <c r="A252" i="51" s="1"/>
  <c r="A253" i="51" s="1"/>
  <c r="A254" i="51" s="1"/>
  <c r="A255" i="51" s="1"/>
  <c r="A256" i="51" s="1"/>
  <c r="A257" i="51" s="1"/>
  <c r="A258" i="51" s="1"/>
  <c r="A259" i="51" s="1"/>
  <c r="A260" i="51" s="1"/>
  <c r="A261" i="51" s="1"/>
  <c r="A262" i="51" s="1"/>
  <c r="A263" i="51" s="1"/>
  <c r="A264" i="51" s="1"/>
  <c r="A265" i="51" s="1"/>
  <c r="A266" i="51" s="1"/>
  <c r="A267" i="51" s="1"/>
  <c r="A268" i="51" s="1"/>
  <c r="A269" i="51" s="1"/>
  <c r="A270" i="51" s="1"/>
  <c r="A271" i="51" s="1"/>
  <c r="A272" i="51" s="1"/>
  <c r="A273" i="51" s="1"/>
  <c r="A274" i="51" s="1"/>
  <c r="A275" i="51" s="1"/>
  <c r="A276" i="51" s="1"/>
  <c r="A277" i="51" s="1"/>
  <c r="A278" i="51" s="1"/>
  <c r="A279" i="51" s="1"/>
  <c r="A280" i="51" s="1"/>
  <c r="A281" i="51" s="1"/>
  <c r="A282" i="51" s="1"/>
  <c r="A283" i="51" s="1"/>
  <c r="A284" i="51" s="1"/>
  <c r="A285" i="51" s="1"/>
  <c r="A286" i="51" s="1"/>
  <c r="A287" i="51" s="1"/>
  <c r="A288" i="51" s="1"/>
  <c r="A289" i="51" s="1"/>
  <c r="A290" i="51" s="1"/>
  <c r="A291" i="51" s="1"/>
  <c r="A292" i="51" s="1"/>
  <c r="A293" i="51" s="1"/>
  <c r="A294" i="51" s="1"/>
  <c r="A295" i="51" s="1"/>
  <c r="A296" i="51" s="1"/>
  <c r="A297" i="51" s="1"/>
  <c r="A298" i="51" s="1"/>
  <c r="A299" i="51" s="1"/>
  <c r="A300" i="51" s="1"/>
  <c r="A301" i="51" s="1"/>
  <c r="A302" i="51" s="1"/>
  <c r="A303" i="51" s="1"/>
  <c r="A304" i="51" s="1"/>
  <c r="A305" i="51" s="1"/>
  <c r="A306" i="51" s="1"/>
  <c r="A307" i="51" s="1"/>
  <c r="A308" i="51" s="1"/>
  <c r="A309" i="51" s="1"/>
  <c r="A310" i="51" s="1"/>
  <c r="A311" i="51" s="1"/>
  <c r="A312" i="51" s="1"/>
  <c r="A313" i="51" s="1"/>
  <c r="A314" i="51" s="1"/>
  <c r="A315" i="51" s="1"/>
  <c r="A316" i="51" s="1"/>
  <c r="A317" i="51" s="1"/>
  <c r="A318" i="51" s="1"/>
  <c r="A319" i="51" s="1"/>
  <c r="A320" i="51" s="1"/>
  <c r="A321" i="51" s="1"/>
  <c r="A322" i="51" s="1"/>
  <c r="A323" i="51" s="1"/>
  <c r="A324" i="51" s="1"/>
  <c r="A325" i="51" s="1"/>
  <c r="A326" i="51" s="1"/>
  <c r="A327" i="51" s="1"/>
  <c r="A328" i="51" s="1"/>
  <c r="A329" i="51" s="1"/>
  <c r="A330" i="51" s="1"/>
  <c r="A331" i="51" s="1"/>
  <c r="A332" i="51" s="1"/>
  <c r="A333" i="51" s="1"/>
  <c r="A334" i="51" s="1"/>
  <c r="A335" i="51" s="1"/>
  <c r="A336" i="51" s="1"/>
  <c r="A337" i="51" s="1"/>
  <c r="A338" i="51" s="1"/>
  <c r="A339" i="51" s="1"/>
  <c r="A340" i="51" s="1"/>
  <c r="A341" i="51" s="1"/>
  <c r="A342" i="51" s="1"/>
  <c r="A343" i="51" s="1"/>
  <c r="A344" i="51" s="1"/>
  <c r="A345" i="51" s="1"/>
  <c r="A346" i="51" s="1"/>
  <c r="A347" i="51" s="1"/>
  <c r="A348" i="51" s="1"/>
  <c r="A349" i="51" s="1"/>
  <c r="A350" i="51" s="1"/>
  <c r="A351" i="51" s="1"/>
  <c r="A352" i="51" s="1"/>
  <c r="A353" i="51" s="1"/>
  <c r="A354" i="51" s="1"/>
  <c r="A355" i="51" s="1"/>
  <c r="A356" i="51" s="1"/>
  <c r="A357" i="51" s="1"/>
  <c r="A358" i="51" s="1"/>
  <c r="A359" i="51" s="1"/>
  <c r="A360" i="51" s="1"/>
  <c r="A361" i="51" s="1"/>
  <c r="A362" i="51" s="1"/>
  <c r="A363" i="51" s="1"/>
  <c r="A364" i="51" s="1"/>
  <c r="A365" i="51" s="1"/>
  <c r="A366" i="51" s="1"/>
  <c r="A367" i="51" s="1"/>
  <c r="A368" i="51" s="1"/>
  <c r="A369" i="51" s="1"/>
  <c r="A370" i="51" s="1"/>
  <c r="A371" i="51" s="1"/>
  <c r="A372" i="51" s="1"/>
  <c r="A373" i="51" s="1"/>
  <c r="A374" i="51" s="1"/>
  <c r="A375" i="51" s="1"/>
  <c r="A376" i="51" s="1"/>
  <c r="A377" i="51" s="1"/>
  <c r="A378" i="51" s="1"/>
  <c r="A379" i="51" s="1"/>
  <c r="A380" i="51" s="1"/>
  <c r="A381" i="51" s="1"/>
  <c r="A382" i="51" s="1"/>
  <c r="A383" i="51" s="1"/>
  <c r="A384" i="51" s="1"/>
  <c r="A385" i="51" s="1"/>
  <c r="A386" i="51" s="1"/>
  <c r="A387" i="51" s="1"/>
  <c r="A388" i="51" s="1"/>
  <c r="A389" i="51" s="1"/>
  <c r="A390" i="51" s="1"/>
  <c r="A391" i="51" s="1"/>
  <c r="A392" i="51" s="1"/>
  <c r="A393" i="51" s="1"/>
  <c r="A394" i="51" s="1"/>
  <c r="A395" i="51" s="1"/>
  <c r="A396" i="51" s="1"/>
  <c r="A397" i="51" s="1"/>
  <c r="A398" i="51" s="1"/>
  <c r="A399" i="51" s="1"/>
  <c r="A400" i="51" s="1"/>
  <c r="A401" i="51" s="1"/>
  <c r="A402" i="51" s="1"/>
  <c r="A403" i="51" s="1"/>
  <c r="A404" i="51" s="1"/>
  <c r="A405" i="51" s="1"/>
  <c r="A406" i="51" s="1"/>
  <c r="A407" i="51" s="1"/>
  <c r="A408" i="51" s="1"/>
  <c r="A409" i="51" s="1"/>
  <c r="A410" i="51" s="1"/>
  <c r="A411" i="51" s="1"/>
  <c r="A412" i="51" s="1"/>
  <c r="A413" i="51" s="1"/>
  <c r="A414" i="51" s="1"/>
  <c r="A415" i="51" s="1"/>
  <c r="A416" i="51" s="1"/>
  <c r="A417" i="51" s="1"/>
  <c r="A418" i="51" s="1"/>
  <c r="A419" i="51" s="1"/>
  <c r="A420" i="51" s="1"/>
  <c r="A421" i="51" s="1"/>
  <c r="A422" i="51" s="1"/>
  <c r="A423" i="51" s="1"/>
  <c r="A424" i="51" s="1"/>
  <c r="A425" i="51" s="1"/>
  <c r="A426" i="51" s="1"/>
  <c r="A427" i="51" s="1"/>
  <c r="A428" i="51" s="1"/>
  <c r="A429" i="51" s="1"/>
  <c r="A430" i="51" s="1"/>
  <c r="A431" i="51" s="1"/>
  <c r="A432" i="51" s="1"/>
  <c r="A433" i="51" s="1"/>
  <c r="A434" i="51" s="1"/>
  <c r="A435" i="51" s="1"/>
  <c r="A436" i="51" s="1"/>
  <c r="A437" i="51" s="1"/>
  <c r="A438" i="51" s="1"/>
  <c r="A439" i="51" s="1"/>
  <c r="A440" i="51" s="1"/>
  <c r="A441" i="51" s="1"/>
  <c r="A442" i="51" s="1"/>
  <c r="A443" i="51" s="1"/>
  <c r="A444" i="51" s="1"/>
  <c r="A445" i="51" s="1"/>
  <c r="A446" i="51" s="1"/>
  <c r="A447" i="51" s="1"/>
  <c r="A448" i="51" s="1"/>
  <c r="A449" i="51" s="1"/>
  <c r="A450" i="51" s="1"/>
  <c r="A451" i="51" s="1"/>
  <c r="A452" i="51" s="1"/>
  <c r="A453" i="51" s="1"/>
  <c r="A454" i="51" s="1"/>
  <c r="A455" i="51" s="1"/>
  <c r="A456" i="51" s="1"/>
  <c r="A457" i="51" s="1"/>
  <c r="A458" i="51" s="1"/>
  <c r="A459" i="51" s="1"/>
  <c r="A460" i="51" s="1"/>
  <c r="A461" i="51" s="1"/>
  <c r="A462" i="51" s="1"/>
  <c r="A463" i="51" s="1"/>
  <c r="A464" i="51" s="1"/>
  <c r="A465" i="51" s="1"/>
  <c r="A466" i="51" s="1"/>
  <c r="A467" i="51" s="1"/>
  <c r="A468" i="51" s="1"/>
  <c r="A469" i="51" s="1"/>
  <c r="A470" i="51" s="1"/>
  <c r="A471" i="51" s="1"/>
  <c r="A472" i="51" s="1"/>
  <c r="A473" i="51" s="1"/>
  <c r="A474" i="51" s="1"/>
  <c r="A475" i="51" s="1"/>
  <c r="A476" i="51" s="1"/>
  <c r="A477" i="51" s="1"/>
  <c r="A478" i="51" s="1"/>
  <c r="A479" i="51" s="1"/>
  <c r="A480" i="51" s="1"/>
  <c r="A481" i="51" s="1"/>
  <c r="A482" i="51" s="1"/>
  <c r="A483" i="51" s="1"/>
  <c r="A484" i="51" s="1"/>
  <c r="A485" i="51" s="1"/>
  <c r="A486" i="51" s="1"/>
  <c r="A487" i="51" s="1"/>
  <c r="A488" i="51" s="1"/>
  <c r="A489" i="51" s="1"/>
  <c r="A490" i="51" s="1"/>
  <c r="A491" i="51" s="1"/>
  <c r="A492" i="51" s="1"/>
  <c r="A493" i="51" s="1"/>
  <c r="A494" i="51" s="1"/>
  <c r="A495" i="51" s="1"/>
  <c r="A496" i="51" s="1"/>
  <c r="A497" i="51" s="1"/>
  <c r="A498" i="51" s="1"/>
  <c r="A499" i="51" s="1"/>
  <c r="A500" i="51" s="1"/>
  <c r="A501" i="51" s="1"/>
  <c r="A502" i="51" s="1"/>
  <c r="A503" i="51" s="1"/>
  <c r="A504" i="51" s="1"/>
  <c r="A505" i="51" s="1"/>
  <c r="A506" i="51" s="1"/>
  <c r="A507" i="51" s="1"/>
  <c r="A508" i="51" s="1"/>
  <c r="A509" i="51" s="1"/>
  <c r="A510" i="51" s="1"/>
  <c r="A511" i="51" s="1"/>
  <c r="A512" i="51" s="1"/>
  <c r="A513" i="51" s="1"/>
  <c r="A514" i="51" s="1"/>
  <c r="A515" i="51" s="1"/>
  <c r="A516" i="51" s="1"/>
  <c r="A517" i="51" s="1"/>
  <c r="A518" i="51" s="1"/>
  <c r="A519" i="51" s="1"/>
  <c r="A520" i="51" s="1"/>
  <c r="A521" i="51" s="1"/>
  <c r="A522" i="51" s="1"/>
  <c r="A523" i="51" s="1"/>
  <c r="A524" i="51" s="1"/>
  <c r="A525" i="51" s="1"/>
  <c r="A526" i="51" s="1"/>
  <c r="A527" i="51" s="1"/>
  <c r="A528" i="51" s="1"/>
  <c r="A529" i="51" s="1"/>
  <c r="A530" i="51" s="1"/>
  <c r="A531" i="51" s="1"/>
  <c r="A532" i="51" s="1"/>
  <c r="A533" i="51" s="1"/>
  <c r="A534" i="51" s="1"/>
  <c r="A535" i="51" s="1"/>
  <c r="A536" i="51" s="1"/>
  <c r="A537" i="51" s="1"/>
  <c r="A538" i="51" s="1"/>
  <c r="A539" i="51" s="1"/>
  <c r="A540" i="51" s="1"/>
  <c r="A541" i="51" s="1"/>
  <c r="A542" i="51" s="1"/>
  <c r="A543" i="51" s="1"/>
  <c r="A544" i="51" s="1"/>
  <c r="A545" i="51" s="1"/>
  <c r="A546" i="51" s="1"/>
  <c r="A547" i="51" s="1"/>
  <c r="A548" i="51" s="1"/>
  <c r="A549" i="51" s="1"/>
  <c r="A550" i="51" s="1"/>
  <c r="A551" i="51" s="1"/>
  <c r="A552" i="51" s="1"/>
  <c r="A553" i="51" s="1"/>
  <c r="A554" i="51" s="1"/>
  <c r="A555" i="51" s="1"/>
  <c r="A556" i="51" s="1"/>
  <c r="A557" i="51" s="1"/>
  <c r="A558" i="51" s="1"/>
  <c r="A559" i="51" s="1"/>
  <c r="A560" i="51" s="1"/>
  <c r="A561" i="51" s="1"/>
  <c r="A562" i="51" s="1"/>
  <c r="A563" i="51" s="1"/>
  <c r="A564" i="51" s="1"/>
  <c r="A565" i="51" s="1"/>
  <c r="A566" i="51" s="1"/>
  <c r="A567" i="51" s="1"/>
  <c r="A568" i="51" s="1"/>
  <c r="A569" i="51" s="1"/>
  <c r="A570" i="51" s="1"/>
  <c r="A571" i="51" s="1"/>
  <c r="A572" i="51" s="1"/>
  <c r="A573" i="51" s="1"/>
  <c r="A574" i="51" s="1"/>
  <c r="A575" i="51" s="1"/>
  <c r="A576" i="51" s="1"/>
  <c r="A577" i="51" s="1"/>
  <c r="A578" i="51" s="1"/>
  <c r="A579" i="51" s="1"/>
  <c r="A580" i="51" s="1"/>
  <c r="A581" i="51" s="1"/>
  <c r="A582" i="51" s="1"/>
  <c r="A583" i="51" s="1"/>
  <c r="A584" i="51" s="1"/>
  <c r="A585" i="51" s="1"/>
  <c r="A586" i="51" s="1"/>
  <c r="A587" i="51" s="1"/>
  <c r="A588" i="51" s="1"/>
  <c r="A589" i="51" s="1"/>
  <c r="A590" i="51" s="1"/>
  <c r="A591" i="51" s="1"/>
  <c r="A592" i="51" s="1"/>
  <c r="A593" i="51" s="1"/>
  <c r="A594" i="51" s="1"/>
  <c r="A595" i="51" s="1"/>
  <c r="A596" i="51" s="1"/>
  <c r="A597" i="51" s="1"/>
  <c r="A598" i="51" s="1"/>
  <c r="A599" i="51" s="1"/>
  <c r="A600" i="51" s="1"/>
  <c r="A601" i="51" s="1"/>
  <c r="A602" i="51" s="1"/>
  <c r="A603" i="51" s="1"/>
  <c r="A604" i="51" s="1"/>
  <c r="A605" i="51" s="1"/>
  <c r="A606" i="51" s="1"/>
  <c r="A607" i="51" s="1"/>
  <c r="A608" i="51" s="1"/>
  <c r="A609" i="51" s="1"/>
  <c r="A610" i="51" s="1"/>
  <c r="A611" i="51" s="1"/>
  <c r="A612" i="51" s="1"/>
  <c r="A613" i="51" s="1"/>
  <c r="A614" i="51" s="1"/>
  <c r="A615" i="51" s="1"/>
  <c r="A616" i="51" s="1"/>
  <c r="A617" i="51" s="1"/>
  <c r="A618" i="51" s="1"/>
  <c r="A619" i="51" s="1"/>
  <c r="A620" i="51" s="1"/>
  <c r="A621" i="51" s="1"/>
  <c r="A622" i="51" s="1"/>
  <c r="A623" i="51" s="1"/>
  <c r="A624" i="51" s="1"/>
  <c r="A625" i="51" s="1"/>
  <c r="A626" i="51" s="1"/>
  <c r="A627" i="51" s="1"/>
  <c r="A628" i="51" s="1"/>
  <c r="A629" i="51" s="1"/>
  <c r="A630" i="51" s="1"/>
  <c r="A631" i="51" s="1"/>
  <c r="A632" i="51" s="1"/>
  <c r="A633" i="51" s="1"/>
  <c r="A634" i="51" s="1"/>
  <c r="A635" i="51" s="1"/>
  <c r="A636" i="51" s="1"/>
  <c r="A637" i="51" s="1"/>
  <c r="A638" i="51" s="1"/>
  <c r="A639" i="51" s="1"/>
  <c r="A640" i="51" s="1"/>
  <c r="A641" i="51" s="1"/>
  <c r="A642" i="51" s="1"/>
  <c r="A643" i="51" s="1"/>
  <c r="A644" i="51" s="1"/>
  <c r="A645" i="51" s="1"/>
  <c r="A646" i="51" s="1"/>
  <c r="A647" i="51" s="1"/>
  <c r="A648" i="51" s="1"/>
  <c r="A649" i="51" s="1"/>
  <c r="A650" i="51" s="1"/>
  <c r="A651" i="51" s="1"/>
  <c r="A652" i="51" s="1"/>
  <c r="A653" i="51" s="1"/>
  <c r="A654" i="51" s="1"/>
  <c r="A655" i="51" s="1"/>
  <c r="A656" i="51" s="1"/>
  <c r="A657" i="51" s="1"/>
  <c r="A658" i="51" s="1"/>
  <c r="A659" i="51" s="1"/>
  <c r="A660" i="51" s="1"/>
  <c r="A661" i="51" s="1"/>
  <c r="A662" i="51" s="1"/>
  <c r="A663" i="51" s="1"/>
  <c r="A664" i="51" s="1"/>
  <c r="A665" i="51" s="1"/>
  <c r="A666" i="51" s="1"/>
  <c r="A667" i="51" s="1"/>
  <c r="A668" i="51" s="1"/>
  <c r="A669" i="51" s="1"/>
  <c r="A670" i="51" s="1"/>
  <c r="A671" i="51" s="1"/>
  <c r="A672" i="51" s="1"/>
  <c r="A673" i="51" s="1"/>
  <c r="A674" i="51" s="1"/>
  <c r="A675" i="51" s="1"/>
  <c r="A676" i="51" s="1"/>
  <c r="A677" i="51" s="1"/>
  <c r="A678" i="51" s="1"/>
  <c r="A679" i="51" s="1"/>
  <c r="A680" i="51" s="1"/>
  <c r="A681" i="51" s="1"/>
  <c r="A682" i="51" s="1"/>
  <c r="A683" i="51" s="1"/>
  <c r="A684" i="51" s="1"/>
  <c r="A685" i="51" s="1"/>
  <c r="A686" i="51" s="1"/>
  <c r="A687" i="51" s="1"/>
  <c r="A688" i="51" s="1"/>
  <c r="A689" i="51" s="1"/>
  <c r="A690" i="51" s="1"/>
  <c r="A691" i="51" s="1"/>
  <c r="A692" i="51" s="1"/>
  <c r="A693" i="51" s="1"/>
  <c r="A694" i="51" s="1"/>
  <c r="A695" i="51" s="1"/>
  <c r="A696" i="51" s="1"/>
  <c r="A697" i="51" s="1"/>
  <c r="A698" i="51" s="1"/>
  <c r="A699" i="51" s="1"/>
  <c r="A700" i="51" s="1"/>
  <c r="A701" i="51" s="1"/>
  <c r="A702" i="51" s="1"/>
  <c r="A703" i="51" s="1"/>
  <c r="A704" i="51" s="1"/>
  <c r="A705" i="51" s="1"/>
  <c r="A706" i="51" s="1"/>
  <c r="A707" i="51" s="1"/>
  <c r="A708" i="51" s="1"/>
  <c r="A709" i="51" s="1"/>
  <c r="A710" i="51" s="1"/>
  <c r="A711" i="51" s="1"/>
  <c r="A712" i="51" s="1"/>
  <c r="A713" i="51" s="1"/>
  <c r="A714" i="51" s="1"/>
  <c r="A715" i="51" s="1"/>
  <c r="A716" i="51" s="1"/>
  <c r="A717" i="51" s="1"/>
  <c r="A718" i="51" s="1"/>
  <c r="A719" i="51" s="1"/>
  <c r="A720" i="51" s="1"/>
  <c r="A721" i="51" s="1"/>
  <c r="A722" i="51" s="1"/>
  <c r="A723" i="51" s="1"/>
  <c r="A724" i="51" s="1"/>
  <c r="A725" i="51" s="1"/>
  <c r="A726" i="51" s="1"/>
  <c r="A727" i="51" s="1"/>
  <c r="A728" i="51" s="1"/>
  <c r="A729" i="51" s="1"/>
  <c r="A730" i="51" s="1"/>
  <c r="A731" i="51" s="1"/>
  <c r="A732" i="51" s="1"/>
  <c r="A733" i="51" s="1"/>
  <c r="A734" i="51" s="1"/>
  <c r="A735" i="51" s="1"/>
  <c r="A736" i="51" s="1"/>
  <c r="A737" i="51" s="1"/>
  <c r="A738" i="51" s="1"/>
  <c r="A739" i="51" s="1"/>
  <c r="A740" i="51" s="1"/>
  <c r="A741" i="51" s="1"/>
  <c r="A742" i="51" s="1"/>
  <c r="A743" i="51" s="1"/>
  <c r="A744" i="51" s="1"/>
  <c r="A745" i="51" s="1"/>
  <c r="A746" i="51" s="1"/>
  <c r="A747" i="51" s="1"/>
  <c r="A748" i="51" s="1"/>
  <c r="A749" i="51" s="1"/>
  <c r="A750" i="51" s="1"/>
  <c r="A751" i="51" s="1"/>
  <c r="A752" i="51" s="1"/>
  <c r="A753" i="51" s="1"/>
  <c r="A754" i="51" s="1"/>
  <c r="A755" i="51" s="1"/>
  <c r="A756" i="51" s="1"/>
  <c r="A757" i="51" s="1"/>
  <c r="A758" i="51" s="1"/>
  <c r="A759" i="51" s="1"/>
  <c r="A760" i="51" s="1"/>
  <c r="A761" i="51" s="1"/>
  <c r="A762" i="51" s="1"/>
  <c r="A763" i="51" s="1"/>
  <c r="A764" i="51" s="1"/>
  <c r="A765" i="51" s="1"/>
  <c r="A766" i="51" s="1"/>
  <c r="A767" i="51" s="1"/>
  <c r="A768" i="51" s="1"/>
  <c r="A769" i="51" s="1"/>
  <c r="A770" i="51" s="1"/>
  <c r="A771" i="51" s="1"/>
  <c r="A772" i="51" s="1"/>
  <c r="A773" i="51" s="1"/>
  <c r="A774" i="51" s="1"/>
  <c r="A775" i="51" s="1"/>
  <c r="A776" i="51" s="1"/>
  <c r="A777" i="51" s="1"/>
  <c r="A778" i="51" s="1"/>
  <c r="A779" i="51" s="1"/>
  <c r="A780" i="51" s="1"/>
  <c r="A781" i="51" s="1"/>
  <c r="A782" i="51" s="1"/>
  <c r="A783" i="51" s="1"/>
  <c r="A784" i="51" s="1"/>
  <c r="A785" i="51" s="1"/>
  <c r="A786" i="51" s="1"/>
  <c r="A787" i="51" s="1"/>
  <c r="A788" i="51" s="1"/>
  <c r="A789" i="51" s="1"/>
  <c r="A790" i="51" s="1"/>
  <c r="A791" i="51" s="1"/>
  <c r="A792" i="51" s="1"/>
  <c r="A793" i="51" s="1"/>
  <c r="A794" i="51" s="1"/>
  <c r="A795" i="51" s="1"/>
  <c r="A796" i="51" s="1"/>
  <c r="A797" i="51" s="1"/>
  <c r="A798" i="51" s="1"/>
  <c r="A799" i="51" s="1"/>
  <c r="A800" i="51" s="1"/>
  <c r="A801" i="51" s="1"/>
  <c r="A802" i="51" s="1"/>
  <c r="A803" i="51" s="1"/>
  <c r="A804" i="51" s="1"/>
  <c r="A805" i="51" s="1"/>
  <c r="A806" i="51" s="1"/>
  <c r="A807" i="51" s="1"/>
  <c r="A808" i="51" s="1"/>
  <c r="A809" i="51" s="1"/>
  <c r="A810" i="51" s="1"/>
  <c r="A811" i="51" s="1"/>
  <c r="A812" i="51" s="1"/>
  <c r="A813" i="51" s="1"/>
  <c r="A814" i="51" s="1"/>
  <c r="A815" i="51" s="1"/>
  <c r="A816" i="51" s="1"/>
  <c r="A817" i="51" s="1"/>
  <c r="A818" i="51" s="1"/>
  <c r="A819" i="51" s="1"/>
  <c r="A820" i="51" s="1"/>
  <c r="A821" i="51" s="1"/>
  <c r="A822" i="51" s="1"/>
  <c r="A823" i="51" s="1"/>
  <c r="A824" i="51" s="1"/>
  <c r="A825" i="51" s="1"/>
  <c r="A826" i="51" s="1"/>
  <c r="A827" i="51" s="1"/>
  <c r="A828" i="51" s="1"/>
  <c r="A829" i="51" s="1"/>
  <c r="A830" i="51" s="1"/>
  <c r="A831" i="51" s="1"/>
  <c r="A832" i="51" s="1"/>
  <c r="A833" i="51" s="1"/>
  <c r="A834" i="51" s="1"/>
  <c r="A835" i="51" s="1"/>
  <c r="A836" i="51" s="1"/>
  <c r="A837" i="51" s="1"/>
  <c r="A838" i="51" s="1"/>
  <c r="A839" i="51" s="1"/>
  <c r="A840" i="51" s="1"/>
  <c r="A841" i="51" s="1"/>
  <c r="A842" i="51" s="1"/>
  <c r="A843" i="51" s="1"/>
  <c r="A844" i="51" s="1"/>
  <c r="A845" i="51" s="1"/>
  <c r="A846" i="51" s="1"/>
  <c r="A847" i="51" s="1"/>
  <c r="A848" i="51" s="1"/>
  <c r="A849" i="51" s="1"/>
  <c r="A850" i="51" s="1"/>
  <c r="A851" i="51" s="1"/>
  <c r="A852" i="51" s="1"/>
  <c r="A853" i="51" s="1"/>
  <c r="A854" i="51" s="1"/>
  <c r="A855" i="51" s="1"/>
  <c r="A856" i="51" s="1"/>
  <c r="A857" i="51" s="1"/>
  <c r="A858" i="51" s="1"/>
  <c r="A859" i="51" s="1"/>
  <c r="A860" i="51" s="1"/>
  <c r="A861" i="51" s="1"/>
  <c r="A862" i="51" s="1"/>
  <c r="A863" i="51" s="1"/>
  <c r="A864" i="51" s="1"/>
  <c r="A865" i="51" s="1"/>
  <c r="A866" i="51" s="1"/>
  <c r="A867" i="51" s="1"/>
  <c r="A868" i="51" s="1"/>
  <c r="A869" i="51" s="1"/>
  <c r="A870" i="51" s="1"/>
  <c r="A871" i="51" s="1"/>
  <c r="A872" i="51" s="1"/>
  <c r="A873" i="51" s="1"/>
  <c r="A874" i="51" s="1"/>
  <c r="A875" i="51" s="1"/>
  <c r="A876" i="51" s="1"/>
  <c r="A877" i="51" s="1"/>
  <c r="A878" i="51" s="1"/>
  <c r="A879" i="51" s="1"/>
  <c r="A880" i="51" s="1"/>
  <c r="A881" i="51" s="1"/>
  <c r="A882" i="51" s="1"/>
  <c r="A883" i="51" s="1"/>
  <c r="A884" i="51" s="1"/>
  <c r="A885" i="51" s="1"/>
  <c r="A886" i="51" s="1"/>
  <c r="A887" i="51" s="1"/>
  <c r="A888" i="51" s="1"/>
  <c r="A889" i="51" s="1"/>
  <c r="A890" i="51" s="1"/>
  <c r="A891" i="51" s="1"/>
  <c r="A892" i="51" s="1"/>
  <c r="A893" i="51" s="1"/>
  <c r="A894" i="51" s="1"/>
  <c r="A895" i="51" s="1"/>
  <c r="A896" i="51" s="1"/>
  <c r="A897" i="51" s="1"/>
  <c r="A898" i="51" s="1"/>
  <c r="A899" i="51" s="1"/>
  <c r="A900" i="51" s="1"/>
  <c r="A901" i="51" s="1"/>
  <c r="A902" i="51" s="1"/>
  <c r="A903" i="51" s="1"/>
  <c r="A904" i="51" s="1"/>
  <c r="A905" i="51" s="1"/>
  <c r="A906" i="51" s="1"/>
  <c r="A907" i="51" s="1"/>
  <c r="A908" i="51" s="1"/>
  <c r="A909" i="51" s="1"/>
  <c r="A910" i="51" s="1"/>
  <c r="A911" i="51" s="1"/>
  <c r="A912" i="51" s="1"/>
  <c r="A913" i="51" s="1"/>
  <c r="A914" i="51" s="1"/>
  <c r="A915" i="51" s="1"/>
  <c r="A916" i="51" s="1"/>
  <c r="A917" i="51" s="1"/>
  <c r="A918" i="51" s="1"/>
  <c r="A919" i="51" s="1"/>
  <c r="A920" i="51" s="1"/>
  <c r="A921" i="51" s="1"/>
  <c r="A922" i="51" s="1"/>
  <c r="A923" i="51" s="1"/>
  <c r="A924" i="51" s="1"/>
  <c r="A925" i="51" s="1"/>
  <c r="A926" i="51" s="1"/>
  <c r="A927" i="51" s="1"/>
  <c r="A928" i="51" s="1"/>
  <c r="A929" i="51" s="1"/>
  <c r="A930" i="51" s="1"/>
  <c r="A931" i="51" s="1"/>
  <c r="A932" i="51" s="1"/>
  <c r="A933" i="51" s="1"/>
  <c r="A934" i="51" s="1"/>
  <c r="A935" i="51" s="1"/>
  <c r="A936" i="51" s="1"/>
  <c r="A937" i="51" s="1"/>
  <c r="A938" i="51" s="1"/>
  <c r="A939" i="51" s="1"/>
  <c r="A940" i="51" s="1"/>
  <c r="A941" i="51" s="1"/>
  <c r="A942" i="51" s="1"/>
  <c r="A943" i="51" s="1"/>
  <c r="A944" i="51" s="1"/>
  <c r="A945" i="51" s="1"/>
  <c r="A946" i="51" s="1"/>
  <c r="A947" i="51" s="1"/>
  <c r="A948" i="51" s="1"/>
  <c r="A949" i="51" s="1"/>
  <c r="A950" i="51" s="1"/>
  <c r="A951" i="51" s="1"/>
  <c r="A952" i="51" s="1"/>
  <c r="A953" i="51" s="1"/>
  <c r="A954" i="51" s="1"/>
  <c r="A955" i="51" s="1"/>
  <c r="A956" i="51" s="1"/>
  <c r="A957" i="51" s="1"/>
  <c r="A958" i="51" s="1"/>
  <c r="A959" i="51" s="1"/>
  <c r="A960" i="51" s="1"/>
  <c r="A961" i="51" s="1"/>
  <c r="A962" i="51" s="1"/>
  <c r="A963" i="51" s="1"/>
  <c r="A964" i="51" s="1"/>
  <c r="A965" i="51" s="1"/>
  <c r="A966" i="51" s="1"/>
  <c r="A967" i="51" s="1"/>
  <c r="A968" i="51" s="1"/>
  <c r="A969" i="51" s="1"/>
  <c r="A970" i="51" s="1"/>
  <c r="A971" i="51" s="1"/>
  <c r="A972" i="51" s="1"/>
  <c r="A973" i="51" s="1"/>
  <c r="A974" i="51" s="1"/>
  <c r="A975" i="51" s="1"/>
  <c r="A976" i="51" s="1"/>
  <c r="A977" i="51" s="1"/>
  <c r="A978" i="51" s="1"/>
  <c r="A979" i="51" s="1"/>
  <c r="A980" i="51" s="1"/>
  <c r="A981" i="51" s="1"/>
  <c r="A982" i="51" s="1"/>
  <c r="A983" i="51" s="1"/>
  <c r="A984" i="51" s="1"/>
  <c r="A985" i="51" s="1"/>
  <c r="A986" i="51" s="1"/>
  <c r="A987" i="51" s="1"/>
  <c r="A988" i="51" s="1"/>
  <c r="A989" i="51" s="1"/>
  <c r="A990" i="51" s="1"/>
  <c r="A991" i="51" s="1"/>
  <c r="A992" i="51" s="1"/>
  <c r="A993" i="51" s="1"/>
  <c r="A994" i="51" s="1"/>
  <c r="A995" i="51" s="1"/>
  <c r="A996" i="51" s="1"/>
  <c r="A997" i="51" s="1"/>
  <c r="A998" i="51" s="1"/>
  <c r="A999" i="51" s="1"/>
  <c r="A1000" i="51" s="1"/>
  <c r="A1001" i="51" s="1"/>
  <c r="A1002" i="51" s="1"/>
  <c r="A1003" i="51" s="1"/>
  <c r="A1004" i="51" s="1"/>
  <c r="A1005" i="51" s="1"/>
  <c r="A1006" i="51" s="1"/>
  <c r="A1007" i="51" s="1"/>
  <c r="A1008" i="51" s="1"/>
  <c r="A1009" i="51" s="1"/>
  <c r="A1010" i="51" s="1"/>
  <c r="A1011" i="51" s="1"/>
  <c r="A1012" i="51" s="1"/>
  <c r="A1013" i="51" s="1"/>
  <c r="A1014" i="51" s="1"/>
  <c r="A1015" i="51" s="1"/>
  <c r="A1016" i="51" s="1"/>
  <c r="A1017" i="51" s="1"/>
  <c r="A1018" i="51" s="1"/>
  <c r="A1019" i="51" s="1"/>
  <c r="A1020" i="51" s="1"/>
  <c r="A1021" i="51" s="1"/>
  <c r="A1022" i="51" s="1"/>
  <c r="A1023" i="51" s="1"/>
  <c r="A1024" i="51" s="1"/>
  <c r="A1025" i="51" s="1"/>
  <c r="A1026" i="51" s="1"/>
  <c r="A1027" i="51" s="1"/>
  <c r="A1028" i="51" s="1"/>
  <c r="A1029" i="51" s="1"/>
  <c r="A1030" i="51" s="1"/>
  <c r="A1031" i="51" s="1"/>
  <c r="A1032" i="51" s="1"/>
  <c r="A1033" i="51" s="1"/>
  <c r="A1034" i="51" s="1"/>
  <c r="A1035" i="51" s="1"/>
  <c r="A1036" i="51" s="1"/>
  <c r="A1037" i="51" s="1"/>
  <c r="A1038" i="51" s="1"/>
  <c r="A1039" i="51" s="1"/>
  <c r="A1040" i="51" s="1"/>
  <c r="A1041" i="51" s="1"/>
  <c r="A1042" i="51" s="1"/>
  <c r="A1043" i="51" s="1"/>
  <c r="A1044" i="51" s="1"/>
  <c r="A1045" i="51" s="1"/>
  <c r="A1046" i="51" s="1"/>
  <c r="A1047" i="51" s="1"/>
  <c r="A1048" i="51" s="1"/>
  <c r="A1049" i="51" s="1"/>
  <c r="A1050" i="51" s="1"/>
  <c r="A1051" i="51" s="1"/>
  <c r="A1052" i="51" s="1"/>
  <c r="A1053" i="51" s="1"/>
  <c r="A1054" i="51" s="1"/>
  <c r="A1055" i="51" s="1"/>
  <c r="A1056" i="51" s="1"/>
  <c r="A1057" i="51" s="1"/>
  <c r="A1058" i="51" s="1"/>
  <c r="A1059" i="51" s="1"/>
  <c r="A1060" i="51" s="1"/>
  <c r="A1061" i="51" s="1"/>
  <c r="A1062" i="51" s="1"/>
  <c r="A1063" i="51" s="1"/>
  <c r="A1064" i="51" s="1"/>
  <c r="A1065" i="51" s="1"/>
  <c r="A1066" i="51" s="1"/>
  <c r="A1067" i="51" s="1"/>
  <c r="A1068" i="51" s="1"/>
  <c r="A1069" i="51" s="1"/>
  <c r="A1070" i="51" s="1"/>
  <c r="A1071" i="51" s="1"/>
  <c r="A1072" i="51" s="1"/>
  <c r="A1073" i="51" s="1"/>
  <c r="A1074" i="51" s="1"/>
  <c r="A1075" i="51" s="1"/>
  <c r="A1076" i="51" s="1"/>
  <c r="A1077" i="51" s="1"/>
  <c r="A1078" i="51" s="1"/>
  <c r="A1079" i="51" s="1"/>
  <c r="A1080" i="51" s="1"/>
  <c r="A1081" i="51" s="1"/>
  <c r="A1082" i="51" s="1"/>
  <c r="A1083" i="51" s="1"/>
  <c r="A1084" i="51" s="1"/>
  <c r="A1085" i="51" s="1"/>
  <c r="A1086" i="51" s="1"/>
  <c r="A1087" i="51" s="1"/>
  <c r="A1088" i="51" s="1"/>
  <c r="A1089" i="51" s="1"/>
  <c r="A1090" i="51" s="1"/>
  <c r="A1091" i="51" s="1"/>
  <c r="A1092" i="51" s="1"/>
  <c r="A1093" i="51" s="1"/>
  <c r="A1094" i="51" s="1"/>
  <c r="A1095" i="51" s="1"/>
  <c r="A1096" i="51" s="1"/>
  <c r="A1097" i="51" s="1"/>
  <c r="A1098" i="51" s="1"/>
  <c r="A1099" i="51" s="1"/>
  <c r="A1100" i="51" s="1"/>
  <c r="A1101" i="51" s="1"/>
  <c r="A1102" i="51" s="1"/>
  <c r="A1103" i="51" s="1"/>
  <c r="A1104" i="51" s="1"/>
  <c r="A1105" i="51" s="1"/>
  <c r="A1106" i="51" s="1"/>
  <c r="A1107" i="51" s="1"/>
  <c r="A1108" i="51" s="1"/>
  <c r="A1109" i="51" s="1"/>
  <c r="A1110" i="51" s="1"/>
  <c r="A1111" i="51" s="1"/>
  <c r="A1112" i="51" s="1"/>
  <c r="A1113" i="51" s="1"/>
  <c r="A1114" i="51" s="1"/>
  <c r="A1115" i="51" s="1"/>
  <c r="A1116" i="51" s="1"/>
  <c r="A1117" i="51" s="1"/>
  <c r="A1118" i="51" s="1"/>
  <c r="A1119" i="51" s="1"/>
  <c r="A1120" i="51" s="1"/>
  <c r="A1121" i="51" s="1"/>
  <c r="A1122" i="51" s="1"/>
  <c r="A1123" i="51" s="1"/>
  <c r="A1124" i="51" s="1"/>
  <c r="A1125" i="51" s="1"/>
  <c r="A1126" i="51" s="1"/>
  <c r="A1127" i="51" s="1"/>
  <c r="A1128" i="51" s="1"/>
  <c r="A1129" i="51" s="1"/>
  <c r="A1130" i="51" s="1"/>
  <c r="A1131" i="51" s="1"/>
  <c r="A1132" i="51" s="1"/>
  <c r="A1133" i="51" s="1"/>
  <c r="A1134" i="51" s="1"/>
  <c r="A1135" i="51" s="1"/>
  <c r="A1136" i="51" s="1"/>
  <c r="A1137" i="51" s="1"/>
  <c r="A1138" i="51" s="1"/>
  <c r="A1139" i="51" s="1"/>
  <c r="A1140" i="51" s="1"/>
  <c r="A1141" i="51" s="1"/>
  <c r="A1142" i="51" s="1"/>
  <c r="A1143" i="51" s="1"/>
  <c r="A1144" i="51" s="1"/>
  <c r="A1145" i="51" s="1"/>
  <c r="A1146" i="51" s="1"/>
  <c r="A1147" i="51" s="1"/>
  <c r="A1148" i="51" s="1"/>
  <c r="A1149" i="51" s="1"/>
  <c r="A1150" i="51" s="1"/>
  <c r="A1151" i="51" s="1"/>
  <c r="A1152" i="51" s="1"/>
  <c r="A1153" i="51" s="1"/>
  <c r="A1154" i="51" s="1"/>
  <c r="A1155" i="51" s="1"/>
  <c r="A1156" i="51" s="1"/>
  <c r="A1157" i="51" s="1"/>
  <c r="A1158" i="51" s="1"/>
  <c r="A1159" i="51" s="1"/>
  <c r="A1160" i="51" s="1"/>
  <c r="A1161" i="51" s="1"/>
  <c r="A1162" i="51" s="1"/>
  <c r="A1163" i="51" s="1"/>
  <c r="A1164" i="51" s="1"/>
  <c r="A1165" i="51" s="1"/>
  <c r="A1166" i="51" s="1"/>
  <c r="A1167" i="51" s="1"/>
  <c r="A1168" i="51" s="1"/>
  <c r="A1169" i="51" s="1"/>
  <c r="A1170" i="51" s="1"/>
  <c r="A1171" i="51" s="1"/>
  <c r="A1172" i="51" s="1"/>
  <c r="A1173" i="51" s="1"/>
  <c r="A1174" i="51" s="1"/>
  <c r="A1175" i="51" s="1"/>
  <c r="A1176" i="51" s="1"/>
  <c r="A1177" i="51" s="1"/>
  <c r="A1178" i="51" s="1"/>
  <c r="A1179" i="51" s="1"/>
  <c r="A1180" i="51" s="1"/>
  <c r="A1181" i="51" s="1"/>
  <c r="A1182" i="51" s="1"/>
  <c r="A1183" i="51" s="1"/>
  <c r="A1184" i="51" s="1"/>
  <c r="A1185" i="51" s="1"/>
  <c r="A1186" i="51" s="1"/>
  <c r="A1187" i="51" s="1"/>
  <c r="A1188" i="51" s="1"/>
  <c r="A1189" i="51" s="1"/>
  <c r="A1190" i="51" s="1"/>
  <c r="A1191" i="51" s="1"/>
  <c r="A1192" i="51" s="1"/>
  <c r="A1193" i="51" s="1"/>
  <c r="A1194" i="51" s="1"/>
  <c r="A1195" i="51" s="1"/>
  <c r="A1196" i="51" s="1"/>
  <c r="A1197" i="51" s="1"/>
  <c r="A1198" i="51" s="1"/>
  <c r="A1199" i="51" s="1"/>
  <c r="A1200" i="51" s="1"/>
  <c r="A1201" i="51" s="1"/>
  <c r="A1202" i="51" s="1"/>
  <c r="A1203" i="51" s="1"/>
  <c r="A1204" i="51" s="1"/>
  <c r="A1205" i="51" s="1"/>
  <c r="A1206" i="51" s="1"/>
  <c r="A1207" i="51" s="1"/>
  <c r="A1208" i="51" s="1"/>
  <c r="A1209" i="51" s="1"/>
  <c r="A1210" i="51" s="1"/>
  <c r="A1211" i="51" s="1"/>
  <c r="A1212" i="51" s="1"/>
  <c r="A1213" i="51" s="1"/>
  <c r="A1214" i="51" s="1"/>
  <c r="A1215" i="51" s="1"/>
  <c r="A1216" i="51" s="1"/>
  <c r="A1217" i="51" s="1"/>
  <c r="A1218" i="51" s="1"/>
  <c r="A1219" i="51" s="1"/>
  <c r="A1220" i="51" s="1"/>
  <c r="A1221" i="51" s="1"/>
  <c r="A1222" i="51" s="1"/>
  <c r="A1223" i="51" s="1"/>
  <c r="A1224" i="51" s="1"/>
  <c r="A1225" i="51" s="1"/>
  <c r="A1226" i="51" s="1"/>
  <c r="A1227" i="51" s="1"/>
  <c r="A1228" i="51" s="1"/>
  <c r="A1229" i="51" s="1"/>
  <c r="A1230" i="51" s="1"/>
  <c r="A1231" i="51" s="1"/>
  <c r="A1232" i="51" s="1"/>
  <c r="A1233" i="51" s="1"/>
  <c r="A1234" i="51" s="1"/>
  <c r="A1235" i="51" s="1"/>
  <c r="A1236" i="51" s="1"/>
  <c r="A1237" i="51" s="1"/>
  <c r="A1238" i="51" s="1"/>
  <c r="A1239" i="51" s="1"/>
  <c r="A1240" i="51" s="1"/>
  <c r="A1241" i="51" s="1"/>
  <c r="A1242" i="51" s="1"/>
  <c r="A1243" i="51" s="1"/>
  <c r="A1244" i="51" s="1"/>
  <c r="A1245" i="51" s="1"/>
  <c r="A1246" i="51" s="1"/>
  <c r="A1247" i="51" s="1"/>
  <c r="A1248" i="51" s="1"/>
  <c r="A1249" i="51" s="1"/>
  <c r="A1250" i="51" s="1"/>
  <c r="A1251" i="51" s="1"/>
  <c r="A1252" i="51" s="1"/>
  <c r="A1253" i="51" s="1"/>
  <c r="A1254" i="51" s="1"/>
  <c r="A1255" i="51" s="1"/>
  <c r="A1256" i="51" s="1"/>
  <c r="A1257" i="51" s="1"/>
  <c r="A1258" i="51" s="1"/>
  <c r="A1259" i="51" s="1"/>
  <c r="A1260" i="51" s="1"/>
  <c r="A1261" i="51" s="1"/>
  <c r="A1262" i="51" s="1"/>
  <c r="A1263" i="51" s="1"/>
  <c r="A1264" i="51" s="1"/>
  <c r="A1265" i="51" s="1"/>
  <c r="A1266" i="51" s="1"/>
  <c r="A1267" i="51" s="1"/>
  <c r="A1268" i="51" s="1"/>
  <c r="A1269" i="51" s="1"/>
  <c r="A1270" i="51" s="1"/>
  <c r="A1271" i="51" s="1"/>
  <c r="A1272" i="51" s="1"/>
  <c r="A1273" i="51" s="1"/>
  <c r="A1274" i="51" s="1"/>
  <c r="A1275" i="51" s="1"/>
  <c r="A1276" i="51" s="1"/>
  <c r="A1277" i="51" s="1"/>
  <c r="A1278" i="51" s="1"/>
  <c r="A1279" i="51" s="1"/>
  <c r="A1280" i="51" s="1"/>
  <c r="A1281" i="51" s="1"/>
  <c r="A1282" i="51" s="1"/>
  <c r="A1283" i="51" s="1"/>
  <c r="A1284" i="51" s="1"/>
  <c r="A1285" i="51" s="1"/>
  <c r="A1286" i="51" s="1"/>
  <c r="A1287" i="51" s="1"/>
  <c r="A1288" i="51" s="1"/>
  <c r="A1289" i="51" s="1"/>
  <c r="A1290" i="51" s="1"/>
  <c r="A1291" i="51" s="1"/>
  <c r="A1292" i="51" s="1"/>
  <c r="A1293" i="51" s="1"/>
  <c r="A1294" i="51" s="1"/>
  <c r="A1295" i="51" s="1"/>
  <c r="A1296" i="51" s="1"/>
  <c r="A1297" i="51" s="1"/>
  <c r="A1298" i="51" s="1"/>
  <c r="A1299" i="51" s="1"/>
  <c r="A1300" i="51" s="1"/>
  <c r="A1301" i="51" s="1"/>
  <c r="A1302" i="51" s="1"/>
  <c r="A1303" i="51" s="1"/>
  <c r="A1304" i="51" s="1"/>
  <c r="A1305" i="51" s="1"/>
  <c r="A1306" i="51" s="1"/>
  <c r="A1307" i="51" s="1"/>
  <c r="A1308" i="51" s="1"/>
  <c r="A1309" i="51" s="1"/>
  <c r="A1310" i="51" s="1"/>
  <c r="A1311" i="51" s="1"/>
  <c r="A1312" i="51" s="1"/>
  <c r="A1313" i="51" s="1"/>
  <c r="A1314" i="51" s="1"/>
  <c r="A1315" i="51" s="1"/>
  <c r="A1316" i="51" s="1"/>
  <c r="A1317" i="51" s="1"/>
  <c r="A1318" i="51" s="1"/>
  <c r="A1319" i="51" s="1"/>
  <c r="A1320" i="51" s="1"/>
  <c r="A1321" i="51" s="1"/>
  <c r="A1322" i="51" s="1"/>
  <c r="A1323" i="51" s="1"/>
  <c r="A1324" i="51" s="1"/>
  <c r="A1325" i="51" s="1"/>
  <c r="A1326" i="51" s="1"/>
  <c r="A1327" i="51" s="1"/>
  <c r="A1328" i="51" s="1"/>
  <c r="A1329" i="51" s="1"/>
  <c r="A1330" i="51" s="1"/>
  <c r="A1331" i="51" s="1"/>
  <c r="A1332" i="51" s="1"/>
  <c r="A1333" i="51" s="1"/>
  <c r="A1334" i="51" s="1"/>
  <c r="A1335" i="51" s="1"/>
  <c r="A1336" i="51" s="1"/>
  <c r="A1337" i="51" s="1"/>
  <c r="A1338" i="51" s="1"/>
  <c r="A1339" i="51" s="1"/>
  <c r="A1340" i="51" s="1"/>
  <c r="A1341" i="51" s="1"/>
  <c r="A1342" i="51" s="1"/>
  <c r="A1343" i="51" s="1"/>
  <c r="A1344" i="51" s="1"/>
  <c r="A1345" i="51" s="1"/>
  <c r="A1346" i="51" s="1"/>
  <c r="A1347" i="51" s="1"/>
  <c r="A1348" i="51" s="1"/>
  <c r="A1349" i="51" s="1"/>
  <c r="A1350" i="51" s="1"/>
  <c r="A1351" i="51" s="1"/>
  <c r="A1352" i="51" s="1"/>
  <c r="A1353" i="51" s="1"/>
  <c r="A1354" i="51" s="1"/>
  <c r="A1355" i="51" s="1"/>
  <c r="A1356" i="51" s="1"/>
  <c r="A1357" i="51" s="1"/>
  <c r="A1358" i="51" s="1"/>
  <c r="A1359" i="51" s="1"/>
  <c r="A1360" i="51" s="1"/>
  <c r="A1361" i="51" s="1"/>
  <c r="A1362" i="51" s="1"/>
  <c r="A1363" i="51" s="1"/>
  <c r="A1364" i="51" s="1"/>
  <c r="A1365" i="51" s="1"/>
  <c r="A1366" i="51" s="1"/>
  <c r="A1367" i="51" s="1"/>
  <c r="A1368" i="51" s="1"/>
  <c r="A1369" i="51" s="1"/>
  <c r="A1370" i="51" s="1"/>
  <c r="A1371" i="51" s="1"/>
  <c r="A1372" i="51" s="1"/>
  <c r="A1373" i="51" s="1"/>
  <c r="A1374" i="51" s="1"/>
  <c r="A1375" i="51" s="1"/>
  <c r="A1376" i="51" s="1"/>
  <c r="A1377" i="51" s="1"/>
  <c r="A1378" i="51" s="1"/>
  <c r="A1379" i="51" s="1"/>
  <c r="A1380" i="51" s="1"/>
  <c r="A1381" i="51" s="1"/>
  <c r="A1382" i="51" s="1"/>
  <c r="A1383" i="51" s="1"/>
  <c r="A1384" i="51" s="1"/>
  <c r="A1385" i="51" s="1"/>
  <c r="A1386" i="51" s="1"/>
  <c r="A1387" i="51" s="1"/>
  <c r="A1388" i="51" s="1"/>
  <c r="A1389" i="51" s="1"/>
  <c r="A1390" i="51" s="1"/>
  <c r="A1391" i="51" s="1"/>
  <c r="A1392" i="51" s="1"/>
  <c r="A1393" i="51" s="1"/>
  <c r="A1394" i="51" s="1"/>
  <c r="A1395" i="51" s="1"/>
  <c r="A1396" i="51" s="1"/>
  <c r="A1397" i="51" s="1"/>
  <c r="A1398" i="51" s="1"/>
  <c r="A1399" i="51" s="1"/>
  <c r="A1400" i="51" s="1"/>
  <c r="A1401" i="51" s="1"/>
  <c r="A1402" i="51" s="1"/>
  <c r="A1403" i="51" s="1"/>
  <c r="A1404" i="51" s="1"/>
  <c r="A1405" i="51" s="1"/>
  <c r="A1406" i="51" s="1"/>
  <c r="A1407" i="51" s="1"/>
  <c r="A1408" i="51" s="1"/>
  <c r="A1409" i="51" s="1"/>
  <c r="A1410" i="51" s="1"/>
  <c r="A1411" i="51" s="1"/>
  <c r="A1412" i="51" s="1"/>
  <c r="A1413" i="51" s="1"/>
  <c r="A1414" i="51" s="1"/>
  <c r="A1415" i="51" s="1"/>
  <c r="A1416" i="51" s="1"/>
  <c r="A1417" i="51" s="1"/>
  <c r="A1418" i="51" s="1"/>
  <c r="A1419" i="51" s="1"/>
  <c r="A1420" i="51" s="1"/>
  <c r="A1421" i="51" s="1"/>
  <c r="A1422" i="51" s="1"/>
  <c r="A1423" i="51" s="1"/>
  <c r="A1424" i="51" s="1"/>
  <c r="A1425" i="51" s="1"/>
  <c r="A1426" i="51" s="1"/>
  <c r="A1427" i="51" s="1"/>
  <c r="A1428" i="51" s="1"/>
  <c r="A1429" i="51" s="1"/>
  <c r="A1430" i="51" s="1"/>
  <c r="A1431" i="51" s="1"/>
  <c r="A1432" i="51" s="1"/>
  <c r="A1433" i="51" s="1"/>
  <c r="A1434" i="51" s="1"/>
  <c r="A1435" i="51" s="1"/>
  <c r="A1436" i="51" s="1"/>
  <c r="A1437" i="51" s="1"/>
  <c r="A1438" i="51" s="1"/>
  <c r="A1439" i="51" s="1"/>
  <c r="A1440" i="51" s="1"/>
  <c r="A1441" i="51" s="1"/>
  <c r="A1442" i="51" s="1"/>
  <c r="A1443" i="51" s="1"/>
  <c r="A1444" i="51" s="1"/>
  <c r="A1445" i="51" s="1"/>
  <c r="A1446" i="51" s="1"/>
  <c r="A1447" i="51" s="1"/>
  <c r="A1448" i="51" s="1"/>
  <c r="A1449" i="51" s="1"/>
  <c r="A1450" i="51" s="1"/>
  <c r="A1451" i="51" s="1"/>
  <c r="A1452" i="51" s="1"/>
  <c r="A1453" i="51" s="1"/>
  <c r="A1454" i="51" s="1"/>
  <c r="A1455" i="51" s="1"/>
  <c r="A1456" i="51" s="1"/>
  <c r="A1457" i="51" s="1"/>
  <c r="A1458" i="51" s="1"/>
  <c r="A1459" i="51" s="1"/>
  <c r="A1460" i="51" s="1"/>
  <c r="A1461" i="51" s="1"/>
  <c r="A1462" i="51" s="1"/>
  <c r="A1463" i="51" s="1"/>
  <c r="A1464" i="51" s="1"/>
  <c r="A1465" i="51" s="1"/>
  <c r="A1466" i="51" s="1"/>
  <c r="A1467" i="51" s="1"/>
  <c r="A1468" i="51" s="1"/>
  <c r="A1469" i="51" s="1"/>
  <c r="A1470" i="51" s="1"/>
  <c r="A1471" i="51" s="1"/>
  <c r="A1472" i="51" s="1"/>
  <c r="A1473" i="51" s="1"/>
  <c r="A1474" i="51" s="1"/>
  <c r="A1475" i="51" s="1"/>
  <c r="A1476" i="51" s="1"/>
  <c r="A1477" i="51" s="1"/>
  <c r="A1478" i="51" s="1"/>
  <c r="A1479" i="51" s="1"/>
  <c r="A1480" i="51" s="1"/>
  <c r="A1481" i="51" s="1"/>
  <c r="A1482" i="51" s="1"/>
  <c r="A1483" i="51" s="1"/>
  <c r="A1484" i="51" s="1"/>
  <c r="A1485" i="51" s="1"/>
  <c r="A1486" i="51" s="1"/>
  <c r="A1487" i="51" s="1"/>
  <c r="A1488" i="51" s="1"/>
  <c r="A1489" i="51" s="1"/>
  <c r="A1490" i="51" s="1"/>
  <c r="A1491" i="51" s="1"/>
  <c r="A1492" i="51" s="1"/>
  <c r="A1493" i="51" s="1"/>
  <c r="A1494" i="51" s="1"/>
  <c r="A1495" i="51" s="1"/>
  <c r="A1496" i="51" s="1"/>
  <c r="A1497" i="51" s="1"/>
  <c r="A1498" i="51" s="1"/>
  <c r="A1499" i="51" s="1"/>
  <c r="A1500" i="51" s="1"/>
  <c r="A1501" i="51" s="1"/>
  <c r="A1502" i="51" s="1"/>
  <c r="A1503" i="51" s="1"/>
  <c r="A1504" i="51" s="1"/>
  <c r="A1505" i="51" s="1"/>
  <c r="A1506" i="51" s="1"/>
  <c r="A1507" i="51" s="1"/>
  <c r="A1508" i="51" s="1"/>
  <c r="A1509" i="51" s="1"/>
  <c r="A1510" i="51" s="1"/>
  <c r="A1511" i="51" s="1"/>
  <c r="A1512" i="51" s="1"/>
  <c r="A1513" i="51" s="1"/>
  <c r="A1514" i="51" s="1"/>
  <c r="A1515" i="51" s="1"/>
  <c r="A1516" i="51" s="1"/>
  <c r="A1517" i="51" s="1"/>
  <c r="A1518" i="51" s="1"/>
  <c r="A1519" i="51" s="1"/>
  <c r="A1520" i="51" s="1"/>
  <c r="A1521" i="51" s="1"/>
  <c r="A1522" i="51" s="1"/>
  <c r="A1523" i="51" s="1"/>
  <c r="A1524" i="51" s="1"/>
  <c r="A1525" i="51" s="1"/>
  <c r="A1526" i="51" s="1"/>
  <c r="A1527" i="51" s="1"/>
  <c r="A1528" i="51" s="1"/>
  <c r="A1529" i="51" s="1"/>
  <c r="A1530" i="51" s="1"/>
  <c r="A1531" i="51" s="1"/>
  <c r="A1532" i="51" s="1"/>
  <c r="A1533" i="51" s="1"/>
  <c r="A1534" i="51" s="1"/>
  <c r="A1535" i="51" s="1"/>
  <c r="A1536" i="51" s="1"/>
  <c r="A1537" i="51" s="1"/>
  <c r="A1538" i="51" s="1"/>
  <c r="A1539" i="51" s="1"/>
  <c r="A1540" i="51" s="1"/>
  <c r="A1541" i="51" s="1"/>
  <c r="A1542" i="51" s="1"/>
  <c r="A1543" i="51" s="1"/>
  <c r="A1544" i="51" s="1"/>
  <c r="A1545" i="51" s="1"/>
  <c r="A1546" i="51" s="1"/>
  <c r="A1547" i="51" s="1"/>
  <c r="A1548" i="51" s="1"/>
  <c r="A1549" i="51" s="1"/>
  <c r="A1550" i="51" s="1"/>
  <c r="A1551" i="51" s="1"/>
  <c r="A1552" i="51" s="1"/>
  <c r="A1553" i="51" s="1"/>
  <c r="A1554" i="51" s="1"/>
  <c r="A1555" i="51" s="1"/>
  <c r="A1556" i="51" s="1"/>
  <c r="A1557" i="51" s="1"/>
  <c r="A1558" i="51" s="1"/>
  <c r="A1559" i="51" s="1"/>
  <c r="A1560" i="51" s="1"/>
  <c r="A1561" i="51" s="1"/>
  <c r="A1562" i="51" s="1"/>
  <c r="A1563" i="51" s="1"/>
  <c r="A1564" i="51" s="1"/>
  <c r="A1565" i="51" s="1"/>
  <c r="A1566" i="51" s="1"/>
  <c r="A1567" i="51" s="1"/>
  <c r="A1568" i="51" s="1"/>
  <c r="A1569" i="51" s="1"/>
  <c r="A1570" i="51" s="1"/>
  <c r="A1571" i="51" s="1"/>
  <c r="A1572" i="51" s="1"/>
  <c r="A1573" i="51" s="1"/>
  <c r="A1574" i="51" s="1"/>
  <c r="A1575" i="51" s="1"/>
  <c r="A1576" i="51" s="1"/>
  <c r="A1577" i="51" s="1"/>
  <c r="A1578" i="51" s="1"/>
  <c r="A1579" i="51" s="1"/>
  <c r="A1580" i="51" s="1"/>
  <c r="A1581" i="51" s="1"/>
  <c r="A1582" i="51" s="1"/>
  <c r="A1583" i="51" s="1"/>
  <c r="A1584" i="51" s="1"/>
  <c r="A1585" i="51" s="1"/>
  <c r="A1586" i="51" s="1"/>
  <c r="A1587" i="51" s="1"/>
  <c r="A1588" i="51" s="1"/>
  <c r="A1589" i="51" s="1"/>
  <c r="A1590" i="51" s="1"/>
  <c r="A1591" i="51" s="1"/>
  <c r="A1592" i="51" s="1"/>
  <c r="A1593" i="51" s="1"/>
  <c r="A1594" i="51" s="1"/>
  <c r="A1595" i="51" s="1"/>
  <c r="A1596" i="51" s="1"/>
  <c r="A1597" i="51" s="1"/>
  <c r="A1598" i="51" s="1"/>
  <c r="A1599" i="51" s="1"/>
  <c r="A1600" i="51" s="1"/>
  <c r="A1601" i="51" s="1"/>
  <c r="A1602" i="51" s="1"/>
  <c r="A1603" i="51" s="1"/>
  <c r="A1604" i="51" s="1"/>
  <c r="A1605" i="51" s="1"/>
  <c r="A1606" i="51" s="1"/>
  <c r="A1607" i="51" s="1"/>
  <c r="A1608" i="51" s="1"/>
  <c r="A1609" i="51" s="1"/>
  <c r="A1610" i="51" s="1"/>
  <c r="A1611" i="51" s="1"/>
  <c r="A1612" i="51" s="1"/>
  <c r="A1613" i="51" s="1"/>
  <c r="A1614" i="51" s="1"/>
  <c r="A1615" i="51" s="1"/>
  <c r="A1616" i="51" s="1"/>
  <c r="A1617" i="51" s="1"/>
  <c r="A1618" i="51" s="1"/>
  <c r="A1619" i="51" s="1"/>
  <c r="A1620" i="51" s="1"/>
  <c r="A1621" i="51" s="1"/>
  <c r="A1622" i="51" s="1"/>
  <c r="A1623" i="51" s="1"/>
  <c r="A1624" i="51" s="1"/>
  <c r="A1625" i="51" s="1"/>
  <c r="A1626" i="51" s="1"/>
  <c r="A1627" i="51" s="1"/>
  <c r="A1628" i="51" s="1"/>
  <c r="A1629" i="51" s="1"/>
  <c r="A1630" i="51" s="1"/>
  <c r="A1631" i="51" s="1"/>
  <c r="A1632" i="51" s="1"/>
  <c r="A1633" i="51" s="1"/>
  <c r="A1634" i="51" s="1"/>
  <c r="A1635" i="51" s="1"/>
  <c r="A1636" i="51" s="1"/>
  <c r="A1637" i="51" s="1"/>
  <c r="A1638" i="51" s="1"/>
  <c r="A1639" i="51" s="1"/>
  <c r="A1640" i="51" s="1"/>
  <c r="A1641" i="51" s="1"/>
  <c r="A1642" i="51" s="1"/>
  <c r="A1643" i="51" s="1"/>
  <c r="A1644" i="51" s="1"/>
  <c r="A1645" i="51" s="1"/>
  <c r="A1646" i="51" s="1"/>
  <c r="A1647" i="51" s="1"/>
  <c r="A1648" i="51" s="1"/>
  <c r="A1649" i="51" s="1"/>
  <c r="A1650" i="51" s="1"/>
  <c r="A1651" i="51" s="1"/>
  <c r="A1652" i="51" s="1"/>
  <c r="A1653" i="51" s="1"/>
  <c r="A1654" i="51" s="1"/>
  <c r="A1655" i="51" s="1"/>
  <c r="A1656" i="51" s="1"/>
  <c r="A1657" i="51" s="1"/>
  <c r="A1658" i="51" s="1"/>
  <c r="A1659" i="51" s="1"/>
  <c r="A1660" i="51" s="1"/>
  <c r="A1661" i="51" s="1"/>
  <c r="A1662" i="51" s="1"/>
  <c r="A1663" i="51" s="1"/>
  <c r="A1664" i="51" s="1"/>
  <c r="A1665" i="51" s="1"/>
  <c r="A1666" i="51" s="1"/>
  <c r="A1667" i="51" s="1"/>
  <c r="A1668" i="51" s="1"/>
  <c r="A1669" i="51" s="1"/>
  <c r="A1670" i="51" s="1"/>
  <c r="A1671" i="51" s="1"/>
  <c r="A1672" i="51" s="1"/>
  <c r="A1673" i="51" s="1"/>
  <c r="A1674" i="51" s="1"/>
  <c r="A1675" i="51" s="1"/>
  <c r="A1676" i="51" s="1"/>
  <c r="A1677" i="51" s="1"/>
  <c r="A1678" i="51" s="1"/>
  <c r="A1679" i="51" s="1"/>
  <c r="A1680" i="51" s="1"/>
  <c r="A1681" i="51" s="1"/>
  <c r="A1682" i="51" s="1"/>
  <c r="A1683" i="51" s="1"/>
  <c r="A1684" i="51" s="1"/>
  <c r="A1685" i="51" s="1"/>
  <c r="A1686" i="51" s="1"/>
  <c r="A1687" i="51" s="1"/>
  <c r="A1688" i="51" s="1"/>
  <c r="A1689" i="51" s="1"/>
  <c r="A1690" i="51" s="1"/>
  <c r="A1691" i="51" s="1"/>
  <c r="A1692" i="51" s="1"/>
  <c r="A1693" i="51" s="1"/>
  <c r="A1694" i="51" s="1"/>
  <c r="A1695" i="51" s="1"/>
  <c r="A1696" i="51" s="1"/>
  <c r="A1697" i="51" s="1"/>
  <c r="A1698" i="51" s="1"/>
  <c r="A1699" i="51" s="1"/>
  <c r="A1700" i="51" s="1"/>
  <c r="A1701" i="51" s="1"/>
  <c r="A1702" i="51" s="1"/>
  <c r="A1703" i="51" s="1"/>
  <c r="A1704" i="51" s="1"/>
  <c r="A1705" i="51" s="1"/>
  <c r="A1706" i="51" s="1"/>
  <c r="A1707" i="51" s="1"/>
  <c r="A1708" i="51" s="1"/>
  <c r="A1709" i="51" s="1"/>
  <c r="A1710" i="51" s="1"/>
  <c r="A1711" i="51" s="1"/>
  <c r="A1712" i="51" s="1"/>
  <c r="A1713" i="51" s="1"/>
  <c r="A1714" i="51" s="1"/>
  <c r="A1715" i="51" s="1"/>
  <c r="A1716" i="51" s="1"/>
  <c r="A1717" i="51" s="1"/>
  <c r="A1718" i="51" s="1"/>
  <c r="A1719" i="51" s="1"/>
  <c r="A1720" i="51" s="1"/>
  <c r="A1721" i="51" s="1"/>
  <c r="A1722" i="51" s="1"/>
  <c r="A1723" i="51" s="1"/>
  <c r="A1724" i="51" s="1"/>
  <c r="A1725" i="51" s="1"/>
  <c r="A1726" i="51" s="1"/>
  <c r="A1727" i="51" s="1"/>
  <c r="A1728" i="51" s="1"/>
  <c r="A1729" i="51" s="1"/>
  <c r="A1730" i="51" s="1"/>
  <c r="A1731" i="51" s="1"/>
  <c r="A1732" i="51" s="1"/>
  <c r="A1733" i="51" s="1"/>
  <c r="A1734" i="51" s="1"/>
  <c r="A1735" i="51" s="1"/>
  <c r="A1736" i="51" s="1"/>
  <c r="A1737" i="51" s="1"/>
  <c r="A1738" i="51" s="1"/>
  <c r="A1739" i="51" s="1"/>
  <c r="A1740" i="51" s="1"/>
  <c r="A1741" i="51" s="1"/>
  <c r="A1742" i="51" s="1"/>
  <c r="A1743" i="51" s="1"/>
  <c r="A1744" i="51" s="1"/>
  <c r="A1745" i="51" s="1"/>
  <c r="A1746" i="51" s="1"/>
  <c r="A1747" i="51" s="1"/>
  <c r="A1748" i="51" s="1"/>
  <c r="A1749" i="51" s="1"/>
  <c r="A1750" i="51" s="1"/>
  <c r="A1751" i="51" s="1"/>
  <c r="A1752" i="51" s="1"/>
  <c r="A1753" i="51" s="1"/>
  <c r="A1754" i="51" s="1"/>
  <c r="A1755" i="51" s="1"/>
  <c r="A1756" i="51" s="1"/>
  <c r="A1757" i="51" s="1"/>
  <c r="A1758" i="51" s="1"/>
  <c r="A1759" i="51" s="1"/>
  <c r="A1760" i="51" s="1"/>
  <c r="A1761" i="51" s="1"/>
  <c r="A1762" i="51" s="1"/>
  <c r="A1763" i="51" s="1"/>
  <c r="A1764" i="51" s="1"/>
  <c r="A1765" i="51" s="1"/>
  <c r="A1766" i="51" s="1"/>
  <c r="A1767" i="51" s="1"/>
  <c r="A1768" i="51" s="1"/>
  <c r="A1769" i="51" s="1"/>
  <c r="A1770" i="51" s="1"/>
  <c r="A1771" i="51" s="1"/>
  <c r="A1772" i="51" s="1"/>
  <c r="A1773" i="51" s="1"/>
  <c r="A1774" i="51" s="1"/>
  <c r="A1775" i="51" s="1"/>
  <c r="A1776" i="51" s="1"/>
  <c r="A1777" i="51" s="1"/>
  <c r="A1778" i="51" s="1"/>
  <c r="A1779" i="51" s="1"/>
  <c r="A1780" i="51" s="1"/>
  <c r="A1781" i="51" s="1"/>
  <c r="A1782" i="51" s="1"/>
  <c r="A1783" i="51" s="1"/>
  <c r="A1784" i="51" s="1"/>
  <c r="A1785" i="51" s="1"/>
  <c r="A1786" i="51" s="1"/>
  <c r="A1787" i="51" s="1"/>
  <c r="A1788" i="51" s="1"/>
  <c r="A1789" i="51" s="1"/>
  <c r="A1790" i="51" s="1"/>
  <c r="A1791" i="51" s="1"/>
  <c r="A1792" i="51" s="1"/>
  <c r="A1793" i="51" s="1"/>
  <c r="A1794" i="51" s="1"/>
  <c r="A1795" i="51" s="1"/>
  <c r="A1796" i="51" s="1"/>
  <c r="A1797" i="51" s="1"/>
  <c r="A1798" i="51" s="1"/>
  <c r="A1799" i="51" s="1"/>
  <c r="A1800" i="51" s="1"/>
  <c r="A1801" i="51" s="1"/>
  <c r="A1802" i="51" s="1"/>
  <c r="A1803" i="51" s="1"/>
  <c r="A1804" i="51" s="1"/>
  <c r="A1805" i="51" s="1"/>
  <c r="A1806" i="51" s="1"/>
  <c r="A1807" i="51" s="1"/>
  <c r="A1808" i="51" s="1"/>
  <c r="A1809" i="51" s="1"/>
  <c r="A1810" i="51" s="1"/>
  <c r="A1811" i="51" s="1"/>
  <c r="A1812" i="51" s="1"/>
  <c r="A1813" i="51" s="1"/>
  <c r="A1814" i="51" s="1"/>
  <c r="A1815" i="51" s="1"/>
  <c r="A1816" i="51" s="1"/>
  <c r="A1817" i="51" s="1"/>
  <c r="A1818" i="51" s="1"/>
  <c r="A1819" i="51" s="1"/>
  <c r="A1820" i="51" s="1"/>
  <c r="A1821" i="51" s="1"/>
  <c r="A1822" i="51" s="1"/>
  <c r="A1823" i="51" s="1"/>
  <c r="A1824" i="51" s="1"/>
  <c r="A1825" i="51" s="1"/>
  <c r="A1826" i="51" s="1"/>
  <c r="A1827" i="51" s="1"/>
  <c r="A1828" i="51" s="1"/>
  <c r="A1829" i="51" s="1"/>
  <c r="A1830" i="51" s="1"/>
  <c r="A1831" i="51" s="1"/>
  <c r="A1832" i="51" s="1"/>
  <c r="A1833" i="51" s="1"/>
  <c r="A1834" i="51" s="1"/>
  <c r="A1835" i="51" s="1"/>
  <c r="A1836" i="51" s="1"/>
  <c r="A1837" i="51" s="1"/>
  <c r="A1838" i="51" s="1"/>
  <c r="A1839" i="51" s="1"/>
  <c r="A1840" i="51" s="1"/>
  <c r="A1841" i="51" s="1"/>
  <c r="A1842" i="51" s="1"/>
  <c r="A1843" i="51" s="1"/>
  <c r="A1844" i="51" s="1"/>
  <c r="A1845" i="51" s="1"/>
  <c r="A1846" i="51" s="1"/>
  <c r="A1847" i="51" s="1"/>
  <c r="A1848" i="51" s="1"/>
  <c r="A1849" i="51" s="1"/>
  <c r="A1850" i="51" s="1"/>
  <c r="A1851" i="51" s="1"/>
  <c r="A1852" i="51" s="1"/>
  <c r="A1853" i="51" s="1"/>
  <c r="A1854" i="51" s="1"/>
  <c r="A1855" i="51" s="1"/>
  <c r="A1856" i="51" s="1"/>
  <c r="A1857" i="51" s="1"/>
  <c r="A1858" i="51" s="1"/>
  <c r="A1859" i="51" s="1"/>
  <c r="A1860" i="51" s="1"/>
  <c r="A1861" i="51" s="1"/>
  <c r="A1862" i="51" s="1"/>
  <c r="A1863" i="51" s="1"/>
  <c r="A1864" i="51" s="1"/>
  <c r="A1865" i="51" s="1"/>
  <c r="A1866" i="51" s="1"/>
  <c r="A1867" i="51" s="1"/>
  <c r="A1868" i="51" s="1"/>
  <c r="A1869" i="51" s="1"/>
  <c r="A1870" i="51" s="1"/>
  <c r="A1871" i="51" s="1"/>
  <c r="A1872" i="51" s="1"/>
  <c r="A1873" i="51" s="1"/>
  <c r="A1874" i="51" s="1"/>
  <c r="A1875" i="51" s="1"/>
  <c r="A1876" i="51" s="1"/>
  <c r="A1877" i="51" s="1"/>
  <c r="A1878" i="51" s="1"/>
  <c r="A1879" i="51" s="1"/>
  <c r="A1880" i="51" s="1"/>
  <c r="A1881" i="51" s="1"/>
  <c r="A1882" i="51" s="1"/>
  <c r="A1883" i="51" s="1"/>
  <c r="A1884" i="51" s="1"/>
  <c r="A1885" i="51" s="1"/>
  <c r="A1886" i="51" s="1"/>
  <c r="A1887" i="51" s="1"/>
  <c r="A1888" i="51" s="1"/>
  <c r="A1889" i="51" s="1"/>
  <c r="A1890" i="51" s="1"/>
  <c r="A1891" i="51" s="1"/>
  <c r="A1892" i="51" s="1"/>
  <c r="A1893" i="51" s="1"/>
  <c r="A1894" i="51" s="1"/>
  <c r="A1895" i="51" s="1"/>
  <c r="A1896" i="51" s="1"/>
  <c r="A1897" i="51" s="1"/>
  <c r="A1898" i="51" s="1"/>
  <c r="A1899" i="51" s="1"/>
  <c r="A1900" i="51" s="1"/>
  <c r="A1901" i="51" s="1"/>
  <c r="A1902" i="51" s="1"/>
  <c r="A1903" i="51" s="1"/>
  <c r="A1904" i="51" s="1"/>
  <c r="A1905" i="51" s="1"/>
  <c r="A1906" i="51" s="1"/>
  <c r="A1907" i="51" s="1"/>
  <c r="A1908" i="51" s="1"/>
  <c r="A1909" i="51" s="1"/>
  <c r="A1910" i="51" s="1"/>
  <c r="A1911" i="51" s="1"/>
  <c r="A1912" i="51" s="1"/>
  <c r="A1913" i="51" s="1"/>
  <c r="A1914" i="51" s="1"/>
  <c r="A1915" i="51" s="1"/>
  <c r="A1916" i="51" s="1"/>
  <c r="A1917" i="51" s="1"/>
  <c r="A1918" i="51" s="1"/>
  <c r="A1919" i="51" s="1"/>
  <c r="A1920" i="51" s="1"/>
  <c r="A1921" i="51" s="1"/>
  <c r="A1922" i="51" s="1"/>
  <c r="A1923" i="51" s="1"/>
  <c r="A1924" i="51" s="1"/>
  <c r="A1925" i="51" s="1"/>
  <c r="A1926" i="51" s="1"/>
  <c r="A1927" i="51" s="1"/>
  <c r="A1928" i="51" s="1"/>
  <c r="A1929" i="51" s="1"/>
  <c r="A1930" i="51" s="1"/>
  <c r="A1931" i="51" s="1"/>
  <c r="A1932" i="51" s="1"/>
  <c r="A1933" i="51" s="1"/>
  <c r="A1934" i="51" s="1"/>
  <c r="A1935" i="51" s="1"/>
  <c r="A1936" i="51" s="1"/>
  <c r="A1937" i="51" s="1"/>
  <c r="A1938" i="51" s="1"/>
  <c r="A1939" i="51" s="1"/>
  <c r="A1940" i="51" s="1"/>
  <c r="A1941" i="51" s="1"/>
  <c r="A1942" i="51" s="1"/>
  <c r="A1943" i="51" s="1"/>
  <c r="A1944" i="51" s="1"/>
  <c r="A1945" i="51" s="1"/>
  <c r="A1946" i="51" s="1"/>
  <c r="A1947" i="51" s="1"/>
  <c r="A1948" i="51" s="1"/>
  <c r="A1949" i="51" s="1"/>
  <c r="A1950" i="51" s="1"/>
  <c r="A1951" i="51" s="1"/>
  <c r="A1952" i="51" s="1"/>
  <c r="A1953" i="51" s="1"/>
  <c r="A1954" i="51" s="1"/>
  <c r="A1955" i="51" s="1"/>
  <c r="A1956" i="51" s="1"/>
  <c r="A1957" i="51" s="1"/>
  <c r="A1958" i="51" s="1"/>
  <c r="A1959" i="51" s="1"/>
  <c r="A1960" i="51" s="1"/>
  <c r="A1961" i="51" s="1"/>
  <c r="A1962" i="51" s="1"/>
  <c r="A1963" i="51" s="1"/>
  <c r="A1964" i="51" s="1"/>
  <c r="A1965" i="51" s="1"/>
  <c r="A1966" i="51" s="1"/>
  <c r="A1967" i="51" s="1"/>
  <c r="A1968" i="51" s="1"/>
  <c r="A1969" i="51" s="1"/>
  <c r="A1970" i="51" s="1"/>
  <c r="A1971" i="51" s="1"/>
  <c r="A1972" i="51" s="1"/>
  <c r="A1973" i="51" s="1"/>
  <c r="A1974" i="51" s="1"/>
  <c r="A1975" i="51" s="1"/>
  <c r="A1976" i="51" s="1"/>
  <c r="A1977" i="51" s="1"/>
  <c r="A1978" i="51" s="1"/>
  <c r="A1979" i="51" s="1"/>
  <c r="A1980" i="51" s="1"/>
  <c r="A1981" i="51" s="1"/>
  <c r="A1982" i="51" s="1"/>
  <c r="A1983" i="51" s="1"/>
  <c r="A1984" i="51" s="1"/>
  <c r="A1985" i="51" s="1"/>
  <c r="A1986" i="51" s="1"/>
  <c r="A1987" i="51" s="1"/>
  <c r="A1988" i="51" s="1"/>
  <c r="A1989" i="51" s="1"/>
  <c r="A1990" i="51" s="1"/>
  <c r="A1991" i="51" s="1"/>
  <c r="A1992" i="51" s="1"/>
  <c r="A1993" i="51" s="1"/>
  <c r="A1994" i="51" s="1"/>
  <c r="A1995" i="51" s="1"/>
  <c r="A1996" i="51" s="1"/>
  <c r="A1997" i="51" s="1"/>
  <c r="A1998" i="51" s="1"/>
  <c r="A1999" i="51" s="1"/>
  <c r="A2000" i="51" s="1"/>
  <c r="A2001" i="51" s="1"/>
  <c r="A2002" i="51" s="1"/>
  <c r="A2003" i="51" s="1"/>
  <c r="A2004" i="51" s="1"/>
  <c r="A2005" i="51" s="1"/>
  <c r="A2006" i="51" s="1"/>
  <c r="A2007" i="51" s="1"/>
  <c r="A2008" i="51" s="1"/>
  <c r="A2009" i="51" s="1"/>
  <c r="A2010" i="51" s="1"/>
  <c r="A2011" i="51" s="1"/>
  <c r="A2012" i="51" s="1"/>
  <c r="A2013" i="51" s="1"/>
  <c r="A2014" i="51" s="1"/>
  <c r="A2015" i="51" s="1"/>
  <c r="A2016" i="51" s="1"/>
  <c r="A2017" i="51" s="1"/>
  <c r="A2018" i="51" s="1"/>
  <c r="A2019" i="51" s="1"/>
  <c r="A2020" i="51" s="1"/>
  <c r="A2021" i="51" s="1"/>
  <c r="A2022" i="51" s="1"/>
  <c r="A2023" i="51" s="1"/>
  <c r="A2024" i="51" s="1"/>
  <c r="A2025" i="51" s="1"/>
  <c r="A2026" i="51" s="1"/>
  <c r="A2027" i="51" s="1"/>
  <c r="A2028" i="51" s="1"/>
  <c r="A2029" i="51" s="1"/>
  <c r="A2030" i="51" s="1"/>
  <c r="A2031" i="51" s="1"/>
  <c r="A2032" i="51" s="1"/>
  <c r="A2033" i="51" s="1"/>
  <c r="A2034" i="51" s="1"/>
  <c r="A2035" i="51" s="1"/>
  <c r="A2036" i="51" s="1"/>
  <c r="A2037" i="51" s="1"/>
  <c r="A2038" i="51" s="1"/>
  <c r="A2039" i="51" s="1"/>
  <c r="A2040" i="51" s="1"/>
  <c r="A2041" i="51" s="1"/>
  <c r="A2042" i="51" s="1"/>
  <c r="A2043" i="51" s="1"/>
  <c r="A2044" i="51" s="1"/>
  <c r="A2045" i="51" s="1"/>
  <c r="A2046" i="51" s="1"/>
  <c r="A2047" i="51" s="1"/>
  <c r="A2048" i="51" s="1"/>
  <c r="A2049" i="51" s="1"/>
  <c r="A2050" i="51" s="1"/>
  <c r="A2051" i="51" s="1"/>
  <c r="A2052" i="51" s="1"/>
  <c r="A2053" i="51" s="1"/>
  <c r="A2054" i="51" s="1"/>
  <c r="A2055" i="51" s="1"/>
  <c r="A2056" i="51" s="1"/>
  <c r="A2057" i="51" s="1"/>
  <c r="A2058" i="51" s="1"/>
  <c r="A2059" i="51" s="1"/>
  <c r="A2060" i="51" s="1"/>
  <c r="A2061" i="51" s="1"/>
  <c r="A2062" i="51" s="1"/>
  <c r="A2063" i="51" s="1"/>
  <c r="A2064" i="51" s="1"/>
  <c r="A2065" i="51" s="1"/>
  <c r="A2066" i="51" s="1"/>
  <c r="A2067" i="51" s="1"/>
  <c r="A2068" i="51" s="1"/>
  <c r="A2069" i="51" s="1"/>
  <c r="A2070" i="51" s="1"/>
  <c r="A2071" i="51" s="1"/>
  <c r="A2072" i="51" s="1"/>
  <c r="A2073" i="51" s="1"/>
  <c r="A2074" i="51" s="1"/>
  <c r="A2075" i="51" s="1"/>
  <c r="A2076" i="51" s="1"/>
  <c r="A2077" i="51" s="1"/>
  <c r="A2078" i="51" s="1"/>
  <c r="A2079" i="51" s="1"/>
  <c r="A2080" i="51" s="1"/>
  <c r="A2081" i="51" s="1"/>
  <c r="A2082" i="51" s="1"/>
  <c r="A2083" i="51" s="1"/>
  <c r="A2084" i="51" s="1"/>
  <c r="A2085" i="51" s="1"/>
  <c r="A2086" i="51" s="1"/>
  <c r="A2087" i="51" s="1"/>
  <c r="A2088" i="51" s="1"/>
  <c r="A2089" i="51" s="1"/>
  <c r="A2090" i="51" s="1"/>
  <c r="A2091" i="51" s="1"/>
  <c r="A2092" i="51" s="1"/>
  <c r="A2093" i="51" s="1"/>
  <c r="A2094" i="51" s="1"/>
  <c r="A2095" i="51" s="1"/>
  <c r="A2096" i="51" s="1"/>
  <c r="A2097" i="51" s="1"/>
  <c r="A2098" i="51" s="1"/>
  <c r="A2099" i="51" s="1"/>
  <c r="A2100" i="51" s="1"/>
  <c r="A2101" i="51" s="1"/>
  <c r="A2102" i="51" s="1"/>
  <c r="A2103" i="51" s="1"/>
  <c r="A2104" i="51" s="1"/>
  <c r="A2105" i="51" s="1"/>
  <c r="A2106" i="51" s="1"/>
  <c r="A2107" i="51" s="1"/>
  <c r="A2108" i="51" s="1"/>
  <c r="A2109" i="51" s="1"/>
  <c r="A2110" i="51" s="1"/>
  <c r="A2111" i="51" s="1"/>
  <c r="A2112" i="51" s="1"/>
  <c r="A2113" i="51" s="1"/>
  <c r="A2114" i="51" s="1"/>
  <c r="A2115" i="51" s="1"/>
  <c r="A2116" i="51" s="1"/>
  <c r="A2117" i="51" s="1"/>
  <c r="A2118" i="51" s="1"/>
  <c r="A2119" i="51" s="1"/>
  <c r="A2120" i="51" s="1"/>
  <c r="A2121" i="51" s="1"/>
  <c r="A2122" i="51" s="1"/>
  <c r="A2123" i="51" s="1"/>
  <c r="A2124" i="51" s="1"/>
  <c r="A2125" i="51" s="1"/>
  <c r="A2126" i="51" s="1"/>
  <c r="A2127" i="51" s="1"/>
  <c r="A2128" i="51" s="1"/>
  <c r="A2129" i="51" s="1"/>
  <c r="A2130" i="51" s="1"/>
  <c r="A2131" i="51" s="1"/>
  <c r="A2132" i="51" s="1"/>
  <c r="A2133" i="51" s="1"/>
  <c r="A2134" i="51" s="1"/>
  <c r="A2135" i="51" s="1"/>
  <c r="A2136" i="51" s="1"/>
  <c r="A2137" i="51" s="1"/>
  <c r="A2138" i="51" s="1"/>
  <c r="A2139" i="51" s="1"/>
  <c r="A2140" i="51" s="1"/>
  <c r="A2141" i="51" s="1"/>
  <c r="A2142" i="51" s="1"/>
  <c r="A2143" i="51" s="1"/>
  <c r="A2144" i="51" s="1"/>
  <c r="A2145" i="51" s="1"/>
  <c r="A2146" i="51" s="1"/>
  <c r="A2147" i="51" s="1"/>
  <c r="A2148" i="51" s="1"/>
  <c r="A2149" i="51" s="1"/>
  <c r="A2150" i="51" s="1"/>
  <c r="A2151" i="51" s="1"/>
  <c r="A2152" i="51" s="1"/>
  <c r="A2153" i="51" s="1"/>
  <c r="A2154" i="51" s="1"/>
  <c r="A2155" i="51" s="1"/>
  <c r="A2156" i="51" s="1"/>
  <c r="A2157" i="51" s="1"/>
  <c r="A2158" i="51" s="1"/>
  <c r="A2159" i="51" s="1"/>
  <c r="A2160" i="51" s="1"/>
  <c r="A2161" i="51" s="1"/>
  <c r="A2162" i="51" s="1"/>
  <c r="A2163" i="51" s="1"/>
  <c r="A2164" i="51" s="1"/>
  <c r="A2165" i="51" s="1"/>
  <c r="A2166" i="51" s="1"/>
  <c r="A2167" i="51" s="1"/>
  <c r="A2168" i="51" s="1"/>
  <c r="A2169" i="51" s="1"/>
  <c r="A2170" i="51" s="1"/>
  <c r="A2171" i="51" s="1"/>
  <c r="A2172" i="51" s="1"/>
  <c r="A2173" i="51" s="1"/>
  <c r="A2174" i="51" s="1"/>
  <c r="A2175" i="51" s="1"/>
  <c r="A2176" i="51" s="1"/>
  <c r="A2177" i="51" s="1"/>
  <c r="A2178" i="51" s="1"/>
  <c r="A2179" i="51" s="1"/>
  <c r="A2180" i="51" s="1"/>
  <c r="A2181" i="51" s="1"/>
  <c r="A2182" i="51" s="1"/>
  <c r="A2183" i="51" s="1"/>
  <c r="A2184" i="51" s="1"/>
  <c r="A2185" i="51" s="1"/>
  <c r="A2186" i="51" s="1"/>
  <c r="A2187" i="51" s="1"/>
  <c r="A2188" i="51" s="1"/>
  <c r="A2189" i="51" s="1"/>
  <c r="A2190" i="51" s="1"/>
  <c r="A2191" i="51" s="1"/>
  <c r="A2192" i="51" s="1"/>
  <c r="A2193" i="51" s="1"/>
  <c r="A2194" i="51" s="1"/>
  <c r="A2195" i="51" s="1"/>
  <c r="A2196" i="51" s="1"/>
  <c r="A2197" i="51" s="1"/>
  <c r="A2198" i="51" s="1"/>
  <c r="A2199" i="51" s="1"/>
  <c r="A2200" i="51" s="1"/>
  <c r="A2201" i="51" s="1"/>
  <c r="A2202" i="51" s="1"/>
  <c r="A2203" i="51" s="1"/>
  <c r="A2204" i="51" s="1"/>
  <c r="A2205" i="51" s="1"/>
  <c r="A2206" i="51" s="1"/>
  <c r="A2207" i="51" s="1"/>
  <c r="A2208" i="51" s="1"/>
  <c r="A2209" i="51" s="1"/>
  <c r="A2210" i="51" s="1"/>
  <c r="A2211" i="51" s="1"/>
  <c r="A2212" i="51" s="1"/>
  <c r="A2213" i="51" s="1"/>
  <c r="A2214" i="51" s="1"/>
  <c r="A2215" i="51" s="1"/>
  <c r="A2216" i="51" s="1"/>
  <c r="A2217" i="51" s="1"/>
  <c r="A2218" i="51" s="1"/>
  <c r="A2219" i="51" s="1"/>
  <c r="A2220" i="51" s="1"/>
  <c r="A2221" i="51" s="1"/>
  <c r="A2222" i="51" s="1"/>
  <c r="A2223" i="51" s="1"/>
  <c r="A2224" i="51" s="1"/>
  <c r="A2225" i="51" s="1"/>
  <c r="A2226" i="51" s="1"/>
  <c r="A2227" i="51" s="1"/>
  <c r="A2228" i="51" s="1"/>
  <c r="A2229" i="51" s="1"/>
  <c r="A2230" i="51" s="1"/>
  <c r="A2231" i="51" s="1"/>
  <c r="A2232" i="51" s="1"/>
  <c r="A2233" i="51" s="1"/>
  <c r="A2234" i="51" s="1"/>
  <c r="A2235" i="51" s="1"/>
  <c r="A2236" i="51" s="1"/>
  <c r="A2237" i="51" s="1"/>
  <c r="A2238" i="51" s="1"/>
  <c r="A2239" i="51" s="1"/>
  <c r="A2240" i="51" s="1"/>
  <c r="A2241" i="51" s="1"/>
  <c r="A2242" i="51" s="1"/>
  <c r="A2243" i="51" s="1"/>
  <c r="A2244" i="51" s="1"/>
  <c r="A2245" i="51" s="1"/>
  <c r="A2246" i="51" s="1"/>
  <c r="A2247" i="51" s="1"/>
  <c r="A2248" i="51" s="1"/>
  <c r="A2249" i="51" s="1"/>
  <c r="A2250" i="51" s="1"/>
  <c r="A2251" i="51" s="1"/>
  <c r="A2252" i="51" s="1"/>
  <c r="A2253" i="51" s="1"/>
  <c r="A2254" i="51" s="1"/>
  <c r="A2255" i="51" s="1"/>
  <c r="A2256" i="51" s="1"/>
  <c r="A2257" i="51" s="1"/>
  <c r="A2258" i="51" s="1"/>
  <c r="A2259" i="51" s="1"/>
  <c r="A2260" i="51" s="1"/>
  <c r="A2261" i="51" s="1"/>
  <c r="A2262" i="51" s="1"/>
  <c r="A2263" i="51" s="1"/>
  <c r="A2264" i="51" s="1"/>
  <c r="A2265" i="51" s="1"/>
  <c r="A2266" i="51" s="1"/>
  <c r="A2267" i="51" s="1"/>
  <c r="A2268" i="51" s="1"/>
  <c r="A2269" i="51" s="1"/>
  <c r="A2270" i="51" s="1"/>
  <c r="A2271" i="51" s="1"/>
  <c r="A2272" i="51" s="1"/>
  <c r="A2273" i="51" s="1"/>
  <c r="A2274" i="51" s="1"/>
  <c r="A2275" i="51" s="1"/>
  <c r="A2276" i="51" s="1"/>
  <c r="A2277" i="51" s="1"/>
  <c r="A2278" i="51" s="1"/>
  <c r="A2279" i="51" s="1"/>
  <c r="A2280" i="51" s="1"/>
  <c r="A2281" i="51" s="1"/>
  <c r="A2282" i="51" s="1"/>
  <c r="A2283" i="51" s="1"/>
  <c r="A2284" i="51" s="1"/>
  <c r="A2285" i="51" s="1"/>
  <c r="A2286" i="51" s="1"/>
  <c r="A2287" i="51" s="1"/>
  <c r="A2288" i="51" s="1"/>
  <c r="A2289" i="51" s="1"/>
  <c r="A2290" i="51" s="1"/>
  <c r="A2291" i="51" s="1"/>
  <c r="A2292" i="51" s="1"/>
  <c r="A2293" i="51" s="1"/>
  <c r="A2294" i="51" s="1"/>
  <c r="A2295" i="51" s="1"/>
  <c r="A2296" i="51" s="1"/>
  <c r="A2297" i="51" s="1"/>
  <c r="A2298" i="51" s="1"/>
  <c r="A2299" i="51" s="1"/>
  <c r="A2300" i="51" s="1"/>
  <c r="A2301" i="51" s="1"/>
  <c r="A2302" i="51" s="1"/>
  <c r="A2303" i="51" s="1"/>
  <c r="A2304" i="51" s="1"/>
  <c r="A2305" i="51" s="1"/>
  <c r="A2306" i="51" s="1"/>
  <c r="A2307" i="51" s="1"/>
  <c r="A2308" i="51" s="1"/>
  <c r="A2309" i="51" s="1"/>
  <c r="A2310" i="51" s="1"/>
  <c r="A2311" i="51" s="1"/>
  <c r="A2312" i="51" s="1"/>
  <c r="A2313" i="51" s="1"/>
  <c r="A2314" i="51" s="1"/>
  <c r="A2315" i="51" s="1"/>
  <c r="A2316" i="51" s="1"/>
  <c r="A2317" i="51" s="1"/>
  <c r="A2318" i="51" s="1"/>
  <c r="A2319" i="51" s="1"/>
  <c r="A2320" i="51" s="1"/>
  <c r="A2321" i="51" s="1"/>
  <c r="A2322" i="51" s="1"/>
  <c r="A2323" i="51" s="1"/>
  <c r="A2324" i="51" s="1"/>
  <c r="A2325" i="51" s="1"/>
  <c r="A2326" i="51" s="1"/>
  <c r="A2327" i="51" s="1"/>
  <c r="A2328" i="51" s="1"/>
  <c r="A2329" i="51" s="1"/>
  <c r="A2330" i="51" s="1"/>
  <c r="A2331" i="51" s="1"/>
  <c r="A2332" i="51" s="1"/>
  <c r="A2333" i="51" s="1"/>
  <c r="A2334" i="51" s="1"/>
  <c r="A2335" i="51" s="1"/>
  <c r="A2336" i="51" s="1"/>
  <c r="A2337" i="51" s="1"/>
  <c r="A2338" i="51" s="1"/>
  <c r="A2339" i="51" s="1"/>
  <c r="A2340" i="51" s="1"/>
  <c r="A2341" i="51" s="1"/>
  <c r="A2342" i="51" s="1"/>
  <c r="A2343" i="51" s="1"/>
  <c r="A2344" i="51" s="1"/>
  <c r="A2345" i="51" s="1"/>
  <c r="A2346" i="51" s="1"/>
  <c r="A2347" i="51" s="1"/>
  <c r="A2348" i="51" s="1"/>
  <c r="A2349" i="51" s="1"/>
  <c r="A2350" i="51" s="1"/>
  <c r="A2351" i="51" s="1"/>
  <c r="A2352" i="51" s="1"/>
  <c r="A2353" i="51" s="1"/>
  <c r="A2354" i="51" s="1"/>
  <c r="A2355" i="51" s="1"/>
  <c r="A2356" i="51" s="1"/>
  <c r="A2357" i="51" s="1"/>
  <c r="A2358" i="51" s="1"/>
  <c r="A2359" i="51" s="1"/>
  <c r="A2360" i="51" s="1"/>
  <c r="A2361" i="51" s="1"/>
  <c r="A2362" i="51" s="1"/>
  <c r="A2363" i="51" s="1"/>
  <c r="A2364" i="51" s="1"/>
  <c r="A2365" i="51" s="1"/>
  <c r="A2366" i="51" s="1"/>
  <c r="A2367" i="51" s="1"/>
  <c r="A2368" i="51" s="1"/>
  <c r="A2369" i="51" s="1"/>
  <c r="A2370" i="51" s="1"/>
  <c r="A2371" i="51" s="1"/>
  <c r="A2372" i="51" s="1"/>
  <c r="A2373" i="51" s="1"/>
  <c r="A2374" i="51" s="1"/>
  <c r="A2375" i="51" s="1"/>
  <c r="A2376" i="51" s="1"/>
  <c r="A2377" i="51" s="1"/>
  <c r="A2378" i="51" s="1"/>
  <c r="A2379" i="51" s="1"/>
  <c r="A2380" i="51" s="1"/>
  <c r="A2381" i="51" s="1"/>
  <c r="A2382" i="51" s="1"/>
  <c r="A2383" i="51" s="1"/>
  <c r="A2384" i="51" s="1"/>
  <c r="A2385" i="51" s="1"/>
  <c r="A2386" i="51" s="1"/>
  <c r="A2387" i="51" s="1"/>
  <c r="A2388" i="51" s="1"/>
  <c r="A2389" i="51" s="1"/>
  <c r="A2390" i="51" s="1"/>
  <c r="A2391" i="51" s="1"/>
  <c r="A2392" i="51" s="1"/>
  <c r="A2393" i="51" s="1"/>
  <c r="A2394" i="51" s="1"/>
  <c r="A2395" i="51" s="1"/>
  <c r="A2396" i="51" s="1"/>
  <c r="A2397" i="51" s="1"/>
  <c r="A2398" i="51" s="1"/>
  <c r="A2399" i="51" s="1"/>
  <c r="A2400" i="51" s="1"/>
  <c r="A2401" i="51" s="1"/>
  <c r="A2402" i="51" s="1"/>
  <c r="A2403" i="51" s="1"/>
  <c r="A2404" i="51" s="1"/>
  <c r="A2405" i="51" s="1"/>
  <c r="A2406" i="51" s="1"/>
  <c r="A2407" i="51" s="1"/>
  <c r="A2408" i="51" s="1"/>
  <c r="A2409" i="51" s="1"/>
  <c r="A2410" i="51" s="1"/>
  <c r="A2411" i="51" s="1"/>
  <c r="A2412" i="51" s="1"/>
  <c r="A2413" i="51" s="1"/>
  <c r="A2414" i="51" s="1"/>
  <c r="A2415" i="51" s="1"/>
  <c r="A2416" i="51" s="1"/>
  <c r="A2417" i="51" s="1"/>
  <c r="A2418" i="51" s="1"/>
  <c r="A2419" i="51" s="1"/>
  <c r="A2420" i="51" s="1"/>
  <c r="A2421" i="51" s="1"/>
  <c r="A2422" i="51" s="1"/>
  <c r="A2423" i="51" s="1"/>
  <c r="A2424" i="51" s="1"/>
  <c r="A2425" i="51" s="1"/>
  <c r="A2426" i="51" s="1"/>
  <c r="A2427" i="51" s="1"/>
  <c r="A2428" i="51" s="1"/>
  <c r="A2429" i="51" s="1"/>
  <c r="A2430" i="51" s="1"/>
  <c r="A2431" i="51" s="1"/>
  <c r="A2432" i="51" s="1"/>
  <c r="A2433" i="51" s="1"/>
  <c r="A2434" i="51" s="1"/>
  <c r="A2435" i="51" s="1"/>
  <c r="A2436" i="51" s="1"/>
  <c r="A2437" i="51" s="1"/>
  <c r="A2438" i="51" s="1"/>
  <c r="A2439" i="51" s="1"/>
  <c r="A2440" i="51" s="1"/>
  <c r="A2441" i="51" s="1"/>
  <c r="A2442" i="51" s="1"/>
  <c r="A2443" i="51" s="1"/>
  <c r="A2444" i="51" s="1"/>
  <c r="A2445" i="51" s="1"/>
  <c r="A2446" i="51" s="1"/>
  <c r="A2447" i="51" s="1"/>
  <c r="A2448" i="51" s="1"/>
  <c r="A2449" i="51" s="1"/>
  <c r="A2450" i="51" s="1"/>
  <c r="A2451" i="51" s="1"/>
  <c r="A2452" i="51" s="1"/>
  <c r="A2453" i="51" s="1"/>
  <c r="A2454" i="51" s="1"/>
  <c r="A2455" i="51" s="1"/>
  <c r="A2456" i="51" s="1"/>
  <c r="A2457" i="51" s="1"/>
  <c r="A2458" i="51" s="1"/>
  <c r="A2459" i="51" s="1"/>
  <c r="A2460" i="51" s="1"/>
  <c r="A2461" i="51" s="1"/>
  <c r="A2462" i="51" s="1"/>
  <c r="A2463" i="51" s="1"/>
  <c r="A2464" i="51" s="1"/>
  <c r="A2465" i="51" s="1"/>
  <c r="A2466" i="51" s="1"/>
  <c r="A2467" i="51" s="1"/>
  <c r="A2468" i="51" s="1"/>
  <c r="A2469" i="51" s="1"/>
  <c r="A2470" i="51" s="1"/>
  <c r="A2471" i="51" s="1"/>
  <c r="A2472" i="51" s="1"/>
  <c r="A2473" i="51" s="1"/>
  <c r="A2474" i="51" s="1"/>
  <c r="A2475" i="51" s="1"/>
  <c r="A2476" i="51" s="1"/>
  <c r="A2477" i="51" s="1"/>
  <c r="A2478" i="51" s="1"/>
  <c r="A2479" i="51" s="1"/>
  <c r="A2480" i="51" s="1"/>
  <c r="A2481" i="51" s="1"/>
  <c r="A2482" i="51" s="1"/>
  <c r="A2483" i="51" s="1"/>
  <c r="A2484" i="51" s="1"/>
  <c r="A2485" i="51" s="1"/>
  <c r="A2486" i="51" s="1"/>
  <c r="A2487" i="51" s="1"/>
  <c r="A2488" i="51" s="1"/>
  <c r="A2489" i="51" s="1"/>
  <c r="A2490" i="51" s="1"/>
  <c r="A2491" i="51" s="1"/>
  <c r="A2492" i="51" s="1"/>
  <c r="A2493" i="51" s="1"/>
  <c r="A2494" i="51" s="1"/>
  <c r="A2495" i="51" s="1"/>
  <c r="A2496" i="51" s="1"/>
  <c r="A2497" i="51" s="1"/>
  <c r="A2498" i="51" s="1"/>
  <c r="A2499" i="51" s="1"/>
  <c r="A2500" i="51" s="1"/>
  <c r="A2501" i="51" s="1"/>
  <c r="A2502" i="51" s="1"/>
  <c r="A2503" i="51" s="1"/>
  <c r="A2504" i="51" s="1"/>
  <c r="A2505" i="51" s="1"/>
  <c r="A2506" i="51" s="1"/>
  <c r="A2507" i="51" s="1"/>
  <c r="A2508" i="51" s="1"/>
  <c r="A2509" i="51" s="1"/>
  <c r="A2510" i="51" s="1"/>
  <c r="A2511" i="51" s="1"/>
  <c r="A2512" i="51" s="1"/>
  <c r="A2513" i="51" s="1"/>
  <c r="A2514" i="51" s="1"/>
  <c r="A2515" i="51" s="1"/>
  <c r="A2516" i="51" s="1"/>
  <c r="A2517" i="51" s="1"/>
  <c r="A2518" i="51" s="1"/>
  <c r="A2519" i="51" s="1"/>
  <c r="A2520" i="51" s="1"/>
  <c r="A2521" i="51" s="1"/>
  <c r="A2522" i="51" s="1"/>
  <c r="A2523" i="51" s="1"/>
  <c r="A2524" i="51" s="1"/>
  <c r="A2525" i="51" s="1"/>
  <c r="A2526" i="51" s="1"/>
  <c r="A2527" i="51" s="1"/>
  <c r="A2528" i="51" s="1"/>
  <c r="A2529" i="51" s="1"/>
  <c r="A2530" i="51" s="1"/>
  <c r="A2531" i="51" s="1"/>
  <c r="A2532" i="51" s="1"/>
  <c r="A2533" i="51" s="1"/>
  <c r="A2534" i="51" s="1"/>
  <c r="A2535" i="51" s="1"/>
  <c r="A2536" i="51" s="1"/>
  <c r="A2537" i="51" s="1"/>
  <c r="A2538" i="51" s="1"/>
  <c r="A2539" i="51" s="1"/>
  <c r="A2540" i="51" s="1"/>
  <c r="A2541" i="51" s="1"/>
  <c r="A2542" i="51" s="1"/>
  <c r="A2543" i="51" s="1"/>
  <c r="A2544" i="51" s="1"/>
  <c r="A2545" i="51" s="1"/>
  <c r="A2546" i="51" s="1"/>
  <c r="A2547" i="51" s="1"/>
  <c r="A2548" i="51" s="1"/>
  <c r="A2549" i="51" s="1"/>
  <c r="A2550" i="51" s="1"/>
  <c r="A2551" i="51" s="1"/>
  <c r="A2552" i="51" s="1"/>
  <c r="A2553" i="51" s="1"/>
  <c r="A2554" i="51" s="1"/>
  <c r="A2555" i="51" s="1"/>
  <c r="A2556" i="51" s="1"/>
  <c r="A2557" i="51" s="1"/>
  <c r="A2558" i="51" s="1"/>
  <c r="A2559" i="51" s="1"/>
  <c r="A2560" i="51" s="1"/>
  <c r="A2561" i="51" s="1"/>
  <c r="A2562" i="51" s="1"/>
  <c r="A2563" i="51" s="1"/>
  <c r="A2564" i="51" s="1"/>
  <c r="A2565" i="51" s="1"/>
  <c r="A2566" i="51" s="1"/>
  <c r="A6" i="51"/>
  <c r="F61" i="165"/>
  <c r="L22" i="112"/>
  <c r="L21" i="112"/>
  <c r="L20" i="112"/>
  <c r="L23" i="112" s="1"/>
  <c r="K22" i="112"/>
  <c r="K21" i="112"/>
  <c r="K20" i="112"/>
  <c r="E17" i="165"/>
  <c r="H17" i="165"/>
  <c r="H41" i="165"/>
  <c r="H48" i="165"/>
  <c r="E48" i="165"/>
  <c r="D61" i="165"/>
  <c r="E61" i="165"/>
  <c r="F60" i="165"/>
  <c r="F59" i="165"/>
  <c r="F58" i="165"/>
  <c r="F57" i="165"/>
  <c r="F56" i="165"/>
  <c r="F55" i="165"/>
  <c r="F54" i="165"/>
  <c r="F53" i="165"/>
  <c r="F52" i="165"/>
  <c r="F51" i="165"/>
  <c r="M23" i="112"/>
  <c r="J23" i="112"/>
  <c r="I23" i="112"/>
  <c r="H23" i="112"/>
  <c r="G23" i="112"/>
  <c r="F23" i="112"/>
  <c r="E23" i="112"/>
  <c r="D23" i="112"/>
  <c r="C64" i="142"/>
  <c r="C487" i="141"/>
  <c r="C82" i="149"/>
  <c r="D82" i="149"/>
  <c r="E81" i="149"/>
  <c r="E80" i="149"/>
  <c r="E79" i="149"/>
  <c r="E78" i="149"/>
  <c r="E77" i="149"/>
  <c r="E76" i="149"/>
  <c r="E75" i="149"/>
  <c r="E74" i="149"/>
  <c r="E73" i="149"/>
  <c r="E72" i="149"/>
  <c r="E71" i="149"/>
  <c r="E70" i="149"/>
  <c r="E69" i="149"/>
  <c r="E68" i="149"/>
  <c r="E67" i="149"/>
  <c r="E66" i="149"/>
  <c r="E65" i="149"/>
  <c r="E64" i="149"/>
  <c r="E63" i="149"/>
  <c r="E62" i="149"/>
  <c r="E61" i="149"/>
  <c r="E60" i="149"/>
  <c r="E59" i="149"/>
  <c r="E58" i="149"/>
  <c r="E57" i="149"/>
  <c r="E56" i="149"/>
  <c r="E55" i="149"/>
  <c r="E54" i="149"/>
  <c r="E53" i="149"/>
  <c r="E52" i="149"/>
  <c r="E51" i="149"/>
  <c r="E50" i="149"/>
  <c r="E49" i="149"/>
  <c r="E48" i="149"/>
  <c r="E47" i="149"/>
  <c r="E46" i="149"/>
  <c r="E45" i="149"/>
  <c r="E44" i="149"/>
  <c r="E43" i="149"/>
  <c r="E42" i="149"/>
  <c r="E41" i="149"/>
  <c r="E40" i="149"/>
  <c r="E39" i="149"/>
  <c r="E38" i="149"/>
  <c r="E37" i="149"/>
  <c r="E36" i="149"/>
  <c r="E35" i="149"/>
  <c r="E34" i="149"/>
  <c r="E33" i="149"/>
  <c r="E32" i="149"/>
  <c r="E31" i="149"/>
  <c r="E30" i="149"/>
  <c r="E29" i="149"/>
  <c r="E28" i="149"/>
  <c r="E27" i="149"/>
  <c r="E26" i="149"/>
  <c r="E25" i="149"/>
  <c r="E24" i="149"/>
  <c r="E23" i="149"/>
  <c r="E22" i="149"/>
  <c r="E21" i="149"/>
  <c r="E20" i="149"/>
  <c r="E19" i="149"/>
  <c r="E18" i="149"/>
  <c r="E17" i="149"/>
  <c r="E16" i="149"/>
  <c r="E15" i="149"/>
  <c r="E14" i="149"/>
  <c r="E13" i="149"/>
  <c r="E12" i="149"/>
  <c r="E11" i="149"/>
  <c r="E10" i="149"/>
  <c r="E9" i="149"/>
  <c r="E8" i="149"/>
  <c r="E7" i="149"/>
  <c r="E6" i="149"/>
  <c r="E5" i="149"/>
  <c r="N98" i="159"/>
  <c r="M98" i="159"/>
  <c r="L98" i="159"/>
  <c r="K98" i="159"/>
  <c r="J98" i="159"/>
  <c r="N97" i="159"/>
  <c r="M97" i="159"/>
  <c r="L97" i="159"/>
  <c r="K97" i="159"/>
  <c r="J97" i="159"/>
  <c r="N96" i="159"/>
  <c r="M96" i="159"/>
  <c r="L96" i="159"/>
  <c r="K96" i="159"/>
  <c r="J96" i="159"/>
  <c r="N95" i="159"/>
  <c r="M95" i="159"/>
  <c r="L95" i="159"/>
  <c r="K95" i="159"/>
  <c r="J95" i="159"/>
  <c r="N94" i="159"/>
  <c r="M94" i="159"/>
  <c r="L94" i="159"/>
  <c r="K94" i="159"/>
  <c r="J94" i="159"/>
  <c r="N93" i="159"/>
  <c r="M93" i="159"/>
  <c r="L93" i="159"/>
  <c r="K93" i="159"/>
  <c r="J93" i="159"/>
  <c r="N92" i="159"/>
  <c r="M92" i="159"/>
  <c r="L92" i="159"/>
  <c r="K92" i="159"/>
  <c r="J92" i="159"/>
  <c r="N91" i="159"/>
  <c r="M91" i="159"/>
  <c r="L91" i="159"/>
  <c r="K91" i="159"/>
  <c r="J91" i="159"/>
  <c r="N90" i="159"/>
  <c r="M90" i="159"/>
  <c r="L90" i="159"/>
  <c r="K90" i="159"/>
  <c r="J90" i="159"/>
  <c r="N89" i="159"/>
  <c r="M89" i="159"/>
  <c r="L89" i="159"/>
  <c r="K89" i="159"/>
  <c r="J89" i="159"/>
  <c r="N88" i="159"/>
  <c r="M88" i="159"/>
  <c r="L88" i="159"/>
  <c r="K88" i="159"/>
  <c r="J88" i="159"/>
  <c r="N87" i="159"/>
  <c r="M87" i="159"/>
  <c r="L87" i="159"/>
  <c r="K87" i="159"/>
  <c r="J87" i="159"/>
  <c r="N86" i="159"/>
  <c r="M86" i="159"/>
  <c r="L86" i="159"/>
  <c r="K86" i="159"/>
  <c r="J86" i="159"/>
  <c r="N85" i="159"/>
  <c r="M85" i="159"/>
  <c r="L85" i="159"/>
  <c r="K85" i="159"/>
  <c r="J85" i="159"/>
  <c r="N84" i="159"/>
  <c r="M84" i="159"/>
  <c r="L84" i="159"/>
  <c r="K84" i="159"/>
  <c r="J84" i="159"/>
  <c r="N83" i="159"/>
  <c r="M83" i="159"/>
  <c r="L83" i="159"/>
  <c r="K83" i="159"/>
  <c r="J83" i="159"/>
  <c r="N82" i="159"/>
  <c r="M82" i="159"/>
  <c r="L82" i="159"/>
  <c r="K82" i="159"/>
  <c r="J82" i="159"/>
  <c r="N81" i="159"/>
  <c r="M81" i="159"/>
  <c r="L81" i="159"/>
  <c r="K81" i="159"/>
  <c r="J81" i="159"/>
  <c r="N80" i="159"/>
  <c r="M80" i="159"/>
  <c r="L80" i="159"/>
  <c r="K80" i="159"/>
  <c r="J80" i="159"/>
  <c r="N79" i="159"/>
  <c r="M79" i="159"/>
  <c r="L79" i="159"/>
  <c r="K79" i="159"/>
  <c r="J79" i="159"/>
  <c r="N78" i="159"/>
  <c r="M78" i="159"/>
  <c r="L78" i="159"/>
  <c r="K78" i="159"/>
  <c r="J78" i="159"/>
  <c r="N77" i="159"/>
  <c r="M77" i="159"/>
  <c r="L77" i="159"/>
  <c r="K77" i="159"/>
  <c r="J77" i="159"/>
  <c r="N76" i="159"/>
  <c r="M76" i="159"/>
  <c r="L76" i="159"/>
  <c r="K76" i="159"/>
  <c r="J76" i="159"/>
  <c r="N75" i="159"/>
  <c r="M75" i="159"/>
  <c r="L75" i="159"/>
  <c r="K75" i="159"/>
  <c r="J75" i="159"/>
  <c r="N74" i="159"/>
  <c r="M74" i="159"/>
  <c r="L74" i="159"/>
  <c r="K74" i="159"/>
  <c r="J74" i="159"/>
  <c r="N73" i="159"/>
  <c r="M73" i="159"/>
  <c r="L73" i="159"/>
  <c r="K73" i="159"/>
  <c r="J73" i="159"/>
  <c r="N72" i="159"/>
  <c r="M72" i="159"/>
  <c r="L72" i="159"/>
  <c r="K72" i="159"/>
  <c r="J72" i="159"/>
  <c r="N71" i="159"/>
  <c r="M71" i="159"/>
  <c r="L71" i="159"/>
  <c r="K71" i="159"/>
  <c r="J71" i="159"/>
  <c r="N70" i="159"/>
  <c r="M70" i="159"/>
  <c r="L70" i="159"/>
  <c r="K70" i="159"/>
  <c r="J70" i="159"/>
  <c r="N69" i="159"/>
  <c r="M69" i="159"/>
  <c r="L69" i="159"/>
  <c r="K69" i="159"/>
  <c r="J69" i="159"/>
  <c r="N68" i="159"/>
  <c r="M68" i="159"/>
  <c r="L68" i="159"/>
  <c r="K68" i="159"/>
  <c r="J68" i="159"/>
  <c r="N67" i="159"/>
  <c r="M67" i="159"/>
  <c r="L67" i="159"/>
  <c r="K67" i="159"/>
  <c r="J67" i="159"/>
  <c r="N66" i="159"/>
  <c r="M66" i="159"/>
  <c r="L66" i="159"/>
  <c r="K66" i="159"/>
  <c r="J66" i="159"/>
  <c r="N65" i="159"/>
  <c r="M65" i="159"/>
  <c r="L65" i="159"/>
  <c r="K65" i="159"/>
  <c r="J65" i="159"/>
  <c r="N64" i="159"/>
  <c r="M64" i="159"/>
  <c r="L64" i="159"/>
  <c r="K64" i="159"/>
  <c r="J64" i="159"/>
  <c r="N63" i="159"/>
  <c r="M63" i="159"/>
  <c r="L63" i="159"/>
  <c r="K63" i="159"/>
  <c r="J63" i="159"/>
  <c r="N62" i="159"/>
  <c r="M62" i="159"/>
  <c r="L62" i="159"/>
  <c r="K62" i="159"/>
  <c r="J62" i="159"/>
  <c r="N61" i="159"/>
  <c r="M61" i="159"/>
  <c r="L61" i="159"/>
  <c r="K61" i="159"/>
  <c r="J61" i="159"/>
  <c r="N60" i="159"/>
  <c r="M60" i="159"/>
  <c r="L60" i="159"/>
  <c r="K60" i="159"/>
  <c r="J60" i="159"/>
  <c r="N59" i="159"/>
  <c r="M59" i="159"/>
  <c r="L59" i="159"/>
  <c r="K59" i="159"/>
  <c r="J59" i="159"/>
  <c r="N58" i="159"/>
  <c r="M58" i="159"/>
  <c r="L58" i="159"/>
  <c r="K58" i="159"/>
  <c r="J58" i="159"/>
  <c r="N57" i="159"/>
  <c r="M57" i="159"/>
  <c r="L57" i="159"/>
  <c r="K57" i="159"/>
  <c r="J57" i="159"/>
  <c r="N56" i="159"/>
  <c r="M56" i="159"/>
  <c r="L56" i="159"/>
  <c r="K56" i="159"/>
  <c r="J56" i="159"/>
  <c r="N55" i="159"/>
  <c r="M55" i="159"/>
  <c r="L55" i="159"/>
  <c r="K55" i="159"/>
  <c r="J55" i="159"/>
  <c r="N54" i="159"/>
  <c r="M54" i="159"/>
  <c r="L54" i="159"/>
  <c r="K54" i="159"/>
  <c r="J54" i="159"/>
  <c r="N53" i="159"/>
  <c r="M53" i="159"/>
  <c r="L53" i="159"/>
  <c r="K53" i="159"/>
  <c r="J53" i="159"/>
  <c r="N52" i="159"/>
  <c r="M52" i="159"/>
  <c r="L52" i="159"/>
  <c r="K52" i="159"/>
  <c r="J52" i="159"/>
  <c r="N51" i="159"/>
  <c r="M51" i="159"/>
  <c r="L51" i="159"/>
  <c r="K51" i="159"/>
  <c r="J51" i="159"/>
  <c r="N50" i="159"/>
  <c r="M50" i="159"/>
  <c r="L50" i="159"/>
  <c r="K50" i="159"/>
  <c r="J50" i="159"/>
  <c r="N49" i="159"/>
  <c r="M49" i="159"/>
  <c r="L49" i="159"/>
  <c r="K49" i="159"/>
  <c r="J49" i="159"/>
  <c r="N48" i="159"/>
  <c r="M48" i="159"/>
  <c r="L48" i="159"/>
  <c r="K48" i="159"/>
  <c r="J48" i="159"/>
  <c r="N47" i="159"/>
  <c r="M47" i="159"/>
  <c r="L47" i="159"/>
  <c r="K47" i="159"/>
  <c r="J47" i="159"/>
  <c r="N46" i="159"/>
  <c r="M46" i="159"/>
  <c r="L46" i="159"/>
  <c r="K46" i="159"/>
  <c r="J46" i="159"/>
  <c r="N45" i="159"/>
  <c r="M45" i="159"/>
  <c r="L45" i="159"/>
  <c r="K45" i="159"/>
  <c r="J45" i="159"/>
  <c r="N44" i="159"/>
  <c r="M44" i="159"/>
  <c r="L44" i="159"/>
  <c r="K44" i="159"/>
  <c r="J44" i="159"/>
  <c r="N43" i="159"/>
  <c r="M43" i="159"/>
  <c r="L43" i="159"/>
  <c r="K43" i="159"/>
  <c r="J43" i="159"/>
  <c r="N42" i="159"/>
  <c r="M42" i="159"/>
  <c r="L42" i="159"/>
  <c r="K42" i="159"/>
  <c r="J42" i="159"/>
  <c r="N41" i="159"/>
  <c r="M41" i="159"/>
  <c r="L41" i="159"/>
  <c r="K41" i="159"/>
  <c r="J41" i="159"/>
  <c r="N40" i="159"/>
  <c r="M40" i="159"/>
  <c r="L40" i="159"/>
  <c r="K40" i="159"/>
  <c r="J40" i="159"/>
  <c r="N39" i="159"/>
  <c r="M39" i="159"/>
  <c r="L39" i="159"/>
  <c r="K39" i="159"/>
  <c r="J39" i="159"/>
  <c r="N38" i="159"/>
  <c r="M38" i="159"/>
  <c r="L38" i="159"/>
  <c r="K38" i="159"/>
  <c r="J38" i="159"/>
  <c r="N37" i="159"/>
  <c r="M37" i="159"/>
  <c r="L37" i="159"/>
  <c r="K37" i="159"/>
  <c r="J37" i="159"/>
  <c r="N36" i="159"/>
  <c r="M36" i="159"/>
  <c r="L36" i="159"/>
  <c r="K36" i="159"/>
  <c r="J36" i="159"/>
  <c r="N35" i="159"/>
  <c r="M35" i="159"/>
  <c r="L35" i="159"/>
  <c r="K35" i="159"/>
  <c r="J35" i="159"/>
  <c r="N34" i="159"/>
  <c r="M34" i="159"/>
  <c r="L34" i="159"/>
  <c r="K34" i="159"/>
  <c r="J34" i="159"/>
  <c r="N33" i="159"/>
  <c r="M33" i="159"/>
  <c r="L33" i="159"/>
  <c r="K33" i="159"/>
  <c r="J33" i="159"/>
  <c r="N32" i="159"/>
  <c r="M32" i="159"/>
  <c r="L32" i="159"/>
  <c r="K32" i="159"/>
  <c r="J32" i="159"/>
  <c r="N31" i="159"/>
  <c r="M31" i="159"/>
  <c r="L31" i="159"/>
  <c r="K31" i="159"/>
  <c r="J31" i="159"/>
  <c r="N30" i="159"/>
  <c r="M30" i="159"/>
  <c r="L30" i="159"/>
  <c r="K30" i="159"/>
  <c r="J30" i="159"/>
  <c r="N29" i="159"/>
  <c r="M29" i="159"/>
  <c r="L29" i="159"/>
  <c r="K29" i="159"/>
  <c r="J29" i="159"/>
  <c r="N28" i="159"/>
  <c r="M28" i="159"/>
  <c r="L28" i="159"/>
  <c r="K28" i="159"/>
  <c r="J28" i="159"/>
  <c r="N27" i="159"/>
  <c r="M27" i="159"/>
  <c r="L27" i="159"/>
  <c r="K27" i="159"/>
  <c r="J27" i="159"/>
  <c r="N26" i="159"/>
  <c r="M26" i="159"/>
  <c r="L26" i="159"/>
  <c r="K26" i="159"/>
  <c r="J26" i="159"/>
  <c r="N25" i="159"/>
  <c r="M25" i="159"/>
  <c r="L25" i="159"/>
  <c r="K25" i="159"/>
  <c r="J25" i="159"/>
  <c r="N24" i="159"/>
  <c r="M24" i="159"/>
  <c r="L24" i="159"/>
  <c r="K24" i="159"/>
  <c r="J24" i="159"/>
  <c r="N23" i="159"/>
  <c r="M23" i="159"/>
  <c r="L23" i="159"/>
  <c r="K23" i="159"/>
  <c r="J23" i="159"/>
  <c r="N22" i="159"/>
  <c r="M22" i="159"/>
  <c r="L22" i="159"/>
  <c r="K22" i="159"/>
  <c r="J22" i="159"/>
  <c r="N21" i="159"/>
  <c r="M21" i="159"/>
  <c r="L21" i="159"/>
  <c r="K21" i="159"/>
  <c r="J21" i="159"/>
  <c r="N20" i="159"/>
  <c r="M20" i="159"/>
  <c r="L20" i="159"/>
  <c r="K20" i="159"/>
  <c r="J20" i="159"/>
  <c r="N19" i="159"/>
  <c r="M19" i="159"/>
  <c r="L19" i="159"/>
  <c r="K19" i="159"/>
  <c r="J19" i="159"/>
  <c r="N18" i="159"/>
  <c r="M18" i="159"/>
  <c r="L18" i="159"/>
  <c r="K18" i="159"/>
  <c r="J18" i="159"/>
  <c r="N17" i="159"/>
  <c r="M17" i="159"/>
  <c r="L17" i="159"/>
  <c r="K17" i="159"/>
  <c r="J17" i="159"/>
  <c r="N16" i="159"/>
  <c r="M16" i="159"/>
  <c r="L16" i="159"/>
  <c r="K16" i="159"/>
  <c r="J16" i="159"/>
  <c r="N15" i="159"/>
  <c r="M15" i="159"/>
  <c r="L15" i="159"/>
  <c r="K15" i="159"/>
  <c r="J15" i="159"/>
  <c r="N14" i="159"/>
  <c r="M14" i="159"/>
  <c r="L14" i="159"/>
  <c r="K14" i="159"/>
  <c r="J14" i="159"/>
  <c r="N13" i="159"/>
  <c r="M13" i="159"/>
  <c r="L13" i="159"/>
  <c r="K13" i="159"/>
  <c r="J13" i="159"/>
  <c r="N12" i="159"/>
  <c r="M12" i="159"/>
  <c r="L12" i="159"/>
  <c r="K12" i="159"/>
  <c r="J12" i="159"/>
  <c r="N11" i="159"/>
  <c r="M11" i="159"/>
  <c r="L11" i="159"/>
  <c r="K11" i="159"/>
  <c r="J11" i="159"/>
  <c r="N10" i="159"/>
  <c r="M10" i="159"/>
  <c r="L10" i="159"/>
  <c r="K10" i="159"/>
  <c r="J10" i="159"/>
  <c r="N9" i="159"/>
  <c r="M9" i="159"/>
  <c r="L9" i="159"/>
  <c r="K9" i="159"/>
  <c r="J9" i="159"/>
  <c r="N8" i="159"/>
  <c r="M8" i="159"/>
  <c r="L8" i="159"/>
  <c r="K8" i="159"/>
  <c r="J8" i="159"/>
  <c r="N7" i="159"/>
  <c r="M7" i="159"/>
  <c r="L7" i="159"/>
  <c r="K7" i="159"/>
  <c r="J7" i="159"/>
  <c r="N6" i="159"/>
  <c r="M6" i="159"/>
  <c r="L6" i="159"/>
  <c r="K6" i="159"/>
  <c r="J6" i="159"/>
  <c r="N5" i="159"/>
  <c r="G100" i="159"/>
  <c r="F100" i="159"/>
  <c r="E100" i="159"/>
  <c r="D100" i="159"/>
  <c r="C100" i="159"/>
  <c r="H99" i="159"/>
  <c r="N99" i="159" s="1"/>
  <c r="H98" i="159"/>
  <c r="H97" i="159"/>
  <c r="H96" i="159"/>
  <c r="H95" i="159"/>
  <c r="H94" i="159"/>
  <c r="H93" i="159"/>
  <c r="H92" i="159"/>
  <c r="H91" i="159"/>
  <c r="H90" i="159"/>
  <c r="H89" i="159"/>
  <c r="H88" i="159"/>
  <c r="H87" i="159"/>
  <c r="H86" i="159"/>
  <c r="H85" i="159"/>
  <c r="H84" i="159"/>
  <c r="H83" i="159"/>
  <c r="H82" i="159"/>
  <c r="H81" i="159"/>
  <c r="H80" i="159"/>
  <c r="H79" i="159"/>
  <c r="H78" i="159"/>
  <c r="H77" i="159"/>
  <c r="H76" i="159"/>
  <c r="H75" i="159"/>
  <c r="H74" i="159"/>
  <c r="H73" i="159"/>
  <c r="H72" i="159"/>
  <c r="H71" i="159"/>
  <c r="H70" i="159"/>
  <c r="H69" i="159"/>
  <c r="H68" i="159"/>
  <c r="H67" i="159"/>
  <c r="H66" i="159"/>
  <c r="H65" i="159"/>
  <c r="H64" i="159"/>
  <c r="H63" i="159"/>
  <c r="H62" i="159"/>
  <c r="H61" i="159"/>
  <c r="H60" i="159"/>
  <c r="H59" i="159"/>
  <c r="H58" i="159"/>
  <c r="H57" i="159"/>
  <c r="H56" i="159"/>
  <c r="H55" i="159"/>
  <c r="H54" i="159"/>
  <c r="H53" i="159"/>
  <c r="H52" i="159"/>
  <c r="H51" i="159"/>
  <c r="H50" i="159"/>
  <c r="H49" i="159"/>
  <c r="H48" i="159"/>
  <c r="H47" i="159"/>
  <c r="H46" i="159"/>
  <c r="H45" i="159"/>
  <c r="H44" i="159"/>
  <c r="H43" i="159"/>
  <c r="H42" i="159"/>
  <c r="H41" i="159"/>
  <c r="H40" i="159"/>
  <c r="H39" i="159"/>
  <c r="H38" i="159"/>
  <c r="H37" i="159"/>
  <c r="H36" i="159"/>
  <c r="H35" i="159"/>
  <c r="H34" i="159"/>
  <c r="H33" i="159"/>
  <c r="H32" i="159"/>
  <c r="H31" i="159"/>
  <c r="H30" i="159"/>
  <c r="H29" i="159"/>
  <c r="H28" i="159"/>
  <c r="H27" i="159"/>
  <c r="H26" i="159"/>
  <c r="H25" i="159"/>
  <c r="H24" i="159"/>
  <c r="H23" i="159"/>
  <c r="H22" i="159"/>
  <c r="H21" i="159"/>
  <c r="H20" i="159"/>
  <c r="H19" i="159"/>
  <c r="H18" i="159"/>
  <c r="H17" i="159"/>
  <c r="H16" i="159"/>
  <c r="H15" i="159"/>
  <c r="H14" i="159"/>
  <c r="H13" i="159"/>
  <c r="H12" i="159"/>
  <c r="H11" i="159"/>
  <c r="H10" i="159"/>
  <c r="H9" i="159"/>
  <c r="H8" i="159"/>
  <c r="H7" i="159"/>
  <c r="H6" i="159"/>
  <c r="H5" i="159"/>
  <c r="P76" i="153"/>
  <c r="F10" i="153" s="1"/>
  <c r="A36" i="153"/>
  <c r="A37" i="153" s="1"/>
  <c r="A38" i="153" s="1"/>
  <c r="A39" i="153" s="1"/>
  <c r="A40" i="153" s="1"/>
  <c r="A41" i="153" s="1"/>
  <c r="A42" i="153" s="1"/>
  <c r="A43" i="153" s="1"/>
  <c r="A44" i="153" s="1"/>
  <c r="A45" i="153" s="1"/>
  <c r="A46" i="153" s="1"/>
  <c r="A47" i="153" s="1"/>
  <c r="A48" i="153" s="1"/>
  <c r="A49" i="153" s="1"/>
  <c r="A50" i="153" s="1"/>
  <c r="A51" i="153" s="1"/>
  <c r="A52" i="153" s="1"/>
  <c r="A53" i="153" s="1"/>
  <c r="A54" i="153" s="1"/>
  <c r="A55" i="153" s="1"/>
  <c r="A56" i="153" s="1"/>
  <c r="A57" i="153" s="1"/>
  <c r="A58" i="153" s="1"/>
  <c r="A59" i="153" s="1"/>
  <c r="A60" i="153" s="1"/>
  <c r="A61" i="153" s="1"/>
  <c r="A62" i="153" s="1"/>
  <c r="A63" i="153" s="1"/>
  <c r="A64" i="153" s="1"/>
  <c r="A65" i="153" s="1"/>
  <c r="A66" i="153" s="1"/>
  <c r="A67" i="153" s="1"/>
  <c r="A68" i="153" s="1"/>
  <c r="A69" i="153" s="1"/>
  <c r="A70" i="153" s="1"/>
  <c r="A71" i="153" s="1"/>
  <c r="A72" i="153" s="1"/>
  <c r="A73" i="153" s="1"/>
  <c r="A74" i="153" s="1"/>
  <c r="A75" i="153" s="1"/>
  <c r="E10" i="153"/>
  <c r="D10" i="153"/>
  <c r="C10" i="153"/>
  <c r="M9" i="153"/>
  <c r="L9" i="153"/>
  <c r="F9" i="153"/>
  <c r="E9" i="153"/>
  <c r="D9" i="153"/>
  <c r="C9" i="153"/>
  <c r="N8" i="153"/>
  <c r="N9" i="153" s="1"/>
  <c r="E8" i="153"/>
  <c r="D8" i="153"/>
  <c r="D11" i="153" s="1"/>
  <c r="C8" i="153"/>
  <c r="C11" i="153" s="1"/>
  <c r="N7" i="153"/>
  <c r="B95" i="112"/>
  <c r="B96" i="112" s="1"/>
  <c r="B97" i="112" s="1"/>
  <c r="B98" i="112" s="1"/>
  <c r="B99" i="112" s="1"/>
  <c r="B100" i="112" s="1"/>
  <c r="B101" i="112" s="1"/>
  <c r="B102" i="112" s="1"/>
  <c r="B103" i="112" s="1"/>
  <c r="B104" i="112" s="1"/>
  <c r="B105" i="112" s="1"/>
  <c r="B106" i="112" s="1"/>
  <c r="B107" i="112" s="1"/>
  <c r="B108" i="112" s="1"/>
  <c r="B109" i="112" s="1"/>
  <c r="B110" i="112" s="1"/>
  <c r="B111" i="112" s="1"/>
  <c r="B112" i="112" s="1"/>
  <c r="B113" i="112" s="1"/>
  <c r="B114" i="112" s="1"/>
  <c r="B115" i="112" s="1"/>
  <c r="B116" i="112" s="1"/>
  <c r="B117" i="112" s="1"/>
  <c r="B118" i="112" s="1"/>
  <c r="B119" i="112" s="1"/>
  <c r="B120" i="112" s="1"/>
  <c r="B121" i="112" s="1"/>
  <c r="B122" i="112" s="1"/>
  <c r="B123" i="112" s="1"/>
  <c r="B124" i="112" s="1"/>
  <c r="B125" i="112" s="1"/>
  <c r="B126" i="112" s="1"/>
  <c r="B127" i="112" s="1"/>
  <c r="B128" i="112" s="1"/>
  <c r="B129" i="112" s="1"/>
  <c r="B130" i="112" s="1"/>
  <c r="B131" i="112" s="1"/>
  <c r="B132" i="112" s="1"/>
  <c r="B133" i="112" s="1"/>
  <c r="B134" i="112" s="1"/>
  <c r="B135" i="112" s="1"/>
  <c r="B136" i="112" s="1"/>
  <c r="B137" i="112" s="1"/>
  <c r="B138" i="112" s="1"/>
  <c r="B139" i="112" s="1"/>
  <c r="B55" i="112"/>
  <c r="B56" i="112" s="1"/>
  <c r="B57" i="112" s="1"/>
  <c r="B58" i="112" s="1"/>
  <c r="B59" i="112" s="1"/>
  <c r="B60" i="112" s="1"/>
  <c r="B61" i="112" s="1"/>
  <c r="B62" i="112" s="1"/>
  <c r="B63" i="112" s="1"/>
  <c r="B64" i="112" s="1"/>
  <c r="B65" i="112" s="1"/>
  <c r="B66" i="112" s="1"/>
  <c r="B67" i="112" s="1"/>
  <c r="B68" i="112" s="1"/>
  <c r="B69" i="112" s="1"/>
  <c r="B70" i="112" s="1"/>
  <c r="B71" i="112" s="1"/>
  <c r="B72" i="112" s="1"/>
  <c r="B73" i="112" s="1"/>
  <c r="B74" i="112" s="1"/>
  <c r="B75" i="112" s="1"/>
  <c r="B76" i="112" s="1"/>
  <c r="B77" i="112" s="1"/>
  <c r="B78" i="112" s="1"/>
  <c r="B79" i="112" s="1"/>
  <c r="B80" i="112" s="1"/>
  <c r="B81" i="112" s="1"/>
  <c r="B82" i="112" s="1"/>
  <c r="B83" i="112" s="1"/>
  <c r="B84" i="112" s="1"/>
  <c r="B85" i="112" s="1"/>
  <c r="B86" i="112" s="1"/>
  <c r="B87" i="112" s="1"/>
  <c r="B88" i="112" s="1"/>
  <c r="B89" i="112" s="1"/>
  <c r="B90" i="112" s="1"/>
  <c r="B91" i="112" s="1"/>
  <c r="B92" i="112" s="1"/>
  <c r="B46" i="112"/>
  <c r="B47" i="112" s="1"/>
  <c r="B48" i="112" s="1"/>
  <c r="B49" i="112" s="1"/>
  <c r="B50" i="112" s="1"/>
  <c r="B51" i="112" s="1"/>
  <c r="B52" i="112" s="1"/>
  <c r="J8" i="112"/>
  <c r="I8" i="112"/>
  <c r="H8" i="112"/>
  <c r="G8" i="112"/>
  <c r="F8" i="112"/>
  <c r="E8" i="112"/>
  <c r="K7" i="112"/>
  <c r="K6" i="112"/>
  <c r="G47" i="165"/>
  <c r="I47" i="165" s="1"/>
  <c r="F46" i="165"/>
  <c r="G46" i="165" s="1"/>
  <c r="I46" i="165" s="1"/>
  <c r="F45" i="165"/>
  <c r="G45" i="165" s="1"/>
  <c r="I45" i="165" s="1"/>
  <c r="E41" i="165"/>
  <c r="F40" i="165"/>
  <c r="G40" i="165" s="1"/>
  <c r="I40" i="165" s="1"/>
  <c r="F39" i="165"/>
  <c r="G39" i="165" s="1"/>
  <c r="I39" i="165" s="1"/>
  <c r="F38" i="165"/>
  <c r="G38" i="165" s="1"/>
  <c r="I38" i="165" s="1"/>
  <c r="F37" i="165"/>
  <c r="G37" i="165" s="1"/>
  <c r="I37" i="165" s="1"/>
  <c r="F36" i="165"/>
  <c r="G36" i="165" s="1"/>
  <c r="I36" i="165" s="1"/>
  <c r="F35" i="165"/>
  <c r="G35" i="165" s="1"/>
  <c r="I35" i="165" s="1"/>
  <c r="F34" i="165"/>
  <c r="G34" i="165" s="1"/>
  <c r="I34" i="165" s="1"/>
  <c r="F33" i="165"/>
  <c r="G33" i="165" s="1"/>
  <c r="I33" i="165" s="1"/>
  <c r="F32" i="165"/>
  <c r="G32" i="165" s="1"/>
  <c r="I32" i="165" s="1"/>
  <c r="G31" i="165"/>
  <c r="I31" i="165" s="1"/>
  <c r="F30" i="165"/>
  <c r="G30" i="165" s="1"/>
  <c r="I30" i="165" s="1"/>
  <c r="F29" i="165"/>
  <c r="G29" i="165" s="1"/>
  <c r="I29" i="165" s="1"/>
  <c r="F28" i="165"/>
  <c r="G28" i="165" s="1"/>
  <c r="I28" i="165" s="1"/>
  <c r="G27" i="165"/>
  <c r="I27" i="165" s="1"/>
  <c r="G26" i="165"/>
  <c r="I26" i="165" s="1"/>
  <c r="F25" i="165"/>
  <c r="G25" i="165" s="1"/>
  <c r="I25" i="165" s="1"/>
  <c r="G24" i="165"/>
  <c r="I24" i="165" s="1"/>
  <c r="F23" i="165"/>
  <c r="G23" i="165" s="1"/>
  <c r="I23" i="165" s="1"/>
  <c r="G22" i="165"/>
  <c r="I22" i="165" s="1"/>
  <c r="G21" i="165"/>
  <c r="I21" i="165" s="1"/>
  <c r="F20" i="165"/>
  <c r="F16" i="165"/>
  <c r="G16" i="165" s="1"/>
  <c r="I16" i="165" s="1"/>
  <c r="F15" i="165"/>
  <c r="G15" i="165" s="1"/>
  <c r="I15" i="165" s="1"/>
  <c r="F14" i="165"/>
  <c r="G14" i="165" s="1"/>
  <c r="I14" i="165" s="1"/>
  <c r="G13" i="165"/>
  <c r="I13" i="165" s="1"/>
  <c r="F12" i="165"/>
  <c r="G12" i="165" s="1"/>
  <c r="I12" i="165" s="1"/>
  <c r="F11" i="165"/>
  <c r="F10" i="165"/>
  <c r="G10" i="165" s="1"/>
  <c r="I10" i="165" s="1"/>
  <c r="G9" i="165"/>
  <c r="I9" i="165" s="1"/>
  <c r="G8" i="165"/>
  <c r="I8" i="165" s="1"/>
  <c r="G7" i="165"/>
  <c r="I7" i="165" s="1"/>
  <c r="G6" i="165"/>
  <c r="I6" i="165" s="1"/>
  <c r="E46" i="164"/>
  <c r="E43" i="164"/>
  <c r="E40" i="164"/>
  <c r="E38" i="164"/>
  <c r="E36" i="164"/>
  <c r="M30" i="164"/>
  <c r="M28" i="164"/>
  <c r="M22" i="164"/>
  <c r="M15" i="164"/>
  <c r="M12" i="164"/>
  <c r="J8" i="26"/>
  <c r="J7" i="26"/>
  <c r="G8" i="26"/>
  <c r="G7" i="26"/>
  <c r="D8" i="26"/>
  <c r="D7" i="26"/>
  <c r="AW19" i="127"/>
  <c r="AO19" i="127"/>
  <c r="Q19" i="127"/>
  <c r="K19" i="127"/>
  <c r="H3" i="121"/>
  <c r="I48" i="165" l="1"/>
  <c r="F17" i="165"/>
  <c r="F48" i="165"/>
  <c r="G48" i="165"/>
  <c r="F62" i="165"/>
  <c r="K23" i="112"/>
  <c r="G11" i="153"/>
  <c r="G10" i="153"/>
  <c r="E11" i="153"/>
  <c r="G9" i="153"/>
  <c r="H9" i="153"/>
  <c r="E82" i="149"/>
  <c r="H100" i="159"/>
  <c r="J99" i="159"/>
  <c r="K99" i="159"/>
  <c r="L99" i="159"/>
  <c r="M99" i="159"/>
  <c r="H10" i="153"/>
  <c r="F8" i="153"/>
  <c r="F11" i="153" s="1"/>
  <c r="G8" i="153"/>
  <c r="K8" i="112"/>
  <c r="F41" i="165"/>
  <c r="G20" i="165"/>
  <c r="G11" i="165"/>
  <c r="I11" i="165" s="1"/>
  <c r="I17" i="165" s="1"/>
  <c r="M5" i="159"/>
  <c r="L5" i="159"/>
  <c r="K5" i="159"/>
  <c r="J5" i="159"/>
  <c r="I20" i="165" l="1"/>
  <c r="I41" i="165" s="1"/>
  <c r="G41" i="165"/>
  <c r="G17" i="165"/>
  <c r="H8" i="153"/>
  <c r="J1294" i="155"/>
  <c r="I1294" i="155"/>
  <c r="H1294" i="155"/>
  <c r="G1294" i="155"/>
  <c r="J1280" i="155"/>
  <c r="I1280" i="155"/>
  <c r="H1280" i="155"/>
  <c r="G1280" i="155"/>
  <c r="J1277" i="155"/>
  <c r="I1277" i="155"/>
  <c r="H1277" i="155"/>
  <c r="G1277" i="155"/>
  <c r="J1273" i="155"/>
  <c r="I1273" i="155"/>
  <c r="H1273" i="155"/>
  <c r="G1273" i="155"/>
  <c r="J1255" i="155"/>
  <c r="I1255" i="155"/>
  <c r="H1255" i="155"/>
  <c r="G1255" i="155"/>
  <c r="J1250" i="155"/>
  <c r="I1250" i="155"/>
  <c r="H1250" i="155"/>
  <c r="G1250" i="155"/>
  <c r="J1204" i="155"/>
  <c r="I1204" i="155"/>
  <c r="H1204" i="155"/>
  <c r="G1204" i="155"/>
  <c r="J1180" i="155"/>
  <c r="I1180" i="155"/>
  <c r="H1180" i="155"/>
  <c r="G1180" i="155"/>
  <c r="J1174" i="155"/>
  <c r="I1174" i="155"/>
  <c r="H1174" i="155"/>
  <c r="G1174" i="155"/>
  <c r="J1160" i="155"/>
  <c r="I1160" i="155"/>
  <c r="H1160" i="155"/>
  <c r="G1160" i="155"/>
  <c r="J1143" i="155"/>
  <c r="I1143" i="155"/>
  <c r="H1143" i="155"/>
  <c r="G1143" i="155"/>
  <c r="I1123" i="155"/>
  <c r="H1123" i="155"/>
  <c r="G1123" i="155"/>
  <c r="J1071" i="155"/>
  <c r="I1071" i="155"/>
  <c r="H1071" i="155"/>
  <c r="G1071" i="155"/>
  <c r="J915" i="155"/>
  <c r="I915" i="155"/>
  <c r="H915" i="155"/>
  <c r="G915" i="155"/>
  <c r="J877" i="155"/>
  <c r="I877" i="155"/>
  <c r="H877" i="155"/>
  <c r="G877" i="155"/>
  <c r="J857" i="155"/>
  <c r="I857" i="155"/>
  <c r="H857" i="155"/>
  <c r="G857" i="155"/>
  <c r="J465" i="155"/>
  <c r="I465" i="155"/>
  <c r="H465" i="155"/>
  <c r="G465" i="155"/>
  <c r="J333" i="155"/>
  <c r="I333" i="155"/>
  <c r="H333" i="155"/>
  <c r="G333" i="155"/>
  <c r="J30" i="155"/>
  <c r="I30" i="155"/>
  <c r="H30" i="155"/>
  <c r="G30" i="155"/>
  <c r="A7" i="4" l="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5" i="4" s="1"/>
  <c r="A266" i="4" s="1"/>
  <c r="A267" i="4" s="1"/>
  <c r="A268" i="4" s="1"/>
  <c r="A269" i="4" s="1"/>
  <c r="A270" i="4" s="1"/>
  <c r="A271" i="4" s="1"/>
  <c r="A272" i="4" s="1"/>
  <c r="A273" i="4" s="1"/>
  <c r="A274" i="4" s="1"/>
  <c r="A275" i="4" s="1"/>
  <c r="A276" i="4" s="1"/>
  <c r="A277" i="4" s="1"/>
  <c r="A278" i="4" s="1"/>
  <c r="A279" i="4" s="1"/>
  <c r="A280" i="4" s="1"/>
  <c r="A281" i="4" s="1"/>
  <c r="A282" i="4" s="1"/>
  <c r="A283" i="4" s="1"/>
  <c r="A284" i="4" s="1"/>
  <c r="A285" i="4" s="1"/>
  <c r="A286" i="4" s="1"/>
  <c r="A287" i="4" s="1"/>
  <c r="A288" i="4" s="1"/>
  <c r="A289" i="4" s="1"/>
  <c r="A290" i="4" s="1"/>
  <c r="A291" i="4" s="1"/>
  <c r="A292" i="4" s="1"/>
  <c r="A293" i="4" s="1"/>
  <c r="A294" i="4" s="1"/>
  <c r="A295" i="4" s="1"/>
  <c r="A296" i="4" s="1"/>
  <c r="A297" i="4" s="1"/>
  <c r="A298" i="4" s="1"/>
  <c r="A299" i="4" s="1"/>
  <c r="A300" i="4" s="1"/>
  <c r="A301" i="4" s="1"/>
  <c r="A302" i="4" s="1"/>
  <c r="A303" i="4" s="1"/>
  <c r="A304" i="4" s="1"/>
  <c r="A305" i="4" s="1"/>
  <c r="A306" i="4" s="1"/>
  <c r="A307" i="4" s="1"/>
  <c r="A308" i="4" s="1"/>
  <c r="A309" i="4" s="1"/>
  <c r="A310" i="4" s="1"/>
  <c r="A311" i="4" s="1"/>
  <c r="A312" i="4" s="1"/>
  <c r="A313" i="4" s="1"/>
  <c r="A314" i="4" s="1"/>
  <c r="A315" i="4" s="1"/>
  <c r="A316" i="4" s="1"/>
  <c r="A317" i="4" s="1"/>
  <c r="A318" i="4" s="1"/>
  <c r="A319" i="4" s="1"/>
  <c r="A320" i="4" s="1"/>
  <c r="A321" i="4" s="1"/>
  <c r="A322" i="4" s="1"/>
  <c r="A323" i="4" s="1"/>
  <c r="A324" i="4" s="1"/>
  <c r="A325" i="4" s="1"/>
  <c r="A326" i="4" s="1"/>
  <c r="A327" i="4" s="1"/>
  <c r="A328" i="4" s="1"/>
  <c r="A329" i="4" s="1"/>
  <c r="A330" i="4" s="1"/>
  <c r="A331" i="4" s="1"/>
  <c r="A332" i="4" s="1"/>
  <c r="A333" i="4" s="1"/>
  <c r="A334" i="4" s="1"/>
  <c r="A335" i="4" s="1"/>
  <c r="A336" i="4" s="1"/>
  <c r="A337" i="4" s="1"/>
  <c r="A338" i="4" s="1"/>
  <c r="A339" i="4" s="1"/>
  <c r="A340" i="4" s="1"/>
  <c r="A341" i="4" s="1"/>
  <c r="A342" i="4" s="1"/>
  <c r="A343" i="4" s="1"/>
  <c r="A344" i="4" s="1"/>
  <c r="A345" i="4" s="1"/>
  <c r="A346" i="4" s="1"/>
  <c r="A347" i="4" s="1"/>
  <c r="A348" i="4" s="1"/>
  <c r="A349" i="4" s="1"/>
  <c r="A350" i="4" s="1"/>
  <c r="A351" i="4" s="1"/>
  <c r="A352" i="4" s="1"/>
  <c r="A353" i="4" s="1"/>
  <c r="A354" i="4" s="1"/>
  <c r="A355" i="4" s="1"/>
  <c r="A356" i="4" s="1"/>
  <c r="A357" i="4" s="1"/>
  <c r="A358" i="4" s="1"/>
  <c r="A359" i="4" s="1"/>
  <c r="A360" i="4" s="1"/>
  <c r="A361" i="4" s="1"/>
  <c r="A362" i="4" s="1"/>
  <c r="A363" i="4" s="1"/>
  <c r="A364" i="4" s="1"/>
  <c r="A365" i="4" s="1"/>
  <c r="A366" i="4" s="1"/>
  <c r="A367" i="4" s="1"/>
  <c r="A368" i="4" s="1"/>
  <c r="A369" i="4" s="1"/>
  <c r="A370" i="4" s="1"/>
  <c r="A371" i="4" s="1"/>
  <c r="A372" i="4" s="1"/>
  <c r="A373" i="4" s="1"/>
  <c r="A374" i="4" s="1"/>
  <c r="A375" i="4" s="1"/>
  <c r="A376" i="4" s="1"/>
  <c r="A377" i="4" s="1"/>
  <c r="A378" i="4" s="1"/>
  <c r="A379" i="4" s="1"/>
  <c r="A380" i="4" s="1"/>
  <c r="A381" i="4" s="1"/>
  <c r="A382" i="4" s="1"/>
  <c r="A383" i="4" s="1"/>
  <c r="A384" i="4" s="1"/>
  <c r="A385" i="4" s="1"/>
  <c r="A386" i="4" s="1"/>
  <c r="A387" i="4" s="1"/>
  <c r="A388" i="4" s="1"/>
  <c r="A389" i="4" s="1"/>
  <c r="A390" i="4" s="1"/>
  <c r="A391" i="4" s="1"/>
  <c r="A392" i="4" s="1"/>
  <c r="A393" i="4" s="1"/>
  <c r="A394" i="4" s="1"/>
  <c r="A395" i="4" s="1"/>
  <c r="A396" i="4" s="1"/>
  <c r="A397" i="4" s="1"/>
  <c r="A398" i="4" s="1"/>
  <c r="A399" i="4" s="1"/>
  <c r="A400" i="4" s="1"/>
  <c r="A401" i="4" s="1"/>
  <c r="A402" i="4" s="1"/>
  <c r="A403" i="4" s="1"/>
  <c r="A404" i="4" s="1"/>
  <c r="A405" i="4" s="1"/>
  <c r="A406" i="4" s="1"/>
  <c r="A407" i="4" s="1"/>
  <c r="A408" i="4" s="1"/>
  <c r="A409" i="4" s="1"/>
  <c r="A410" i="4" s="1"/>
  <c r="A411" i="4" s="1"/>
  <c r="A412" i="4" s="1"/>
  <c r="A413" i="4" s="1"/>
  <c r="A414" i="4" s="1"/>
  <c r="A415" i="4" s="1"/>
  <c r="A416" i="4" s="1"/>
  <c r="A417" i="4" s="1"/>
  <c r="A418" i="4" s="1"/>
  <c r="A419" i="4" s="1"/>
  <c r="A420" i="4" s="1"/>
  <c r="A421" i="4" s="1"/>
  <c r="A422" i="4" s="1"/>
  <c r="A423" i="4" s="1"/>
  <c r="A424" i="4" s="1"/>
  <c r="A425" i="4" s="1"/>
  <c r="A426" i="4" s="1"/>
  <c r="A427" i="4" s="1"/>
  <c r="A428" i="4" s="1"/>
  <c r="A429" i="4" s="1"/>
  <c r="A430" i="4" s="1"/>
  <c r="A431" i="4" s="1"/>
  <c r="A432" i="4" s="1"/>
  <c r="A433" i="4" s="1"/>
  <c r="A434" i="4" s="1"/>
  <c r="A435" i="4" s="1"/>
  <c r="A436" i="4" s="1"/>
  <c r="A437" i="4" s="1"/>
  <c r="A438" i="4" s="1"/>
  <c r="A439" i="4" s="1"/>
  <c r="A440" i="4" s="1"/>
  <c r="A441" i="4" s="1"/>
  <c r="A442" i="4" s="1"/>
  <c r="A443" i="4" s="1"/>
  <c r="A444" i="4" s="1"/>
  <c r="A445" i="4" s="1"/>
  <c r="A446" i="4" s="1"/>
  <c r="A447" i="4" s="1"/>
  <c r="A448" i="4" s="1"/>
  <c r="A449" i="4" s="1"/>
  <c r="A450" i="4" s="1"/>
  <c r="A451" i="4" s="1"/>
  <c r="A452" i="4" s="1"/>
  <c r="A453" i="4" s="1"/>
  <c r="A454" i="4" s="1"/>
  <c r="A455" i="4" s="1"/>
  <c r="A456" i="4" s="1"/>
  <c r="A457" i="4" s="1"/>
  <c r="A458" i="4" s="1"/>
  <c r="A459" i="4" s="1"/>
  <c r="A460" i="4" s="1"/>
  <c r="A461" i="4" s="1"/>
  <c r="A462" i="4" s="1"/>
  <c r="A463" i="4" s="1"/>
  <c r="A464" i="4" s="1"/>
  <c r="A465" i="4" s="1"/>
  <c r="A466" i="4" s="1"/>
  <c r="A467" i="4" s="1"/>
  <c r="A468" i="4" s="1"/>
  <c r="A469" i="4" s="1"/>
  <c r="A470" i="4" s="1"/>
  <c r="A471" i="4" s="1"/>
  <c r="A472" i="4" s="1"/>
  <c r="A473" i="4" s="1"/>
  <c r="A474" i="4" s="1"/>
  <c r="A475" i="4" s="1"/>
  <c r="A476" i="4" s="1"/>
  <c r="A477" i="4" s="1"/>
  <c r="A478" i="4" s="1"/>
  <c r="A479" i="4" s="1"/>
  <c r="A480" i="4" s="1"/>
  <c r="A481" i="4" s="1"/>
  <c r="A482" i="4" s="1"/>
  <c r="A483" i="4" s="1"/>
  <c r="A484" i="4" s="1"/>
  <c r="A485" i="4" s="1"/>
  <c r="A486" i="4" s="1"/>
  <c r="A487" i="4" s="1"/>
  <c r="A488" i="4" s="1"/>
  <c r="A489" i="4" s="1"/>
  <c r="A490" i="4" s="1"/>
  <c r="A491" i="4" s="1"/>
  <c r="A492" i="4" s="1"/>
  <c r="A493" i="4" s="1"/>
  <c r="A494" i="4" s="1"/>
  <c r="A495" i="4" s="1"/>
  <c r="A496" i="4" s="1"/>
  <c r="A497" i="4" s="1"/>
  <c r="A498" i="4" s="1"/>
  <c r="A499" i="4" s="1"/>
  <c r="A500" i="4" s="1"/>
  <c r="A501" i="4" s="1"/>
  <c r="A502" i="4" s="1"/>
  <c r="A503" i="4" s="1"/>
  <c r="A504" i="4" s="1"/>
  <c r="A505" i="4" s="1"/>
  <c r="A506" i="4" s="1"/>
  <c r="A507" i="4" s="1"/>
  <c r="A508" i="4" s="1"/>
  <c r="A509" i="4" s="1"/>
  <c r="A510" i="4" s="1"/>
  <c r="A511" i="4" s="1"/>
  <c r="A512" i="4" s="1"/>
  <c r="A513" i="4" s="1"/>
  <c r="A514" i="4" s="1"/>
  <c r="A515" i="4" s="1"/>
  <c r="A516" i="4" s="1"/>
  <c r="A517" i="4" s="1"/>
  <c r="A518" i="4" s="1"/>
  <c r="A519" i="4" s="1"/>
  <c r="A520" i="4" s="1"/>
  <c r="A521" i="4" s="1"/>
  <c r="A522" i="4" s="1"/>
  <c r="A523" i="4" s="1"/>
  <c r="A524" i="4" s="1"/>
  <c r="A525" i="4" s="1"/>
  <c r="A526" i="4" s="1"/>
  <c r="A527" i="4" s="1"/>
  <c r="A528" i="4" s="1"/>
  <c r="A529" i="4" s="1"/>
  <c r="A530" i="4" s="1"/>
  <c r="A531" i="4" s="1"/>
  <c r="A532" i="4" s="1"/>
  <c r="A533" i="4" s="1"/>
  <c r="A534" i="4" s="1"/>
  <c r="A535" i="4" s="1"/>
  <c r="A536" i="4" s="1"/>
  <c r="A537" i="4" s="1"/>
  <c r="A538" i="4" s="1"/>
  <c r="A539" i="4" s="1"/>
  <c r="A540" i="4" s="1"/>
  <c r="A541" i="4" s="1"/>
  <c r="A542" i="4" s="1"/>
  <c r="A543" i="4" s="1"/>
  <c r="A544" i="4" s="1"/>
  <c r="A545" i="4" s="1"/>
  <c r="A546" i="4" s="1"/>
  <c r="A547" i="4" s="1"/>
  <c r="A548" i="4" s="1"/>
  <c r="A549" i="4" s="1"/>
  <c r="A550" i="4" s="1"/>
  <c r="A551" i="4" s="1"/>
  <c r="A552" i="4" s="1"/>
  <c r="A553" i="4" s="1"/>
  <c r="A554" i="4" s="1"/>
  <c r="A555" i="4" s="1"/>
  <c r="A556" i="4" s="1"/>
  <c r="A557" i="4" s="1"/>
  <c r="A558" i="4" s="1"/>
  <c r="A559" i="4" s="1"/>
  <c r="A560" i="4" s="1"/>
  <c r="A561" i="4" s="1"/>
  <c r="A562" i="4" s="1"/>
  <c r="A563" i="4" s="1"/>
  <c r="A564" i="4" s="1"/>
  <c r="A565" i="4" s="1"/>
  <c r="A566" i="4" s="1"/>
  <c r="A567" i="4" s="1"/>
  <c r="A568" i="4" s="1"/>
  <c r="A569" i="4" s="1"/>
  <c r="A570" i="4" s="1"/>
  <c r="A571" i="4" s="1"/>
  <c r="A572" i="4" s="1"/>
  <c r="A573" i="4" s="1"/>
  <c r="A574" i="4" s="1"/>
  <c r="A575" i="4" s="1"/>
  <c r="A576" i="4" s="1"/>
  <c r="A577" i="4" s="1"/>
  <c r="A578" i="4" s="1"/>
  <c r="A579" i="4" s="1"/>
  <c r="A580" i="4" s="1"/>
  <c r="A581" i="4" s="1"/>
  <c r="A582" i="4" s="1"/>
  <c r="A583" i="4" s="1"/>
  <c r="A584" i="4" s="1"/>
  <c r="A585" i="4" s="1"/>
  <c r="A586" i="4" s="1"/>
  <c r="A587" i="4" s="1"/>
  <c r="A588" i="4" s="1"/>
  <c r="A589" i="4" s="1"/>
  <c r="A590" i="4" s="1"/>
  <c r="A591" i="4" s="1"/>
  <c r="A592" i="4" s="1"/>
  <c r="A593" i="4" s="1"/>
  <c r="A594" i="4" s="1"/>
  <c r="A595" i="4" s="1"/>
  <c r="A596" i="4" s="1"/>
  <c r="A597" i="4" s="1"/>
  <c r="A598" i="4" s="1"/>
  <c r="A599" i="4" s="1"/>
  <c r="A600" i="4" s="1"/>
  <c r="A601" i="4" s="1"/>
  <c r="A602" i="4" s="1"/>
  <c r="A603" i="4" s="1"/>
  <c r="A604" i="4" s="1"/>
  <c r="A605" i="4" s="1"/>
  <c r="A606" i="4" s="1"/>
  <c r="A607" i="4" s="1"/>
  <c r="A608" i="4" s="1"/>
  <c r="A609" i="4" s="1"/>
  <c r="A610" i="4" s="1"/>
  <c r="A611" i="4" s="1"/>
  <c r="A612" i="4" s="1"/>
  <c r="A613" i="4" s="1"/>
  <c r="A614" i="4" s="1"/>
  <c r="A615" i="4" s="1"/>
  <c r="A616" i="4" s="1"/>
  <c r="A617" i="4" s="1"/>
  <c r="A618" i="4" s="1"/>
  <c r="A619" i="4" s="1"/>
  <c r="A620" i="4" s="1"/>
  <c r="A621" i="4" s="1"/>
  <c r="A622" i="4" s="1"/>
  <c r="A623" i="4" s="1"/>
  <c r="A624" i="4" s="1"/>
  <c r="A625" i="4" s="1"/>
  <c r="A626" i="4" s="1"/>
  <c r="A627" i="4" s="1"/>
  <c r="A628" i="4" s="1"/>
  <c r="A629" i="4" s="1"/>
  <c r="A630" i="4" s="1"/>
  <c r="A631" i="4" s="1"/>
  <c r="A632" i="4" s="1"/>
  <c r="A633" i="4" s="1"/>
  <c r="A634" i="4" s="1"/>
  <c r="A635" i="4" s="1"/>
  <c r="A636" i="4" s="1"/>
  <c r="A637" i="4" s="1"/>
  <c r="A638" i="4" s="1"/>
  <c r="A639" i="4" s="1"/>
  <c r="A640" i="4" s="1"/>
  <c r="A641" i="4" s="1"/>
  <c r="A642" i="4" s="1"/>
  <c r="A643" i="4" s="1"/>
  <c r="A644" i="4" s="1"/>
  <c r="A645" i="4" s="1"/>
  <c r="A646" i="4" s="1"/>
  <c r="A647" i="4" s="1"/>
  <c r="A648" i="4" s="1"/>
  <c r="A649" i="4" s="1"/>
  <c r="A650" i="4" s="1"/>
  <c r="A651" i="4" s="1"/>
  <c r="A652" i="4" s="1"/>
  <c r="A653" i="4" s="1"/>
  <c r="A654" i="4" s="1"/>
  <c r="A655" i="4" s="1"/>
  <c r="A656" i="4" s="1"/>
  <c r="A657" i="4" s="1"/>
  <c r="A658" i="4" s="1"/>
  <c r="A659" i="4" s="1"/>
  <c r="A660" i="4" s="1"/>
  <c r="A661" i="4" s="1"/>
  <c r="A662" i="4" s="1"/>
  <c r="A663" i="4" s="1"/>
  <c r="A664" i="4" s="1"/>
  <c r="A665" i="4" s="1"/>
  <c r="A666" i="4" s="1"/>
  <c r="A667" i="4" s="1"/>
  <c r="A668" i="4" s="1"/>
  <c r="A669" i="4" s="1"/>
  <c r="A670" i="4" s="1"/>
  <c r="A671" i="4" s="1"/>
  <c r="A672" i="4" s="1"/>
  <c r="A673" i="4" s="1"/>
  <c r="A674" i="4" s="1"/>
  <c r="A675" i="4" s="1"/>
  <c r="A676" i="4" s="1"/>
  <c r="A677" i="4" s="1"/>
  <c r="A678" i="4" s="1"/>
  <c r="A679" i="4" s="1"/>
  <c r="A680" i="4" s="1"/>
  <c r="A681" i="4" s="1"/>
  <c r="A682" i="4" s="1"/>
  <c r="A683" i="4" s="1"/>
  <c r="A684" i="4" s="1"/>
  <c r="A685" i="4" s="1"/>
  <c r="A686" i="4" s="1"/>
  <c r="A687" i="4" s="1"/>
  <c r="A688" i="4" s="1"/>
  <c r="A689" i="4" s="1"/>
  <c r="A690" i="4" s="1"/>
  <c r="A691" i="4" s="1"/>
  <c r="A692" i="4" s="1"/>
  <c r="A693" i="4" s="1"/>
  <c r="A694" i="4" s="1"/>
  <c r="A695" i="4" s="1"/>
  <c r="A696" i="4" s="1"/>
  <c r="A697" i="4" s="1"/>
  <c r="A698" i="4" s="1"/>
  <c r="A699" i="4" s="1"/>
  <c r="A700" i="4" s="1"/>
  <c r="A701" i="4" s="1"/>
  <c r="A702" i="4" s="1"/>
  <c r="A703" i="4" s="1"/>
  <c r="A704" i="4" s="1"/>
  <c r="A705" i="4" s="1"/>
  <c r="A706" i="4" s="1"/>
  <c r="A707" i="4" s="1"/>
  <c r="A708" i="4" s="1"/>
  <c r="A709" i="4" s="1"/>
  <c r="A710" i="4" s="1"/>
  <c r="A711" i="4" s="1"/>
  <c r="A712" i="4" s="1"/>
  <c r="A713" i="4" s="1"/>
  <c r="A714" i="4" s="1"/>
  <c r="A715" i="4" s="1"/>
  <c r="A716" i="4" s="1"/>
  <c r="A717" i="4" s="1"/>
  <c r="A718" i="4" s="1"/>
  <c r="A719" i="4" s="1"/>
  <c r="A720" i="4" s="1"/>
  <c r="A721" i="4" s="1"/>
  <c r="A722" i="4" s="1"/>
  <c r="A723" i="4" s="1"/>
  <c r="A724" i="4" s="1"/>
  <c r="A725" i="4" s="1"/>
  <c r="A726" i="4" s="1"/>
  <c r="A727" i="4" s="1"/>
  <c r="A728" i="4" s="1"/>
  <c r="A729" i="4" s="1"/>
  <c r="A730" i="4" s="1"/>
  <c r="A731" i="4" s="1"/>
  <c r="A732" i="4" s="1"/>
  <c r="A733" i="4" s="1"/>
  <c r="A734" i="4" s="1"/>
  <c r="A735" i="4" s="1"/>
  <c r="A736" i="4" s="1"/>
  <c r="A737" i="4" s="1"/>
  <c r="A738" i="4" s="1"/>
  <c r="A739" i="4" s="1"/>
  <c r="A740" i="4" s="1"/>
  <c r="A741" i="4" s="1"/>
  <c r="A742" i="4" s="1"/>
  <c r="A743" i="4" s="1"/>
  <c r="A744" i="4" s="1"/>
  <c r="A745" i="4" s="1"/>
  <c r="A746" i="4" s="1"/>
  <c r="A747" i="4" s="1"/>
  <c r="A748" i="4" s="1"/>
  <c r="A749" i="4" s="1"/>
  <c r="A750" i="4" s="1"/>
  <c r="A751" i="4" s="1"/>
  <c r="A752" i="4" s="1"/>
  <c r="A753" i="4" s="1"/>
  <c r="A754" i="4" s="1"/>
  <c r="A755" i="4" s="1"/>
  <c r="A756" i="4" s="1"/>
  <c r="A757" i="4" s="1"/>
  <c r="A758" i="4" s="1"/>
  <c r="A759" i="4" s="1"/>
  <c r="A760" i="4" s="1"/>
  <c r="A761" i="4" s="1"/>
  <c r="A762" i="4" s="1"/>
  <c r="A763" i="4" s="1"/>
  <c r="A764" i="4" s="1"/>
  <c r="A765" i="4" s="1"/>
  <c r="A766" i="4" s="1"/>
  <c r="A767" i="4" s="1"/>
  <c r="A768" i="4" s="1"/>
  <c r="A769" i="4" s="1"/>
  <c r="A770" i="4" s="1"/>
  <c r="A771" i="4" s="1"/>
  <c r="A772" i="4" s="1"/>
  <c r="A773" i="4" s="1"/>
  <c r="A774" i="4" s="1"/>
  <c r="A775" i="4" s="1"/>
  <c r="A776" i="4" s="1"/>
  <c r="A777" i="4" s="1"/>
  <c r="A778" i="4" s="1"/>
  <c r="A779" i="4" s="1"/>
  <c r="A780" i="4" s="1"/>
  <c r="A781" i="4" s="1"/>
  <c r="A782" i="4" s="1"/>
  <c r="A783" i="4" s="1"/>
  <c r="A784" i="4" s="1"/>
  <c r="A785" i="4" s="1"/>
  <c r="A786" i="4" s="1"/>
  <c r="A787" i="4" s="1"/>
  <c r="A788" i="4" s="1"/>
  <c r="A789" i="4" s="1"/>
  <c r="A790" i="4" s="1"/>
  <c r="A791" i="4" s="1"/>
  <c r="A792" i="4" s="1"/>
  <c r="A793" i="4" s="1"/>
  <c r="A794" i="4" s="1"/>
  <c r="A795" i="4" s="1"/>
  <c r="A796" i="4" s="1"/>
  <c r="A797" i="4" s="1"/>
  <c r="A798" i="4" s="1"/>
  <c r="A799" i="4" s="1"/>
  <c r="A800" i="4" s="1"/>
  <c r="A801" i="4" s="1"/>
  <c r="A802" i="4" s="1"/>
  <c r="A803" i="4" s="1"/>
  <c r="A804" i="4" s="1"/>
  <c r="A805" i="4" s="1"/>
  <c r="A806" i="4" s="1"/>
  <c r="A807" i="4" s="1"/>
  <c r="A808" i="4" s="1"/>
  <c r="A809" i="4" s="1"/>
  <c r="A810" i="4" s="1"/>
  <c r="A811" i="4" s="1"/>
  <c r="A812" i="4" s="1"/>
  <c r="A813" i="4" s="1"/>
  <c r="A814" i="4" s="1"/>
  <c r="A815" i="4" s="1"/>
  <c r="A816" i="4" s="1"/>
  <c r="A817" i="4" s="1"/>
  <c r="A818" i="4" s="1"/>
  <c r="A819" i="4" s="1"/>
  <c r="A820" i="4" s="1"/>
  <c r="A821" i="4" s="1"/>
  <c r="A822" i="4" s="1"/>
  <c r="A823" i="4" s="1"/>
  <c r="A824" i="4" s="1"/>
  <c r="A825" i="4" s="1"/>
  <c r="A826" i="4" s="1"/>
  <c r="A827" i="4" s="1"/>
  <c r="A828" i="4" s="1"/>
  <c r="A829" i="4" s="1"/>
  <c r="A830" i="4" s="1"/>
  <c r="A831" i="4" s="1"/>
  <c r="A832" i="4" s="1"/>
  <c r="A833" i="4" s="1"/>
  <c r="A834" i="4" s="1"/>
  <c r="A835" i="4" s="1"/>
  <c r="A836" i="4" s="1"/>
  <c r="A837" i="4" s="1"/>
  <c r="A838" i="4" s="1"/>
  <c r="A839" i="4" s="1"/>
  <c r="A840" i="4" s="1"/>
  <c r="A841" i="4" s="1"/>
  <c r="A842" i="4" s="1"/>
  <c r="A843" i="4" s="1"/>
  <c r="A844" i="4" s="1"/>
  <c r="A845" i="4" s="1"/>
  <c r="A846" i="4" s="1"/>
  <c r="A847" i="4" s="1"/>
  <c r="A848" i="4" s="1"/>
  <c r="A849" i="4" s="1"/>
  <c r="A850" i="4" s="1"/>
  <c r="A851" i="4" s="1"/>
  <c r="A852" i="4" s="1"/>
  <c r="A853" i="4" s="1"/>
  <c r="A854" i="4" s="1"/>
  <c r="A855" i="4" s="1"/>
  <c r="A856" i="4" s="1"/>
  <c r="A857" i="4" s="1"/>
  <c r="A858" i="4" s="1"/>
  <c r="A859" i="4" s="1"/>
  <c r="A860" i="4" s="1"/>
  <c r="A861" i="4" s="1"/>
  <c r="A862" i="4" s="1"/>
  <c r="A863" i="4" s="1"/>
  <c r="A864" i="4" s="1"/>
  <c r="A865" i="4" s="1"/>
  <c r="A866" i="4" s="1"/>
  <c r="A867" i="4" s="1"/>
  <c r="A868" i="4" s="1"/>
  <c r="A869" i="4" s="1"/>
  <c r="A870" i="4" s="1"/>
  <c r="A871" i="4" s="1"/>
  <c r="A872" i="4" s="1"/>
  <c r="A873" i="4" s="1"/>
  <c r="A874" i="4" s="1"/>
  <c r="A875" i="4" s="1"/>
  <c r="A876" i="4" s="1"/>
  <c r="A877" i="4" s="1"/>
  <c r="A878" i="4" s="1"/>
  <c r="A879" i="4" s="1"/>
  <c r="A880" i="4" s="1"/>
  <c r="A881" i="4" s="1"/>
  <c r="A882" i="4" s="1"/>
  <c r="A883" i="4" s="1"/>
  <c r="A884" i="4" s="1"/>
  <c r="A885" i="4" s="1"/>
  <c r="A886" i="4" s="1"/>
  <c r="A887" i="4" s="1"/>
  <c r="A888" i="4" s="1"/>
  <c r="A889" i="4" s="1"/>
  <c r="A890" i="4" s="1"/>
  <c r="A891" i="4" s="1"/>
  <c r="A892" i="4" s="1"/>
  <c r="A893" i="4" s="1"/>
  <c r="A894" i="4" s="1"/>
  <c r="A895" i="4" s="1"/>
  <c r="A896" i="4" s="1"/>
  <c r="A897" i="4" s="1"/>
  <c r="A898" i="4" s="1"/>
  <c r="A899" i="4" s="1"/>
  <c r="A900" i="4" s="1"/>
  <c r="A901" i="4" s="1"/>
  <c r="A902" i="4" s="1"/>
  <c r="A903" i="4" s="1"/>
  <c r="A904" i="4" s="1"/>
  <c r="A905" i="4" s="1"/>
  <c r="A906" i="4" s="1"/>
  <c r="A907" i="4" s="1"/>
  <c r="A908" i="4" s="1"/>
  <c r="A909" i="4" s="1"/>
  <c r="A910" i="4" s="1"/>
  <c r="A911" i="4" s="1"/>
  <c r="A912" i="4" s="1"/>
  <c r="A913" i="4" s="1"/>
  <c r="A914" i="4" s="1"/>
  <c r="A915" i="4" s="1"/>
  <c r="A916" i="4" s="1"/>
  <c r="A917" i="4" s="1"/>
  <c r="A918" i="4" s="1"/>
  <c r="A919" i="4" s="1"/>
  <c r="A920" i="4" s="1"/>
  <c r="A921" i="4" s="1"/>
  <c r="A922" i="4" s="1"/>
  <c r="A923" i="4" s="1"/>
  <c r="A924" i="4" s="1"/>
  <c r="A925" i="4" s="1"/>
  <c r="A926" i="4" s="1"/>
  <c r="A927" i="4" s="1"/>
  <c r="A928" i="4" s="1"/>
  <c r="A929" i="4" s="1"/>
  <c r="A930" i="4" s="1"/>
  <c r="A931" i="4" s="1"/>
  <c r="A932" i="4" s="1"/>
  <c r="A933" i="4" s="1"/>
  <c r="A934" i="4" s="1"/>
  <c r="A935" i="4" s="1"/>
  <c r="A936" i="4" s="1"/>
  <c r="A937" i="4" s="1"/>
  <c r="A938" i="4" s="1"/>
  <c r="A939" i="4" s="1"/>
  <c r="A940" i="4" s="1"/>
  <c r="A941" i="4" s="1"/>
  <c r="A942" i="4" s="1"/>
  <c r="A943" i="4" s="1"/>
  <c r="A944" i="4" s="1"/>
  <c r="A945" i="4" s="1"/>
  <c r="A946" i="4" s="1"/>
  <c r="A947" i="4" s="1"/>
  <c r="A948" i="4" s="1"/>
  <c r="A949" i="4" s="1"/>
  <c r="A950" i="4" s="1"/>
  <c r="A951" i="4" s="1"/>
  <c r="A952" i="4" s="1"/>
  <c r="A953" i="4" s="1"/>
  <c r="A954" i="4" s="1"/>
  <c r="A955" i="4" s="1"/>
  <c r="A956" i="4" s="1"/>
  <c r="A957" i="4" s="1"/>
  <c r="A958" i="4" s="1"/>
  <c r="A959" i="4" s="1"/>
  <c r="A960" i="4" s="1"/>
  <c r="A961" i="4" s="1"/>
  <c r="A962" i="4" s="1"/>
  <c r="A963" i="4" s="1"/>
  <c r="A964" i="4" s="1"/>
  <c r="A965" i="4" s="1"/>
  <c r="A966" i="4" s="1"/>
  <c r="A967" i="4" s="1"/>
  <c r="A968" i="4" s="1"/>
  <c r="A969" i="4" s="1"/>
  <c r="A970" i="4" s="1"/>
  <c r="A971" i="4" s="1"/>
  <c r="A972" i="4" s="1"/>
  <c r="A973" i="4" s="1"/>
  <c r="A974" i="4" s="1"/>
  <c r="A975" i="4" s="1"/>
  <c r="A976" i="4" s="1"/>
  <c r="A977" i="4" s="1"/>
  <c r="A978" i="4" s="1"/>
  <c r="A979" i="4" s="1"/>
  <c r="A980" i="4" s="1"/>
  <c r="A981" i="4" s="1"/>
  <c r="A982" i="4" s="1"/>
  <c r="A983" i="4" s="1"/>
  <c r="A984" i="4" s="1"/>
  <c r="A985" i="4" s="1"/>
  <c r="A986" i="4" s="1"/>
  <c r="A987" i="4" s="1"/>
  <c r="A988" i="4" s="1"/>
  <c r="A989" i="4" s="1"/>
  <c r="A990" i="4" s="1"/>
  <c r="A991" i="4" s="1"/>
  <c r="A992" i="4" s="1"/>
  <c r="A993" i="4" s="1"/>
  <c r="A994" i="4" s="1"/>
  <c r="A995" i="4" s="1"/>
  <c r="A996" i="4" s="1"/>
  <c r="A997" i="4" s="1"/>
  <c r="A998" i="4" s="1"/>
  <c r="A999" i="4" s="1"/>
  <c r="A1000" i="4" s="1"/>
  <c r="A1001" i="4" s="1"/>
  <c r="A1002" i="4" s="1"/>
  <c r="A1003" i="4" s="1"/>
  <c r="A1004" i="4" s="1"/>
  <c r="A1005" i="4" s="1"/>
  <c r="A1006" i="4" s="1"/>
  <c r="A1007" i="4" s="1"/>
  <c r="A1008" i="4" s="1"/>
  <c r="A1009" i="4" s="1"/>
  <c r="A1010" i="4" s="1"/>
  <c r="A1011" i="4" s="1"/>
  <c r="A1012" i="4" s="1"/>
  <c r="A1013" i="4" s="1"/>
  <c r="A1014" i="4" s="1"/>
  <c r="A1015" i="4" s="1"/>
  <c r="A1016" i="4" s="1"/>
  <c r="A1017" i="4" s="1"/>
  <c r="A1018" i="4" s="1"/>
  <c r="A1019" i="4" s="1"/>
  <c r="A1020" i="4" s="1"/>
  <c r="A1021" i="4" s="1"/>
  <c r="A1022" i="4" s="1"/>
  <c r="A1023" i="4" s="1"/>
  <c r="A1024" i="4" s="1"/>
  <c r="A1025" i="4" s="1"/>
  <c r="A1026" i="4" s="1"/>
  <c r="A1027" i="4" s="1"/>
  <c r="A1028" i="4" s="1"/>
  <c r="A1029" i="4" s="1"/>
  <c r="A1030" i="4" s="1"/>
  <c r="J52" i="150" l="1"/>
  <c r="I52" i="150"/>
  <c r="H52" i="150"/>
  <c r="G52" i="150"/>
  <c r="F52" i="150"/>
  <c r="E52" i="150"/>
  <c r="D52" i="150"/>
  <c r="C52" i="150"/>
  <c r="J439" i="147"/>
  <c r="I439" i="147"/>
  <c r="H439" i="147"/>
  <c r="E57" i="147"/>
  <c r="D57" i="147"/>
  <c r="C57" i="147"/>
  <c r="C26" i="146"/>
  <c r="C461" i="145"/>
  <c r="C462" i="145" s="1"/>
  <c r="E468" i="144"/>
  <c r="D468" i="144"/>
  <c r="C468" i="144"/>
  <c r="C19" i="143"/>
  <c r="C20" i="143" s="1"/>
  <c r="C63" i="142"/>
  <c r="C486" i="141"/>
  <c r="C58" i="147" l="1"/>
  <c r="D58" i="147"/>
  <c r="E58" i="147"/>
  <c r="C27" i="146"/>
  <c r="E4" i="124" l="1"/>
  <c r="S173" i="117"/>
  <c r="F8" i="114" l="1"/>
  <c r="E7" i="137" l="1"/>
  <c r="E6" i="137"/>
  <c r="E4" i="137"/>
  <c r="I3" i="115"/>
  <c r="E5" i="137" l="1"/>
  <c r="AE18" i="113" l="1"/>
  <c r="AE17" i="113"/>
  <c r="AF18" i="113"/>
  <c r="AF17" i="113"/>
  <c r="O173" i="117" l="1"/>
  <c r="A44" i="130" l="1"/>
  <c r="A45" i="130" s="1"/>
  <c r="A46" i="130" s="1"/>
  <c r="A47" i="130" s="1"/>
  <c r="A48" i="130" s="1"/>
  <c r="A49" i="130" s="1"/>
  <c r="A50" i="130" l="1"/>
  <c r="A51" i="130" s="1"/>
  <c r="A52" i="130" s="1"/>
  <c r="A53" i="130" s="1"/>
  <c r="A54" i="130" s="1"/>
  <c r="A55" i="130" s="1"/>
  <c r="H4" i="121"/>
  <c r="E7" i="124" l="1"/>
  <c r="O161" i="117"/>
  <c r="S161" i="117"/>
  <c r="BO76" i="127"/>
  <c r="BN76" i="127"/>
  <c r="BM76" i="127"/>
  <c r="BL76" i="127"/>
  <c r="BK76" i="127"/>
  <c r="BJ76" i="127"/>
  <c r="BI76" i="127"/>
  <c r="BH76" i="127"/>
  <c r="BG76" i="127"/>
  <c r="BF76" i="127"/>
  <c r="BE76" i="127"/>
  <c r="BD76" i="127"/>
  <c r="BC76" i="127"/>
  <c r="BB76" i="127"/>
  <c r="BA76" i="127"/>
  <c r="AZ76" i="127"/>
  <c r="AY76" i="127"/>
  <c r="AX76" i="127"/>
  <c r="AW76" i="127"/>
  <c r="AV76" i="127"/>
  <c r="AU76" i="127"/>
  <c r="AT76" i="127"/>
  <c r="AS76" i="127"/>
  <c r="AR76" i="127"/>
  <c r="AQ76" i="127"/>
  <c r="AP76" i="127"/>
  <c r="AO76" i="127"/>
  <c r="AN76" i="127"/>
  <c r="AM76" i="127"/>
  <c r="AL76" i="127"/>
  <c r="AK76" i="127"/>
  <c r="AJ76" i="127"/>
  <c r="AI76" i="127"/>
  <c r="AH76" i="127"/>
  <c r="AG76" i="127"/>
  <c r="AF76" i="127"/>
  <c r="AE76" i="127"/>
  <c r="AD76" i="127"/>
  <c r="AC76" i="127"/>
  <c r="AB76" i="127"/>
  <c r="AA76" i="127"/>
  <c r="Z76" i="127"/>
  <c r="Y76" i="127"/>
  <c r="X76" i="127"/>
  <c r="W76" i="127"/>
  <c r="V76" i="127"/>
  <c r="U76" i="127"/>
  <c r="T76" i="127"/>
  <c r="S76" i="127"/>
  <c r="R76" i="127"/>
  <c r="Q76" i="127"/>
  <c r="P76" i="127"/>
  <c r="O76" i="127"/>
  <c r="N76" i="127"/>
  <c r="M76" i="127"/>
  <c r="L76" i="127"/>
  <c r="K76" i="127"/>
  <c r="J76" i="127"/>
  <c r="I76" i="127"/>
  <c r="H76" i="127"/>
  <c r="G76" i="127"/>
  <c r="F76" i="127"/>
  <c r="E76" i="127"/>
  <c r="D76" i="127"/>
  <c r="BQ75" i="127"/>
  <c r="BP75" i="127"/>
  <c r="BQ74" i="127"/>
  <c r="BP74" i="127"/>
  <c r="BQ73" i="127"/>
  <c r="BP73" i="127"/>
  <c r="BQ72" i="127"/>
  <c r="BP72" i="127"/>
  <c r="BQ71" i="127"/>
  <c r="BP71" i="127"/>
  <c r="BQ70" i="127"/>
  <c r="BP70" i="127"/>
  <c r="BQ69" i="127"/>
  <c r="BQ76" i="127" s="1"/>
  <c r="BP69" i="127"/>
  <c r="BP76" i="127" s="1"/>
  <c r="BO59" i="127"/>
  <c r="BN59" i="127"/>
  <c r="BM59" i="127"/>
  <c r="BL59" i="127"/>
  <c r="BK59" i="127"/>
  <c r="BJ59" i="127"/>
  <c r="BI59" i="127"/>
  <c r="BH59" i="127"/>
  <c r="BG59" i="127"/>
  <c r="BF59" i="127"/>
  <c r="BE59" i="127"/>
  <c r="BD59" i="127"/>
  <c r="BC59" i="127"/>
  <c r="BB59" i="127"/>
  <c r="BA59" i="127"/>
  <c r="AZ59" i="127"/>
  <c r="AY59" i="127"/>
  <c r="AX59" i="127"/>
  <c r="AW59" i="127"/>
  <c r="AV59" i="127"/>
  <c r="AU59" i="127"/>
  <c r="AT59" i="127"/>
  <c r="AS59" i="127"/>
  <c r="AR59" i="127"/>
  <c r="AQ59" i="127"/>
  <c r="AP59" i="127"/>
  <c r="AO59" i="127"/>
  <c r="AN59" i="127"/>
  <c r="AM59" i="127"/>
  <c r="AL59" i="127"/>
  <c r="AK59" i="127"/>
  <c r="AJ59" i="127"/>
  <c r="AI59" i="127"/>
  <c r="AH59" i="127"/>
  <c r="AG59" i="127"/>
  <c r="AF59" i="127"/>
  <c r="AE59" i="127"/>
  <c r="AD59" i="127"/>
  <c r="AC59" i="127"/>
  <c r="AB59" i="127"/>
  <c r="AA59" i="127"/>
  <c r="Z59" i="127"/>
  <c r="Y59" i="127"/>
  <c r="X59" i="127"/>
  <c r="W59" i="127"/>
  <c r="V59" i="127"/>
  <c r="U59" i="127"/>
  <c r="T59" i="127"/>
  <c r="S59" i="127"/>
  <c r="R59" i="127"/>
  <c r="Q59" i="127"/>
  <c r="P59" i="127"/>
  <c r="O59" i="127"/>
  <c r="N59" i="127"/>
  <c r="M59" i="127"/>
  <c r="L59" i="127"/>
  <c r="K59" i="127"/>
  <c r="J59" i="127"/>
  <c r="I59" i="127"/>
  <c r="H59" i="127"/>
  <c r="G59" i="127"/>
  <c r="F59" i="127"/>
  <c r="E59" i="127"/>
  <c r="D59" i="127"/>
  <c r="BQ58" i="127"/>
  <c r="BP58" i="127"/>
  <c r="BQ57" i="127"/>
  <c r="BP57" i="127"/>
  <c r="BQ56" i="127"/>
  <c r="BP56" i="127"/>
  <c r="BQ55" i="127"/>
  <c r="BP55" i="127"/>
  <c r="BQ54" i="127"/>
  <c r="BP54" i="127"/>
  <c r="BQ53" i="127"/>
  <c r="BP53" i="127"/>
  <c r="BQ52" i="127"/>
  <c r="BP52" i="127"/>
  <c r="BQ51" i="127"/>
  <c r="BP51" i="127"/>
  <c r="BQ50" i="127"/>
  <c r="BP50" i="127"/>
  <c r="BQ49" i="127"/>
  <c r="BP49" i="127"/>
  <c r="BQ48" i="127"/>
  <c r="BP48" i="127"/>
  <c r="BQ47" i="127"/>
  <c r="BP47" i="127"/>
  <c r="BQ46" i="127"/>
  <c r="BP46" i="127"/>
  <c r="BQ45" i="127"/>
  <c r="BP45" i="127"/>
  <c r="BQ44" i="127"/>
  <c r="BP44" i="127"/>
  <c r="BQ43" i="127"/>
  <c r="BP43" i="127"/>
  <c r="BP42" i="127"/>
  <c r="BQ41" i="127"/>
  <c r="BP41" i="127"/>
  <c r="BQ40" i="127"/>
  <c r="BP40" i="127"/>
  <c r="BP39" i="127"/>
  <c r="BQ38" i="127"/>
  <c r="BP38" i="127"/>
  <c r="BQ37" i="127"/>
  <c r="BP37" i="127"/>
  <c r="BQ36" i="127"/>
  <c r="BP36" i="127"/>
  <c r="BQ35" i="127"/>
  <c r="BP35" i="127"/>
  <c r="BQ34" i="127"/>
  <c r="BP34" i="127"/>
  <c r="BQ33" i="127"/>
  <c r="BP33" i="127"/>
  <c r="BQ32" i="127"/>
  <c r="BP32" i="127"/>
  <c r="BQ31" i="127"/>
  <c r="BP31" i="127"/>
  <c r="BQ30" i="127"/>
  <c r="BP30" i="127"/>
  <c r="BQ29" i="127"/>
  <c r="BP29" i="127"/>
  <c r="BQ28" i="127"/>
  <c r="BP28" i="127"/>
  <c r="A28" i="127"/>
  <c r="A29" i="127" s="1"/>
  <c r="A30" i="127" s="1"/>
  <c r="A31" i="127" s="1"/>
  <c r="A32" i="127" s="1"/>
  <c r="A33" i="127" s="1"/>
  <c r="A34" i="127" s="1"/>
  <c r="A35" i="127" s="1"/>
  <c r="A36" i="127" s="1"/>
  <c r="A37" i="127" s="1"/>
  <c r="A38" i="127" s="1"/>
  <c r="A39" i="127" s="1"/>
  <c r="A40" i="127" s="1"/>
  <c r="A41" i="127" s="1"/>
  <c r="A42" i="127" s="1"/>
  <c r="A43" i="127" s="1"/>
  <c r="A44" i="127" s="1"/>
  <c r="A45" i="127" s="1"/>
  <c r="A46" i="127" s="1"/>
  <c r="A47" i="127" s="1"/>
  <c r="A48" i="127" s="1"/>
  <c r="A49" i="127" s="1"/>
  <c r="A50" i="127" s="1"/>
  <c r="A51" i="127" s="1"/>
  <c r="A52" i="127" s="1"/>
  <c r="A53" i="127" s="1"/>
  <c r="A54" i="127" s="1"/>
  <c r="A55" i="127" s="1"/>
  <c r="A56" i="127" s="1"/>
  <c r="A57" i="127" s="1"/>
  <c r="BQ27" i="127"/>
  <c r="BP27" i="127"/>
  <c r="BQ26" i="127"/>
  <c r="BP26" i="127"/>
  <c r="BQ25" i="127"/>
  <c r="BP25" i="127"/>
  <c r="BQ24" i="127"/>
  <c r="BP24" i="127"/>
  <c r="BQ23" i="127"/>
  <c r="BP23" i="127"/>
  <c r="BQ22" i="127"/>
  <c r="BP22" i="127"/>
  <c r="BQ21" i="127"/>
  <c r="BP21" i="127"/>
  <c r="BQ20" i="127"/>
  <c r="BP20" i="127"/>
  <c r="BQ19" i="127"/>
  <c r="BP19" i="127"/>
  <c r="BQ18" i="127"/>
  <c r="BP18" i="127"/>
  <c r="BQ17" i="127"/>
  <c r="BP17" i="127"/>
  <c r="BQ16" i="127"/>
  <c r="BP16" i="127"/>
  <c r="BQ15" i="127"/>
  <c r="BP15" i="127"/>
  <c r="BQ14" i="127"/>
  <c r="BP14" i="127"/>
  <c r="BQ13" i="127"/>
  <c r="BP13" i="127"/>
  <c r="BQ12" i="127"/>
  <c r="BP12" i="127"/>
  <c r="BQ11" i="127"/>
  <c r="BP11" i="127"/>
  <c r="BQ10" i="127"/>
  <c r="BP10" i="127"/>
  <c r="H3" i="127"/>
  <c r="J8" i="125"/>
  <c r="G8" i="125"/>
  <c r="D8" i="125"/>
  <c r="J7" i="125"/>
  <c r="G7" i="125"/>
  <c r="D7" i="125"/>
  <c r="J6" i="125"/>
  <c r="G6" i="125"/>
  <c r="G5" i="125" s="1"/>
  <c r="D6" i="125"/>
  <c r="D5" i="125" s="1"/>
  <c r="E6" i="124"/>
  <c r="J5" i="125" l="1"/>
  <c r="BP59" i="127"/>
  <c r="E5" i="124"/>
  <c r="BQ59" i="127"/>
  <c r="A16" i="121" l="1"/>
  <c r="R158" i="120"/>
  <c r="N158" i="120"/>
  <c r="R138" i="120"/>
  <c r="N138" i="120"/>
  <c r="R131" i="120"/>
  <c r="N131" i="120"/>
  <c r="R125" i="120"/>
  <c r="N125" i="120"/>
  <c r="R120" i="120"/>
  <c r="N120" i="120"/>
  <c r="R112" i="120"/>
  <c r="N112" i="120"/>
  <c r="R110" i="120"/>
  <c r="N110" i="120"/>
  <c r="R104" i="120"/>
  <c r="N104" i="120"/>
  <c r="R99" i="120"/>
  <c r="N99" i="120"/>
  <c r="R92" i="120"/>
  <c r="N92" i="120"/>
  <c r="R88" i="120"/>
  <c r="N88" i="120"/>
  <c r="R41" i="120"/>
  <c r="N41" i="120"/>
  <c r="R21" i="120"/>
  <c r="N21" i="120"/>
  <c r="R13" i="120"/>
  <c r="N13" i="120"/>
  <c r="E4" i="120"/>
  <c r="S268" i="118"/>
  <c r="O268" i="118"/>
  <c r="S260" i="118"/>
  <c r="O260" i="118"/>
  <c r="S245" i="118"/>
  <c r="O245" i="118"/>
  <c r="S240" i="118"/>
  <c r="O240" i="118"/>
  <c r="S233" i="118"/>
  <c r="O233" i="118"/>
  <c r="S212" i="118"/>
  <c r="O212" i="118"/>
  <c r="S202" i="118"/>
  <c r="O202" i="118"/>
  <c r="S197" i="118"/>
  <c r="O197" i="118"/>
  <c r="S193" i="118"/>
  <c r="O193" i="118"/>
  <c r="S180" i="118"/>
  <c r="O180" i="118"/>
  <c r="S176" i="118"/>
  <c r="O176" i="118"/>
  <c r="S129" i="118"/>
  <c r="O129" i="118"/>
  <c r="S124" i="118"/>
  <c r="O124" i="118"/>
  <c r="S105" i="118"/>
  <c r="O105" i="118"/>
  <c r="S67" i="118"/>
  <c r="O67" i="118"/>
  <c r="O26" i="118"/>
  <c r="S24" i="118"/>
  <c r="S26" i="118" s="1"/>
  <c r="O24" i="118"/>
  <c r="S14" i="118"/>
  <c r="O14" i="118"/>
  <c r="E4" i="118"/>
  <c r="S145" i="117"/>
  <c r="O145" i="117"/>
  <c r="S143" i="117"/>
  <c r="O143" i="117"/>
  <c r="S138" i="117"/>
  <c r="O138" i="117"/>
  <c r="S135" i="117"/>
  <c r="O135" i="117"/>
  <c r="S132" i="117"/>
  <c r="O132" i="117"/>
  <c r="S129" i="117"/>
  <c r="O129" i="117"/>
  <c r="S120" i="117"/>
  <c r="O120" i="117"/>
  <c r="S115" i="117"/>
  <c r="O115" i="117"/>
  <c r="S98" i="117"/>
  <c r="O98" i="117"/>
  <c r="S89" i="117"/>
  <c r="O89" i="117"/>
  <c r="O86" i="117"/>
  <c r="S81" i="117"/>
  <c r="S86" i="117" s="1"/>
  <c r="S78" i="117"/>
  <c r="O78" i="117"/>
  <c r="O81" i="117" s="1"/>
  <c r="S71" i="117"/>
  <c r="O71" i="117"/>
  <c r="S59" i="117"/>
  <c r="R59" i="117"/>
  <c r="O59" i="117"/>
  <c r="S26" i="117"/>
  <c r="O26" i="117"/>
  <c r="S24" i="117"/>
  <c r="O24" i="117"/>
  <c r="S21" i="117"/>
  <c r="O21" i="117"/>
  <c r="S12" i="117"/>
  <c r="O12" i="117"/>
  <c r="E4" i="117"/>
  <c r="N161" i="120" l="1"/>
  <c r="R161" i="120"/>
  <c r="S271" i="118"/>
  <c r="O271" i="118"/>
  <c r="O175" i="117"/>
  <c r="S175" i="117"/>
  <c r="H5" i="121"/>
  <c r="R71" i="117"/>
  <c r="S273" i="118" l="1"/>
  <c r="S177" i="117"/>
  <c r="R163" i="120"/>
  <c r="R78" i="117"/>
  <c r="R89" i="117" s="1"/>
  <c r="AF76" i="113"/>
  <c r="AE76" i="113"/>
  <c r="AF86" i="113"/>
  <c r="AE86" i="113"/>
  <c r="AF83" i="113"/>
  <c r="AE83" i="113"/>
  <c r="AF82" i="113"/>
  <c r="AE82" i="113"/>
  <c r="AF80" i="113"/>
  <c r="AE80" i="113"/>
  <c r="AF78" i="113"/>
  <c r="AE78" i="113"/>
  <c r="AF77" i="113"/>
  <c r="AE77" i="113"/>
  <c r="AF74" i="113"/>
  <c r="AE74" i="113"/>
  <c r="AF73" i="113"/>
  <c r="AE73" i="113"/>
  <c r="AF72" i="113"/>
  <c r="AE72" i="113"/>
  <c r="AF71" i="113"/>
  <c r="AE71" i="113"/>
  <c r="AF70" i="113"/>
  <c r="AE70" i="113"/>
  <c r="AF69" i="113"/>
  <c r="AE69" i="113"/>
  <c r="AF68" i="113"/>
  <c r="AE68" i="113"/>
  <c r="AF67" i="113"/>
  <c r="AE67" i="113"/>
  <c r="AF66" i="113"/>
  <c r="AE66" i="113"/>
  <c r="AF65" i="113"/>
  <c r="AE65" i="113"/>
  <c r="AF64" i="113"/>
  <c r="AE64" i="113"/>
  <c r="AF63" i="113"/>
  <c r="AE63" i="113"/>
  <c r="AF62" i="113"/>
  <c r="AE62" i="113"/>
  <c r="AF61" i="113"/>
  <c r="AE61" i="113"/>
  <c r="AE60" i="113"/>
  <c r="AE59" i="113"/>
  <c r="AF58" i="113"/>
  <c r="AE58" i="113"/>
  <c r="AF57" i="113"/>
  <c r="AE57" i="113"/>
  <c r="AF56" i="113"/>
  <c r="AE56" i="113"/>
  <c r="AF55" i="113"/>
  <c r="AE55" i="113"/>
  <c r="AF54" i="113"/>
  <c r="AE54" i="113"/>
  <c r="AF53" i="113"/>
  <c r="AE53" i="113"/>
  <c r="AF51" i="113"/>
  <c r="AE51" i="113"/>
  <c r="AF50" i="113"/>
  <c r="AE50" i="113"/>
  <c r="AF49" i="113"/>
  <c r="AE49" i="113"/>
  <c r="AF48" i="113"/>
  <c r="AE48" i="113"/>
  <c r="AF47" i="113"/>
  <c r="AE47" i="113"/>
  <c r="AF46" i="113"/>
  <c r="AE46" i="113"/>
  <c r="AF45" i="113"/>
  <c r="AE45" i="113"/>
  <c r="AF44" i="113"/>
  <c r="AE44" i="113"/>
  <c r="AF43" i="113"/>
  <c r="AE43" i="113"/>
  <c r="AF42" i="113"/>
  <c r="AE42" i="113"/>
  <c r="AF41" i="113"/>
  <c r="AE41" i="113"/>
  <c r="AF40" i="113"/>
  <c r="AE40" i="113"/>
  <c r="AF38" i="113"/>
  <c r="AE38" i="113"/>
  <c r="AF37" i="113"/>
  <c r="AE37" i="113"/>
  <c r="AF36" i="113"/>
  <c r="AE36" i="113"/>
  <c r="AF35" i="113"/>
  <c r="AE35" i="113"/>
  <c r="AF34" i="113"/>
  <c r="AE34" i="113"/>
  <c r="AF33" i="113"/>
  <c r="AE33" i="113"/>
  <c r="AF32" i="113"/>
  <c r="AE32" i="113"/>
  <c r="AF31" i="113"/>
  <c r="AE31" i="113"/>
  <c r="AF30" i="113"/>
  <c r="AE30" i="113"/>
  <c r="AF29" i="113"/>
  <c r="AE29" i="113"/>
  <c r="AF28" i="113"/>
  <c r="AE28" i="113"/>
  <c r="AF27" i="113"/>
  <c r="AE27" i="113"/>
  <c r="AF26" i="113"/>
  <c r="AE26" i="113"/>
  <c r="AF25" i="113"/>
  <c r="AE25" i="113"/>
  <c r="AF24" i="113"/>
  <c r="AE24" i="113"/>
  <c r="AF23" i="113"/>
  <c r="AE23" i="113"/>
  <c r="AF22" i="113"/>
  <c r="AE22" i="113"/>
  <c r="AF20" i="113"/>
  <c r="AE20" i="113"/>
  <c r="AF19" i="113"/>
  <c r="AE19" i="113"/>
  <c r="AF16" i="113"/>
  <c r="AE16" i="113"/>
  <c r="AF15" i="113"/>
  <c r="AE15" i="113"/>
  <c r="AF14" i="113"/>
  <c r="AE14" i="113"/>
  <c r="AF13" i="113"/>
  <c r="AE13" i="113"/>
  <c r="AF12" i="113"/>
  <c r="AE12" i="113"/>
  <c r="AF11" i="113"/>
  <c r="AE11" i="113"/>
  <c r="AF10" i="113"/>
  <c r="AE10" i="113"/>
  <c r="AF9" i="113"/>
  <c r="AE9" i="113"/>
  <c r="G3" i="113"/>
  <c r="AF10" i="110" l="1"/>
  <c r="AE10" i="110"/>
  <c r="AF9" i="110"/>
  <c r="AE9" i="110"/>
  <c r="AF8" i="110"/>
  <c r="AE8" i="110"/>
  <c r="AF7" i="110"/>
  <c r="AE7" i="110"/>
  <c r="AF6" i="110"/>
  <c r="AE6" i="110"/>
  <c r="AE11" i="109"/>
  <c r="AF10" i="109"/>
  <c r="AE10" i="109"/>
  <c r="AF9" i="109"/>
  <c r="AE9" i="109"/>
  <c r="AF8" i="109"/>
  <c r="AE8" i="109"/>
  <c r="AF7" i="109"/>
  <c r="AE7" i="109"/>
  <c r="AG10" i="110" l="1"/>
  <c r="AG6" i="110"/>
  <c r="AG7" i="110"/>
  <c r="AG9" i="110"/>
  <c r="AG8" i="110"/>
  <c r="H11" i="57"/>
  <c r="C11" i="57"/>
  <c r="O79" i="56"/>
  <c r="O78" i="56"/>
  <c r="O77" i="56"/>
  <c r="O76" i="56"/>
  <c r="O74" i="56"/>
  <c r="O73" i="56"/>
  <c r="O72" i="56"/>
  <c r="O71" i="56"/>
  <c r="O70" i="56"/>
  <c r="O69" i="56"/>
  <c r="O68" i="56"/>
  <c r="O67" i="56"/>
  <c r="O66" i="56"/>
  <c r="O65" i="56"/>
  <c r="O64" i="56"/>
  <c r="O63" i="56"/>
  <c r="O62" i="56"/>
  <c r="O61" i="56"/>
  <c r="O60" i="56"/>
  <c r="O59" i="56"/>
  <c r="O58" i="56"/>
  <c r="O57" i="56"/>
  <c r="O56" i="56"/>
  <c r="O55" i="56"/>
  <c r="O54" i="56"/>
  <c r="O53" i="56"/>
  <c r="O52" i="56"/>
  <c r="O51" i="56"/>
  <c r="O50" i="56"/>
  <c r="O49" i="56"/>
  <c r="O48" i="56"/>
  <c r="O47" i="56"/>
  <c r="O46" i="56"/>
  <c r="O45" i="56"/>
  <c r="O44" i="56"/>
  <c r="O43" i="56"/>
  <c r="O42" i="56"/>
  <c r="O41" i="56"/>
  <c r="O40" i="56"/>
  <c r="O39" i="56"/>
  <c r="O38" i="56"/>
  <c r="O37" i="56"/>
  <c r="O36" i="56"/>
  <c r="O35" i="56"/>
  <c r="O34" i="56"/>
  <c r="O33" i="56"/>
  <c r="O32" i="56"/>
  <c r="O31" i="56"/>
  <c r="O30" i="56"/>
  <c r="O29" i="56"/>
  <c r="O28" i="56"/>
  <c r="O27" i="56"/>
  <c r="O26" i="56"/>
  <c r="O25" i="56"/>
  <c r="O24" i="56"/>
  <c r="O23" i="56"/>
  <c r="O22" i="56"/>
  <c r="O21" i="56"/>
  <c r="O20" i="56"/>
  <c r="O19" i="56"/>
  <c r="O18" i="56"/>
  <c r="O17" i="56"/>
  <c r="O16" i="56"/>
  <c r="O15" i="56"/>
  <c r="O14" i="56"/>
  <c r="O13" i="56"/>
  <c r="O12" i="56"/>
  <c r="O11" i="56"/>
  <c r="O10" i="56"/>
  <c r="O9" i="56"/>
  <c r="O8" i="56"/>
  <c r="O7" i="56"/>
  <c r="C2566" i="51" l="1"/>
  <c r="C2565" i="51"/>
  <c r="C2564" i="51"/>
  <c r="C2563" i="51"/>
  <c r="C2562" i="51"/>
  <c r="C2561" i="51"/>
  <c r="C2560" i="51"/>
  <c r="C2559" i="51"/>
  <c r="C2558" i="51"/>
  <c r="C2557" i="51"/>
  <c r="C2556" i="51"/>
  <c r="C2555" i="51"/>
  <c r="C2554" i="51"/>
  <c r="C2553" i="51"/>
  <c r="C2552" i="51"/>
  <c r="C2551" i="51"/>
  <c r="C2550" i="51"/>
  <c r="C2549" i="51"/>
  <c r="C2548" i="51"/>
  <c r="C2547" i="51"/>
  <c r="C2546" i="51"/>
  <c r="C2545" i="51"/>
  <c r="C2544" i="51"/>
  <c r="C2543" i="51"/>
  <c r="C2542" i="51"/>
  <c r="C2541" i="51"/>
  <c r="C2540" i="51"/>
  <c r="C2539" i="51"/>
  <c r="C2538" i="51"/>
  <c r="C2537" i="51"/>
  <c r="C2536" i="51"/>
  <c r="C2535" i="51"/>
  <c r="C2534" i="51"/>
  <c r="C2533" i="51"/>
  <c r="C2532" i="51"/>
  <c r="C2531" i="51"/>
  <c r="C2530" i="51"/>
  <c r="C2529" i="51"/>
  <c r="C2528" i="51"/>
  <c r="C2527" i="51"/>
  <c r="C2526" i="51"/>
  <c r="C2525" i="51"/>
  <c r="C2524" i="51"/>
  <c r="C2523" i="51"/>
  <c r="C2522" i="51"/>
  <c r="C2521" i="51"/>
  <c r="C2520" i="51"/>
  <c r="C2519" i="51"/>
  <c r="C2518" i="51"/>
  <c r="C2517" i="51"/>
  <c r="C2516" i="51"/>
  <c r="C2515" i="51"/>
  <c r="C2514" i="51"/>
  <c r="C2513" i="51"/>
  <c r="C2512" i="51"/>
  <c r="C2511" i="51"/>
  <c r="C2510" i="51"/>
  <c r="C2509" i="51"/>
  <c r="C2508" i="51"/>
  <c r="C2507" i="51"/>
  <c r="C2506" i="51"/>
  <c r="C2505" i="51"/>
  <c r="C2504" i="51"/>
  <c r="C2503" i="51"/>
  <c r="C2502" i="51"/>
  <c r="C2501" i="51"/>
  <c r="C2500" i="51"/>
  <c r="C2499" i="51"/>
  <c r="C2498" i="51"/>
  <c r="C2497" i="51"/>
  <c r="C2496" i="51"/>
  <c r="C2495" i="51"/>
  <c r="C2494" i="51"/>
  <c r="C2493" i="51"/>
  <c r="C2492" i="51"/>
  <c r="C2491" i="51"/>
  <c r="C2490" i="51"/>
  <c r="C2489" i="51"/>
  <c r="C2488" i="51"/>
  <c r="C2487" i="51"/>
  <c r="C2486" i="51"/>
  <c r="C2485" i="51"/>
  <c r="C2484" i="51"/>
  <c r="C2483" i="51"/>
  <c r="C2482" i="51"/>
  <c r="C2481" i="51"/>
  <c r="C2480" i="51"/>
  <c r="C2479" i="51"/>
  <c r="C2478" i="51"/>
  <c r="C2477" i="51"/>
  <c r="C2476" i="51"/>
  <c r="C2475" i="51"/>
  <c r="C2474" i="51"/>
  <c r="C2473" i="51"/>
  <c r="C2472" i="51"/>
  <c r="C2471" i="51"/>
  <c r="C2470" i="51"/>
  <c r="C2469" i="51"/>
  <c r="C2468" i="51"/>
  <c r="C2467" i="51"/>
  <c r="C2466" i="51"/>
  <c r="C2465" i="51"/>
  <c r="C2464" i="51"/>
  <c r="C2463" i="51"/>
  <c r="C2462" i="51"/>
  <c r="C2461" i="51"/>
  <c r="C2460" i="51"/>
  <c r="C2459" i="51"/>
  <c r="C2458" i="51"/>
  <c r="C2457" i="51"/>
  <c r="C2456" i="51"/>
  <c r="C2455" i="51"/>
  <c r="C2454" i="51"/>
  <c r="C2453" i="51"/>
  <c r="C2452" i="51"/>
  <c r="C2451" i="51"/>
  <c r="C2450" i="51"/>
  <c r="C2449" i="51"/>
  <c r="C2448" i="51"/>
  <c r="C2447" i="51"/>
  <c r="C2446" i="51"/>
  <c r="C2445" i="51"/>
  <c r="C2444" i="51"/>
  <c r="C2443" i="51"/>
  <c r="C2442" i="51"/>
  <c r="C2441" i="51"/>
  <c r="C2440" i="51"/>
  <c r="C2439" i="51"/>
  <c r="C2438" i="51"/>
  <c r="C2437" i="51"/>
  <c r="C2436" i="51"/>
  <c r="C2435" i="51"/>
  <c r="C2434" i="51"/>
  <c r="C2433" i="51"/>
  <c r="C2432" i="51"/>
  <c r="C2431" i="51"/>
  <c r="C2430" i="51"/>
  <c r="C2429" i="51"/>
  <c r="C2428" i="51"/>
  <c r="C2427" i="51"/>
  <c r="C2426" i="51"/>
  <c r="C2425" i="51"/>
  <c r="C2424" i="51"/>
  <c r="C2423" i="51"/>
  <c r="C2422" i="51"/>
  <c r="C2421" i="51"/>
  <c r="C2420" i="51"/>
  <c r="C2419" i="51"/>
  <c r="C2418" i="51"/>
  <c r="C2417" i="51"/>
  <c r="C2416" i="51"/>
  <c r="C2415" i="51"/>
  <c r="C2414" i="51"/>
  <c r="C2413" i="51"/>
  <c r="C2412" i="51"/>
  <c r="C2411" i="51"/>
  <c r="C2410" i="51"/>
  <c r="C2409" i="51"/>
  <c r="C2408" i="51"/>
  <c r="C2407" i="51"/>
  <c r="C2406" i="51"/>
  <c r="C2405" i="51"/>
  <c r="C2404" i="51"/>
  <c r="C2403" i="51"/>
  <c r="C2402" i="51"/>
  <c r="C2401" i="51"/>
  <c r="C2400" i="51"/>
  <c r="C2399" i="51"/>
  <c r="C2398" i="51"/>
  <c r="C2397" i="51"/>
  <c r="C2396" i="51"/>
  <c r="C2395" i="51"/>
  <c r="C2394" i="51"/>
  <c r="C2393" i="51"/>
  <c r="C2392" i="51"/>
  <c r="C2391" i="51"/>
  <c r="C2390" i="51"/>
  <c r="C2389" i="51"/>
  <c r="C2388" i="51"/>
  <c r="C2387" i="51"/>
  <c r="C2386" i="51"/>
  <c r="C2385" i="51"/>
  <c r="C2384" i="51"/>
  <c r="C2383" i="51"/>
  <c r="C2382" i="51"/>
  <c r="C2381" i="51"/>
  <c r="C2380" i="51"/>
  <c r="C2379" i="51"/>
  <c r="C2378" i="51"/>
  <c r="C2377" i="51"/>
  <c r="C2376" i="51"/>
  <c r="C2375" i="51"/>
  <c r="C2374" i="51"/>
  <c r="C2373" i="51"/>
  <c r="C2372" i="51"/>
  <c r="C2371" i="51"/>
  <c r="C2370" i="51"/>
  <c r="C2369" i="51"/>
  <c r="C2368" i="51"/>
  <c r="C2367" i="51"/>
  <c r="C2366" i="51"/>
  <c r="C2365" i="51"/>
  <c r="C2364" i="51"/>
  <c r="C2363" i="51"/>
  <c r="C2362" i="51"/>
  <c r="C2361" i="51"/>
  <c r="C2360" i="51"/>
  <c r="C2359" i="51"/>
  <c r="C2358" i="51"/>
  <c r="C2357" i="51"/>
  <c r="C2356" i="51"/>
  <c r="C2355" i="51"/>
  <c r="C2354" i="51"/>
  <c r="C2353" i="51"/>
  <c r="C2352" i="51"/>
  <c r="C2351" i="51"/>
  <c r="C2350" i="51"/>
  <c r="C2349" i="51"/>
  <c r="C2348" i="51"/>
  <c r="C2347" i="51"/>
  <c r="C2346" i="51"/>
  <c r="C2345" i="51"/>
  <c r="C2344" i="51"/>
  <c r="C2343" i="51"/>
  <c r="C2342" i="51"/>
  <c r="C2341" i="51"/>
  <c r="C2340" i="51"/>
  <c r="C2339" i="51"/>
  <c r="C2338" i="51"/>
  <c r="C2337" i="51"/>
  <c r="C2336" i="51"/>
  <c r="C2335" i="51"/>
  <c r="C2334" i="51"/>
  <c r="C2333" i="51"/>
  <c r="C2332" i="51"/>
  <c r="C2331" i="51"/>
  <c r="C2330" i="51"/>
  <c r="C2329" i="51"/>
  <c r="C2328" i="51"/>
  <c r="C2327" i="51"/>
  <c r="C2326" i="51"/>
  <c r="C2325" i="51"/>
  <c r="C2324" i="51"/>
  <c r="C2323" i="51"/>
  <c r="C2322" i="51"/>
  <c r="C2321" i="51"/>
  <c r="C2320" i="51"/>
  <c r="C2319" i="51"/>
  <c r="C2318" i="51"/>
  <c r="C2317" i="51"/>
  <c r="C2316" i="51"/>
  <c r="C2315" i="51"/>
  <c r="C2314" i="51"/>
  <c r="C2313" i="51"/>
  <c r="C2312" i="51"/>
  <c r="C2311" i="51"/>
  <c r="C2310" i="51"/>
  <c r="C2309" i="51"/>
  <c r="C2308" i="51"/>
  <c r="C2307" i="51"/>
  <c r="C2306" i="51"/>
  <c r="C2305" i="51"/>
  <c r="C2304" i="51"/>
  <c r="C2303" i="51"/>
  <c r="C2302" i="51"/>
  <c r="C2301" i="51"/>
  <c r="C2300" i="51"/>
  <c r="C2299" i="51"/>
  <c r="C2298" i="51"/>
  <c r="C2297" i="51"/>
  <c r="C2296" i="51"/>
  <c r="C2295" i="51"/>
  <c r="C2294" i="51"/>
  <c r="C2293" i="51"/>
  <c r="C2292" i="51"/>
  <c r="C2291" i="51"/>
  <c r="C2290" i="51"/>
  <c r="C2289" i="51"/>
  <c r="C2288" i="51"/>
  <c r="C2287" i="51"/>
  <c r="C2286" i="51"/>
  <c r="C2285" i="51"/>
  <c r="C2284" i="51"/>
  <c r="C2283" i="51"/>
  <c r="C2282" i="51"/>
  <c r="C2281" i="51"/>
  <c r="C2280" i="51"/>
  <c r="C2279" i="51"/>
  <c r="C2278" i="51"/>
  <c r="C2277" i="51"/>
  <c r="C2276" i="51"/>
  <c r="C2275" i="51"/>
  <c r="C2274" i="51"/>
  <c r="C2273" i="51"/>
  <c r="C2272" i="51"/>
  <c r="C2271" i="51"/>
  <c r="C2270" i="51"/>
  <c r="C2269" i="51"/>
  <c r="C2268" i="51"/>
  <c r="C2267" i="51"/>
  <c r="C2266" i="51"/>
  <c r="C2265" i="51"/>
  <c r="C2264" i="51"/>
  <c r="C2263" i="51"/>
  <c r="C2262" i="51"/>
  <c r="C2261" i="51"/>
  <c r="C2260" i="51"/>
  <c r="C2259" i="51"/>
  <c r="C2258" i="51"/>
  <c r="C2257" i="51"/>
  <c r="C2256" i="51"/>
  <c r="C2255" i="51"/>
  <c r="C2254" i="51"/>
  <c r="C2253" i="51"/>
  <c r="C2252" i="51"/>
  <c r="C2251" i="51"/>
  <c r="C2250" i="51"/>
  <c r="C2249" i="51"/>
  <c r="C2248" i="51"/>
  <c r="C2247" i="51"/>
  <c r="C2246" i="51"/>
  <c r="C2245" i="51"/>
  <c r="C2244" i="51"/>
  <c r="C2243" i="51"/>
  <c r="C2242" i="51"/>
  <c r="C2241" i="51"/>
  <c r="C2240" i="51"/>
  <c r="C2239" i="51"/>
  <c r="C2238" i="51"/>
  <c r="C2237" i="51"/>
  <c r="C2236" i="51"/>
  <c r="C2235" i="51"/>
  <c r="C2234" i="51"/>
  <c r="C2233" i="51"/>
  <c r="C2232" i="51"/>
  <c r="C2231" i="51"/>
  <c r="C2230" i="51"/>
  <c r="C2229" i="51"/>
  <c r="C2228" i="51"/>
  <c r="C2227" i="51"/>
  <c r="C2226" i="51"/>
  <c r="C2225" i="51"/>
  <c r="C2224" i="51"/>
  <c r="C2223" i="51"/>
  <c r="C2222" i="51"/>
  <c r="C2221" i="51"/>
  <c r="C2220" i="51"/>
  <c r="C2219" i="51"/>
  <c r="C2218" i="51"/>
  <c r="C2217" i="51"/>
  <c r="C2216" i="51"/>
  <c r="C2215" i="51"/>
  <c r="C2214" i="51"/>
  <c r="C2213" i="51"/>
  <c r="C2212" i="51"/>
  <c r="C2211" i="51"/>
  <c r="C2210" i="51"/>
  <c r="C2209" i="51"/>
  <c r="C2208" i="51"/>
  <c r="C2207" i="51"/>
  <c r="C2206" i="51"/>
  <c r="C2205" i="51"/>
  <c r="C2204" i="51"/>
  <c r="C2203" i="51"/>
  <c r="C2202" i="51"/>
  <c r="C2201" i="51"/>
  <c r="C2200" i="51"/>
  <c r="C2199" i="51"/>
  <c r="C2198" i="51"/>
  <c r="C2197" i="51"/>
  <c r="C2196" i="51"/>
  <c r="C2195" i="51"/>
  <c r="C2194" i="51"/>
  <c r="C2193" i="51"/>
  <c r="C2192" i="51"/>
  <c r="C2191" i="51"/>
  <c r="C2190" i="51"/>
  <c r="C2189" i="51"/>
  <c r="C2188" i="51"/>
  <c r="C2187" i="51"/>
  <c r="C2186" i="51"/>
  <c r="C2185" i="51"/>
  <c r="C2184" i="51"/>
  <c r="C2183" i="51"/>
  <c r="C2182" i="51"/>
  <c r="C2181" i="51"/>
  <c r="C2180" i="51"/>
  <c r="C2179" i="51"/>
  <c r="C2178" i="51"/>
  <c r="C2177" i="51"/>
  <c r="C2176" i="51"/>
  <c r="C2175" i="51"/>
  <c r="C2174" i="51"/>
  <c r="C2173" i="51"/>
  <c r="C2172" i="51"/>
  <c r="C2171" i="51"/>
  <c r="C2170" i="51"/>
  <c r="C2169" i="51"/>
  <c r="C2168" i="51"/>
  <c r="C2167" i="51"/>
  <c r="C2166" i="51"/>
  <c r="C2165" i="51"/>
  <c r="C2164" i="51"/>
  <c r="C2163" i="51"/>
  <c r="C2162" i="51"/>
  <c r="C2161" i="51"/>
  <c r="C2160" i="51"/>
  <c r="C2159" i="51"/>
  <c r="C2158" i="51"/>
  <c r="C2157" i="51"/>
  <c r="C2156" i="51"/>
  <c r="C2155" i="51"/>
  <c r="C2154" i="51"/>
  <c r="C2153" i="51"/>
  <c r="C2152" i="51"/>
  <c r="C2151" i="51"/>
  <c r="C2150" i="51"/>
  <c r="C2149" i="51"/>
  <c r="C2148" i="51"/>
  <c r="C2147" i="51"/>
  <c r="C2146" i="51"/>
  <c r="C2145" i="51"/>
  <c r="C2144" i="51"/>
  <c r="C2143" i="51"/>
  <c r="C2142" i="51"/>
  <c r="C2141" i="51"/>
  <c r="C2140" i="51"/>
  <c r="C2139" i="51"/>
  <c r="C2138" i="51"/>
  <c r="C2137" i="51"/>
  <c r="C2136" i="51"/>
  <c r="C2135" i="51"/>
  <c r="C2134" i="51"/>
  <c r="C2133" i="51"/>
  <c r="C2132" i="51"/>
  <c r="C2131" i="51"/>
  <c r="C2130" i="51"/>
  <c r="C2129" i="51"/>
  <c r="C2128" i="51"/>
  <c r="C2127" i="51"/>
  <c r="C2126" i="51"/>
  <c r="C2125" i="51"/>
  <c r="C2124" i="51"/>
  <c r="C2123" i="51"/>
  <c r="C2122" i="51"/>
  <c r="C2121" i="51"/>
  <c r="C2120" i="51"/>
  <c r="C2119" i="51"/>
  <c r="C2118" i="51"/>
  <c r="C2117" i="51"/>
  <c r="C2116" i="51"/>
  <c r="C2115" i="51"/>
  <c r="C2114" i="51"/>
  <c r="C2113" i="51"/>
  <c r="C2112" i="51"/>
  <c r="C2111" i="51"/>
  <c r="C2110" i="51"/>
  <c r="C2109" i="51"/>
  <c r="C2108" i="51"/>
  <c r="C2107" i="51"/>
  <c r="C2106" i="51"/>
  <c r="C2105" i="51"/>
  <c r="C2104" i="51"/>
  <c r="C2103" i="51"/>
  <c r="C2102" i="51"/>
  <c r="C2101" i="51"/>
  <c r="C2100" i="51"/>
  <c r="C2099" i="51"/>
  <c r="C2098" i="51"/>
  <c r="C2097" i="51"/>
  <c r="C2096" i="51"/>
  <c r="C2095" i="51"/>
  <c r="C2094" i="51"/>
  <c r="C2093" i="51"/>
  <c r="C2092" i="51"/>
  <c r="C2091" i="51"/>
  <c r="C2090" i="51"/>
  <c r="C2089" i="51"/>
  <c r="C2088" i="51"/>
  <c r="C2087" i="51"/>
  <c r="C2086" i="51"/>
  <c r="C2085" i="51"/>
  <c r="C2084" i="51"/>
  <c r="C2083" i="51"/>
  <c r="C2082" i="51"/>
  <c r="C2081" i="51"/>
  <c r="C2080" i="51"/>
  <c r="C2079" i="51"/>
  <c r="C2078" i="51"/>
  <c r="C2077" i="51"/>
  <c r="C2076" i="51"/>
  <c r="C2075" i="51"/>
  <c r="C2074" i="51"/>
  <c r="C2073" i="51"/>
  <c r="C2072" i="51"/>
  <c r="C2071" i="51"/>
  <c r="C2070" i="51"/>
  <c r="C2069" i="51"/>
  <c r="C2068" i="51"/>
  <c r="C2067" i="51"/>
  <c r="C2066" i="51"/>
  <c r="C2065" i="51"/>
  <c r="C2064" i="51"/>
  <c r="C2063" i="51"/>
  <c r="C2062" i="51"/>
  <c r="C2061" i="51"/>
  <c r="C2060" i="51"/>
  <c r="C2059" i="51"/>
  <c r="C2058" i="51"/>
  <c r="C2057" i="51"/>
  <c r="C2056" i="51"/>
  <c r="C2055" i="51"/>
  <c r="C2054" i="51"/>
  <c r="C2053" i="51"/>
  <c r="C2052" i="51"/>
  <c r="C2051" i="51"/>
  <c r="C2050" i="51"/>
  <c r="C2049" i="51"/>
  <c r="C2048" i="51"/>
  <c r="C2047" i="51"/>
  <c r="C2046" i="51"/>
  <c r="C2045" i="51"/>
  <c r="C2044" i="51"/>
  <c r="C2043" i="51"/>
  <c r="C2042" i="51"/>
  <c r="C2041" i="51"/>
  <c r="C2040" i="51"/>
  <c r="C2039" i="51"/>
  <c r="C2038" i="51"/>
  <c r="C2037" i="51"/>
  <c r="C2036" i="51"/>
  <c r="C2035" i="51"/>
  <c r="C2034" i="51"/>
  <c r="C2033" i="51"/>
  <c r="C2032" i="51"/>
  <c r="C2031" i="51"/>
  <c r="C2030" i="51"/>
  <c r="C2029" i="51"/>
  <c r="C2028" i="51"/>
  <c r="C2027" i="51"/>
  <c r="C2026" i="51"/>
  <c r="C2025" i="51"/>
  <c r="C2024" i="51"/>
  <c r="C2023" i="51"/>
  <c r="C2022" i="51"/>
  <c r="C2021" i="51"/>
  <c r="C2020" i="51"/>
  <c r="C2019" i="51"/>
  <c r="C2018" i="51"/>
  <c r="C2017" i="51"/>
  <c r="C2016" i="51"/>
  <c r="C2015" i="51"/>
  <c r="C2014" i="51"/>
  <c r="C2013" i="51"/>
  <c r="C2012" i="51"/>
  <c r="C2011" i="51"/>
  <c r="C2010" i="51"/>
  <c r="C2009" i="51"/>
  <c r="C2008" i="51"/>
  <c r="C2007" i="51"/>
  <c r="C2006" i="51"/>
  <c r="C2005" i="51"/>
  <c r="C2004" i="51"/>
  <c r="C2003" i="51"/>
  <c r="C2002" i="51"/>
  <c r="C2001" i="51"/>
  <c r="C2000" i="51"/>
  <c r="C1999" i="51"/>
  <c r="C1998" i="51"/>
  <c r="C1997" i="51"/>
  <c r="C1996" i="51"/>
  <c r="C1995" i="51"/>
  <c r="C1994" i="51"/>
  <c r="C1993" i="51"/>
  <c r="C1992" i="51"/>
  <c r="C1991" i="51"/>
  <c r="C1990" i="51"/>
  <c r="C1989" i="51"/>
  <c r="C1988" i="51"/>
  <c r="C1987" i="51"/>
  <c r="C1986" i="51"/>
  <c r="C1985" i="51"/>
  <c r="C1984" i="51"/>
  <c r="C1983" i="51"/>
  <c r="C1982" i="51"/>
  <c r="C1981" i="51"/>
  <c r="C1980" i="51"/>
  <c r="C1979" i="51"/>
  <c r="C1978" i="51"/>
  <c r="C1977" i="51"/>
  <c r="C1976" i="51"/>
  <c r="C1975" i="51"/>
  <c r="C1974" i="51"/>
  <c r="C1973" i="51"/>
  <c r="C1972" i="51"/>
  <c r="C1971" i="51"/>
  <c r="C1970" i="51"/>
  <c r="C1969" i="51"/>
  <c r="C1968" i="51"/>
  <c r="C1967" i="51"/>
  <c r="C1966" i="51"/>
  <c r="C1965" i="51"/>
  <c r="C1964" i="51"/>
  <c r="C1963" i="51"/>
  <c r="C1962" i="51"/>
  <c r="C1961" i="51"/>
  <c r="C1960" i="51"/>
  <c r="C1959" i="51"/>
  <c r="C1958" i="51"/>
  <c r="C1957" i="51"/>
  <c r="C1956" i="51"/>
  <c r="C1955" i="51"/>
  <c r="C1954" i="51"/>
  <c r="C1953" i="51"/>
  <c r="C1952" i="51"/>
  <c r="C1951" i="51"/>
  <c r="C1950" i="51"/>
  <c r="C1949" i="51"/>
  <c r="C1948" i="51"/>
  <c r="C1947" i="51"/>
  <c r="C1946" i="51"/>
  <c r="C1945" i="51"/>
  <c r="C1944" i="51"/>
  <c r="C1943" i="51"/>
  <c r="C1942" i="51"/>
  <c r="C1941" i="51"/>
  <c r="C1940" i="51"/>
  <c r="C1939" i="51"/>
  <c r="C1938" i="51"/>
  <c r="C1937" i="51"/>
  <c r="C1936" i="51"/>
  <c r="C1935" i="51"/>
  <c r="C1934" i="51"/>
  <c r="C1933" i="51"/>
  <c r="C1932" i="51"/>
  <c r="C1931" i="51"/>
  <c r="C1930" i="51"/>
  <c r="C1929" i="51"/>
  <c r="C1928" i="51"/>
  <c r="C1927" i="51"/>
  <c r="C1926" i="51"/>
  <c r="C1925" i="51"/>
  <c r="C1924" i="51"/>
  <c r="C1923" i="51"/>
  <c r="C1922" i="51"/>
  <c r="C1921" i="51"/>
  <c r="C1920" i="51"/>
  <c r="C1919" i="51"/>
  <c r="C1918" i="51"/>
  <c r="C1917" i="51"/>
  <c r="C1916" i="51"/>
  <c r="C1915" i="51"/>
  <c r="C1914" i="51"/>
  <c r="C1913" i="51"/>
  <c r="C1912" i="51"/>
  <c r="C1911" i="51"/>
  <c r="C1910" i="51"/>
  <c r="C1909" i="51"/>
  <c r="C1908" i="51"/>
  <c r="C1907" i="51"/>
  <c r="C1906" i="51"/>
  <c r="C1905" i="51"/>
  <c r="C1904" i="51"/>
  <c r="C1903" i="51"/>
  <c r="C1902" i="51"/>
  <c r="C1901" i="51"/>
  <c r="C1900" i="51"/>
  <c r="C1899" i="51"/>
  <c r="C1898" i="51"/>
  <c r="C1897" i="51"/>
  <c r="C1896" i="51"/>
  <c r="C1895" i="51"/>
  <c r="C1894" i="51"/>
  <c r="C1893" i="51"/>
  <c r="C1892" i="51"/>
  <c r="C1891" i="51"/>
  <c r="C1890" i="51"/>
  <c r="C1889" i="51"/>
  <c r="C1888" i="51"/>
  <c r="C1887" i="51"/>
  <c r="C1886" i="51"/>
  <c r="C1885" i="51"/>
  <c r="C1884" i="51"/>
  <c r="C1883" i="51"/>
  <c r="C1882" i="51"/>
  <c r="C1881" i="51"/>
  <c r="C1880" i="51"/>
  <c r="C1879" i="51"/>
  <c r="C1878" i="51"/>
  <c r="C1877" i="51"/>
  <c r="C1876" i="51"/>
  <c r="C1875" i="51"/>
  <c r="C1874" i="51"/>
  <c r="C1873" i="51"/>
  <c r="C1872" i="51"/>
  <c r="C1871" i="51"/>
  <c r="C1870" i="51"/>
  <c r="C1869" i="51"/>
  <c r="C1868" i="51"/>
  <c r="C1867" i="51"/>
  <c r="C1866" i="51"/>
  <c r="C1865" i="51"/>
  <c r="C1864" i="51"/>
  <c r="C1863" i="51"/>
  <c r="C1862" i="51"/>
  <c r="C1861" i="51"/>
  <c r="C1860" i="51"/>
  <c r="C1859" i="51"/>
  <c r="C1858" i="51"/>
  <c r="C1857" i="51"/>
  <c r="C1856" i="51"/>
  <c r="C1855" i="51"/>
  <c r="C1854" i="51"/>
  <c r="C1853" i="51"/>
  <c r="C1852" i="51"/>
  <c r="C1851" i="51"/>
  <c r="C1850" i="51"/>
  <c r="C1849" i="51"/>
  <c r="C1848" i="51"/>
  <c r="C1847" i="51"/>
  <c r="C1846" i="51"/>
  <c r="C1845" i="51"/>
  <c r="C1844" i="51"/>
  <c r="C1843" i="51"/>
  <c r="C1842" i="51"/>
  <c r="C1841" i="51"/>
  <c r="C1840" i="51"/>
  <c r="C1839" i="51"/>
  <c r="C1838" i="51"/>
  <c r="C1837" i="51"/>
  <c r="C1836" i="51"/>
  <c r="C1835" i="51"/>
  <c r="C1834" i="51"/>
  <c r="C1833" i="51"/>
  <c r="C1832" i="51"/>
  <c r="C1831" i="51"/>
  <c r="C1830" i="51"/>
  <c r="C1829" i="51"/>
  <c r="C1828" i="51"/>
  <c r="C1827" i="51"/>
  <c r="C1826" i="51"/>
  <c r="C1825" i="51"/>
  <c r="C1824" i="51"/>
  <c r="C1823" i="51"/>
  <c r="C1822" i="51"/>
  <c r="C1821" i="51"/>
  <c r="C1820" i="51"/>
  <c r="C1819" i="51"/>
  <c r="C1818" i="51"/>
  <c r="C1817" i="51"/>
  <c r="C1816" i="51"/>
  <c r="C1815" i="51"/>
  <c r="C1814" i="51"/>
  <c r="C1813" i="51"/>
  <c r="C1812" i="51"/>
  <c r="C1811" i="51"/>
  <c r="C1810" i="51"/>
  <c r="C1809" i="51"/>
  <c r="C1808" i="51"/>
  <c r="C1807" i="51"/>
  <c r="C1806" i="51"/>
  <c r="C1805" i="51"/>
  <c r="C1804" i="51"/>
  <c r="C1803" i="51"/>
  <c r="C1802" i="51"/>
  <c r="C1801" i="51"/>
  <c r="C1800" i="51"/>
  <c r="C1799" i="51"/>
  <c r="C1798" i="51"/>
  <c r="C1797" i="51"/>
  <c r="C1796" i="51"/>
  <c r="C1795" i="51"/>
  <c r="C1794" i="51"/>
  <c r="C1793" i="51"/>
  <c r="C1792" i="51"/>
  <c r="C1791" i="51"/>
  <c r="C1790" i="51"/>
  <c r="C1789" i="51"/>
  <c r="C1788" i="51"/>
  <c r="C1787" i="51"/>
  <c r="C1786" i="51"/>
  <c r="C1785" i="51"/>
  <c r="C1784" i="51"/>
  <c r="C1783" i="51"/>
  <c r="C1782" i="51"/>
  <c r="C1781" i="51"/>
  <c r="C1780" i="51"/>
  <c r="C1779" i="51"/>
  <c r="C1778" i="51"/>
  <c r="C1777" i="51"/>
  <c r="C1776" i="51"/>
  <c r="C1775" i="51"/>
  <c r="C1774" i="51"/>
  <c r="C1773" i="51"/>
  <c r="C1772" i="51"/>
  <c r="C1771" i="51"/>
  <c r="C1770" i="51"/>
  <c r="C1769" i="51"/>
  <c r="C1768" i="51"/>
  <c r="C1767" i="51"/>
  <c r="C1766" i="51"/>
  <c r="C1765" i="51"/>
  <c r="C1764" i="51"/>
  <c r="C1763" i="51"/>
  <c r="C1762" i="51"/>
  <c r="C1761" i="51"/>
  <c r="C1760" i="51"/>
  <c r="C1759" i="51"/>
  <c r="C1758" i="51"/>
  <c r="C1757" i="51"/>
  <c r="C1756" i="51"/>
  <c r="C1755" i="51"/>
  <c r="C1754" i="51"/>
  <c r="C1753" i="51"/>
  <c r="C1752" i="51"/>
  <c r="C1751" i="51"/>
  <c r="C1750" i="51"/>
  <c r="C1749" i="51"/>
  <c r="C1748" i="51"/>
  <c r="C1747" i="51"/>
  <c r="C1746" i="51"/>
  <c r="C1745" i="51"/>
  <c r="C1744" i="51"/>
  <c r="C1743" i="51"/>
  <c r="C1742" i="51"/>
  <c r="C1741" i="51"/>
  <c r="C1740" i="51"/>
  <c r="C1739" i="51"/>
  <c r="C1738" i="51"/>
  <c r="C1737" i="51"/>
  <c r="C1736" i="51"/>
  <c r="C1735" i="51"/>
  <c r="C1734" i="51"/>
  <c r="C1733" i="51"/>
  <c r="C1732" i="51"/>
  <c r="C1731" i="51"/>
  <c r="C1730" i="51"/>
  <c r="C1729" i="51"/>
  <c r="C1728" i="51"/>
  <c r="C1727" i="51"/>
  <c r="C1726" i="51"/>
  <c r="C1725" i="51"/>
  <c r="C1724" i="51"/>
  <c r="C1723" i="51"/>
  <c r="C1722" i="51"/>
  <c r="C1721" i="51"/>
  <c r="C1720" i="51"/>
  <c r="C1719" i="51"/>
  <c r="C1718" i="51"/>
  <c r="C1717" i="51"/>
  <c r="C1716" i="51"/>
  <c r="C1715" i="51"/>
  <c r="C1714" i="51"/>
  <c r="C1713" i="51"/>
  <c r="C1712" i="51"/>
  <c r="C1711" i="51"/>
  <c r="C1710" i="51"/>
  <c r="C1709" i="51"/>
  <c r="C1708" i="51"/>
  <c r="C1707" i="51"/>
  <c r="C1706" i="51"/>
  <c r="C1705" i="51"/>
  <c r="C1704" i="51"/>
  <c r="C1703" i="51"/>
  <c r="C1702" i="51"/>
  <c r="C1701" i="51"/>
  <c r="C1700" i="51"/>
  <c r="C1699" i="51"/>
  <c r="C1698" i="51"/>
  <c r="C1697" i="51"/>
  <c r="C1696" i="51"/>
  <c r="C1695" i="51"/>
  <c r="C1694" i="51"/>
  <c r="C1693" i="51"/>
  <c r="C1692" i="51"/>
  <c r="C1691" i="51"/>
  <c r="C1690" i="51"/>
  <c r="C1689" i="51"/>
  <c r="C1688" i="51"/>
  <c r="C1687" i="51"/>
  <c r="C1686" i="51"/>
  <c r="C1685" i="51"/>
  <c r="C1684" i="51"/>
  <c r="C1683" i="51"/>
  <c r="C1682" i="51"/>
  <c r="C1681" i="51"/>
  <c r="C1680" i="51"/>
  <c r="C1679" i="51"/>
  <c r="C1678" i="51"/>
  <c r="C1677" i="51"/>
  <c r="C1676" i="51"/>
  <c r="C1675" i="51"/>
  <c r="C1674" i="51"/>
  <c r="C1673" i="51"/>
  <c r="C1672" i="51"/>
  <c r="C1671" i="51"/>
  <c r="C1670" i="51"/>
  <c r="C1669" i="51"/>
  <c r="C1668" i="51"/>
  <c r="C1667" i="51"/>
  <c r="C1666" i="51"/>
  <c r="C1665" i="51"/>
  <c r="C1664" i="51"/>
  <c r="C1663" i="51"/>
  <c r="C1662" i="51"/>
  <c r="C1661" i="51"/>
  <c r="C1660" i="51"/>
  <c r="C1659" i="51"/>
  <c r="C1658" i="51"/>
  <c r="C1657" i="51"/>
  <c r="C1656" i="51"/>
  <c r="C1655" i="51"/>
  <c r="C1654" i="51"/>
  <c r="C1653" i="51"/>
  <c r="C1652" i="51"/>
  <c r="C1651" i="51"/>
  <c r="C1650" i="51"/>
  <c r="C1649" i="51"/>
  <c r="C1648" i="51"/>
  <c r="C1647" i="51"/>
  <c r="C1646" i="51"/>
  <c r="C1645" i="51"/>
  <c r="C1644" i="51"/>
  <c r="C1643" i="51"/>
  <c r="C1642" i="51"/>
  <c r="C1641" i="51"/>
  <c r="C1640" i="51"/>
  <c r="C1639" i="51"/>
  <c r="C1638" i="51"/>
  <c r="C1637" i="51"/>
  <c r="C1636" i="51"/>
  <c r="C1635" i="51"/>
  <c r="C1634" i="51"/>
  <c r="C1633" i="51"/>
  <c r="C1632" i="51"/>
  <c r="C1631" i="51"/>
  <c r="C1630" i="51"/>
  <c r="C1629" i="51"/>
  <c r="C1628" i="51"/>
  <c r="C1627" i="51"/>
  <c r="C1626" i="51"/>
  <c r="C1625" i="51"/>
  <c r="C1624" i="51"/>
  <c r="C1623" i="51"/>
  <c r="C1622" i="51"/>
  <c r="C1621" i="51"/>
  <c r="C1620" i="51"/>
  <c r="C1619" i="51"/>
  <c r="C1618" i="51"/>
  <c r="C1617" i="51"/>
  <c r="C1616" i="51"/>
  <c r="C1615" i="51"/>
  <c r="C1614" i="51"/>
  <c r="C1613" i="51"/>
  <c r="C1612" i="51"/>
  <c r="C1611" i="51"/>
  <c r="C1610" i="51"/>
  <c r="C1609" i="51"/>
  <c r="C1608" i="51"/>
  <c r="C1607" i="51"/>
  <c r="C1606" i="51"/>
  <c r="C1605" i="51"/>
  <c r="C1604" i="51"/>
  <c r="C1603" i="51"/>
  <c r="C1602" i="51"/>
  <c r="C1601" i="51"/>
  <c r="C1600" i="51"/>
  <c r="C1599" i="51"/>
  <c r="C1598" i="51"/>
  <c r="C1597" i="51"/>
  <c r="C1596" i="51"/>
  <c r="C1595" i="51"/>
  <c r="C1594" i="51"/>
  <c r="C1593" i="51"/>
  <c r="C1592" i="51"/>
  <c r="C1591" i="51"/>
  <c r="C1590" i="51"/>
  <c r="C1589" i="51"/>
  <c r="C1588" i="51"/>
  <c r="C1587" i="51"/>
  <c r="C1586" i="51"/>
  <c r="C1585" i="51"/>
  <c r="C1584" i="51"/>
  <c r="C1583" i="51"/>
  <c r="C1582" i="51"/>
  <c r="C1581" i="51"/>
  <c r="C1580" i="51"/>
  <c r="C1579" i="51"/>
  <c r="C1578" i="51"/>
  <c r="C1577" i="51"/>
  <c r="C1576" i="51"/>
  <c r="C1575" i="51"/>
  <c r="C1574" i="51"/>
  <c r="C1573" i="51"/>
  <c r="C1572" i="51"/>
  <c r="C1571" i="51"/>
  <c r="C1570" i="51"/>
  <c r="C1569" i="51"/>
  <c r="C1568" i="51"/>
  <c r="C1567" i="51"/>
  <c r="C1566" i="51"/>
  <c r="C1565" i="51"/>
  <c r="C1564" i="51"/>
  <c r="C1563" i="51"/>
  <c r="C1562" i="51"/>
  <c r="C1561" i="51"/>
  <c r="C1560" i="51"/>
  <c r="C1559" i="51"/>
  <c r="C1558" i="51"/>
  <c r="C1557" i="51"/>
  <c r="C1556" i="51"/>
  <c r="C1555" i="51"/>
  <c r="C1554" i="51"/>
  <c r="C1553" i="51"/>
  <c r="C1552" i="51"/>
  <c r="C1551" i="51"/>
  <c r="C1550" i="51"/>
  <c r="C1549" i="51"/>
  <c r="C1548" i="51"/>
  <c r="C1547" i="51"/>
  <c r="C1546" i="51"/>
  <c r="C1545" i="51"/>
  <c r="C1544" i="51"/>
  <c r="C1543" i="51"/>
  <c r="C1542" i="51"/>
  <c r="C1541" i="51"/>
  <c r="C1540" i="51"/>
  <c r="C1539" i="51"/>
  <c r="C1538" i="51"/>
  <c r="C1537" i="51"/>
  <c r="C1536" i="51"/>
  <c r="C1535" i="51"/>
  <c r="C1534" i="51"/>
  <c r="C1533" i="51"/>
  <c r="C1532" i="51"/>
  <c r="C1531" i="51"/>
  <c r="C1530" i="51"/>
  <c r="C1529" i="51"/>
  <c r="C1528" i="51"/>
  <c r="C1527" i="51"/>
  <c r="C1526" i="51"/>
  <c r="C1525" i="51"/>
  <c r="C1524" i="51"/>
  <c r="C1523" i="51"/>
  <c r="C1522" i="51"/>
  <c r="C1521" i="51"/>
  <c r="C1520" i="51"/>
  <c r="C1519" i="51"/>
  <c r="C1518" i="51"/>
  <c r="C1517" i="51"/>
  <c r="C1516" i="51"/>
  <c r="C1515" i="51"/>
  <c r="C1514" i="51"/>
  <c r="C1513" i="51"/>
  <c r="C1512" i="51"/>
  <c r="C1511" i="51"/>
  <c r="C1510" i="51"/>
  <c r="C1509" i="51"/>
  <c r="C1508" i="51"/>
  <c r="C1507" i="51"/>
  <c r="C1506" i="51"/>
  <c r="C1505" i="51"/>
  <c r="C1504" i="51"/>
  <c r="C1503" i="51"/>
  <c r="C1502" i="51"/>
  <c r="C1501" i="51"/>
  <c r="C1500" i="51"/>
  <c r="C1499" i="51"/>
  <c r="C1498" i="51"/>
  <c r="C1497" i="51"/>
  <c r="C1496" i="51"/>
  <c r="C1495" i="51"/>
  <c r="C1494" i="51"/>
  <c r="C1493" i="51"/>
  <c r="C1492" i="51"/>
  <c r="C1491" i="51"/>
  <c r="C1490" i="51"/>
  <c r="C1489" i="51"/>
  <c r="C1488" i="51"/>
  <c r="C1487" i="51"/>
  <c r="C1486" i="51"/>
  <c r="C1485" i="51"/>
  <c r="C1484" i="51"/>
  <c r="C1483" i="51"/>
  <c r="C1482" i="51"/>
  <c r="C1481" i="51"/>
  <c r="C1480" i="51"/>
  <c r="C1479" i="51"/>
  <c r="C1478" i="51"/>
  <c r="C1477" i="51"/>
  <c r="C1476" i="51"/>
  <c r="C1475" i="51"/>
  <c r="C1474" i="51"/>
  <c r="C1473" i="51"/>
  <c r="C1472" i="51"/>
  <c r="C1471" i="51"/>
  <c r="C1470" i="51"/>
  <c r="C1469" i="51"/>
  <c r="C1468" i="51"/>
  <c r="C1467" i="51"/>
  <c r="C1466" i="51"/>
  <c r="C1465" i="51"/>
  <c r="C1464" i="51"/>
  <c r="C1463" i="51"/>
  <c r="C1462" i="51"/>
  <c r="C1461" i="51"/>
  <c r="C1460" i="51"/>
  <c r="C1459" i="51"/>
  <c r="C1458" i="51"/>
  <c r="C1457" i="51"/>
  <c r="C1456" i="51"/>
  <c r="C1455" i="51"/>
  <c r="C1454" i="51"/>
  <c r="C1453" i="51"/>
  <c r="C1452" i="51"/>
  <c r="C1451" i="51"/>
  <c r="C1450" i="51"/>
  <c r="C1449" i="51"/>
  <c r="C1448" i="51"/>
  <c r="C1447" i="51"/>
  <c r="C1446" i="51"/>
  <c r="C1445" i="51"/>
  <c r="C1444" i="51"/>
  <c r="C1443" i="51"/>
  <c r="C1442" i="51"/>
  <c r="C1441" i="51"/>
  <c r="C1440" i="51"/>
  <c r="C1439" i="51"/>
  <c r="C1438" i="51"/>
  <c r="C1437" i="51"/>
  <c r="C1436" i="51"/>
  <c r="C1435" i="51"/>
  <c r="C1434" i="51"/>
  <c r="C1433" i="51"/>
  <c r="C1432" i="51"/>
  <c r="C1431" i="51"/>
  <c r="C1430" i="51"/>
  <c r="C1429" i="51"/>
  <c r="C1428" i="51"/>
  <c r="C1427" i="51"/>
  <c r="C1426" i="51"/>
  <c r="C1425" i="51"/>
  <c r="C1424" i="51"/>
  <c r="C1423" i="51"/>
  <c r="C1422" i="51"/>
  <c r="C1421" i="51"/>
  <c r="C1420" i="51"/>
  <c r="C1419" i="51"/>
  <c r="C1418" i="51"/>
  <c r="C1417" i="51"/>
  <c r="C1416" i="51"/>
  <c r="C1415" i="51"/>
  <c r="C1414" i="51"/>
  <c r="C1413" i="51"/>
  <c r="C1412" i="51"/>
  <c r="C1411" i="51"/>
  <c r="C1410" i="51"/>
  <c r="C1409" i="51"/>
  <c r="C1408" i="51"/>
  <c r="C1407" i="51"/>
  <c r="C1406" i="51"/>
  <c r="C1405" i="51"/>
  <c r="C1404" i="51"/>
  <c r="C1403" i="51"/>
  <c r="C1402" i="51"/>
  <c r="C1401" i="51"/>
  <c r="C1400" i="51"/>
  <c r="C1399" i="51"/>
  <c r="C1398" i="51"/>
  <c r="C1397" i="51"/>
  <c r="C1396" i="51"/>
  <c r="C1395" i="51"/>
  <c r="C1394" i="51"/>
  <c r="C1393" i="51"/>
  <c r="C1392" i="51"/>
  <c r="C1391" i="51"/>
  <c r="C1390" i="51"/>
  <c r="C1389" i="51"/>
  <c r="C1388" i="51"/>
  <c r="C1387" i="51"/>
  <c r="C1386" i="51"/>
  <c r="C1385" i="51"/>
  <c r="C1384" i="51"/>
  <c r="C1383" i="51"/>
  <c r="C1382" i="51"/>
  <c r="C1381" i="51"/>
  <c r="C1380" i="51"/>
  <c r="C1379" i="51"/>
  <c r="C1378" i="51"/>
  <c r="C1377" i="51"/>
  <c r="C1376" i="51"/>
  <c r="C1375" i="51"/>
  <c r="C1374" i="51"/>
  <c r="C1373" i="51"/>
  <c r="C1372" i="51"/>
  <c r="C1371" i="51"/>
  <c r="C1370" i="51"/>
  <c r="C1369" i="51"/>
  <c r="C1368" i="51"/>
  <c r="C1367" i="51"/>
  <c r="C1366" i="51"/>
  <c r="C1365" i="51"/>
  <c r="C1364" i="51"/>
  <c r="C1363" i="51"/>
  <c r="C1362" i="51"/>
  <c r="C1361" i="51"/>
  <c r="C1360" i="51"/>
  <c r="C1359" i="51"/>
  <c r="C1358" i="51"/>
  <c r="C1357" i="51"/>
  <c r="C1356" i="51"/>
  <c r="C1355" i="51"/>
  <c r="C1354" i="51"/>
  <c r="C1353" i="51"/>
  <c r="C1352" i="51"/>
  <c r="C1351" i="51"/>
  <c r="C1350" i="51"/>
  <c r="C1349" i="51"/>
  <c r="C1348" i="51"/>
  <c r="C1347" i="51"/>
  <c r="C1346" i="51"/>
  <c r="C1345" i="51"/>
  <c r="C1344" i="51"/>
  <c r="C1343" i="51"/>
  <c r="C1342" i="51"/>
  <c r="C1341" i="51"/>
  <c r="C1340" i="51"/>
  <c r="C1339" i="51"/>
  <c r="C1338" i="51"/>
  <c r="C1337" i="51"/>
  <c r="C1336" i="51"/>
  <c r="C1335" i="51"/>
  <c r="C1334" i="51"/>
  <c r="C1333" i="51"/>
  <c r="C1332" i="51"/>
  <c r="C1331" i="51"/>
  <c r="C1330" i="51"/>
  <c r="C1329" i="51"/>
  <c r="C1328" i="51"/>
  <c r="C1327" i="51"/>
  <c r="C1326" i="51"/>
  <c r="C1325" i="51"/>
  <c r="C1324" i="51"/>
  <c r="C1323" i="51"/>
  <c r="C1322" i="51"/>
  <c r="C1321" i="51"/>
  <c r="C1320" i="51"/>
  <c r="C1319" i="51"/>
  <c r="C1318" i="51"/>
  <c r="C1317" i="51"/>
  <c r="C1316" i="51"/>
  <c r="C1315" i="51"/>
  <c r="C1314" i="51"/>
  <c r="C1313" i="51"/>
  <c r="C1312" i="51"/>
  <c r="C1311" i="51"/>
  <c r="C1310" i="51"/>
  <c r="C1309" i="51"/>
  <c r="C1308" i="51"/>
  <c r="C1307" i="51"/>
  <c r="C1306" i="51"/>
  <c r="C1305" i="51"/>
  <c r="C1304" i="51"/>
  <c r="C1303" i="51"/>
  <c r="C1302" i="51"/>
  <c r="C1301" i="51"/>
  <c r="C1300" i="51"/>
  <c r="C1299" i="51"/>
  <c r="C1298" i="51"/>
  <c r="C1297" i="51"/>
  <c r="C1296" i="51"/>
  <c r="C1295" i="51"/>
  <c r="C1294" i="51"/>
  <c r="C1293" i="51"/>
  <c r="C1292" i="51"/>
  <c r="C1291" i="51"/>
  <c r="C1290" i="51"/>
  <c r="C1289" i="51"/>
  <c r="C1288" i="51"/>
  <c r="C1287" i="51"/>
  <c r="C1286" i="51"/>
  <c r="C1285" i="51"/>
  <c r="C1284" i="51"/>
  <c r="C1283" i="51"/>
  <c r="C1282" i="51"/>
  <c r="C1281" i="51"/>
  <c r="C1280" i="51"/>
  <c r="C1279" i="51"/>
  <c r="C1278" i="51"/>
  <c r="C1277" i="51"/>
  <c r="C1276" i="51"/>
  <c r="C1275" i="51"/>
  <c r="C1274" i="51"/>
  <c r="C1273" i="51"/>
  <c r="C1272" i="51"/>
  <c r="C1271" i="51"/>
  <c r="C1270" i="51"/>
  <c r="C1269" i="51"/>
  <c r="C1268" i="51"/>
  <c r="C1267" i="51"/>
  <c r="C1266" i="51"/>
  <c r="C1265" i="51"/>
  <c r="C1264" i="51"/>
  <c r="C1263" i="51"/>
  <c r="C1262" i="51"/>
  <c r="C1261" i="51"/>
  <c r="C1260" i="51"/>
  <c r="C1259" i="51"/>
  <c r="C1258" i="51"/>
  <c r="C1257" i="51"/>
  <c r="C1256" i="51"/>
  <c r="C1255" i="51"/>
  <c r="C1254" i="51"/>
  <c r="C1253" i="51"/>
  <c r="C1252" i="51"/>
  <c r="C1251" i="51"/>
  <c r="C1250" i="51"/>
  <c r="C1249" i="51"/>
  <c r="C1248" i="51"/>
  <c r="C1247" i="51"/>
  <c r="C1246" i="51"/>
  <c r="C1245" i="51"/>
  <c r="C1244" i="51"/>
  <c r="C1243" i="51"/>
  <c r="C1242" i="51"/>
  <c r="C1241" i="51"/>
  <c r="C1240" i="51"/>
  <c r="C1239" i="51"/>
  <c r="C1238" i="51"/>
  <c r="C1237" i="51"/>
  <c r="C1236" i="51"/>
  <c r="C1235" i="51"/>
  <c r="C1234" i="51"/>
  <c r="C1233" i="51"/>
  <c r="C1232" i="51"/>
  <c r="C1231" i="51"/>
  <c r="C1230" i="51"/>
  <c r="C1229" i="51"/>
  <c r="C1228" i="51"/>
  <c r="C1227" i="51"/>
  <c r="C1226" i="51"/>
  <c r="C1225" i="51"/>
  <c r="C1224" i="51"/>
  <c r="C1223" i="51"/>
  <c r="C1222" i="51"/>
  <c r="C1221" i="51"/>
  <c r="C1220" i="51"/>
  <c r="C1219" i="51"/>
  <c r="C1218" i="51"/>
  <c r="C1217" i="51"/>
  <c r="C1216" i="51"/>
  <c r="C1215" i="51"/>
  <c r="C1214" i="51"/>
  <c r="C1213" i="51"/>
  <c r="C1212" i="51"/>
  <c r="C1211" i="51"/>
  <c r="C1210" i="51"/>
  <c r="C1209" i="51"/>
  <c r="C1208" i="51"/>
  <c r="C1207" i="51"/>
  <c r="C1206" i="51"/>
  <c r="C1205" i="51"/>
  <c r="C1204" i="51"/>
  <c r="C1203" i="51"/>
  <c r="C1202" i="51"/>
  <c r="C1201" i="51"/>
  <c r="C1200" i="51"/>
  <c r="C1199" i="51"/>
  <c r="C1198" i="51"/>
  <c r="C1197" i="51"/>
  <c r="C1196" i="51"/>
  <c r="C1195" i="51"/>
  <c r="C1194" i="51"/>
  <c r="C1193" i="51"/>
  <c r="C1192" i="51"/>
  <c r="C1191" i="51"/>
  <c r="C1190" i="51"/>
  <c r="C1189" i="51"/>
  <c r="C1188" i="51"/>
  <c r="C1187" i="51"/>
  <c r="C1186" i="51"/>
  <c r="C1185" i="51"/>
  <c r="C1184" i="51"/>
  <c r="C1183" i="51"/>
  <c r="C1182" i="51"/>
  <c r="C1181" i="51"/>
  <c r="C1180" i="51"/>
  <c r="C1179" i="51"/>
  <c r="C1178" i="51"/>
  <c r="C1177" i="51"/>
  <c r="C1176" i="51"/>
  <c r="C1175" i="51"/>
  <c r="C1174" i="51"/>
  <c r="C1173" i="51"/>
  <c r="C1172" i="51"/>
  <c r="C1171" i="51"/>
  <c r="C1170" i="51"/>
  <c r="C1169" i="51"/>
  <c r="C1168" i="51"/>
  <c r="C1167" i="51"/>
  <c r="C1166" i="51"/>
  <c r="C1165" i="51"/>
  <c r="C1164" i="51"/>
  <c r="C1163" i="51"/>
  <c r="C1162" i="51"/>
  <c r="C1161" i="51"/>
  <c r="C1160" i="51"/>
  <c r="C1159" i="51"/>
  <c r="C1158" i="51"/>
  <c r="C1157" i="51"/>
  <c r="C1156" i="51"/>
  <c r="C1155" i="51"/>
  <c r="C1154" i="51"/>
  <c r="C1153" i="51"/>
  <c r="C1152" i="51"/>
  <c r="C1151" i="51"/>
  <c r="C1150" i="51"/>
  <c r="C1149" i="51"/>
  <c r="C1148" i="51"/>
  <c r="C1147" i="51"/>
  <c r="C1146" i="51"/>
  <c r="C1145" i="51"/>
  <c r="C1144" i="51"/>
  <c r="C1143" i="51"/>
  <c r="C1142" i="51"/>
  <c r="C1141" i="51"/>
  <c r="C1140" i="51"/>
  <c r="C1139" i="51"/>
  <c r="C1138" i="51"/>
  <c r="C1137" i="51"/>
  <c r="C1136" i="51"/>
  <c r="C1135" i="51"/>
  <c r="C1134" i="51"/>
  <c r="C1133" i="51"/>
  <c r="C1132" i="51"/>
  <c r="C1131" i="51"/>
  <c r="C1130" i="51"/>
  <c r="C1129" i="51"/>
  <c r="C1128" i="51"/>
  <c r="C1127" i="51"/>
  <c r="C1126" i="51"/>
  <c r="C1125" i="51"/>
  <c r="C1124" i="51"/>
  <c r="C1123" i="51"/>
  <c r="C1122" i="51"/>
  <c r="C1121" i="51"/>
  <c r="C1120" i="51"/>
  <c r="C1119" i="51"/>
  <c r="C1118" i="51"/>
  <c r="C1117" i="51"/>
  <c r="C1116" i="51"/>
  <c r="C1115" i="51"/>
  <c r="C1114" i="51"/>
  <c r="C1113" i="51"/>
  <c r="C1112" i="51"/>
  <c r="C1111" i="51"/>
  <c r="C1110" i="51"/>
  <c r="C1109" i="51"/>
  <c r="C1108" i="51"/>
  <c r="C1107" i="51"/>
  <c r="C1106" i="51"/>
  <c r="C1105" i="51"/>
  <c r="C1104" i="51"/>
  <c r="C1103" i="51"/>
  <c r="C1102" i="51"/>
  <c r="C1101" i="51"/>
  <c r="C1100" i="51"/>
  <c r="C1099" i="51"/>
  <c r="C1098" i="51"/>
  <c r="C1097" i="51"/>
  <c r="C1096" i="51"/>
  <c r="C1095" i="51"/>
  <c r="C1094" i="51"/>
  <c r="C1093" i="51"/>
  <c r="C1092" i="51"/>
  <c r="C1091" i="51"/>
  <c r="C1090" i="51"/>
  <c r="C1089" i="51"/>
  <c r="C1088" i="51"/>
  <c r="C1087" i="51"/>
  <c r="C1086" i="51"/>
  <c r="C1085" i="51"/>
  <c r="C1084" i="51"/>
  <c r="C1083" i="51"/>
  <c r="C1082" i="51"/>
  <c r="C1081" i="51"/>
  <c r="C1080" i="51"/>
  <c r="C1079" i="51"/>
  <c r="C1078" i="51"/>
  <c r="C1077" i="51"/>
  <c r="C1076" i="51"/>
  <c r="C1075" i="51"/>
  <c r="C1074" i="51"/>
  <c r="C1073" i="51"/>
  <c r="C1072" i="51"/>
  <c r="C1071" i="51"/>
  <c r="C1070" i="51"/>
  <c r="C1069" i="51"/>
  <c r="C1068" i="51"/>
  <c r="C1067" i="51"/>
  <c r="C1066" i="51"/>
  <c r="C1065" i="51"/>
  <c r="C1064" i="51"/>
  <c r="C1063" i="51"/>
  <c r="C1062" i="51"/>
  <c r="C1061" i="51"/>
  <c r="C1060" i="51"/>
  <c r="C1059" i="51"/>
  <c r="C1058" i="51"/>
  <c r="C1057" i="51"/>
  <c r="C1056" i="51"/>
  <c r="C1055" i="51"/>
  <c r="C1054" i="51"/>
  <c r="C1053" i="51"/>
  <c r="C1052" i="51"/>
  <c r="C1051" i="51"/>
  <c r="C1050" i="51"/>
  <c r="C1049" i="51"/>
  <c r="C1048" i="51"/>
  <c r="C1047" i="51"/>
  <c r="C1046" i="51"/>
  <c r="C1045" i="51"/>
  <c r="C1044" i="51"/>
  <c r="C1043" i="51"/>
  <c r="C1042" i="51"/>
  <c r="C1041" i="51"/>
  <c r="C1040" i="51"/>
  <c r="C1039" i="51"/>
  <c r="C1038" i="51"/>
  <c r="C1037" i="51"/>
  <c r="C1036" i="51"/>
  <c r="C1035" i="51"/>
  <c r="C1034" i="51"/>
  <c r="C1033" i="51"/>
  <c r="C1032" i="51"/>
  <c r="C1031" i="51"/>
  <c r="C1030" i="51"/>
  <c r="C1029" i="51"/>
  <c r="C1028" i="51"/>
  <c r="C1027" i="51"/>
  <c r="C1026" i="51"/>
  <c r="C1025" i="51"/>
  <c r="C1024" i="51"/>
  <c r="C1023" i="51"/>
  <c r="C1022" i="51"/>
  <c r="C1021" i="51"/>
  <c r="C1020" i="51"/>
  <c r="C1019" i="51"/>
  <c r="C1018" i="51"/>
  <c r="C1017" i="51"/>
  <c r="C1016" i="51"/>
  <c r="C1015" i="51"/>
  <c r="C1014" i="51"/>
  <c r="C1013" i="51"/>
  <c r="C1012" i="51"/>
  <c r="C1011" i="51"/>
  <c r="C1010" i="51"/>
  <c r="C1009" i="51"/>
  <c r="C1008" i="51"/>
  <c r="C1007" i="51"/>
  <c r="C1006" i="51"/>
  <c r="C1005" i="51"/>
  <c r="C1004" i="51"/>
  <c r="C1003" i="51"/>
  <c r="C1002" i="51"/>
  <c r="C1001" i="51"/>
  <c r="C1000" i="51"/>
  <c r="C999" i="51"/>
  <c r="C998" i="51"/>
  <c r="C997" i="51"/>
  <c r="C996" i="51"/>
  <c r="C995" i="51"/>
  <c r="C994" i="51"/>
  <c r="C993" i="51"/>
  <c r="C992" i="51"/>
  <c r="C991" i="51"/>
  <c r="C990" i="51"/>
  <c r="C989" i="51"/>
  <c r="C988" i="51"/>
  <c r="C987" i="51"/>
  <c r="C986" i="51"/>
  <c r="C985" i="51"/>
  <c r="C984" i="51"/>
  <c r="C983" i="51"/>
  <c r="C982" i="51"/>
  <c r="C981" i="51"/>
  <c r="C980" i="51"/>
  <c r="C979" i="51"/>
  <c r="C978" i="51"/>
  <c r="C977" i="51"/>
  <c r="C976" i="51"/>
  <c r="C975" i="51"/>
  <c r="C974" i="51"/>
  <c r="C973" i="51"/>
  <c r="C972" i="51"/>
  <c r="C971" i="51"/>
  <c r="C970" i="51"/>
  <c r="C969" i="51"/>
  <c r="C968" i="51"/>
  <c r="C967" i="51"/>
  <c r="C966" i="51"/>
  <c r="C965" i="51"/>
  <c r="C964" i="51"/>
  <c r="C963" i="51"/>
  <c r="C962" i="51"/>
  <c r="C961" i="51"/>
  <c r="C960" i="51"/>
  <c r="C959" i="51"/>
  <c r="C958" i="51"/>
  <c r="C957" i="51"/>
  <c r="C956" i="51"/>
  <c r="C955" i="51"/>
  <c r="C954" i="51"/>
  <c r="C953" i="51"/>
  <c r="C952" i="51"/>
  <c r="C951" i="51"/>
  <c r="C950" i="51"/>
  <c r="C949" i="51"/>
  <c r="C948" i="51"/>
  <c r="C947" i="51"/>
  <c r="C946" i="51"/>
  <c r="C945" i="51"/>
  <c r="C944" i="51"/>
  <c r="C943" i="51"/>
  <c r="C942" i="51"/>
  <c r="C941" i="51"/>
  <c r="C940" i="51"/>
  <c r="C939" i="51"/>
  <c r="C938" i="51"/>
  <c r="C937" i="51"/>
  <c r="C936" i="51"/>
  <c r="C935" i="51"/>
  <c r="C934" i="51"/>
  <c r="C933" i="51"/>
  <c r="C932" i="51"/>
  <c r="C931" i="51"/>
  <c r="C930" i="51"/>
  <c r="C929" i="51"/>
  <c r="C928" i="51"/>
  <c r="C927" i="51"/>
  <c r="C926" i="51"/>
  <c r="C925" i="51"/>
  <c r="C924" i="51"/>
  <c r="C923" i="51"/>
  <c r="C922" i="51"/>
  <c r="C921" i="51"/>
  <c r="C920" i="51"/>
  <c r="C919" i="51"/>
  <c r="C918" i="51"/>
  <c r="C917" i="51"/>
  <c r="C916" i="51"/>
  <c r="C915" i="51"/>
  <c r="C914" i="51"/>
  <c r="C913" i="51"/>
  <c r="C912" i="51"/>
  <c r="C911" i="51"/>
  <c r="C910" i="51"/>
  <c r="C909" i="51"/>
  <c r="C908" i="51"/>
  <c r="C907" i="51"/>
  <c r="C906" i="51"/>
  <c r="C905" i="51"/>
  <c r="C904" i="51"/>
  <c r="C903" i="51"/>
  <c r="C902" i="51"/>
  <c r="C901" i="51"/>
  <c r="C900" i="51"/>
  <c r="C899" i="51"/>
  <c r="C898" i="51"/>
  <c r="C897" i="51"/>
  <c r="C896" i="51"/>
  <c r="C895" i="51"/>
  <c r="C894" i="51"/>
  <c r="C893" i="51"/>
  <c r="C892" i="51"/>
  <c r="C891" i="51"/>
  <c r="C890" i="51"/>
  <c r="C889" i="51"/>
  <c r="C888" i="51"/>
  <c r="C887" i="51"/>
  <c r="C886" i="51"/>
  <c r="C885" i="51"/>
  <c r="C884" i="51"/>
  <c r="C883" i="51"/>
  <c r="C882" i="51"/>
  <c r="C881" i="51"/>
  <c r="C880" i="51"/>
  <c r="C879" i="51"/>
  <c r="C878" i="51"/>
  <c r="C877" i="51"/>
  <c r="C876" i="51"/>
  <c r="C875" i="51"/>
  <c r="C874" i="51"/>
  <c r="C873" i="51"/>
  <c r="C872" i="51"/>
  <c r="C871" i="51"/>
  <c r="C870" i="51"/>
  <c r="C869" i="51"/>
  <c r="C868" i="51"/>
  <c r="C867" i="51"/>
  <c r="C866" i="51"/>
  <c r="C865" i="51"/>
  <c r="C864" i="51"/>
  <c r="C863" i="51"/>
  <c r="C862" i="51"/>
  <c r="C861" i="51"/>
  <c r="C860" i="51"/>
  <c r="C859" i="51"/>
  <c r="C858" i="51"/>
  <c r="C857" i="51"/>
  <c r="C856" i="51"/>
  <c r="C855" i="51"/>
  <c r="C854" i="51"/>
  <c r="C853" i="51"/>
  <c r="C852" i="51"/>
  <c r="C851" i="51"/>
  <c r="C850" i="51"/>
  <c r="C849" i="51"/>
  <c r="C848" i="51"/>
  <c r="C847" i="51"/>
  <c r="C846" i="51"/>
  <c r="C845" i="51"/>
  <c r="C844" i="51"/>
  <c r="C843" i="51"/>
  <c r="C842" i="51"/>
  <c r="C841" i="51"/>
  <c r="C840" i="51"/>
  <c r="C839" i="51"/>
  <c r="C838" i="51"/>
  <c r="C837" i="51"/>
  <c r="C836" i="51"/>
  <c r="C835" i="51"/>
  <c r="C834" i="51"/>
  <c r="C833" i="51"/>
  <c r="C832" i="51"/>
  <c r="C831" i="51"/>
  <c r="C830" i="51"/>
  <c r="C829" i="51"/>
  <c r="C828" i="51"/>
  <c r="C827" i="51"/>
  <c r="C826" i="51"/>
  <c r="C825" i="51"/>
  <c r="C824" i="51"/>
  <c r="C823" i="51"/>
  <c r="C822" i="51"/>
  <c r="C821" i="51"/>
  <c r="C820" i="51"/>
  <c r="C819" i="51"/>
  <c r="C818" i="51"/>
  <c r="C817" i="51"/>
  <c r="C816" i="51"/>
  <c r="C815" i="51"/>
  <c r="C814" i="51"/>
  <c r="C813" i="51"/>
  <c r="C812" i="51"/>
  <c r="C811" i="51"/>
  <c r="C810" i="51"/>
  <c r="C809" i="51"/>
  <c r="C808" i="51"/>
  <c r="C807" i="51"/>
  <c r="C806" i="51"/>
  <c r="C805" i="51"/>
  <c r="C804" i="51"/>
  <c r="C803" i="51"/>
  <c r="C802" i="51"/>
  <c r="C801" i="51"/>
  <c r="C800" i="51"/>
  <c r="C799" i="51"/>
  <c r="C798" i="51"/>
  <c r="C797" i="51"/>
  <c r="C796" i="51"/>
  <c r="C795" i="51"/>
  <c r="C794" i="51"/>
  <c r="C793" i="51"/>
  <c r="C792" i="51"/>
  <c r="C791" i="51"/>
  <c r="C790" i="51"/>
  <c r="C789" i="51"/>
  <c r="C788" i="51"/>
  <c r="C787" i="51"/>
  <c r="C786" i="51"/>
  <c r="C785" i="51"/>
  <c r="C784" i="51"/>
  <c r="C783" i="51"/>
  <c r="C782" i="51"/>
  <c r="C781" i="51"/>
  <c r="C780" i="51"/>
  <c r="C779" i="51"/>
  <c r="C778" i="51"/>
  <c r="C777" i="51"/>
  <c r="C776" i="51"/>
  <c r="C775" i="51"/>
  <c r="C774" i="51"/>
  <c r="C773" i="51"/>
  <c r="C772" i="51"/>
  <c r="C771" i="51"/>
  <c r="C770" i="51"/>
  <c r="C769" i="51"/>
  <c r="C768" i="51"/>
  <c r="C767" i="51"/>
  <c r="C766" i="51"/>
  <c r="C765" i="51"/>
  <c r="C764" i="51"/>
  <c r="C763" i="51"/>
  <c r="C762" i="51"/>
  <c r="C761" i="51"/>
  <c r="C760" i="51"/>
  <c r="C759" i="51"/>
  <c r="C758" i="51"/>
  <c r="C757" i="51"/>
  <c r="C756" i="51"/>
  <c r="C755" i="51"/>
  <c r="C754" i="51"/>
  <c r="C753" i="51"/>
  <c r="C752" i="51"/>
  <c r="C751" i="51"/>
  <c r="C750" i="51"/>
  <c r="C749" i="51"/>
  <c r="C748" i="51"/>
  <c r="C747" i="51"/>
  <c r="C746" i="51"/>
  <c r="C745" i="51"/>
  <c r="C744" i="51"/>
  <c r="C743" i="51"/>
  <c r="C742" i="51"/>
  <c r="C741" i="51"/>
  <c r="C740" i="51"/>
  <c r="C739" i="51"/>
  <c r="C738" i="51"/>
  <c r="C737" i="51"/>
  <c r="C736" i="51"/>
  <c r="C735" i="51"/>
  <c r="C734" i="51"/>
  <c r="C733" i="51"/>
  <c r="C732" i="51"/>
  <c r="C731" i="51"/>
  <c r="C730" i="51"/>
  <c r="C729" i="51"/>
  <c r="C728" i="51"/>
  <c r="C727" i="51"/>
  <c r="C726" i="51"/>
  <c r="C725" i="51"/>
  <c r="C724" i="51"/>
  <c r="C723" i="51"/>
  <c r="C722" i="51"/>
  <c r="C721" i="51"/>
  <c r="C720" i="51"/>
  <c r="C719" i="51"/>
  <c r="C718" i="51"/>
  <c r="C717" i="51"/>
  <c r="C716" i="51"/>
  <c r="C715" i="51"/>
  <c r="C714" i="51"/>
  <c r="C713" i="51"/>
  <c r="C712" i="51"/>
  <c r="C711" i="51"/>
  <c r="C710" i="51"/>
  <c r="C709" i="51"/>
  <c r="C708" i="51"/>
  <c r="C707" i="51"/>
  <c r="C706" i="51"/>
  <c r="C705" i="51"/>
  <c r="C704" i="51"/>
  <c r="C703" i="51"/>
  <c r="C702" i="51"/>
  <c r="C701" i="51"/>
  <c r="C700" i="51"/>
  <c r="C699" i="51"/>
  <c r="C698" i="51"/>
  <c r="C697" i="51"/>
  <c r="C696" i="51"/>
  <c r="C695" i="51"/>
  <c r="C694" i="51"/>
  <c r="C693" i="51"/>
  <c r="C692" i="51"/>
  <c r="C691" i="51"/>
  <c r="C690" i="51"/>
  <c r="C689" i="51"/>
  <c r="C688" i="51"/>
  <c r="C687" i="51"/>
  <c r="C686" i="51"/>
  <c r="C685" i="51"/>
  <c r="C684" i="51"/>
  <c r="C683" i="51"/>
  <c r="C682" i="51"/>
  <c r="C681" i="51"/>
  <c r="C680" i="51"/>
  <c r="C679" i="51"/>
  <c r="C678" i="51"/>
  <c r="C677" i="51"/>
  <c r="C676" i="51"/>
  <c r="C675" i="51"/>
  <c r="C674" i="51"/>
  <c r="C673" i="51"/>
  <c r="C672" i="51"/>
  <c r="C671" i="51"/>
  <c r="C670" i="51"/>
  <c r="C669" i="51"/>
  <c r="C668" i="51"/>
  <c r="C667" i="51"/>
  <c r="C666" i="51"/>
  <c r="C665" i="51"/>
  <c r="C664" i="51"/>
  <c r="C663" i="51"/>
  <c r="C662" i="51"/>
  <c r="C661" i="51"/>
  <c r="C660" i="51"/>
  <c r="C659" i="51"/>
  <c r="C658" i="51"/>
  <c r="C657" i="51"/>
  <c r="C656" i="51"/>
  <c r="C655" i="51"/>
  <c r="C654" i="51"/>
  <c r="C653" i="51"/>
  <c r="C652" i="51"/>
  <c r="C651" i="51"/>
  <c r="C650" i="51"/>
  <c r="C649" i="51"/>
  <c r="C648" i="51"/>
  <c r="C647" i="51"/>
  <c r="C646" i="51"/>
  <c r="C645" i="51"/>
  <c r="C644" i="51"/>
  <c r="C643" i="51"/>
  <c r="C642" i="51"/>
  <c r="C641" i="51"/>
  <c r="C640" i="51"/>
  <c r="C639" i="51"/>
  <c r="C638" i="51"/>
  <c r="C637" i="51"/>
  <c r="C636" i="51"/>
  <c r="C635" i="51"/>
  <c r="C634" i="51"/>
  <c r="C633" i="51"/>
  <c r="C632" i="51"/>
  <c r="C631" i="51"/>
  <c r="C630" i="51"/>
  <c r="C629" i="51"/>
  <c r="C628" i="51"/>
  <c r="C627" i="51"/>
  <c r="C626" i="51"/>
  <c r="C625" i="51"/>
  <c r="C624" i="51"/>
  <c r="C623" i="51"/>
  <c r="C622" i="51"/>
  <c r="C621" i="51"/>
  <c r="C620" i="51"/>
  <c r="C619" i="51"/>
  <c r="C618" i="51"/>
  <c r="C617" i="51"/>
  <c r="C616" i="51"/>
  <c r="C615" i="51"/>
  <c r="C614" i="51"/>
  <c r="C613" i="51"/>
  <c r="C612" i="51"/>
  <c r="C611" i="51"/>
  <c r="C610" i="51"/>
  <c r="C609" i="51"/>
  <c r="C608" i="51"/>
  <c r="C607" i="51"/>
  <c r="C606" i="51"/>
  <c r="C605" i="51"/>
  <c r="C604" i="51"/>
  <c r="C603" i="51"/>
  <c r="C602" i="51"/>
  <c r="C601" i="51"/>
  <c r="C600" i="51"/>
  <c r="C599" i="51"/>
  <c r="C598" i="51"/>
  <c r="C597" i="51"/>
  <c r="C596" i="51"/>
  <c r="C595" i="51"/>
  <c r="C594" i="51"/>
  <c r="C593" i="51"/>
  <c r="C592" i="51"/>
  <c r="C591" i="51"/>
  <c r="C590" i="51"/>
  <c r="C589" i="51"/>
  <c r="C588" i="51"/>
  <c r="C587" i="51"/>
  <c r="C586" i="51"/>
  <c r="C585" i="51"/>
  <c r="C584" i="51"/>
  <c r="C583" i="51"/>
  <c r="C582" i="51"/>
  <c r="C581" i="51"/>
  <c r="C580" i="51"/>
  <c r="C579" i="51"/>
  <c r="C578" i="51"/>
  <c r="C577" i="51"/>
  <c r="C576" i="51"/>
  <c r="C575" i="51"/>
  <c r="C574" i="51"/>
  <c r="C573" i="51"/>
  <c r="C572" i="51"/>
  <c r="C571" i="51"/>
  <c r="C570" i="51"/>
  <c r="C569" i="51"/>
  <c r="C568" i="51"/>
  <c r="C567" i="51"/>
  <c r="C566" i="51"/>
  <c r="C565" i="51"/>
  <c r="C564" i="51"/>
  <c r="C563" i="51"/>
  <c r="C562" i="51"/>
  <c r="C561" i="51"/>
  <c r="C560" i="51"/>
  <c r="C559" i="51"/>
  <c r="C558" i="51"/>
  <c r="C557" i="51"/>
  <c r="C556" i="51"/>
  <c r="C555" i="51"/>
  <c r="C554" i="51"/>
  <c r="C553" i="51"/>
  <c r="C552" i="51"/>
  <c r="C551" i="51"/>
  <c r="C550" i="51"/>
  <c r="C549" i="51"/>
  <c r="C548" i="51"/>
  <c r="C547" i="51"/>
  <c r="C546" i="51"/>
  <c r="C545" i="51"/>
  <c r="C544" i="51"/>
  <c r="C543" i="51"/>
  <c r="C542" i="51"/>
  <c r="C541" i="51"/>
  <c r="C540" i="51"/>
  <c r="C539" i="51"/>
  <c r="C538" i="51"/>
  <c r="C537" i="51"/>
  <c r="C536" i="51"/>
  <c r="C535" i="51"/>
  <c r="C534" i="51"/>
  <c r="C533" i="51"/>
  <c r="C532" i="51"/>
  <c r="C531" i="51"/>
  <c r="C530" i="51"/>
  <c r="C529" i="51"/>
  <c r="C528" i="51"/>
  <c r="C527" i="51"/>
  <c r="C526" i="51"/>
  <c r="C525" i="51"/>
  <c r="C524" i="51"/>
  <c r="C523" i="51"/>
  <c r="C522" i="51"/>
  <c r="C521" i="51"/>
  <c r="C520" i="51"/>
  <c r="C519" i="51"/>
  <c r="C518" i="51"/>
  <c r="C517" i="51"/>
  <c r="C516" i="51"/>
  <c r="C515" i="51"/>
  <c r="C514" i="51"/>
  <c r="C513" i="51"/>
  <c r="C512" i="51"/>
  <c r="C511" i="51"/>
  <c r="C510" i="51"/>
  <c r="C509" i="51"/>
  <c r="C508" i="51"/>
  <c r="C507" i="51"/>
  <c r="C506" i="51"/>
  <c r="C505" i="51"/>
  <c r="C504" i="51"/>
  <c r="C503" i="51"/>
  <c r="C502" i="51"/>
  <c r="C501" i="51"/>
  <c r="C500" i="51"/>
  <c r="C499" i="51"/>
  <c r="C498" i="51"/>
  <c r="C497" i="51"/>
  <c r="C496" i="51"/>
  <c r="C495" i="51"/>
  <c r="C494" i="51"/>
  <c r="C493" i="51"/>
  <c r="C492" i="51"/>
  <c r="C491" i="51"/>
  <c r="C490" i="51"/>
  <c r="C489" i="51"/>
  <c r="C488" i="51"/>
  <c r="C487" i="51"/>
  <c r="C486" i="51"/>
  <c r="C485" i="51"/>
  <c r="C484" i="51"/>
  <c r="C483" i="51"/>
  <c r="C482" i="51"/>
  <c r="C481" i="51"/>
  <c r="C480" i="51"/>
  <c r="C479" i="51"/>
  <c r="C478" i="51"/>
  <c r="C477" i="51"/>
  <c r="C476" i="51"/>
  <c r="C475" i="51"/>
  <c r="C474" i="51"/>
  <c r="C473" i="51"/>
  <c r="C472" i="51"/>
  <c r="C471" i="51"/>
  <c r="C470" i="51"/>
  <c r="C469" i="51"/>
  <c r="C468" i="51"/>
  <c r="C467" i="51"/>
  <c r="C466" i="51"/>
  <c r="C465" i="51"/>
  <c r="C464" i="51"/>
  <c r="C463" i="51"/>
  <c r="C462" i="51"/>
  <c r="C461" i="51"/>
  <c r="C460" i="51"/>
  <c r="C459" i="51"/>
  <c r="C458" i="51"/>
  <c r="C457" i="51"/>
  <c r="C456" i="51"/>
  <c r="C455" i="51"/>
  <c r="C454" i="51"/>
  <c r="C453" i="51"/>
  <c r="C452" i="51"/>
  <c r="C451" i="51"/>
  <c r="C450" i="51"/>
  <c r="C449" i="51"/>
  <c r="C448" i="51"/>
  <c r="C447" i="51"/>
  <c r="C446" i="51"/>
  <c r="C445" i="51"/>
  <c r="C444" i="51"/>
  <c r="C443" i="51"/>
  <c r="C442" i="51"/>
  <c r="C441" i="51"/>
  <c r="C440" i="51"/>
  <c r="C439" i="51"/>
  <c r="C438" i="51"/>
  <c r="C437" i="51"/>
  <c r="C436" i="51"/>
  <c r="C435" i="51"/>
  <c r="C434" i="51"/>
  <c r="C433" i="51"/>
  <c r="C432" i="51"/>
  <c r="C431" i="51"/>
  <c r="C430" i="51"/>
  <c r="C429" i="51"/>
  <c r="C428" i="51"/>
  <c r="C427" i="51"/>
  <c r="C426" i="51"/>
  <c r="C425" i="51"/>
  <c r="C424" i="51"/>
  <c r="C423" i="51"/>
  <c r="C422" i="51"/>
  <c r="C421" i="51"/>
  <c r="C420" i="51"/>
  <c r="C419" i="51"/>
  <c r="C418" i="51"/>
  <c r="C417" i="51"/>
  <c r="C416" i="51"/>
  <c r="C415" i="51"/>
  <c r="C414" i="51"/>
  <c r="C413" i="51"/>
  <c r="C412" i="51"/>
  <c r="C411" i="51"/>
  <c r="C410" i="51"/>
  <c r="C409" i="51"/>
  <c r="C408" i="51"/>
  <c r="C407" i="51"/>
  <c r="C406" i="51"/>
  <c r="C405" i="51"/>
  <c r="C404" i="51"/>
  <c r="C403" i="51"/>
  <c r="C402" i="51"/>
  <c r="C401" i="51"/>
  <c r="C400" i="51"/>
  <c r="C399" i="51"/>
  <c r="C398" i="51"/>
  <c r="C397" i="51"/>
  <c r="C396" i="51"/>
  <c r="C395" i="51"/>
  <c r="C394" i="51"/>
  <c r="C393" i="51"/>
  <c r="C392" i="51"/>
  <c r="C391" i="51"/>
  <c r="C390" i="51"/>
  <c r="C389" i="51"/>
  <c r="C388" i="51"/>
  <c r="C387" i="51"/>
  <c r="C386" i="51"/>
  <c r="C385" i="51"/>
  <c r="C384" i="51"/>
  <c r="C383" i="51"/>
  <c r="C382" i="51"/>
  <c r="C381" i="51"/>
  <c r="C380" i="51"/>
  <c r="C379" i="51"/>
  <c r="C378" i="51"/>
  <c r="C377" i="51"/>
  <c r="C376" i="51"/>
  <c r="C375" i="51"/>
  <c r="C374" i="51"/>
  <c r="C373" i="51"/>
  <c r="C372" i="51"/>
  <c r="C371" i="51"/>
  <c r="C370" i="51"/>
  <c r="C369" i="51"/>
  <c r="C368" i="51"/>
  <c r="C367" i="51"/>
  <c r="C366" i="51"/>
  <c r="C365" i="51"/>
  <c r="C364" i="51"/>
  <c r="C363" i="51"/>
  <c r="C362" i="51"/>
  <c r="C361" i="51"/>
  <c r="C360" i="51"/>
  <c r="C359" i="51"/>
  <c r="C358" i="51"/>
  <c r="C357" i="51"/>
  <c r="C356" i="51"/>
  <c r="C355" i="51"/>
  <c r="C354" i="51"/>
  <c r="C353" i="51"/>
  <c r="C352" i="51"/>
  <c r="C351" i="51"/>
  <c r="C350" i="51"/>
  <c r="C349" i="51"/>
  <c r="C348" i="51"/>
  <c r="C347" i="51"/>
  <c r="C346" i="51"/>
  <c r="C345" i="51"/>
  <c r="C344" i="51"/>
  <c r="C343" i="51"/>
  <c r="C342" i="51"/>
  <c r="C341" i="51"/>
  <c r="C340" i="51"/>
  <c r="C339" i="51"/>
  <c r="C338" i="51"/>
  <c r="C337" i="51"/>
  <c r="C336" i="51"/>
  <c r="C335" i="51"/>
  <c r="C334" i="51"/>
  <c r="C333" i="51"/>
  <c r="C332" i="51"/>
  <c r="C331" i="51"/>
  <c r="C330" i="51"/>
  <c r="C329" i="51"/>
  <c r="C328" i="51"/>
  <c r="C327" i="51"/>
  <c r="C326" i="51"/>
  <c r="C325" i="51"/>
  <c r="C324" i="51"/>
  <c r="C323" i="51"/>
  <c r="C322" i="51"/>
  <c r="C321" i="51"/>
  <c r="C320" i="51"/>
  <c r="C319" i="51"/>
  <c r="C318" i="51"/>
  <c r="C317" i="51"/>
  <c r="C316" i="51"/>
  <c r="C315" i="51"/>
  <c r="C314" i="51"/>
  <c r="C313" i="51"/>
  <c r="C312" i="51"/>
  <c r="C311" i="51"/>
  <c r="C310" i="51"/>
  <c r="C309" i="51"/>
  <c r="C308" i="51"/>
  <c r="C307" i="51"/>
  <c r="C306" i="51"/>
  <c r="C305" i="51"/>
  <c r="C304" i="51"/>
  <c r="C303" i="51"/>
  <c r="C302" i="51"/>
  <c r="C301" i="51"/>
  <c r="C300" i="51"/>
  <c r="C299" i="51"/>
  <c r="C298" i="51"/>
  <c r="C297" i="51"/>
  <c r="C296" i="51"/>
  <c r="C295" i="51"/>
  <c r="C294" i="51"/>
  <c r="C293" i="51"/>
  <c r="C292" i="51"/>
  <c r="C291" i="51"/>
  <c r="C290" i="51"/>
  <c r="C289" i="51"/>
  <c r="C288" i="51"/>
  <c r="C287" i="51"/>
  <c r="C286" i="51"/>
  <c r="C285" i="51"/>
  <c r="C284" i="51"/>
  <c r="C283" i="51"/>
  <c r="C282" i="51"/>
  <c r="C281" i="51"/>
  <c r="C280" i="51"/>
  <c r="C279" i="51"/>
  <c r="C278" i="51"/>
  <c r="C277" i="51"/>
  <c r="C276" i="51"/>
  <c r="C275" i="51"/>
  <c r="C274" i="51"/>
  <c r="C273" i="51"/>
  <c r="C272" i="51"/>
  <c r="C271" i="51"/>
  <c r="C270" i="51"/>
  <c r="C269" i="51"/>
  <c r="C268" i="51"/>
  <c r="C267" i="51"/>
  <c r="C266" i="51"/>
  <c r="C265" i="51"/>
  <c r="C264" i="51"/>
  <c r="C263" i="51"/>
  <c r="C262" i="51"/>
  <c r="C261" i="51"/>
  <c r="C260" i="51"/>
  <c r="C259" i="51"/>
  <c r="C258" i="51"/>
  <c r="C257" i="51"/>
  <c r="C256" i="51"/>
  <c r="C255" i="51"/>
  <c r="C254" i="51"/>
  <c r="C253" i="51"/>
  <c r="C252" i="51"/>
  <c r="C251" i="51"/>
  <c r="C250" i="51"/>
  <c r="C249" i="51"/>
  <c r="C248" i="51"/>
  <c r="C247" i="51"/>
  <c r="C246" i="51"/>
  <c r="C245" i="51"/>
  <c r="C244" i="51"/>
  <c r="C243" i="51"/>
  <c r="C242" i="51"/>
  <c r="C241" i="51"/>
  <c r="C240" i="51"/>
  <c r="C239" i="51"/>
  <c r="C238" i="51"/>
  <c r="C237" i="51"/>
  <c r="C236" i="51"/>
  <c r="C235" i="51"/>
  <c r="C234" i="51"/>
  <c r="C233" i="51"/>
  <c r="C232" i="51"/>
  <c r="C231" i="51"/>
  <c r="C230" i="51"/>
  <c r="C229" i="51"/>
  <c r="C228" i="51"/>
  <c r="C227" i="51"/>
  <c r="C226" i="51"/>
  <c r="C225" i="51"/>
  <c r="C224" i="51"/>
  <c r="C223" i="51"/>
  <c r="C222" i="51"/>
  <c r="C221" i="51"/>
  <c r="C220" i="51"/>
  <c r="C219" i="51"/>
  <c r="C218" i="51"/>
  <c r="C217" i="51"/>
  <c r="C216" i="51"/>
  <c r="C215" i="51"/>
  <c r="C214" i="51"/>
  <c r="C213" i="51"/>
  <c r="C212" i="51"/>
  <c r="C211" i="51"/>
  <c r="C210" i="51"/>
  <c r="C209" i="51"/>
  <c r="C208" i="51"/>
  <c r="C207" i="51"/>
  <c r="C206" i="51"/>
  <c r="C205" i="51"/>
  <c r="C204" i="51"/>
  <c r="C203" i="51"/>
  <c r="C202" i="51"/>
  <c r="C201" i="51"/>
  <c r="C200" i="51"/>
  <c r="C199" i="51"/>
  <c r="C198" i="51"/>
  <c r="C197" i="51"/>
  <c r="C196" i="51"/>
  <c r="C195" i="51"/>
  <c r="C194" i="51"/>
  <c r="C193" i="51"/>
  <c r="C192" i="51"/>
  <c r="C191" i="51"/>
  <c r="C190" i="51"/>
  <c r="C189" i="51"/>
  <c r="C188" i="51"/>
  <c r="C187" i="51"/>
  <c r="C186" i="51"/>
  <c r="C185" i="51"/>
  <c r="C184" i="51"/>
  <c r="C183" i="51"/>
  <c r="C182" i="51"/>
  <c r="C181" i="51"/>
  <c r="C180" i="51"/>
  <c r="C179" i="51"/>
  <c r="C178" i="51"/>
  <c r="C177" i="51"/>
  <c r="C176" i="51"/>
  <c r="C175" i="51"/>
  <c r="C174" i="51"/>
  <c r="C173" i="51"/>
  <c r="C172" i="51"/>
  <c r="C171" i="51"/>
  <c r="C170" i="51"/>
  <c r="C169" i="51"/>
  <c r="C168" i="51"/>
  <c r="C167" i="51"/>
  <c r="C166" i="51"/>
  <c r="C165" i="51"/>
  <c r="C164" i="51"/>
  <c r="C163" i="51"/>
  <c r="C162" i="51"/>
  <c r="C161" i="51"/>
  <c r="C160" i="51"/>
  <c r="C159" i="51"/>
  <c r="C158" i="51"/>
  <c r="C157" i="51"/>
  <c r="C156" i="51"/>
  <c r="C155" i="51"/>
  <c r="C154" i="51"/>
  <c r="C153" i="51"/>
  <c r="C152" i="51"/>
  <c r="C151" i="51"/>
  <c r="C150" i="51"/>
  <c r="C149" i="51"/>
  <c r="C148" i="51"/>
  <c r="C147" i="51"/>
  <c r="C146" i="51"/>
  <c r="C145" i="51"/>
  <c r="C144" i="51"/>
  <c r="C143" i="51"/>
  <c r="C142" i="51"/>
  <c r="C141" i="51"/>
  <c r="C140" i="51"/>
  <c r="C139" i="51"/>
  <c r="C138" i="51"/>
  <c r="C137" i="51"/>
  <c r="C136" i="51"/>
  <c r="C135" i="51"/>
  <c r="C134" i="51"/>
  <c r="C133" i="51"/>
  <c r="C132" i="51"/>
  <c r="C131" i="51"/>
  <c r="C130" i="51"/>
  <c r="C129" i="51"/>
  <c r="C128" i="51"/>
  <c r="C127" i="51"/>
  <c r="C126" i="51"/>
  <c r="C125" i="51"/>
  <c r="C124" i="51"/>
  <c r="C123" i="51"/>
  <c r="C122" i="51"/>
  <c r="C121" i="51"/>
  <c r="C120" i="51"/>
  <c r="C119" i="51"/>
  <c r="C118" i="51"/>
  <c r="C117" i="51"/>
  <c r="C116" i="51"/>
  <c r="C115" i="51"/>
  <c r="C114" i="51"/>
  <c r="C113" i="51"/>
  <c r="C112" i="51"/>
  <c r="C111" i="51"/>
  <c r="C110" i="51"/>
  <c r="C109" i="51"/>
  <c r="C108" i="51"/>
  <c r="C107" i="51"/>
  <c r="C106" i="51"/>
  <c r="C105" i="51"/>
  <c r="C104" i="51"/>
  <c r="C103" i="51"/>
  <c r="C102" i="51"/>
  <c r="C101" i="51"/>
  <c r="C100" i="51"/>
  <c r="C99" i="51"/>
  <c r="C98" i="51"/>
  <c r="C97" i="51"/>
  <c r="C96" i="51"/>
  <c r="C95" i="51"/>
  <c r="C94" i="51"/>
  <c r="C93" i="51"/>
  <c r="C92" i="51"/>
  <c r="C91" i="51"/>
  <c r="C90" i="51"/>
  <c r="C89" i="51"/>
  <c r="C88" i="51"/>
  <c r="C87" i="51"/>
  <c r="C86" i="51"/>
  <c r="C85" i="51"/>
  <c r="C84" i="51"/>
  <c r="C83" i="51"/>
  <c r="C82" i="51"/>
  <c r="C81" i="51"/>
  <c r="C80" i="51"/>
  <c r="C79" i="51"/>
  <c r="C78" i="51"/>
  <c r="C77" i="51"/>
  <c r="C76" i="51"/>
  <c r="C75" i="51"/>
  <c r="C74" i="51"/>
  <c r="C73" i="51"/>
  <c r="C72" i="51"/>
  <c r="C71" i="51"/>
  <c r="C70" i="51"/>
  <c r="C69" i="51"/>
  <c r="C68" i="51"/>
  <c r="C67" i="51"/>
  <c r="C66" i="51"/>
  <c r="C65" i="51"/>
  <c r="C64" i="51"/>
  <c r="C63" i="51"/>
  <c r="C62" i="51"/>
  <c r="C61" i="51"/>
  <c r="C60" i="51"/>
  <c r="C59" i="51"/>
  <c r="C58" i="51"/>
  <c r="C57" i="51"/>
  <c r="C56" i="51"/>
  <c r="C55" i="51"/>
  <c r="C54" i="51"/>
  <c r="C53" i="51"/>
  <c r="C52" i="51"/>
  <c r="C51" i="51"/>
  <c r="C50" i="51"/>
  <c r="C49" i="51"/>
  <c r="C48" i="51"/>
  <c r="C47" i="51"/>
  <c r="C46" i="51"/>
  <c r="C45" i="51"/>
  <c r="C44" i="51"/>
  <c r="C43" i="51"/>
  <c r="C42" i="51"/>
  <c r="C41" i="51"/>
  <c r="C40" i="51"/>
  <c r="C39" i="51"/>
  <c r="C38" i="51"/>
  <c r="C37" i="51"/>
  <c r="C36" i="51"/>
  <c r="C35" i="51"/>
  <c r="C34" i="51"/>
  <c r="C33" i="51"/>
  <c r="C32" i="51"/>
  <c r="C31" i="51"/>
  <c r="C30" i="51"/>
  <c r="C29" i="51"/>
  <c r="C28" i="51"/>
  <c r="C27" i="51"/>
  <c r="C26" i="51"/>
  <c r="C25" i="51"/>
  <c r="C24" i="51"/>
  <c r="C23" i="51"/>
  <c r="C22" i="51"/>
  <c r="C21" i="51"/>
  <c r="C20" i="51"/>
  <c r="C19" i="51"/>
  <c r="C18" i="51"/>
  <c r="C17" i="51"/>
  <c r="C16" i="51"/>
  <c r="C15" i="51"/>
  <c r="C14" i="51"/>
  <c r="C13" i="51"/>
  <c r="C12" i="51"/>
  <c r="C11" i="51"/>
  <c r="C10" i="51"/>
  <c r="C9" i="51"/>
  <c r="C8" i="51"/>
  <c r="C7" i="51"/>
  <c r="C6" i="51"/>
  <c r="C5" i="51"/>
  <c r="J6" i="26" l="1"/>
  <c r="J9" i="26"/>
  <c r="G9" i="26"/>
  <c r="D9" i="26"/>
  <c r="O11" i="81"/>
  <c r="G6" i="26" l="1"/>
  <c r="D6" i="26"/>
  <c r="AC87" i="75" l="1"/>
  <c r="AC86" i="75"/>
  <c r="AC85" i="75"/>
  <c r="AC80" i="75"/>
  <c r="AC78" i="75"/>
  <c r="AD21" i="75"/>
  <c r="AC21" i="75"/>
  <c r="AD84" i="75"/>
  <c r="AC84" i="75"/>
  <c r="AD82" i="75"/>
  <c r="AC82" i="75"/>
  <c r="AD81" i="75"/>
  <c r="AC81" i="75"/>
  <c r="AD79" i="75"/>
  <c r="AC79" i="75"/>
  <c r="AD77" i="75"/>
  <c r="AC77" i="75"/>
  <c r="AD76" i="75"/>
  <c r="AC76" i="75"/>
  <c r="AD75" i="75"/>
  <c r="AC75" i="75"/>
  <c r="AD74" i="75"/>
  <c r="AC74" i="75"/>
  <c r="AD73" i="75"/>
  <c r="AC73" i="75"/>
  <c r="AD72" i="75"/>
  <c r="AC72" i="75"/>
  <c r="AD71" i="75"/>
  <c r="AC71" i="75"/>
  <c r="AD70" i="75"/>
  <c r="AC70" i="75"/>
  <c r="AD69" i="75"/>
  <c r="AC69" i="75"/>
  <c r="AD68" i="75"/>
  <c r="AC68" i="75"/>
  <c r="AD67" i="75"/>
  <c r="AC67" i="75"/>
  <c r="AD66" i="75"/>
  <c r="AC66" i="75"/>
  <c r="AD65" i="75"/>
  <c r="AC65" i="75"/>
  <c r="AD64" i="75"/>
  <c r="AC64" i="75"/>
  <c r="AD63" i="75"/>
  <c r="AC63" i="75"/>
  <c r="AD62" i="75"/>
  <c r="AC62" i="75"/>
  <c r="AD61" i="75"/>
  <c r="AC61" i="75"/>
  <c r="AD60" i="75"/>
  <c r="AC60" i="75"/>
  <c r="AD59" i="75"/>
  <c r="AC59" i="75"/>
  <c r="AD58" i="75"/>
  <c r="AC58" i="75"/>
  <c r="AD57" i="75"/>
  <c r="AC57" i="75"/>
  <c r="AD56" i="75"/>
  <c r="AC56" i="75"/>
  <c r="AD55" i="75"/>
  <c r="AC55" i="75"/>
  <c r="AD54" i="75"/>
  <c r="AC54" i="75"/>
  <c r="AD53" i="75"/>
  <c r="AC53" i="75"/>
  <c r="AD52" i="75"/>
  <c r="AC52" i="75"/>
  <c r="AD51" i="75"/>
  <c r="AC51" i="75"/>
  <c r="AD50" i="75"/>
  <c r="AC50" i="75"/>
  <c r="AD49" i="75"/>
  <c r="AC49" i="75"/>
  <c r="AD48" i="75"/>
  <c r="AC48" i="75"/>
  <c r="AD47" i="75"/>
  <c r="AC47" i="75"/>
  <c r="AD46" i="75"/>
  <c r="AC46" i="75"/>
  <c r="AD45" i="75"/>
  <c r="AC45" i="75"/>
  <c r="AD44" i="75"/>
  <c r="AC44" i="75"/>
  <c r="AD43" i="75"/>
  <c r="AC43" i="75"/>
  <c r="AD42" i="75"/>
  <c r="AC42" i="75"/>
  <c r="AD41" i="75"/>
  <c r="AC41" i="75"/>
  <c r="AD40" i="75"/>
  <c r="AC40" i="75"/>
  <c r="AD39" i="75"/>
  <c r="AC39" i="75"/>
  <c r="AD38" i="75"/>
  <c r="AC38" i="75"/>
  <c r="AD37" i="75"/>
  <c r="AC37" i="75"/>
  <c r="AD36" i="75"/>
  <c r="AC36" i="75"/>
  <c r="AD35" i="75"/>
  <c r="AC35" i="75"/>
  <c r="AD34" i="75"/>
  <c r="AC34" i="75"/>
  <c r="AD33" i="75"/>
  <c r="AC33" i="75"/>
  <c r="AD32" i="75"/>
  <c r="AC32" i="75"/>
  <c r="AD31" i="75"/>
  <c r="AC31" i="75"/>
  <c r="AD30" i="75"/>
  <c r="AC30" i="75"/>
  <c r="AD29" i="75"/>
  <c r="AC29" i="75"/>
  <c r="AD28" i="75"/>
  <c r="AC28" i="75"/>
  <c r="AD27" i="75"/>
  <c r="AC27" i="75"/>
  <c r="AD26" i="75"/>
  <c r="AC26" i="75"/>
  <c r="AD25" i="75"/>
  <c r="AC25" i="75"/>
  <c r="AD24" i="75"/>
  <c r="AC24" i="75"/>
  <c r="AD23" i="75"/>
  <c r="AC23" i="75"/>
  <c r="AD20" i="75"/>
  <c r="AC20" i="75"/>
  <c r="AD19" i="75"/>
  <c r="AC19" i="75"/>
  <c r="AD18" i="75"/>
  <c r="AC18" i="75"/>
  <c r="AD17" i="75"/>
  <c r="AC17" i="75"/>
  <c r="AD16" i="75"/>
  <c r="AC16" i="75"/>
  <c r="AD15" i="75"/>
  <c r="AC15" i="75"/>
  <c r="AD14" i="75"/>
  <c r="AC14" i="75"/>
  <c r="AD13" i="75"/>
  <c r="AC13" i="75"/>
  <c r="AD12" i="75"/>
  <c r="AC12" i="75"/>
  <c r="AD11" i="75"/>
  <c r="AC11" i="75"/>
  <c r="AD10" i="75"/>
  <c r="AC10" i="75"/>
  <c r="AD9" i="75"/>
  <c r="AC9" i="75"/>
  <c r="AD8" i="75"/>
  <c r="F3" i="75"/>
  <c r="C84" i="38" l="1"/>
  <c r="E102" i="37"/>
  <c r="D102" i="37"/>
  <c r="H102" i="37"/>
  <c r="G102" i="37"/>
  <c r="F102" i="37"/>
  <c r="H100" i="37"/>
  <c r="G100" i="37"/>
  <c r="F100" i="37"/>
  <c r="E100" i="37"/>
  <c r="D100" i="37"/>
  <c r="H99" i="37"/>
  <c r="H98" i="37"/>
  <c r="H97" i="37"/>
  <c r="H96" i="37"/>
  <c r="H95" i="37"/>
  <c r="H94" i="37"/>
  <c r="A96" i="37"/>
  <c r="A97" i="37" s="1"/>
  <c r="A98" i="37" s="1"/>
  <c r="A99" i="37" s="1"/>
  <c r="A95" i="37"/>
  <c r="A80" i="37"/>
  <c r="A81" i="37" s="1"/>
  <c r="A82" i="37" s="1"/>
  <c r="A83" i="37" s="1"/>
  <c r="A84" i="37" s="1"/>
  <c r="A85" i="37" s="1"/>
  <c r="A86" i="37" s="1"/>
  <c r="A87" i="37" s="1"/>
  <c r="A88" i="37" s="1"/>
  <c r="A89" i="37" s="1"/>
  <c r="A90" i="37" s="1"/>
  <c r="A91" i="37" s="1"/>
  <c r="G62" i="37"/>
  <c r="F62" i="37"/>
  <c r="E62" i="37"/>
  <c r="D62" i="37"/>
  <c r="H61" i="37"/>
  <c r="H51" i="37"/>
  <c r="B4" i="1" l="1"/>
  <c r="B5" i="1" s="1"/>
  <c r="B6" i="1" s="1"/>
  <c r="B7" i="1" s="1"/>
  <c r="B8" i="1" s="1"/>
  <c r="B9" i="1" s="1"/>
  <c r="B10" i="1" s="1"/>
  <c r="B11" i="1" s="1"/>
  <c r="B12" i="1" s="1"/>
  <c r="B13" i="1" s="1"/>
  <c r="B14" i="1" s="1"/>
  <c r="B15" i="1" s="1"/>
  <c r="B16" i="1" s="1"/>
  <c r="B17" i="1" s="1"/>
  <c r="B18" i="1" s="1"/>
  <c r="B19"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G92" i="37" l="1"/>
  <c r="E92" i="37"/>
  <c r="D92" i="37"/>
  <c r="H91" i="37"/>
  <c r="H90" i="37"/>
  <c r="H89" i="37"/>
  <c r="H88" i="37"/>
  <c r="H87" i="37"/>
  <c r="H86" i="37"/>
  <c r="H85" i="37"/>
  <c r="H84" i="37"/>
  <c r="H83" i="37"/>
  <c r="H82" i="37"/>
  <c r="H81" i="37"/>
  <c r="H80" i="37"/>
  <c r="H79" i="37"/>
  <c r="H78" i="37"/>
  <c r="H77" i="37"/>
  <c r="H76" i="37"/>
  <c r="G74" i="37"/>
  <c r="E74" i="37"/>
  <c r="D74" i="37"/>
  <c r="H73" i="37"/>
  <c r="H72" i="37"/>
  <c r="H71" i="37"/>
  <c r="H70" i="37"/>
  <c r="H69" i="37"/>
  <c r="H68" i="37"/>
  <c r="H67" i="37"/>
  <c r="H66" i="37"/>
  <c r="H65" i="37"/>
  <c r="H64" i="37"/>
  <c r="H60" i="37"/>
  <c r="H59" i="37"/>
  <c r="H58" i="37"/>
  <c r="H57" i="37"/>
  <c r="H56" i="37"/>
  <c r="H55" i="37"/>
  <c r="H54" i="37"/>
  <c r="H53" i="37"/>
  <c r="H52" i="37"/>
  <c r="H50" i="37"/>
  <c r="H49" i="37"/>
  <c r="H48" i="37"/>
  <c r="H47" i="37"/>
  <c r="H46" i="37"/>
  <c r="H45" i="37"/>
  <c r="H44" i="37"/>
  <c r="H42" i="37"/>
  <c r="H41" i="37"/>
  <c r="H40" i="37"/>
  <c r="G38" i="37"/>
  <c r="E38" i="37"/>
  <c r="D38" i="37"/>
  <c r="H36" i="37"/>
  <c r="H30" i="37"/>
  <c r="H38" i="37" s="1"/>
  <c r="N27" i="37"/>
  <c r="N28" i="37" s="1"/>
  <c r="H62" i="37" l="1"/>
  <c r="H92" i="37"/>
  <c r="H74" i="3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Med Aziz Ayari</author>
  </authors>
  <commentList>
    <comment ref="K58" authorId="0" shapeId="0" xr:uid="{79CB9C66-6914-4C38-B4E7-B39B0C91081A}">
      <text>
        <r>
          <rPr>
            <b/>
            <sz val="9"/>
            <color indexed="81"/>
            <rFont val="Tahoma"/>
            <family val="2"/>
          </rPr>
          <t>Med Aziz Ayari:</t>
        </r>
        <r>
          <rPr>
            <sz val="9"/>
            <color indexed="81"/>
            <rFont val="Tahoma"/>
            <family val="2"/>
          </rPr>
          <t xml:space="preserve">
incohérence avec les informations relatif au CS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tc={12E562CB-4BE3-4B80-9236-4EDF54FAAF3D}</author>
    <author>tc={0ABCC48B-591C-4D2E-B837-DBA62915E3C6}</author>
  </authors>
  <commentList>
    <comment ref="B48" authorId="0" shapeId="0" xr:uid="{12E562CB-4BE3-4B80-9236-4EDF54FAAF3D}">
      <text>
        <r>
          <rPr>
            <sz val="11"/>
            <color theme="1"/>
            <rFont val="Aptos Narrow"/>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Ces flux seront considérés dans le référentiel</t>
        </r>
      </text>
    </comment>
    <comment ref="B99" authorId="1" shapeId="0" xr:uid="{0ABCC48B-591C-4D2E-B837-DBA62915E3C6}">
      <text>
        <r>
          <rPr>
            <sz val="11"/>
            <color theme="1"/>
            <rFont val="Aptos Narrow"/>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Ce flux sera considéré dans le référentiel</t>
        </r>
      </text>
    </comment>
  </commentList>
</comments>
</file>

<file path=xl/sharedStrings.xml><?xml version="1.0" encoding="utf-8"?>
<sst xmlns="http://schemas.openxmlformats.org/spreadsheetml/2006/main" count="66452" uniqueCount="14575">
  <si>
    <t>Société</t>
  </si>
  <si>
    <t>DGRAD</t>
  </si>
  <si>
    <t>PROVINCE</t>
  </si>
  <si>
    <t>N°</t>
  </si>
  <si>
    <t>Annexes</t>
  </si>
  <si>
    <t>Lien</t>
  </si>
  <si>
    <t>TITULAIRES</t>
  </si>
  <si>
    <t>N°DROIT</t>
  </si>
  <si>
    <t>NATURE</t>
  </si>
  <si>
    <t>CARRES</t>
  </si>
  <si>
    <t>OCTROI</t>
  </si>
  <si>
    <t>EXPIRATION</t>
  </si>
  <si>
    <t>ANVIL MINING CONGO Sarl</t>
  </si>
  <si>
    <t>PE</t>
  </si>
  <si>
    <t>Haut-Katanga</t>
  </si>
  <si>
    <t>CHEMICAL OF AFRICA SA</t>
  </si>
  <si>
    <t>Lualaba</t>
  </si>
  <si>
    <t>ALPHAMIN BISIE MINING S.A</t>
  </si>
  <si>
    <t>PR</t>
  </si>
  <si>
    <t>Nord-Kivu</t>
  </si>
  <si>
    <t>Kongo Central</t>
  </si>
  <si>
    <t>Tshopo</t>
  </si>
  <si>
    <t>Bas-Uele</t>
  </si>
  <si>
    <t>Kasai</t>
  </si>
  <si>
    <t>MMG KINSEVERE SARL</t>
  </si>
  <si>
    <t>RUBACO SARL</t>
  </si>
  <si>
    <t>SAMTA NATURAL RESOURCES CONGO SAS</t>
  </si>
  <si>
    <t>PEPM</t>
  </si>
  <si>
    <t>Ituri</t>
  </si>
  <si>
    <t>Haut-Uele</t>
  </si>
  <si>
    <t>SOCIETE ANHUI CONGO D' INVESTISSEMENT MINIER</t>
  </si>
  <si>
    <t>Kasai Oriental</t>
  </si>
  <si>
    <t>SOCIETE GENERALE DES MINES ET CARRIERES SARL</t>
  </si>
  <si>
    <t>VIRGINIKA MINING</t>
  </si>
  <si>
    <t>N° DU DROIT</t>
  </si>
  <si>
    <t>KISANFU MINING SAS</t>
  </si>
  <si>
    <t>LA GENERALE DES CARRIERES ET DES MINES</t>
  </si>
  <si>
    <t>PER</t>
  </si>
  <si>
    <t>LUFUPA SASU</t>
  </si>
  <si>
    <t>COMPAGNIE MINIERE DE LA LUKAYA S.A</t>
  </si>
  <si>
    <t>SOCIETE AURIFERE DU KIVU ET DU MANIEMA ''SAKIMA SA''</t>
  </si>
  <si>
    <t>Maniema</t>
  </si>
  <si>
    <t>AVZ MINERALS CONGO SARLU</t>
  </si>
  <si>
    <t>Tanganyka</t>
  </si>
  <si>
    <t>KAI PENG MINING SARL</t>
  </si>
  <si>
    <t>Haut-Lomami</t>
  </si>
  <si>
    <t>SOCIETE MINIERE DE BAKWANGA ''MIBA''</t>
  </si>
  <si>
    <t>Kasai Central</t>
  </si>
  <si>
    <t>PUNIA KASESE MINING S.A</t>
  </si>
  <si>
    <t>STATUT</t>
  </si>
  <si>
    <t>CONGO FAIR MINING S.A</t>
  </si>
  <si>
    <t>Actif</t>
  </si>
  <si>
    <t>NAMOYA MINING</t>
  </si>
  <si>
    <t>KALIMA MINING COMPANY S.A</t>
  </si>
  <si>
    <t>SOCIETE COMMERCIALE LA MINIERE DE KISENGE "MANGANESE" SARL</t>
  </si>
  <si>
    <t>KAMITUGA MINING</t>
  </si>
  <si>
    <t>Sud-Kivu</t>
  </si>
  <si>
    <t>TWANGIZA MINING</t>
  </si>
  <si>
    <t>KINSENDA COPPER COMPANY</t>
  </si>
  <si>
    <t>TENKE FUNGURUME MINING SA</t>
  </si>
  <si>
    <t>CARRIGRES</t>
  </si>
  <si>
    <t>Kinshasa</t>
  </si>
  <si>
    <t>LUGUSHWA MINING</t>
  </si>
  <si>
    <t>MINERALS MINING COMPANY SARL</t>
  </si>
  <si>
    <t>SOCIETE DE DEVELOPPEMENT INDUSTRIEL ET MINIER DU CONGO S.A.</t>
  </si>
  <si>
    <t>GEMCO SAS</t>
  </si>
  <si>
    <t>Sankuru</t>
  </si>
  <si>
    <t>BOSS MINING SPRL</t>
  </si>
  <si>
    <t>KAMBOVE MINING SAS</t>
  </si>
  <si>
    <t>KAMOTO COPPER COMPANY SA</t>
  </si>
  <si>
    <t>COMPAGNIE MINIERE DE LUISHA</t>
  </si>
  <si>
    <t>CONGO DONGFANG INTERNATIONAL MINING SAS</t>
  </si>
  <si>
    <t>SOCIETE D'EXPLOITATION DE KIPOI ''SEK''</t>
  </si>
  <si>
    <t>COMPAGNIE MINIERE DE TONDO SAS</t>
  </si>
  <si>
    <t>RUASHI MINING</t>
  </si>
  <si>
    <t>EVERBRIGHT MINING SARL</t>
  </si>
  <si>
    <t>Societe JEHOVAH JIREH ADO SPRL</t>
  </si>
  <si>
    <t>MUTANDA MINING SARL</t>
  </si>
  <si>
    <t>G12 ENTREPRISE SARL</t>
  </si>
  <si>
    <t>REGAL EXPLORATION DRC SASU</t>
  </si>
  <si>
    <t>GICC Sarl</t>
  </si>
  <si>
    <t>SOCIETE D'EXPLORATION MINIERE DU HAUT KATANGA</t>
  </si>
  <si>
    <t>SURYA MINES SARL</t>
  </si>
  <si>
    <t>CMOC KISANFU MINING SARL</t>
  </si>
  <si>
    <t>MBAKA KAWAYA SARL</t>
  </si>
  <si>
    <t>LA MINIERE DE KALUKUNDI</t>
  </si>
  <si>
    <t>TSM ENTREPRISE SARL</t>
  </si>
  <si>
    <t>SOCIETE MINIERE DU KATANGA</t>
  </si>
  <si>
    <t>AURUM SARL</t>
  </si>
  <si>
    <t>SASE MINING SARL</t>
  </si>
  <si>
    <t>SA DRC Mining</t>
  </si>
  <si>
    <t>SOCIETE MINIERE DE KASONTA</t>
  </si>
  <si>
    <t>E29 RESOURCES SARL</t>
  </si>
  <si>
    <t>KUN TAI CONGO MINING " K.T.C.M"</t>
  </si>
  <si>
    <t>TANTALE MINING KATANGA</t>
  </si>
  <si>
    <t>KANSONGA MINING Sarl</t>
  </si>
  <si>
    <t>WALNI MINERAL COMPANY SARL</t>
  </si>
  <si>
    <t>MACROLINK JIAYUAN MINING</t>
  </si>
  <si>
    <t>LUANZO INVESTISSEMENTS SARL</t>
  </si>
  <si>
    <t>SHITURU MINING CORPORATION</t>
  </si>
  <si>
    <t>SOCIETE MINIERE DE BISUNZU</t>
  </si>
  <si>
    <t>REGAL SUD-KIVU</t>
  </si>
  <si>
    <t>EXCELLEN MINERALS SARL</t>
  </si>
  <si>
    <t>MABENDE MINING SARL</t>
  </si>
  <si>
    <t>CODEMA SARL</t>
  </si>
  <si>
    <t>GIRO GOLDFIELDS</t>
  </si>
  <si>
    <t>KIBALI GOLDMINES</t>
  </si>
  <si>
    <t>SOCIETE MINIERE DE KILO MOTO</t>
  </si>
  <si>
    <t>KODO RESSOURCES SARL</t>
  </si>
  <si>
    <t>BOLFAST</t>
  </si>
  <si>
    <t>METAL MINES Sprl</t>
  </si>
  <si>
    <t>KINSEVERE MINING RESSOURCES</t>
  </si>
  <si>
    <t>FMR DEVELOPMENT</t>
  </si>
  <si>
    <t>SILVER BACK RESSOURCES SARL</t>
  </si>
  <si>
    <t>SOCIETE BOMPANZE ENGOMBE SARL</t>
  </si>
  <si>
    <t>OM METAL RESSOURCES</t>
  </si>
  <si>
    <t>TERRA KARA SARL</t>
  </si>
  <si>
    <t>SOCIETE MINIERE DE NDUBA SARL</t>
  </si>
  <si>
    <t>CHADY APPART SARL</t>
  </si>
  <si>
    <t>KADI INTERNATIONAL SARL</t>
  </si>
  <si>
    <t>MCC RESOURCES SARL</t>
  </si>
  <si>
    <t>RATEL METAL CONGO SARL</t>
  </si>
  <si>
    <t>JINXIN MINING S.A</t>
  </si>
  <si>
    <t>CONGO GENERAL DEALERS SARL</t>
  </si>
  <si>
    <t>LA MINIERE DU CONGO_MDC</t>
  </si>
  <si>
    <t>ENTREPRISE GENERALE MALTA FORREST</t>
  </si>
  <si>
    <t>BMN MINING SARL</t>
  </si>
  <si>
    <t>CONGO JIN JU CHENG MINING COMPANY</t>
  </si>
  <si>
    <t>LA SINO-CONGOLAISE DES MINES SA</t>
  </si>
  <si>
    <t>ADUMBI MINING SA</t>
  </si>
  <si>
    <t>LA MINIERE DE KASOMBO</t>
  </si>
  <si>
    <t>MINESTONE SARL</t>
  </si>
  <si>
    <t>SOCIETE MINIERE TALANTA SARL</t>
  </si>
  <si>
    <t>SOCIETE D'EXPLOITATION DE SHAMITUMBA SAS</t>
  </si>
  <si>
    <t>TIGER CONGO</t>
  </si>
  <si>
    <t>COMPAGNIE MINIERE DE MUSONOIE GLOBAL</t>
  </si>
  <si>
    <t>GENERALE INDUSTRIELLE ET COMMERCIALE AU CONGO PRO MINING</t>
  </si>
  <si>
    <t>XING DA MINING SARL</t>
  </si>
  <si>
    <t>BROTHER MINING SASU</t>
  </si>
  <si>
    <t>YA FEI MINING SARL</t>
  </si>
  <si>
    <t>SABWE MINING SARL</t>
  </si>
  <si>
    <t>KALONGWE MINING SA</t>
  </si>
  <si>
    <t>MINING MINERAL RESOURCES Sarl</t>
  </si>
  <si>
    <t>CONGO SILVER AGE SCI ET TECH COBALT SARL</t>
  </si>
  <si>
    <t>XING PENG MINING Sarl</t>
  </si>
  <si>
    <t>KISENGO MINING</t>
  </si>
  <si>
    <t>SOCIETE DE COMMERCE INTERNATIONAL ET DES RESSOURCES MINING SARL</t>
  </si>
  <si>
    <t>KIPUSHI CORPORATION</t>
  </si>
  <si>
    <t>12434</t>
  </si>
  <si>
    <t>HONGKONG EXCELLEN MINING INVESTMENT CONGO SARL</t>
  </si>
  <si>
    <t>HONGKONG YISEN INVESTMENT CONGO SARL</t>
  </si>
  <si>
    <t>LA CONGOLAISE D'EXPLOITATION MINIERE S.A.</t>
  </si>
  <si>
    <t>SOCIETE MINIERE DU KONGO SARLU</t>
  </si>
  <si>
    <t>PIMA MINING Sprl</t>
  </si>
  <si>
    <t>GOLDEN AFRICA RESSOURCES SARL</t>
  </si>
  <si>
    <t>KEBAYO MINES SARL</t>
  </si>
  <si>
    <t>LEREXCOM</t>
  </si>
  <si>
    <t>KAMOA COPPER SA</t>
  </si>
  <si>
    <t>MINES D'OR DE KISENGE ''MDDK'' SARL</t>
  </si>
  <si>
    <t>SOCIETE D'EXPLOITATION DES GISEMENTS DE MALEMBA NKULU</t>
  </si>
  <si>
    <t>SHAMIKA T3</t>
  </si>
  <si>
    <t>CROWN MINING SARL</t>
  </si>
  <si>
    <t>BIENVIEW MINING SARL</t>
  </si>
  <si>
    <t>LUKUTWE SAS</t>
  </si>
  <si>
    <t>C.N.M.C HUACHIN MABENDE MINING SA</t>
  </si>
  <si>
    <t>LEDA MINING CONGO</t>
  </si>
  <si>
    <t>BENDERA MINING COMPANY SARL</t>
  </si>
  <si>
    <t>LUALABA MINING RESOURCES</t>
  </si>
  <si>
    <t>HADASA MINING SARL</t>
  </si>
  <si>
    <t>FOURTUNE CONSTRUCTION CONGO</t>
  </si>
  <si>
    <t>CONGO CONSTRUCTION INVESTMENTS SARL</t>
  </si>
  <si>
    <t>RENZHEN INTERNATIONAL DEVELOPMENT INSTITUTE LIMITED</t>
  </si>
  <si>
    <t>ZHISHOU BUSINESS CONSULTING LTD</t>
  </si>
  <si>
    <t>BAKWAFIKA KABULA ZOROBABEL SARL</t>
  </si>
  <si>
    <t>COMPAGNIE MINIERE DE DEVELOPPEMENT ET DE RECONSTRUCTION</t>
  </si>
  <si>
    <t>ANHUA CONSTRUCTION CONGO SARL</t>
  </si>
  <si>
    <t>THOMAS MINING SARL</t>
  </si>
  <si>
    <t>SOCIETE ALLAMANDA TRADING SARL</t>
  </si>
  <si>
    <t>LETA MBANVU MINING COMPANY SARL</t>
  </si>
  <si>
    <t>MAZAL CORPORATION SARL</t>
  </si>
  <si>
    <t>Lomami</t>
  </si>
  <si>
    <t>SOCIETE CONSTRUCTION COMPANY SARL</t>
  </si>
  <si>
    <t>DA TONG MINING SARL</t>
  </si>
  <si>
    <t>Patrick NGUDIA TSHIABA</t>
  </si>
  <si>
    <t>SOCIETE CONGO HOLDING SARL</t>
  </si>
  <si>
    <t>COMBINED MINING COMPANY SARL</t>
  </si>
  <si>
    <t>BRAVURA CONGO S.A</t>
  </si>
  <si>
    <t>AFRICA EQUITY &amp; INVESTMENT GROUP SARL</t>
  </si>
  <si>
    <t>LUALABA COPPER SMELTER SAS</t>
  </si>
  <si>
    <t>REGAL SK</t>
  </si>
  <si>
    <t>CHENGTUN CONGO RESSOURCES SARL</t>
  </si>
  <si>
    <t>TAMARIS SERVICE SARL</t>
  </si>
  <si>
    <t>CONGO MANAGEMENT SARL</t>
  </si>
  <si>
    <t>DECO ROOM SARL</t>
  </si>
  <si>
    <t>SOCIETE DE RECHERCHE GEOLOGIQUE ET MINIERE</t>
  </si>
  <si>
    <t>COOPERATIVE DES ARTISANAUX MINIERS DU CONGO ENTITE SARL</t>
  </si>
  <si>
    <t>BRITCON COMPANY SARL</t>
  </si>
  <si>
    <t>BMK CONSTRUCTION SARL</t>
  </si>
  <si>
    <t>LOTUS MINING SARL</t>
  </si>
  <si>
    <t>NEW CONGO TEC MINING SARL</t>
  </si>
  <si>
    <t>GLOBAL ENVIRONMENT AND SERVICES</t>
  </si>
  <si>
    <t>CHEKINA SARL</t>
  </si>
  <si>
    <t>SOCIETE D' EXPLOITATION MINIERE DE MUSOSHI SA</t>
  </si>
  <si>
    <t>SOCIETE LONGATSHIMO MINING SARL</t>
  </si>
  <si>
    <t>XIN HAO MINING SARL</t>
  </si>
  <si>
    <t>DRC MINING EXPLORATION AND FACILITY BUSINESS SARL</t>
  </si>
  <si>
    <t>LIBELA SARL</t>
  </si>
  <si>
    <t>LA GRACE DE DIEU SARL</t>
  </si>
  <si>
    <t>KUNDELUNGU MINING AND EXPLORATION SA</t>
  </si>
  <si>
    <t>EVEREST MINING SARL</t>
  </si>
  <si>
    <t>SOCIETE LUALABA MULTI SERVICE AGENCE</t>
  </si>
  <si>
    <t>SOCIETE ALVA RESOURCES SARL</t>
  </si>
  <si>
    <t>BOPE EXPLORATION AND MINING COOPERATION SARL</t>
  </si>
  <si>
    <t>KAMUMER INTERNATIONAL INVESTMENTS AND CONSULTING</t>
  </si>
  <si>
    <t>SOCIETE AGRO-PASTORALE ET MINIERE DU KIVU</t>
  </si>
  <si>
    <t>DES IDEES QUI VALENT DE L'OR</t>
  </si>
  <si>
    <t>GRACE ETONNANTE GROUPE SARL</t>
  </si>
  <si>
    <t>MASISI MINING SARLU</t>
  </si>
  <si>
    <t>MATA SARL</t>
  </si>
  <si>
    <t>SOCIETE GENERALE DE CONSULTANCE</t>
  </si>
  <si>
    <t>CONGOLESE COBALT MANAGEMENT SARL</t>
  </si>
  <si>
    <t>GOLDEN CONSTRUCTION SARL</t>
  </si>
  <si>
    <t>VALLEY MINING GROUP SAS</t>
  </si>
  <si>
    <t>SAF MINING SARL</t>
  </si>
  <si>
    <t>MC TWIGA INDUSTRIES SARL</t>
  </si>
  <si>
    <t>ELIKA BUSINESS SARL</t>
  </si>
  <si>
    <t>CONGO NEW MINING VISION SARL</t>
  </si>
  <si>
    <t>SUPER KATANGA SARL</t>
  </si>
  <si>
    <t>ZHI PENG MINING SARL</t>
  </si>
  <si>
    <t>SOCIETE MINIERE ET AGRICOLE DU CONGO</t>
  </si>
  <si>
    <t>CL ETOILE SARL</t>
  </si>
  <si>
    <t>BARRICK GOLD CONGO SARL</t>
  </si>
  <si>
    <t>MAWUYA TRADING AU CONGO</t>
  </si>
  <si>
    <t>Sud-Ubangi</t>
  </si>
  <si>
    <t>GREEN MINING SARL</t>
  </si>
  <si>
    <t>NEW DESTINY MINING SARL</t>
  </si>
  <si>
    <t>SOGEMIP MINING SARLU</t>
  </si>
  <si>
    <t>NEK MINING SARL</t>
  </si>
  <si>
    <t>STANVIC MINING SARL</t>
  </si>
  <si>
    <t>COMMERCE GENERAL PHARMACIE HOPITAUX ET INDUSTRIES DU LUALABA</t>
  </si>
  <si>
    <t>BUTA SARL</t>
  </si>
  <si>
    <t>LA JOIE DE VIVRE MINING</t>
  </si>
  <si>
    <t>HEYDAY MINING INVESTMENT RDC</t>
  </si>
  <si>
    <t>OCEANE MINING RDC SA</t>
  </si>
  <si>
    <t>SOCIETE NUMBI EXPLOITATION SARL</t>
  </si>
  <si>
    <t>AIR MARINE AFRICA SARL</t>
  </si>
  <si>
    <t>NIANGARA GOLD MINING SARL</t>
  </si>
  <si>
    <t>COOPERATIVE DES EXPLOITANTS ARTISANAUX MINIERS DE MASISI</t>
  </si>
  <si>
    <t>TITAN MINERALS S.A</t>
  </si>
  <si>
    <t>COMPAGNIE MINIERE DE KATOTO SARL</t>
  </si>
  <si>
    <t>KATANGA TECHNIQUE TRADING</t>
  </si>
  <si>
    <t>AGAPAO GLOBAL BUSINESS SARL</t>
  </si>
  <si>
    <t>GENERALE DES MINES ET DES CARRIERES SARL</t>
  </si>
  <si>
    <t>IN PUT MINING SARL</t>
  </si>
  <si>
    <t>SOCIETE DES MINES ET DES CARRIERES POUR L'EMERGENCE DU CONGO SARL</t>
  </si>
  <si>
    <t>MERCURY MINING COMPANY SARL</t>
  </si>
  <si>
    <t>GOD MATEBWE AND SONS SARL</t>
  </si>
  <si>
    <t>CONGO BANTU MINING SARL</t>
  </si>
  <si>
    <t>KATANGA METALS</t>
  </si>
  <si>
    <t>HOPE CONNECT MINING SARL</t>
  </si>
  <si>
    <t>BUKWASHI MINING COMPANY SARL</t>
  </si>
  <si>
    <t>NOUVELLE FRONTIERE SARL</t>
  </si>
  <si>
    <t>SOLEIL MINING SARL</t>
  </si>
  <si>
    <t>IVANHOE MINES EXPLORATION DRC SARL</t>
  </si>
  <si>
    <t>BTC MINING AND SERVICES SARL</t>
  </si>
  <si>
    <t>SOCIETE COOPERATION GRAND KATANGA POUR LE DEVELOPPEMENT SARL</t>
  </si>
  <si>
    <t>MAHAVEER MINING SARL</t>
  </si>
  <si>
    <t>KIFUMPA MINING SARL</t>
  </si>
  <si>
    <t>YEKAL MINING SARL</t>
  </si>
  <si>
    <t>KIMIA MINING INVESTMENT SARL</t>
  </si>
  <si>
    <t>TD CONSTRUCTION SARLU</t>
  </si>
  <si>
    <t>CONGO MOON MINING SARL</t>
  </si>
  <si>
    <t>JIKA MINING COMPANY SARL</t>
  </si>
  <si>
    <t>SOCIETE LIBENGE MINING SARLU</t>
  </si>
  <si>
    <t>SOCIETE MULTI COMMERCIALE SARL</t>
  </si>
  <si>
    <t>GLORIA DEI MINING SARL</t>
  </si>
  <si>
    <t>CONGO BLUEANT MINERALS SARL</t>
  </si>
  <si>
    <t>STE MIT MINERALS SARL</t>
  </si>
  <si>
    <t>COOPERATIVE MINIERE RISING STARS</t>
  </si>
  <si>
    <t>ENTREPRISE COMMERCIALE. MINIERE. AGRICOLE ET DE SECURITE SARL</t>
  </si>
  <si>
    <t>KAPIRI MINING SARL</t>
  </si>
  <si>
    <t>GOMINING SARL</t>
  </si>
  <si>
    <t>SOCIETE ORIENTALE RESSOURCES CONGO SARL</t>
  </si>
  <si>
    <t>COMPAGNIE MINIERE MIKUBA RESSOURCES SARL</t>
  </si>
  <si>
    <t>COOPERATIVE MINIERE POUR LE DEVELOPPEMENT COMMUNAUTAIRE</t>
  </si>
  <si>
    <t>MICHEE MINING SARL</t>
  </si>
  <si>
    <t>GOLIN MINING INVESTMENT SARL</t>
  </si>
  <si>
    <t>TSONA MINING RDC</t>
  </si>
  <si>
    <t>GROUPE D.M.S. BUSINESS SARLU</t>
  </si>
  <si>
    <t>MINERAL QUEST SARL</t>
  </si>
  <si>
    <t>SINO KAT TIN SARL</t>
  </si>
  <si>
    <t>SOCIETE MINIERE KIMBANGUISTE SARL</t>
  </si>
  <si>
    <t>AMANI MINERALS KATANGA SARL</t>
  </si>
  <si>
    <t>Nord-Ubangi</t>
  </si>
  <si>
    <t>SOCIETE MINIERE BIALA MUKANGA SARL</t>
  </si>
  <si>
    <t>EVEREST MINING DR CONGO SARL</t>
  </si>
  <si>
    <t>DIESEL MINING&amp;CONSULTANTS SARL</t>
  </si>
  <si>
    <t>FIGA MINING SARL</t>
  </si>
  <si>
    <t>KWESU MINING SARL</t>
  </si>
  <si>
    <t>CONGOLAISE COBALT MANAGEMENT SARL</t>
  </si>
  <si>
    <t>MOORE GOLD SAS</t>
  </si>
  <si>
    <t>KIVU TRUSTED MINING SARLU</t>
  </si>
  <si>
    <t>SOCIETE CONGO CHENGTUN NEW MATERIALS SASU</t>
  </si>
  <si>
    <t>AMBA RESSOURCES SARL</t>
  </si>
  <si>
    <t>SOCIETE GOLIN RESOURCES SARL</t>
  </si>
  <si>
    <t>TURCO CONSTRUCT SARL</t>
  </si>
  <si>
    <t>TLMC MINING S.A.U</t>
  </si>
  <si>
    <t>COMPAGNIE DE SERVICES MULTIPLES</t>
  </si>
  <si>
    <t>SOCIETE BUSINESS KAMANDI MINING SARL</t>
  </si>
  <si>
    <t>KARIBU CONSULTING SARL</t>
  </si>
  <si>
    <t>ARUWIMI MINING SARL</t>
  </si>
  <si>
    <t>MAXIMINES SARL</t>
  </si>
  <si>
    <t>PILAR DRC MINING SARLU</t>
  </si>
  <si>
    <t>NEW CONTINENT MINERALS SARL</t>
  </si>
  <si>
    <t>EXCOMINES REPUBLIQUE DÉMOCRATIQUE DU CONGO</t>
  </si>
  <si>
    <t>MUYA RESSOURCES</t>
  </si>
  <si>
    <t>INTERNATIONAL TE DJWA SARL</t>
  </si>
  <si>
    <t>LUILU GOLD MINING SARL</t>
  </si>
  <si>
    <t>ODILON &amp; MANUEL SARL</t>
  </si>
  <si>
    <t>SOCIETE GLOBAL CONGO MINING SARLU</t>
  </si>
  <si>
    <t>GEOCORE SARL</t>
  </si>
  <si>
    <t>KATANGA MINES CORPORATION SARL</t>
  </si>
  <si>
    <t>KALINDA-LUKUNDU DEVELOPMENT MINING SARL</t>
  </si>
  <si>
    <t>NYEMAK MINING SARL</t>
  </si>
  <si>
    <t>WORLD MINING RDC SARL</t>
  </si>
  <si>
    <t>SOCIETE QUALITY CORPORATE MINING SARL</t>
  </si>
  <si>
    <t>DINAMIQUE CONGO INVESTISSEMENT SARL</t>
  </si>
  <si>
    <t>KIBARA MINERALS SARLU</t>
  </si>
  <si>
    <t>SOCIETE UMOJA MINERALS SARL</t>
  </si>
  <si>
    <t>GRANDS SERVICES SARLU</t>
  </si>
  <si>
    <t>SOCIETE TODAY TOMORROW CONGO SARLU</t>
  </si>
  <si>
    <t>BORA MINERALS SARL</t>
  </si>
  <si>
    <t>SOCIETE SAM ET COMPAGNIE SARL</t>
  </si>
  <si>
    <t>SOCIETE COOPERATIVE GRAND KATANGA POUR LE DEVELOPPEMENT SARL</t>
  </si>
  <si>
    <t>GROUPE M.S.A SA</t>
  </si>
  <si>
    <t>COSMOS MINING SARL</t>
  </si>
  <si>
    <t>LA GRACE F.U.J SARL</t>
  </si>
  <si>
    <t>ALINAWA SARL</t>
  </si>
  <si>
    <t>KABARE GOLD MINING SARL</t>
  </si>
  <si>
    <t>STONE MINING COMPANY SARLU</t>
  </si>
  <si>
    <t>MAÏSHA MULTI-SERVICES MINING SARL</t>
  </si>
  <si>
    <t>LONG TENG MINERALS SARL</t>
  </si>
  <si>
    <t>EMERGING MINING SARLU</t>
  </si>
  <si>
    <t>CONGO GLOBAL MINING CORPORATION SARL</t>
  </si>
  <si>
    <t>NGUBA INVESTMENT SARL</t>
  </si>
  <si>
    <t>SOCIETE DES MINES DU CONGO SASU</t>
  </si>
  <si>
    <t>SOCIETE UMOJA MINING SARL</t>
  </si>
  <si>
    <t>SOCIETE MINIERE DE LONGATSHIMO</t>
  </si>
  <si>
    <t>SOCIETE JAMAA MINING SARL</t>
  </si>
  <si>
    <t>LAMPYRIS SARL</t>
  </si>
  <si>
    <t>UMOJA MINING SARL</t>
  </si>
  <si>
    <t>ALOKANI MINING ET INVESTMENTS SARL</t>
  </si>
  <si>
    <t>SOCIETE AMANI SARLU</t>
  </si>
  <si>
    <t>GOLDIX TRADE COMPANY MINING SARL</t>
  </si>
  <si>
    <t>ULTIMATE INDUSTRIALS SARL</t>
  </si>
  <si>
    <t>SOCIETE MINIERE ITURI MINERAL SARL</t>
  </si>
  <si>
    <t>MASLO SARL</t>
  </si>
  <si>
    <t>PALM CONSTELLATION SARL</t>
  </si>
  <si>
    <t>GROUPE MUEMA BUSINESS SARL</t>
  </si>
  <si>
    <t>SOCIETE D&amp;W MINING</t>
  </si>
  <si>
    <t>CONGO PROGRESS MINING S.A</t>
  </si>
  <si>
    <t>TANGANYIKA MAENDELEO SARL</t>
  </si>
  <si>
    <t>TONGLI RESOURCES SARL</t>
  </si>
  <si>
    <t>GROUPE SIX SARL</t>
  </si>
  <si>
    <t>FODEN MINING CORPORATION SARL</t>
  </si>
  <si>
    <t>SANKURU MINING SARL</t>
  </si>
  <si>
    <t>KIMIA GOLD RESOURCES</t>
  </si>
  <si>
    <t>INTERLACS S.A</t>
  </si>
  <si>
    <t>CONGO MINING CORPORATION SARL</t>
  </si>
  <si>
    <t>GRAND KIVU MINING SARL</t>
  </si>
  <si>
    <t>NURU EXPLORATION SARL</t>
  </si>
  <si>
    <t>PAMPANGA LIGHTS MINING SARLU</t>
  </si>
  <si>
    <t>NEHEMA COPPER SARLU</t>
  </si>
  <si>
    <t>GROUPE OF COMPANIE REKOPANE DRC SARL</t>
  </si>
  <si>
    <t>CHRIST GOLD MINING SARL</t>
  </si>
  <si>
    <t>ORE BODY PROSPECTING SARL</t>
  </si>
  <si>
    <t>KALONGWE SAS</t>
  </si>
  <si>
    <t>MABANGA SHINING SARLU</t>
  </si>
  <si>
    <t>MWAISENI CONGO SARL</t>
  </si>
  <si>
    <t>CONGO ENVIRONMENT AND MINING CONSULTING</t>
  </si>
  <si>
    <t>RMC MINING SAS</t>
  </si>
  <si>
    <t>GENERAL MINING CORPORATION SARL</t>
  </si>
  <si>
    <t>YASH TRADING SARL</t>
  </si>
  <si>
    <t>SIMOBILE SARL</t>
  </si>
  <si>
    <t>SOCIETE D'EXPLOITATION DE LA CASSITERITE AU KATANGA</t>
  </si>
  <si>
    <t>Droit Déchu</t>
  </si>
  <si>
    <t>CONGO COBALT CORPORATION SPRL</t>
  </si>
  <si>
    <t>KABONGO DEVELOPPEMENT COMPANY</t>
  </si>
  <si>
    <t>SOCIETE D'EXPLOITATION DES GISEMENTS DE KALUKUNDI</t>
  </si>
  <si>
    <t>Clément LETA MBAMVU</t>
  </si>
  <si>
    <t>BUMBA MINES SARL</t>
  </si>
  <si>
    <t>KENGERE MINING SA</t>
  </si>
  <si>
    <t>MAKOKO SA</t>
  </si>
  <si>
    <t>Actif-Transformation PR en PE</t>
  </si>
  <si>
    <t>SOCIETE YAMS MINING SARL</t>
  </si>
  <si>
    <t>SOCIETE EVOLUTION MINING SARL</t>
  </si>
  <si>
    <t>SOCIETE PROGRES MINING SARL</t>
  </si>
  <si>
    <t>GOLDEN SANDS MINING SARL</t>
  </si>
  <si>
    <t>SOCIETE ROCHKAT MINING SARL</t>
  </si>
  <si>
    <t>SOCIETE HK CENTER MINING SARL</t>
  </si>
  <si>
    <t>Renouvellement Octroi</t>
  </si>
  <si>
    <t>LONCOR RESOURCES CONGO SARL</t>
  </si>
  <si>
    <t>SOCIETE UBITE MINING SARL</t>
  </si>
  <si>
    <t>SINO KATANGA TIN SARL</t>
  </si>
  <si>
    <t>TANGANYIKA MINING COMPANY</t>
  </si>
  <si>
    <t>LEDYA</t>
  </si>
  <si>
    <t>AFRIQUE RESSOURCES INTERNATIONAL SARL</t>
  </si>
  <si>
    <t>SOCIETE MINIERE MAPWAR FAUSTIN SARL</t>
  </si>
  <si>
    <t>COMPAGNIE DE TRAITEMENT DES REJETS DE KINGAMYAMBO</t>
  </si>
  <si>
    <t>LA MINIERE DE LA LUKUGA</t>
  </si>
  <si>
    <t>REGAL MANIEMA SARL</t>
  </si>
  <si>
    <t>MAPOTI OLELA MINING GROUP SARL</t>
  </si>
  <si>
    <t>KANUKA MINING COMPANY</t>
  </si>
  <si>
    <t>ENTREPRISE MINIERE DU KIVU</t>
  </si>
  <si>
    <t>LUAMBO MINING</t>
  </si>
  <si>
    <t>MAANYAA SARL</t>
  </si>
  <si>
    <t>BAHATI DIAMOND SPRL</t>
  </si>
  <si>
    <t>KUNTUALA MINING SAS</t>
  </si>
  <si>
    <t>DOFA MINING SARL</t>
  </si>
  <si>
    <t>CONGO METAL Sprl</t>
  </si>
  <si>
    <t>KATANGA STAR COMPANY SARL</t>
  </si>
  <si>
    <t>KALIKA MINING SARL</t>
  </si>
  <si>
    <t>PPC BARNET DRC QUARRYING S.A</t>
  </si>
  <si>
    <t>MINERALS INVESTMENT</t>
  </si>
  <si>
    <t>GOLD MINING CORPORATION-NEPOKO</t>
  </si>
  <si>
    <t>MAADINI MINING</t>
  </si>
  <si>
    <t>ETABLISSEMENTS EMERGING SERVICES EMERS</t>
  </si>
  <si>
    <t>SOCIETE GENERALE DEXPLOITATION DE CASITERITE ET ACCOMPAGNATEURS SARL</t>
  </si>
  <si>
    <t>PROXMIN</t>
  </si>
  <si>
    <t>DELRAND RESOURCES CONGO SPRL</t>
  </si>
  <si>
    <t>LUTWIKA MINING SARL</t>
  </si>
  <si>
    <t>Kwilu</t>
  </si>
  <si>
    <t>SOCIETE KAMKIS MINING SARL</t>
  </si>
  <si>
    <t>CONGO MOTORS Sprl</t>
  </si>
  <si>
    <t>CARRIERE RUDY SAMBA SARLU</t>
  </si>
  <si>
    <t>CM MINING SARLU</t>
  </si>
  <si>
    <t>KAMAYAL SARL</t>
  </si>
  <si>
    <t>FKV CONSTRUCTION SARL</t>
  </si>
  <si>
    <t>NDONA EXPANSION MINING SARL</t>
  </si>
  <si>
    <t>CORNER STONES RESOURCES RDC</t>
  </si>
  <si>
    <t>CONGO CAILLASSE SARL</t>
  </si>
  <si>
    <t>MAIKO MINERALS FIELDS</t>
  </si>
  <si>
    <t>MONGBWALU GOLD MINES SA</t>
  </si>
  <si>
    <t>LUBANGI MUTEBA</t>
  </si>
  <si>
    <t>DA FEI MINING Sarl</t>
  </si>
  <si>
    <t>MADINI BARAKA SARL</t>
  </si>
  <si>
    <t>J3 MINERALS SARL</t>
  </si>
  <si>
    <t>TANTALE ET NIOBIUM DU TANGANYIKA</t>
  </si>
  <si>
    <t>SOCIETE MINIERE DE MITWABA</t>
  </si>
  <si>
    <t>UNITED COMINIERE SAS</t>
  </si>
  <si>
    <t>MURUMBI MINERALS</t>
  </si>
  <si>
    <t>SOCIETE JEPI MINING SARLU</t>
  </si>
  <si>
    <t>COMPAGNIE MINIERE DE DILALA</t>
  </si>
  <si>
    <t>DATHCOM MINING SAS</t>
  </si>
  <si>
    <t>MASALA MINERALS SARL</t>
  </si>
  <si>
    <t>GROUPE NEUF COMPANY SARL</t>
  </si>
  <si>
    <t>KASAI RESSOURCES SARL</t>
  </si>
  <si>
    <t>KUPANGA SARL</t>
  </si>
  <si>
    <t>PARAGON MINING SARL</t>
  </si>
  <si>
    <t>Droit Octroyé</t>
  </si>
  <si>
    <t>NZILCO STONE SARLU</t>
  </si>
  <si>
    <t>WANI SARL</t>
  </si>
  <si>
    <t>HANRUI METAL CONGO SARL</t>
  </si>
  <si>
    <t>ENTREPRISE GENERALE DES SERVICES SARL</t>
  </si>
  <si>
    <t>NTOTO WA NTALO</t>
  </si>
  <si>
    <t>GICHON LUIZA SARL</t>
  </si>
  <si>
    <t>PWETO COPPER SMELTER SARL</t>
  </si>
  <si>
    <t>ETOILE D’ORIENT</t>
  </si>
  <si>
    <t>SOCIETE COMMERCIALE ASIE AFRIQUE MINES SARL</t>
  </si>
  <si>
    <t>MCWAYI MINING DRC SARLU</t>
  </si>
  <si>
    <t>AMIRAC MINING SARL</t>
  </si>
  <si>
    <t>DETAILS SUR LA PROPRIETE EFFECTIVE</t>
  </si>
  <si>
    <t>NIF :</t>
  </si>
  <si>
    <t>A0905972C</t>
  </si>
  <si>
    <t>NOM DE L'ENTREPRISE :</t>
  </si>
  <si>
    <t>Ce formulaire est destiné uniquement aux entreprises extractives</t>
  </si>
  <si>
    <t>Propriétaire effectif (Pour les entreprises privées) : personne physique</t>
  </si>
  <si>
    <t>A remplir si le  propriétaire
effectif est une PPE</t>
  </si>
  <si>
    <t>Informations sur la manière dont la propriété est détenue ou dont le contrôle de l'entreprise est exercé</t>
  </si>
  <si>
    <t>Par actions</t>
  </si>
  <si>
    <t>Par un % des droits de vote</t>
  </si>
  <si>
    <t>Autres</t>
  </si>
  <si>
    <t>Nom comlplet</t>
  </si>
  <si>
    <t>Date de naissance</t>
  </si>
  <si>
    <t>Numéro d'identification national</t>
  </si>
  <si>
    <t>Nationalité</t>
  </si>
  <si>
    <t>Pays de résidence</t>
  </si>
  <si>
    <t>PPE
(Oui/Non)</t>
  </si>
  <si>
    <t>Fonction</t>
  </si>
  <si>
    <t>Date Début Mandat</t>
  </si>
  <si>
    <t>Nombre d'actions</t>
  </si>
  <si>
    <t>% d’actions</t>
  </si>
  <si>
    <t>% de droits de vote directs</t>
  </si>
  <si>
    <t>% de droits de vote indirects</t>
  </si>
  <si>
    <t>Autres Moyens</t>
  </si>
  <si>
    <t>Date d'acquisition de la propriété effective</t>
  </si>
  <si>
    <t>Moyens de contact</t>
  </si>
  <si>
    <t>Autres details</t>
  </si>
  <si>
    <t>Propriétaire effectif : entreprise d'Etat</t>
  </si>
  <si>
    <t>Date de création</t>
  </si>
  <si>
    <t>Pays</t>
  </si>
  <si>
    <t>Date d'acquisition de la propriété effectifle</t>
  </si>
  <si>
    <r>
      <t>Certification</t>
    </r>
    <r>
      <rPr>
        <sz val="10"/>
        <color rgb="FF000000"/>
        <rFont val="Trebuchet MS"/>
        <family val="2"/>
      </rPr>
      <t> </t>
    </r>
  </si>
  <si>
    <t xml:space="preserve">Je, soussigné, confirme, au nom de l'entité déclarante, que les informations fournies dans la présente déclaration de propriété effectifle sont exactes et fidèles. </t>
  </si>
  <si>
    <r>
      <t>[Nom]</t>
    </r>
    <r>
      <rPr>
        <u/>
        <sz val="10"/>
        <color rgb="FF000000"/>
        <rFont val="Trebuchet MS"/>
        <family val="2"/>
      </rPr>
      <t>______________________</t>
    </r>
    <r>
      <rPr>
        <sz val="10"/>
        <color rgb="FF000000"/>
        <rFont val="Trebuchet MS"/>
        <family val="2"/>
      </rPr>
      <t xml:space="preserve">                         </t>
    </r>
  </si>
  <si>
    <r>
      <t>[Fonction]</t>
    </r>
    <r>
      <rPr>
        <u/>
        <sz val="10"/>
        <color rgb="FF000000"/>
        <rFont val="Trebuchet MS"/>
        <family val="2"/>
      </rPr>
      <t>_____________________</t>
    </r>
    <r>
      <rPr>
        <sz val="10"/>
        <color rgb="FF000000"/>
        <rFont val="Trebuchet MS"/>
        <family val="2"/>
      </rPr>
      <t xml:space="preserve">                           </t>
    </r>
    <r>
      <rPr>
        <sz val="10"/>
        <color rgb="FFFF0000"/>
        <rFont val="Trebuchet MS"/>
        <family val="2"/>
      </rPr>
      <t>[</t>
    </r>
    <r>
      <rPr>
        <u/>
        <sz val="10"/>
        <color rgb="FFFF0000"/>
        <rFont val="Trebuchet MS"/>
        <family val="2"/>
      </rPr>
      <t>Signature]</t>
    </r>
    <r>
      <rPr>
        <u/>
        <sz val="10"/>
        <color rgb="FF000000"/>
        <rFont val="Trebuchet MS"/>
        <family val="2"/>
      </rPr>
      <t>_________________</t>
    </r>
  </si>
  <si>
    <t>[Nous joignons les informations complémentaires suivantes pour permettre de vérifier les informations fournies relatives à la propriété effectifle :]</t>
  </si>
  <si>
    <t>….</t>
  </si>
  <si>
    <r>
      <t>Une PPE est défini comme suit</t>
    </r>
    <r>
      <rPr>
        <b/>
        <sz val="10"/>
        <color rgb="FF262626"/>
        <rFont val="Trebuchet MS"/>
        <family val="2"/>
      </rPr>
      <t xml:space="preserve"> :</t>
    </r>
  </si>
  <si>
    <r>
      <t>L’expression </t>
    </r>
    <r>
      <rPr>
        <b/>
        <i/>
        <sz val="10"/>
        <color rgb="FF262626"/>
        <rFont val="Trebuchet MS"/>
        <family val="2"/>
      </rPr>
      <t xml:space="preserve">personnes politiquement exposées (PPE) </t>
    </r>
    <r>
      <rPr>
        <i/>
        <sz val="10"/>
        <color rgb="FF262626"/>
        <rFont val="Trebuchet MS"/>
        <family val="2"/>
      </rPr>
      <t xml:space="preserve">étrangères désigne les personnes qui exercent ou ont exercé d'importantes fonctions publiques dans un pays étranger, par exemple, </t>
    </r>
  </si>
  <si>
    <t>les chefs d'État et de gouvernement, les politiciens de haut rang, les hauts responsables au sein des pouvoirs publics, les magistrats et militaires de haut rang, les dirigeants d'entreprise publique et les hauts responsables de partis politiques.</t>
  </si>
  <si>
    <r>
      <t>L’expression </t>
    </r>
    <r>
      <rPr>
        <b/>
        <i/>
        <sz val="10"/>
        <color rgb="FF262626"/>
        <rFont val="Trebuchet MS"/>
        <family val="2"/>
      </rPr>
      <t>PPE nationales</t>
    </r>
    <r>
      <rPr>
        <i/>
        <sz val="10"/>
        <color rgb="FF262626"/>
        <rFont val="Trebuchet MS"/>
        <family val="2"/>
      </rPr>
      <t xml:space="preserve"> désigne les personnes physiques qui exercent ou ont exercé d'importantes fonctions publiques dans le pays, par exemple, les chefs d'État et de gouvernement, les politiciens de haut rang, </t>
    </r>
  </si>
  <si>
    <t xml:space="preserve"> les hauts responsables au sein des pouvoirs publics, les magistrats et militaires de haut rang, les dirigeants d'entreprise publique et les hauts responsables de partis politiques.</t>
  </si>
  <si>
    <t xml:space="preserve">Les personnes qui exercent ou ont exercé d’importantes fonctions au sein de ou pour le compte d’une organisation internationale désigne les membres de la haute direction, </t>
  </si>
  <si>
    <t>c’est-à- dire les directeurs, les directeurs adjoints et les membres du conseil d’administration et toutes les personnes exerçant des fonctions équivalentes.</t>
  </si>
  <si>
    <t>La notion de PPE ne couvre pas les personnes de rang moyen ou inférieur relevant des catégories ci-dessus.</t>
  </si>
  <si>
    <t>Total</t>
  </si>
  <si>
    <t>Déclaré</t>
  </si>
  <si>
    <t>Non déclaré</t>
  </si>
  <si>
    <t>Num périmètre</t>
  </si>
  <si>
    <t>Nom de la société</t>
  </si>
  <si>
    <t>NIF</t>
  </si>
  <si>
    <t xml:space="preserve">Capital </t>
  </si>
  <si>
    <t>Structure du capital</t>
  </si>
  <si>
    <t>Publique</t>
  </si>
  <si>
    <t>%</t>
  </si>
  <si>
    <t>Locale</t>
  </si>
  <si>
    <t>Etrangère</t>
  </si>
  <si>
    <t>A0701041Q</t>
  </si>
  <si>
    <t>N/A</t>
  </si>
  <si>
    <t xml:space="preserve">La Générale des Carrières et des Mines </t>
  </si>
  <si>
    <t>Katanga Mining Finance Ltd</t>
  </si>
  <si>
    <t>Britannique</t>
  </si>
  <si>
    <t>Société Immobilière du Congo</t>
  </si>
  <si>
    <t>TENKE FUNGURUME MINING</t>
  </si>
  <si>
    <t>A0810758D</t>
  </si>
  <si>
    <t>Gécamines</t>
  </si>
  <si>
    <t>TF Holdings Limited &amp; autres (TF Holding Ltd a comme propriétaires ultimes China Molybdenum Co Limited (CMOC Ltd).</t>
  </si>
  <si>
    <t>HONK KONG</t>
  </si>
  <si>
    <t>LA COMPAGNIE MINIERE DE MUSONOIE GLOBAL</t>
  </si>
  <si>
    <t>A0815341K</t>
  </si>
  <si>
    <t>La Générale des Carrières et des Mines ''GECAMINES SA''</t>
  </si>
  <si>
    <t>JICHENG MINING Limited</t>
  </si>
  <si>
    <t>Chinoise</t>
  </si>
  <si>
    <t>COMPAGNIE D'EXPLOITATION DES REJETS DE KINGAMYAMBO SARL</t>
  </si>
  <si>
    <t>A1007580B</t>
  </si>
  <si>
    <t>20 000 000 USD</t>
  </si>
  <si>
    <t>Puissance publique</t>
  </si>
  <si>
    <t>HIGHWIND PROPERTIES LIMITED</t>
  </si>
  <si>
    <t>Anglaise</t>
  </si>
  <si>
    <t>PAREAS LIMITED</t>
  </si>
  <si>
    <t>INTERIM HOLDING LIMITED</t>
  </si>
  <si>
    <t>BLUE NARCISSUS LIMITED</t>
  </si>
  <si>
    <t>SOCIETE MINIERE DE DEZIWA SAS</t>
  </si>
  <si>
    <t>A1712131F</t>
  </si>
  <si>
    <t>10 000 USD
14 000 000 CDF</t>
  </si>
  <si>
    <t>GECAMINES</t>
  </si>
  <si>
    <t>CTCL</t>
  </si>
  <si>
    <t>KAMOA COPPER SA (ex. BARBADOS)</t>
  </si>
  <si>
    <t>A0901048A</t>
  </si>
  <si>
    <t>500 000 USD</t>
  </si>
  <si>
    <t>RDC</t>
  </si>
  <si>
    <t>FRONTIER SA</t>
  </si>
  <si>
    <t>A0905460W</t>
  </si>
  <si>
    <t>KIBALI GOLDMINES SA</t>
  </si>
  <si>
    <t>A0702049L</t>
  </si>
  <si>
    <t>10 000 000 USD</t>
  </si>
  <si>
    <t>SOKIMO</t>
  </si>
  <si>
    <t>BARRICK</t>
  </si>
  <si>
    <t>ANGLO GOLD</t>
  </si>
  <si>
    <t>Générale des Carrières et des Mines(GECAMINES SA)</t>
  </si>
  <si>
    <t>A0701147F</t>
  </si>
  <si>
    <t>2 401 500 000 000 CDF</t>
  </si>
  <si>
    <t xml:space="preserve">ETAT </t>
  </si>
  <si>
    <t>MUTANDA MINING</t>
  </si>
  <si>
    <t>A0704867Z</t>
  </si>
  <si>
    <t>SAMREF OVERSEAS</t>
  </si>
  <si>
    <t>RSA</t>
  </si>
  <si>
    <t>COMPAGNIE MINIERE DE KAMBOVE</t>
  </si>
  <si>
    <t>A1100211S</t>
  </si>
  <si>
    <t>NORIN MINING</t>
  </si>
  <si>
    <t>PORTE FEUILLE</t>
  </si>
  <si>
    <t>LA MINIERE DE KALUNKUNDI (LAMIKAL SA)</t>
  </si>
  <si>
    <t>A0906438J</t>
  </si>
  <si>
    <t>République Démocratique du Congo</t>
  </si>
  <si>
    <t>Manacongo</t>
  </si>
  <si>
    <t>Norin Mining Kingco Ltd</t>
  </si>
  <si>
    <t>CHINOISE</t>
  </si>
  <si>
    <t>Managem International AG</t>
  </si>
  <si>
    <t>MAROCAINE</t>
  </si>
  <si>
    <t>MMG KINSEVERE SPRL</t>
  </si>
  <si>
    <t>A0800394N</t>
  </si>
  <si>
    <t>41 233 838 USD</t>
  </si>
  <si>
    <t>MMG AFRICA INVESTMENTS LIMITED</t>
  </si>
  <si>
    <t>ILES VIERGES BRITANIQUES</t>
  </si>
  <si>
    <t>ANVIL MINING LIMITED</t>
  </si>
  <si>
    <t>A1710145X</t>
  </si>
  <si>
    <t>14 000 000 CDF</t>
  </si>
  <si>
    <t>CNMHKL</t>
  </si>
  <si>
    <t>CONGO DONGFANG INTERNATIONAL MINING</t>
  </si>
  <si>
    <t>A0712822W</t>
  </si>
  <si>
    <t>HUAYOU HONGKONG CO.,LTD</t>
  </si>
  <si>
    <t>CHINE</t>
  </si>
  <si>
    <t>HUAYUAN COPPER CO.,LTD</t>
  </si>
  <si>
    <t>ANGLETERRE</t>
  </si>
  <si>
    <t>ZHEJANG HUAYOU COBALT CO.,LTD</t>
  </si>
  <si>
    <t>HUAYOU INTERNATIONAL MINING CO.,LTD</t>
  </si>
  <si>
    <t>CHEMICAL OF AFRICA Sarl</t>
  </si>
  <si>
    <t>A0708211J</t>
  </si>
  <si>
    <t>A0704687D</t>
  </si>
  <si>
    <t>12 000 000 USD</t>
  </si>
  <si>
    <t>Ruashi Holdings</t>
  </si>
  <si>
    <t>A1704478M</t>
  </si>
  <si>
    <t>2 000 000 USD</t>
  </si>
  <si>
    <t>HUAN QIU</t>
  </si>
  <si>
    <t>KAI PENG MINING SARLU</t>
  </si>
  <si>
    <t>A1206441Q</t>
  </si>
  <si>
    <t>30 000 000 USD</t>
  </si>
  <si>
    <t>Compagnie Minière de Luisha SAS</t>
  </si>
  <si>
    <t>A0815428E</t>
  </si>
  <si>
    <t>7 000 000 USD</t>
  </si>
  <si>
    <t>CREC</t>
  </si>
  <si>
    <t>CNMC HUACHIN MABENDE MINING SPRL</t>
  </si>
  <si>
    <t>A1217593M</t>
  </si>
  <si>
    <t>CHINE NONFERROUS MINING HING KONG HOLDING LIMITED</t>
  </si>
  <si>
    <t>HUACHIN SARL</t>
  </si>
  <si>
    <t>CHEBIB MOUKACHAR</t>
  </si>
  <si>
    <t>A0814790L</t>
  </si>
  <si>
    <t>ZHE JIANG HUA YOU COBALT Co,Ltd</t>
  </si>
  <si>
    <t>HUAYOU INTERNATIONAL MINING(HONG KONG)CO.LTD</t>
  </si>
  <si>
    <t>KISENDA COPPER COMPAGNY</t>
  </si>
  <si>
    <t>A0704875H</t>
  </si>
  <si>
    <t>1 250 000 USD</t>
  </si>
  <si>
    <t>SODMICO SA</t>
  </si>
  <si>
    <t>CRC</t>
  </si>
  <si>
    <t>SUD AFRICAINE</t>
  </si>
  <si>
    <t>Metorex</t>
  </si>
  <si>
    <t>A1008279L</t>
  </si>
  <si>
    <t>3 000 000 USD</t>
  </si>
  <si>
    <t>GECAMINES SA</t>
  </si>
  <si>
    <t>ECCH</t>
  </si>
  <si>
    <t>A0700357X</t>
  </si>
  <si>
    <t>A0704865X</t>
  </si>
  <si>
    <t>KALYAN LIMITED</t>
  </si>
  <si>
    <t>BVI</t>
  </si>
  <si>
    <t>SHUKRANA LIMITED</t>
  </si>
  <si>
    <t>HUACHIN METAL LEACH SPRL</t>
  </si>
  <si>
    <t>A1113665R</t>
  </si>
  <si>
    <t>CNMC</t>
  </si>
  <si>
    <t>HUACHIN</t>
  </si>
  <si>
    <t>ABU</t>
  </si>
  <si>
    <t>SINO CONGOLAISE DES MINES</t>
  </si>
  <si>
    <t>A1007960P</t>
  </si>
  <si>
    <t>100 000 000 USD</t>
  </si>
  <si>
    <t>LA GENERALE DES CARRIERES ET DES MINES SARL</t>
  </si>
  <si>
    <t>China Railway (Hong Kong) Engineering Ltd</t>
  </si>
  <si>
    <t>LA SOCIETE IMMOBILERE DO CONGO SPRL</t>
  </si>
  <si>
    <t>POWERCHINA Resources Ltd</t>
  </si>
  <si>
    <t>ZHEJIANG HUAYOU COBALT CO.LTD</t>
  </si>
  <si>
    <t>KISANFU MINING</t>
  </si>
  <si>
    <t>A1004150Y</t>
  </si>
  <si>
    <t>20 721 086 USD</t>
  </si>
  <si>
    <t>SOCIETE D'EXPLOITATION KIPOI</t>
  </si>
  <si>
    <t>A0811655D</t>
  </si>
  <si>
    <t>CONGO MINERALS SARL</t>
  </si>
  <si>
    <t>BALCON INVESTMENTS AND LOGISTICS (Pty) Ltd</t>
  </si>
  <si>
    <t>CMOC KISANFU MINING SARL (EX. PHELPS DODGE CONGO)</t>
  </si>
  <si>
    <t>A0906604P</t>
  </si>
  <si>
    <t>102 132 800 USD</t>
  </si>
  <si>
    <t>Etat congolais</t>
  </si>
  <si>
    <t>Jenny East Holdings Ltd.</t>
  </si>
  <si>
    <t>bermuda</t>
  </si>
  <si>
    <t xml:space="preserve">Kisanfu Holdings Ltd. </t>
  </si>
  <si>
    <t>SOCIETE CNMC CONGO COMPAGNIE MINIERE SARL</t>
  </si>
  <si>
    <t>A1507008K</t>
  </si>
  <si>
    <t>CNMCC</t>
  </si>
  <si>
    <t>LA MINIERE DE KALUMBWE MYUNGA</t>
  </si>
  <si>
    <t>A0704883R</t>
  </si>
  <si>
    <t>1 000 000 USD</t>
  </si>
  <si>
    <t>MONSIEUR SUKADI DIABOD</t>
  </si>
  <si>
    <t>CHINA RAILWAY RESSOUCES UNIVERSAL LIMITES</t>
  </si>
  <si>
    <t>TENGYUAN COBALT &amp; COPPER RESSOURCES LTD CO</t>
  </si>
  <si>
    <t>A1608603U</t>
  </si>
  <si>
    <t>9 300 000 USD</t>
  </si>
  <si>
    <t>A0814803A</t>
  </si>
  <si>
    <t>A1803946K</t>
  </si>
  <si>
    <t>A1711931N</t>
  </si>
  <si>
    <t>20 000 USD</t>
  </si>
  <si>
    <t>A0814806D</t>
  </si>
  <si>
    <t>A1405813K</t>
  </si>
  <si>
    <t>184 000 000 CDF</t>
  </si>
  <si>
    <t>A0907120A</t>
  </si>
  <si>
    <t>SOCIETE ANHUI CONGO D'INVESTIMENT MINIER</t>
  </si>
  <si>
    <t>A1001383Q</t>
  </si>
  <si>
    <t>8 400 000 USD</t>
  </si>
  <si>
    <t>AFECC</t>
  </si>
  <si>
    <t>A0814788J</t>
  </si>
  <si>
    <t>A0700172W</t>
  </si>
  <si>
    <t>A1604102C</t>
  </si>
  <si>
    <t>5 000 USD</t>
  </si>
  <si>
    <t>SKY PEARL EXPLORATION LIMITED</t>
  </si>
  <si>
    <t>DIVINE LAND MINING SARL</t>
  </si>
  <si>
    <t>A1507009L</t>
  </si>
  <si>
    <t>A0802327P</t>
  </si>
  <si>
    <t>CANADIENNE</t>
  </si>
  <si>
    <t>A1009298T</t>
  </si>
  <si>
    <t>A1716204H</t>
  </si>
  <si>
    <t>A0906508K</t>
  </si>
  <si>
    <t>A1500849Q</t>
  </si>
  <si>
    <t>Société Aurifère du Kivu et du Maniema</t>
  </si>
  <si>
    <t>A1105861J</t>
  </si>
  <si>
    <t>A0814809G</t>
  </si>
  <si>
    <t>A0704695M</t>
  </si>
  <si>
    <t>A1616095N</t>
  </si>
  <si>
    <t>La Congolaise d'Exploitation Minière</t>
  </si>
  <si>
    <t>A1113407L</t>
  </si>
  <si>
    <t>1 000 000 000 CDF</t>
  </si>
  <si>
    <t>CNSS</t>
  </si>
  <si>
    <t>A1622637Z</t>
  </si>
  <si>
    <t>A1916886B</t>
  </si>
  <si>
    <t>A1512949S</t>
  </si>
  <si>
    <t>A1812418T</t>
  </si>
  <si>
    <t>SINGAPOUR</t>
  </si>
  <si>
    <t>A1006506J</t>
  </si>
  <si>
    <t>A1916905X</t>
  </si>
  <si>
    <t>LIVE IN GRPE</t>
  </si>
  <si>
    <t>A1508529N</t>
  </si>
  <si>
    <t>A0805717Z</t>
  </si>
  <si>
    <t>A0811080D</t>
  </si>
  <si>
    <t>A0700201C</t>
  </si>
  <si>
    <t>108 183 301,00 USD</t>
  </si>
  <si>
    <t>SIBEKA</t>
  </si>
  <si>
    <t>Belge</t>
  </si>
  <si>
    <t>A0905363Q</t>
  </si>
  <si>
    <t>234 684 000 000 CDF</t>
  </si>
  <si>
    <t>A0811093S</t>
  </si>
  <si>
    <t>Béneficiaire effectif</t>
  </si>
  <si>
    <t>LA Générale des Carrières et des Mines</t>
  </si>
  <si>
    <t>le 20 Juin 2017</t>
  </si>
  <si>
    <t>CONGO</t>
  </si>
  <si>
    <t xml:space="preserve">PORTE FEUILLE </t>
  </si>
  <si>
    <t xml:space="preserve">GECAMINES </t>
  </si>
  <si>
    <t>CHINA NONFERREOUS MINING HONG KONG INVESTMENT LIMITED</t>
  </si>
  <si>
    <t>CHINA</t>
  </si>
  <si>
    <t>Chine</t>
  </si>
  <si>
    <t>CHEN DONG</t>
  </si>
  <si>
    <t>JIANG ZHAO BAI</t>
  </si>
  <si>
    <t xml:space="preserve">sunny.xu@shiturumining.com </t>
  </si>
  <si>
    <t>CHAITANYA CHUG</t>
  </si>
  <si>
    <t>1312, AV. MAMAN YEMO. C/L'SHI</t>
  </si>
  <si>
    <t>RAHIM UMEDALI DHROLIA</t>
  </si>
  <si>
    <t>21/03/2003</t>
  </si>
  <si>
    <t>7658, AV. KILWA. C/L'SHI</t>
  </si>
  <si>
    <t>SHAOYUAN SUN</t>
  </si>
  <si>
    <t>JIANG QINGDE</t>
  </si>
  <si>
    <t>MUANDA INTERNATIONAL OIL COMPANY</t>
  </si>
  <si>
    <t>A0701284E</t>
  </si>
  <si>
    <t>PERENCO</t>
  </si>
  <si>
    <t>Francaise</t>
  </si>
  <si>
    <t>PERENCO OVERSEAS JAPAN Ltd (ex TEIKOKU)</t>
  </si>
  <si>
    <t>A0703938P</t>
  </si>
  <si>
    <t>PERENCO ODS (EX. CHEVRON ODS)</t>
  </si>
  <si>
    <t>A0703905D</t>
  </si>
  <si>
    <t>PERENCO RECHERCHE ET EXPLOITATION PETROLIERE</t>
  </si>
  <si>
    <t>A1215507U</t>
  </si>
  <si>
    <t>LIREX</t>
  </si>
  <si>
    <t>A0703937N</t>
  </si>
  <si>
    <t>SURESTREAM RDC</t>
  </si>
  <si>
    <t>A0706875G</t>
  </si>
  <si>
    <t>Société Nationale des Hydrocarbures du Congo</t>
  </si>
  <si>
    <t>A0700108B</t>
  </si>
  <si>
    <t>68 069 790 000 CDF</t>
  </si>
  <si>
    <t>CODAN TRUST COMPANY(GUERNSEY) LIMITED</t>
  </si>
  <si>
    <t>Suite 6 Tower Hill House Le Bordage St Peter Port  Guernsey</t>
  </si>
  <si>
    <t>CODAN SERVICES (T&amp;C) LIMITED</t>
  </si>
  <si>
    <t xml:space="preserve">Bristol House PO Box 171 Providenciales Turks &amp; Caicos Islands The British West Indies  </t>
  </si>
  <si>
    <t>PERENCO (RDC) SA</t>
  </si>
  <si>
    <t xml:space="preserve">Lyford Manor, Lyford Cay, West Bay Street, PO Box N10051 Nassau, Bahamas </t>
  </si>
  <si>
    <t>PETRODRILL INTERNATIONAL LIMITED</t>
  </si>
  <si>
    <t xml:space="preserve">Lyford Manor, Lyford Cay, West Bay Street, Nassau, Bahamas </t>
  </si>
  <si>
    <t>SONAHYDROC SA</t>
  </si>
  <si>
    <t>TENGYUAN COBALT &amp; COPPER RESOURCES LTD</t>
  </si>
  <si>
    <t>BM GLOBAL BUSINESS SARL</t>
  </si>
  <si>
    <t>ADVANCE INDUSTRY CONGO SARL</t>
  </si>
  <si>
    <t>STATUT 2022</t>
  </si>
  <si>
    <t>NATURE 2022</t>
  </si>
  <si>
    <t>N</t>
  </si>
  <si>
    <t>Sociétés</t>
  </si>
  <si>
    <t>OUI</t>
  </si>
  <si>
    <t>NON</t>
  </si>
  <si>
    <t>A0805833A</t>
  </si>
  <si>
    <t>non</t>
  </si>
  <si>
    <t>A1513596W</t>
  </si>
  <si>
    <t>SONAHYDROC</t>
  </si>
  <si>
    <t>FD soumis</t>
  </si>
  <si>
    <t>Soumission détails participations</t>
  </si>
  <si>
    <t>Publication GES</t>
  </si>
  <si>
    <t>Ste</t>
  </si>
  <si>
    <t>oui</t>
  </si>
  <si>
    <t>N/R</t>
  </si>
  <si>
    <t>HAUT KATANGA</t>
  </si>
  <si>
    <t>COMIKA</t>
  </si>
  <si>
    <t>HUACHIN METAL LEACH</t>
  </si>
  <si>
    <t>MM MINING</t>
  </si>
  <si>
    <t>LUALABA</t>
  </si>
  <si>
    <t>num périmètre</t>
  </si>
  <si>
    <t>Description de la dépense</t>
  </si>
  <si>
    <t>Entité  Bénéficiaire</t>
  </si>
  <si>
    <t>% des femmes parmi
les bénéficaires</t>
  </si>
  <si>
    <t xml:space="preserve">Région du bénéficiaire
</t>
  </si>
  <si>
    <t>Localisation de l'ouvrage executé (</t>
  </si>
  <si>
    <t>Qualité du
Maître d'ouvrage</t>
  </si>
  <si>
    <t>Identité du
maitre d'œuvre</t>
  </si>
  <si>
    <t>Base juridique  
(cahier des charges ou protocoles d'accords, etc.)</t>
  </si>
  <si>
    <t>Paiements en numéraires</t>
  </si>
  <si>
    <t>Paiements en nature (sous forme de projet)</t>
  </si>
  <si>
    <t xml:space="preserve">contrats liés aux dépenses sociales </t>
  </si>
  <si>
    <t>Date Début des travaux ou services</t>
  </si>
  <si>
    <t xml:space="preserve">Date Réception </t>
  </si>
  <si>
    <t>Coût du service
USD</t>
  </si>
  <si>
    <t>Total de la
 Dépense
USD</t>
  </si>
  <si>
    <t>Date Début 
des travaux ou services</t>
  </si>
  <si>
    <t xml:space="preserve">Date 
Réception </t>
  </si>
  <si>
    <t>Coût de l'infrastructure 
communautaire
USD</t>
  </si>
  <si>
    <t>La société divulgue-t-elle les contrats se rapportant aux dépenses sociales obligatoires? (oui/non)</t>
  </si>
  <si>
    <t>Si oui, ajouter le lien internet</t>
  </si>
  <si>
    <t xml:space="preserve">Si non, préciser les obstacles à la publication </t>
  </si>
  <si>
    <t>Programme de crédit Mais</t>
  </si>
  <si>
    <t>Participants au Programme</t>
  </si>
  <si>
    <t>Concession TFM</t>
  </si>
  <si>
    <t>Réinstallation</t>
  </si>
  <si>
    <t>Personnes affectées par le Projet</t>
  </si>
  <si>
    <t>La politique de réinstallation de TFM et son engagement à l'ESIA (Environmental and Social Impact Assessments)</t>
  </si>
  <si>
    <t>Cahier des charges</t>
  </si>
  <si>
    <t>cahier des charges</t>
  </si>
  <si>
    <t xml:space="preserve">9 Communautes impactees par le projet minier de Metalkol SA </t>
  </si>
  <si>
    <t xml:space="preserve">Entreprise Miniere </t>
  </si>
  <si>
    <t xml:space="preserve">Metalkol SA </t>
  </si>
  <si>
    <t>Cahier des charges  de Responsabilites Societales</t>
  </si>
  <si>
    <t xml:space="preserve">Aout 2021 </t>
  </si>
  <si>
    <t>Decembre 2023</t>
  </si>
  <si>
    <t xml:space="preserve">cahier des charges </t>
  </si>
  <si>
    <t>SECTEUR LUILU</t>
  </si>
  <si>
    <t xml:space="preserve">Education </t>
  </si>
  <si>
    <t xml:space="preserve">Célebration du mois de la femme </t>
  </si>
  <si>
    <t xml:space="preserve">Travailleurs </t>
  </si>
  <si>
    <t>KAMBOVE</t>
  </si>
  <si>
    <t xml:space="preserve">KAMBOVE </t>
  </si>
  <si>
    <t xml:space="preserve">ENTREPRISE </t>
  </si>
  <si>
    <t>Aide Sociale</t>
  </si>
  <si>
    <t>Non</t>
  </si>
  <si>
    <t>Colis de fin d'année</t>
  </si>
  <si>
    <t>MMG KINSEVERE</t>
  </si>
  <si>
    <t>Kinsdenda kitotwe territoire de sakania</t>
  </si>
  <si>
    <t>Kinsenda</t>
  </si>
  <si>
    <t>COMMUNE ANNEXE</t>
  </si>
  <si>
    <t>卡巴达医院建设项目
Projet de construction d'un hôpital du quartier Kapata</t>
  </si>
  <si>
    <t>卡巴达社区
Quartier Kapata</t>
  </si>
  <si>
    <t>科卢韦齐市
Ville de Kolwezi</t>
  </si>
  <si>
    <t>卢阿拉巴省科卢韦齐市卡巴达社区
Quartier Kapata, Ville de Kolwezi, Province du Lualaba</t>
  </si>
  <si>
    <t>社会责任书
Cahier des charges</t>
  </si>
  <si>
    <t>卡巴达技术中学建设项目
Projet de construction d'une école technique du quartier Kapata</t>
  </si>
  <si>
    <t>卡巴达社区和绿路社区
Quartier Kapata et secteur de Luilu</t>
  </si>
  <si>
    <t>玉米扶持项目
Projet d'appui aux producteur de maïs</t>
  </si>
  <si>
    <t>卢阿拉巴省科卢韦齐市卡巴达社区和绿路社区
Quartier Kapata et secteur de Luilu, Ville de Kolwezi, Province du Lualaba</t>
  </si>
  <si>
    <t>卡巴达B6堤坝修复项目
Projet de réhabilitation de la digue B6 du quartier Kapata</t>
  </si>
  <si>
    <t>绿路区MUTAKA堤坝修复项目
Projet de réhabnilitation de la digue Mutaka du secteur de Luilu</t>
  </si>
  <si>
    <t>绿路社区
Secteur de Luilu</t>
  </si>
  <si>
    <t>卢阿拉巴省科卢韦齐市绿路社区
Secteur de Luilu, Ville de Kolwezi, Province du Lualaba</t>
  </si>
  <si>
    <t>卡巴达村长办公室修复项目
Projet de réhabilitation du bureau quartier Kapata</t>
  </si>
  <si>
    <t>绿路区饮用水供应项目
Projet d'alimentation en eau potable du secteur de Luilu</t>
  </si>
  <si>
    <t>绿路区足球场平整项目
Projet amenagement des terrains de football du secteur de Luilu</t>
  </si>
  <si>
    <t>卡巴达4所学校长凳配备和修复项目
Projet de réhabilitation et équipement en bancs 4 écoles du Quartier Kapata</t>
  </si>
  <si>
    <t>绿路区三所小学建设项目
Projet de construction de 3 écoles primaires du secteur de Luilu</t>
  </si>
  <si>
    <t>绿路区泥土路修复项目
Projet de réhabilitation des routes en terre battue du secteur de Luilu</t>
  </si>
  <si>
    <t>DEV ENERGIE SARL</t>
  </si>
  <si>
    <t>Alphabétisation</t>
  </si>
  <si>
    <t>société</t>
  </si>
  <si>
    <t xml:space="preserve">Identité du Bénéficiaire
</t>
  </si>
  <si>
    <t>Localisation
de l'ouvrage exécuté</t>
  </si>
  <si>
    <t xml:space="preserve">Base juridique  </t>
  </si>
  <si>
    <t>Entreprises</t>
  </si>
  <si>
    <t>Coûts administratifs</t>
  </si>
  <si>
    <t>Résidents de la concession</t>
  </si>
  <si>
    <t>Développement économique et des infrastructures</t>
  </si>
  <si>
    <t>Education et Formation</t>
  </si>
  <si>
    <t>Etudiants &amp; Stagiaires et Universités &amp; Instituts Supérieurs/Institutions de Formation</t>
  </si>
  <si>
    <t>Santé Publique</t>
  </si>
  <si>
    <t>Sport, art &amp; cultures</t>
  </si>
  <si>
    <t>Autres dons et contributions</t>
  </si>
  <si>
    <t>Bénéficiaires de dons &amp; Contributions</t>
  </si>
  <si>
    <t>En RDC</t>
  </si>
  <si>
    <t>24/01/2023</t>
  </si>
  <si>
    <t xml:space="preserve">Watsa </t>
  </si>
  <si>
    <t>Watsa et Faradje</t>
  </si>
  <si>
    <t>Don à l'équipe fiminine de foot</t>
  </si>
  <si>
    <t>Equipe  de foot fiminine kambove</t>
  </si>
  <si>
    <t xml:space="preserve">COMIKA </t>
  </si>
  <si>
    <t xml:space="preserve">CAHIER DE CHARGE </t>
  </si>
  <si>
    <t>Réhabilitation des pompes des puits</t>
  </si>
  <si>
    <t xml:space="preserve">habitants de KAMBOVE </t>
  </si>
  <si>
    <t>AIDE SOCIAL</t>
  </si>
  <si>
    <t xml:space="preserve">Assistance communautaire </t>
  </si>
  <si>
    <t xml:space="preserve">Cultivateur </t>
  </si>
  <si>
    <t>Reconstruction d'une maison</t>
  </si>
  <si>
    <t>CLD</t>
  </si>
  <si>
    <t>contribution des matériels de vie à l'école des religieuses（bon pasteur）</t>
  </si>
  <si>
    <t>Bon Pasteur à Kolwezi</t>
  </si>
  <si>
    <t>Kolwezi</t>
  </si>
  <si>
    <t>CDM SAS</t>
  </si>
  <si>
    <t>Ligue Provinciale des personnes vivant avec handicap du Haut-Katanga</t>
  </si>
  <si>
    <t>Lubumbashi</t>
  </si>
  <si>
    <t>Gouvernement municipal</t>
  </si>
  <si>
    <t>ELECTRICITE</t>
  </si>
  <si>
    <t>COMMUNAUTE DE KINSENDA</t>
  </si>
  <si>
    <t>AGRICULTURE</t>
  </si>
  <si>
    <t>FARINE</t>
  </si>
  <si>
    <t>SPORT</t>
  </si>
  <si>
    <t>FRAIS SCOLAIRE ORPHELINS</t>
  </si>
  <si>
    <t>NOURRITURE ORPHELINS</t>
  </si>
  <si>
    <t>NOURRITURE CHEFS DU VILLAGE</t>
  </si>
  <si>
    <t xml:space="preserve">AUTRE ASSISTANCE </t>
  </si>
  <si>
    <t>卢阿拉巴省
Province du Lualaba</t>
  </si>
  <si>
    <t>金沙萨
Kinshasa</t>
  </si>
  <si>
    <t>国家情报局卢阿拉巴省分局
Agence Nationale de Renseignements du Lualaba</t>
  </si>
  <si>
    <t>AUTRES</t>
  </si>
  <si>
    <t xml:space="preserve">Base juridique
</t>
  </si>
  <si>
    <t>Coût du Projet
USD</t>
  </si>
  <si>
    <t>EIES</t>
  </si>
  <si>
    <t>SI Analytics Pty Ltd</t>
  </si>
  <si>
    <t>SRK Consulting Congo SARL</t>
  </si>
  <si>
    <t>KELKAM SA</t>
  </si>
  <si>
    <t>Code Minier tel que modifié et complété par la loi N° 18/001 du 09 mars 2018, Article 50 bis page 51</t>
  </si>
  <si>
    <t>EIES 2022, 5.1.2.3 page 400 et  3.2.3.1 page 158-166 and Code Minier tel que modifié et complété par la loi N° 18/001 du 09 mars 2018, Article 204 page 122.</t>
  </si>
  <si>
    <t>PGES</t>
  </si>
  <si>
    <t>Doko</t>
  </si>
  <si>
    <t>Kibali</t>
  </si>
  <si>
    <t>PAR</t>
  </si>
  <si>
    <t>Contractant</t>
  </si>
  <si>
    <t>Suivi environnemental Saison des pluies</t>
  </si>
  <si>
    <t>DRC Green SARL</t>
  </si>
  <si>
    <t>Ruashi Mine</t>
  </si>
  <si>
    <t>Suivi environnemental Saison sèche</t>
  </si>
  <si>
    <t>Elaboration du Rapport environnemental annuel</t>
  </si>
  <si>
    <t>Analyses chimiques annuelles</t>
  </si>
  <si>
    <t>Universite de Lubumbashi</t>
  </si>
  <si>
    <t>KELKAM</t>
  </si>
  <si>
    <t>ACE</t>
  </si>
  <si>
    <t>Impact social</t>
  </si>
  <si>
    <t>Impact environnemental</t>
  </si>
  <si>
    <t>Politique genre</t>
  </si>
  <si>
    <t>KAMOTO COPPER COMPANY SA (KCC)</t>
  </si>
  <si>
    <t>TENKE FUNGURUME MINING (TFM)</t>
  </si>
  <si>
    <t>COMPAGNIE MINIERE DE MUSONOI (COMMUS)</t>
  </si>
  <si>
    <t>COMPAGNIE DE TRAITEMENT  DES REJETS DE KINGAMYAMBO METALKOL SA</t>
  </si>
  <si>
    <t>SOCIETE MINIERE DE DEZIWA SAS (SOMIDEZ)</t>
  </si>
  <si>
    <t xml:space="preserve">FRONTIER S.A </t>
  </si>
  <si>
    <t>MUTANDA MINING (MUMI)</t>
  </si>
  <si>
    <t>COMPAGNIE MINIERE DE KAMBOVE SARL (COMIKA)</t>
  </si>
  <si>
    <t>Générale des Carrières et des Mines (GECAMINES)</t>
  </si>
  <si>
    <t>LA MINIERE DE KALUKUNDI SPRL (LAMIKAL)</t>
  </si>
  <si>
    <t>MMG KINSEVERE SARL (MMG)</t>
  </si>
  <si>
    <t>CHEMICAL OF AFRICA (CHEMAF)</t>
  </si>
  <si>
    <t>SINO CONGOLAISE DES MINES SARL</t>
  </si>
  <si>
    <t>KISENDA COPPER COMPAGNY  (KICC)</t>
  </si>
  <si>
    <t>LA  MINIERE  DE  KASOMBO (MIKAS)</t>
  </si>
  <si>
    <t>SHITURU MINING CORPORATION SPRL</t>
  </si>
  <si>
    <t>SOCIETE DE TRAITEMENT DU TERRIL DE LUBUMBASHI (STL)</t>
  </si>
  <si>
    <t>CMOC KISANFU MINING SARL (Ex. PHELPS DODGE CONGO SARL)</t>
  </si>
  <si>
    <t>SOCIETE MINIERE DU KATANGA (SOMIKA)</t>
  </si>
  <si>
    <t>KISANFU MINING SARL (KIMIN)</t>
  </si>
  <si>
    <t>Sociétéd'Exploitation de Kipoi  (SEK)</t>
  </si>
  <si>
    <t>SOCIETE CNMC CONGO COMPAGNIE MINIERE</t>
  </si>
  <si>
    <t>TENGYUAN COBALT &amp; COPPER RESOURCES</t>
  </si>
  <si>
    <t>LUILU RESSOURCES SA</t>
  </si>
  <si>
    <t>KALONGWE MINING S.A</t>
  </si>
  <si>
    <t>NEW MINERALS INVESTMENT SARLU</t>
  </si>
  <si>
    <t>Société Anhui-Congo d'Investissement Minier (SACIM)</t>
  </si>
  <si>
    <t>MINERAL METAL TECHNOLOGY SARL</t>
  </si>
  <si>
    <t>La Congolaise d'Exploitation Minière (COMINIERE)</t>
  </si>
  <si>
    <t>Société Aurifère du Kivu et du Maniema (SAKIMA)</t>
  </si>
  <si>
    <t>LA CONGOLAISE DES MINES ET DEVELOPPEMENT</t>
  </si>
  <si>
    <t>BAUDOUIN MINING SARL</t>
  </si>
  <si>
    <t>IVANHOE MINES EXPLORATION DRC</t>
  </si>
  <si>
    <t>DFSA</t>
  </si>
  <si>
    <t>CONGO JIA XIN SARL (CJX)</t>
  </si>
  <si>
    <t>RDC METAL SARLU</t>
  </si>
  <si>
    <t>Société minière de Kilo-Moto (SOKIMO)</t>
  </si>
  <si>
    <t>KALIMA MINING COMPANY SA</t>
  </si>
  <si>
    <t>Société Commerciale Minière de Kisenge Managnèse (SCMK-Mn)</t>
  </si>
  <si>
    <t>OM METAL RESOURCES SARL</t>
  </si>
  <si>
    <t>LA MINIERE DU CONGO SPRL</t>
  </si>
  <si>
    <t>Société Minière de Bakwanga (MIBA)</t>
  </si>
  <si>
    <t>KABE SARL</t>
  </si>
  <si>
    <t>TANTALE MINING KATANGA SPRL</t>
  </si>
  <si>
    <t>STANBUD SARL</t>
  </si>
  <si>
    <t>INVESTISSEMENT ET DEVELOPPEMENT IMMOBILIERS</t>
  </si>
  <si>
    <t>ETOILE D ORIENT SARL</t>
  </si>
  <si>
    <t>BRITCOM COMPANY SARL</t>
  </si>
  <si>
    <t>Société du Développement Industriel et Minier du Congo (SODIMICO)</t>
  </si>
  <si>
    <t>GICC SARL</t>
  </si>
  <si>
    <t>LBK CONSTRUCTION SARL</t>
  </si>
  <si>
    <t>BRAVURA CONGO SA</t>
  </si>
  <si>
    <t>STE MINIERE DE MITWABA SPRL</t>
  </si>
  <si>
    <t>KIVU MINERAL RESOURCES SARLU</t>
  </si>
  <si>
    <t>SOCIETE MINIERE DE LUBUTU</t>
  </si>
  <si>
    <t>MINERAL DEVELOPMENT AND INVESTMENT</t>
  </si>
  <si>
    <t>KIN BETON SARL</t>
  </si>
  <si>
    <t>MCC RESSOURCES SARLU</t>
  </si>
  <si>
    <t>SOCIETE TANGANYIKA MINING SARL</t>
  </si>
  <si>
    <t>FMR DEVELOPMENT SARL</t>
  </si>
  <si>
    <t>LEDYA SPRL</t>
  </si>
  <si>
    <t>MUKONO KWA MUKONO MU KAZI GROUPE SARL</t>
  </si>
  <si>
    <t>LUFUPA SASU SARL</t>
  </si>
  <si>
    <t>GEMCO SPRL</t>
  </si>
  <si>
    <t>DESTINY'S MERCY MINING SARL</t>
  </si>
  <si>
    <t xml:space="preserve">PUNIA KASESE MINING </t>
  </si>
  <si>
    <t>UNITED MATERIALS CONGO SARL</t>
  </si>
  <si>
    <t>EMPIRE CORPORATION YVY SARL</t>
  </si>
  <si>
    <t>EXCOMINES RDC</t>
  </si>
  <si>
    <t>CONGO GEOLOGIST GALAXY</t>
  </si>
  <si>
    <t>HAVILA INVESTMENTS SARL</t>
  </si>
  <si>
    <t>REGAL MANIEMA</t>
  </si>
  <si>
    <t>MNAZI TRADING SARL</t>
  </si>
  <si>
    <t>EXTRA MADURA SARL</t>
  </si>
  <si>
    <t>GOLDIX TRADE COMPANY MINING Sarl</t>
  </si>
  <si>
    <t xml:space="preserve">MBAKA KAWAYA SARL  </t>
  </si>
  <si>
    <t>KALORDIA MINING LOGISTIQUE ET SERVICES ENTREPRISES</t>
  </si>
  <si>
    <t>NSHAMAMBA BISIMWA "ETS NAMUKAYA" (NEW CONGO COM AIR)/BUKAVU</t>
  </si>
  <si>
    <t>BM GLOBAL BUSINESS LTD</t>
  </si>
  <si>
    <t>Fifi NDJOLO</t>
  </si>
  <si>
    <t>COOPERATIVE MINIERE KAZI KWA AMANI</t>
  </si>
  <si>
    <t>SWAKALA SAS</t>
  </si>
  <si>
    <t>STAR METALS COMPANY SARL</t>
  </si>
  <si>
    <t>FIPAGRES SARL</t>
  </si>
  <si>
    <t>LONCOR RESSOURCES CONGO SARL</t>
  </si>
  <si>
    <t>KASONGA MINING</t>
  </si>
  <si>
    <t>OCEAN MINING RDC SA</t>
  </si>
  <si>
    <t>COOPERATIVE DES EXPLOITANTS/ARTISANAUX MINIERS DE MASISI</t>
  </si>
  <si>
    <t>J2M SARL</t>
  </si>
  <si>
    <t>KATANGA METALS SARL</t>
  </si>
  <si>
    <t>AFRIQUE OR MINING SARL</t>
  </si>
  <si>
    <t>GAYA MINING GROUP SA</t>
  </si>
  <si>
    <t>BANKERS COBALT MINING SASU</t>
  </si>
  <si>
    <t>SOCIETE MINIERE D'APPUI AUX INITIATIVES PAYSANNES SARL</t>
  </si>
  <si>
    <t>NUMBI EXPLOITATION SARL</t>
  </si>
  <si>
    <t>PIMA MINING SPRL</t>
  </si>
  <si>
    <t>NOVCORP SARLU</t>
  </si>
  <si>
    <t>MONGBWALU GOLD MINES SA (ex: ASHANTI GOLDFIEDS KILO)</t>
  </si>
  <si>
    <t>EARTH MANTLE SARL</t>
  </si>
  <si>
    <t>NDONA EXPANSION COMPANY SARL</t>
  </si>
  <si>
    <t>ROHIM MINING SARL</t>
  </si>
  <si>
    <t>TLMC MINING SAU</t>
  </si>
  <si>
    <t>ENTREPRISE COMM MIN AGRICOLE ET DE SECURITE SARL</t>
  </si>
  <si>
    <t>MERCURY COMPANY SARL</t>
  </si>
  <si>
    <t>COMPANY MINIERE DE KATOTO SARL</t>
  </si>
  <si>
    <t>COOPERATIVE MINIERE DE DEVELOPPEMENT COMMUNAUTAIRE</t>
  </si>
  <si>
    <t>KILUNGUYI SOMBE MINING SARL</t>
  </si>
  <si>
    <t>LIBENGE MINING SARLU</t>
  </si>
  <si>
    <t>ITURI GOLD MINING COMPANY Sprl</t>
  </si>
  <si>
    <t>Société Nationale des Hydrocarbures du Congo (SONAHYDROC)</t>
  </si>
  <si>
    <t>Dotation Minimum 0,3 % du Chiffre d'Affaires des entreprises minières</t>
  </si>
  <si>
    <t>Taxe de pollution</t>
  </si>
  <si>
    <t>Frais d'analyse et d'expertise</t>
  </si>
  <si>
    <t>Frais de dépôt des dossiers des droits miniers</t>
  </si>
  <si>
    <t>Taxe de Déboisement</t>
  </si>
  <si>
    <t>Impôt sur la superficie des concessions Minières et des hydrocarbures</t>
  </si>
  <si>
    <t>Taxe 1% sur la valeur réévaluée par le CEEC revenant à la province</t>
  </si>
  <si>
    <t>Quote-part sur les frais de contrôle de radioactivité</t>
  </si>
  <si>
    <t>Impôt sur le Véhicule (Vignette &amp; TCSR)</t>
  </si>
  <si>
    <t xml:space="preserve">Taxe rémunératoire annuelle </t>
  </si>
  <si>
    <t>Taxe d’implantation</t>
  </si>
  <si>
    <t>Pénalités SOKIMO</t>
  </si>
  <si>
    <t>Suivi de l’exécution du PAR, PGE et Audit Environnemental</t>
  </si>
  <si>
    <t>Frais de formation des cadres congolais</t>
  </si>
  <si>
    <t>ID Substance</t>
  </si>
  <si>
    <t>Metaux</t>
  </si>
  <si>
    <t>Substances</t>
  </si>
  <si>
    <t>Total annuel</t>
  </si>
  <si>
    <t>Région</t>
  </si>
  <si>
    <t>Projet</t>
  </si>
  <si>
    <t>Qte</t>
  </si>
  <si>
    <t>Val</t>
  </si>
  <si>
    <t>Co</t>
  </si>
  <si>
    <t>Hydroxyde de Cobalt(25-40%)</t>
  </si>
  <si>
    <t>Cu</t>
  </si>
  <si>
    <t>Cuivre autrement presente(90-99%à</t>
  </si>
  <si>
    <t>Cathode de Cuivre(99,8-99,9%)</t>
  </si>
  <si>
    <t>Cathode de cobalt(99,3-99,8%)</t>
  </si>
  <si>
    <t>Minerais de cobalt sulfuré</t>
  </si>
  <si>
    <t>Matte de Cuivre(46-60%Cu)</t>
  </si>
  <si>
    <t>Cuivre Blister ou Cu Noir(80-98%)</t>
  </si>
  <si>
    <t>Minerais de cuivre oxydé</t>
  </si>
  <si>
    <t>#34</t>
  </si>
  <si>
    <t>Conc.Co (4-15%)</t>
  </si>
  <si>
    <t>#3</t>
  </si>
  <si>
    <t>PE660</t>
  </si>
  <si>
    <t>Conc.CuCo</t>
  </si>
  <si>
    <t>#63</t>
  </si>
  <si>
    <t>cocu</t>
  </si>
  <si>
    <t>#32</t>
  </si>
  <si>
    <t>Conc.Cu (10-30%)</t>
  </si>
  <si>
    <t>#30</t>
  </si>
  <si>
    <t>Au</t>
  </si>
  <si>
    <t>Or(90-99.9%)</t>
  </si>
  <si>
    <t>#27</t>
  </si>
  <si>
    <t>#7</t>
  </si>
  <si>
    <t>PE 465</t>
  </si>
  <si>
    <t>#65</t>
  </si>
  <si>
    <t>CUIVRE</t>
  </si>
  <si>
    <t>#39</t>
  </si>
  <si>
    <t>CoCuNi</t>
  </si>
  <si>
    <t>All Cobalt_Nickel (30-40%Co,7-15%Cu et 10-15%Ni)</t>
  </si>
  <si>
    <t>#44</t>
  </si>
  <si>
    <t>#33</t>
  </si>
  <si>
    <t>#5</t>
  </si>
  <si>
    <t>#58</t>
  </si>
  <si>
    <t>C</t>
  </si>
  <si>
    <t>Diamant</t>
  </si>
  <si>
    <t>#60</t>
  </si>
  <si>
    <t>Sn</t>
  </si>
  <si>
    <t>Concentré d'Etain</t>
  </si>
  <si>
    <t>transporteur</t>
  </si>
  <si>
    <t>acheteur</t>
  </si>
  <si>
    <t>Cuivre Spot Bleu(99,8-99,9%)</t>
  </si>
  <si>
    <t>KURASIMI INLAND CONTAINER DEPOT (KICD)</t>
  </si>
  <si>
    <t>NEW SPREAD TRANDING LTD</t>
  </si>
  <si>
    <t>Kambove</t>
  </si>
  <si>
    <t>BGN INT DMCC</t>
  </si>
  <si>
    <t xml:space="preserve">kambove </t>
  </si>
  <si>
    <t xml:space="preserve">Mn </t>
  </si>
  <si>
    <t>PERCEPTEUR</t>
  </si>
  <si>
    <t>TYPE DE FLUX</t>
  </si>
  <si>
    <t>SECTEURS</t>
  </si>
  <si>
    <t>1. FLUX PAYES PAR LES ENTREPRISES EXTRACTIVES DESTINES AU TRESOR PUBLIC</t>
  </si>
  <si>
    <t>Minier</t>
  </si>
  <si>
    <t>Pétrolier</t>
  </si>
  <si>
    <t>DGI</t>
  </si>
  <si>
    <t>Avis de Mise en Recouvrement (AMR A)</t>
  </si>
  <si>
    <t>M</t>
  </si>
  <si>
    <t>P</t>
  </si>
  <si>
    <t>Impôt sur les bénéfices et profits (IBP)/ISF</t>
  </si>
  <si>
    <t>Impôt Professionnel sur les Rémunérations (IPR)</t>
  </si>
  <si>
    <t>Impôt Exceptionnel sur la Rémunération des Expatriés (IER)</t>
  </si>
  <si>
    <t>Impôt mobilier (IM)</t>
  </si>
  <si>
    <t>Impôt Spécial sur le Profit Excédentaire (ISPE)</t>
  </si>
  <si>
    <t>IBP sur prestations des personnes non résidentes en RDC</t>
  </si>
  <si>
    <t>DGDA</t>
  </si>
  <si>
    <t>Droits et Taxes à l'importation</t>
  </si>
  <si>
    <t>Droits et Taxes à l'exportation</t>
  </si>
  <si>
    <t>Autres frais liés au paiement de bonus</t>
  </si>
  <si>
    <t>Bonus de signature</t>
  </si>
  <si>
    <t>Bonus de production</t>
  </si>
  <si>
    <t>Bonus de Production des dix millionièmes barils</t>
  </si>
  <si>
    <t>Bonus de Découverte Commerciale</t>
  </si>
  <si>
    <t>Bonus de Permis d’Exploration</t>
  </si>
  <si>
    <t>Bonus de Renouvellement de permis d’exploration</t>
  </si>
  <si>
    <t>Bonus de Permis d’Exploitation</t>
  </si>
  <si>
    <t>Bonus de renouvellement de la Concession</t>
  </si>
  <si>
    <t>Dividendes versés à l’Etat</t>
  </si>
  <si>
    <t>Pas-de-porte versés à l'Etat (quote part revenant au Trésor: 50%)*</t>
  </si>
  <si>
    <t>Ventes Actions et Parts Sociales de l'Etat</t>
  </si>
  <si>
    <t>Droits superficiaires annuels par carré  (Quotité 50% revenant au trésor)*</t>
  </si>
  <si>
    <t>Marge distribuable (Profit-Oïl Etat Puissance Publique)</t>
  </si>
  <si>
    <t>Participation (Profit-Oïl Etat associé)</t>
  </si>
  <si>
    <t>Pénalités versées au trésor</t>
  </si>
  <si>
    <t>Redevances minières (RM): quotepart Trésor (50%)*</t>
  </si>
  <si>
    <t>Renouvellement de Permis d'exploitation</t>
  </si>
  <si>
    <t>Royalties (quotepart revenant au Trésor: 50%)*</t>
  </si>
  <si>
    <t>Royalties petrolières</t>
  </si>
  <si>
    <t>Taxes sur les plus-values de cessions totales de l’intérêt de participation</t>
  </si>
  <si>
    <t>Vente de Licence</t>
  </si>
  <si>
    <t>Autorisation d'exportation des minerais à l'état brut</t>
  </si>
  <si>
    <t>Contribution au budget de l’Etat</t>
  </si>
  <si>
    <t>Frais de passage / Redevance superficiaire</t>
  </si>
  <si>
    <t xml:space="preserve">Taxe sur autorisation d'exploitation des eaux naturelles de surface ou souterraines </t>
  </si>
  <si>
    <t>Police des mines et hydrocarbures</t>
  </si>
  <si>
    <t>Amendes pour non-exécution de Programme</t>
  </si>
  <si>
    <t>Droits proportionnels pour approbation et enregistrement des actes administratifs</t>
  </si>
  <si>
    <t>Taxe pour acquisition des titres immobiliers</t>
  </si>
  <si>
    <t>Droits proportionnels sur augmentation du capital des sociétés</t>
  </si>
  <si>
    <t>Redevance annuelle (entité de traitement)</t>
  </si>
  <si>
    <t>2. FLUX PAYES PAR LES ENTREPRISES EXTRACTIVES DESTINES AUX AFE ET EP</t>
  </si>
  <si>
    <t>Avis de mise en recouvrement (AMR) B (50 % des pénalités)</t>
  </si>
  <si>
    <t>Amendes et pénalités revenant à la DGRAD (40% des pénalités)</t>
  </si>
  <si>
    <t>Taxe statistique</t>
  </si>
  <si>
    <t>Amendes et pénalités revenant à la DGDA (60% des pénalités)</t>
  </si>
  <si>
    <t>Frais de Services rendus à l’exportation (1% à repartir entre  la DGDA  et les intervenants)</t>
  </si>
  <si>
    <t>EP</t>
  </si>
  <si>
    <t>Cession d’actifs ou parts sociales</t>
  </si>
  <si>
    <t>Dividendes versés aux entreprises publiques</t>
  </si>
  <si>
    <t>Loyers d’amodiation et/ou rente mensuelle</t>
  </si>
  <si>
    <t>Quote part (50%) Pas de porte / Bonus de Transfert revenant aux EP  (Voir flux Pas de porte)</t>
  </si>
  <si>
    <t>Mines,  (Flux partagé)</t>
  </si>
  <si>
    <t>Quote part 50% des Royalties  revenant aux EP ( Voir Flux Royalties)</t>
  </si>
  <si>
    <t>Prestations de services/Assistance technique et financière</t>
  </si>
  <si>
    <t>Frais d’option</t>
  </si>
  <si>
    <t>Fonds versés à la GCM pour la vente des scories</t>
  </si>
  <si>
    <t>Paiement contractuel sur seuil de production atteint (500000TCU)</t>
  </si>
  <si>
    <t>Frais de consultance</t>
  </si>
  <si>
    <t>Remboursement de Prestations</t>
  </si>
  <si>
    <t>Avance contractuelle</t>
  </si>
  <si>
    <t>Frais de renonciation au droit de préemption</t>
  </si>
  <si>
    <t xml:space="preserve">Redevances supplémentaires sur les réserves additionnelles </t>
  </si>
  <si>
    <t>Indemnité forfaitaire</t>
  </si>
  <si>
    <t>Bonus de découverte /mines (SOKIMO)</t>
  </si>
  <si>
    <t>Accords transactionnels (GCM)</t>
  </si>
  <si>
    <t>Frais administratifs de confidentialité</t>
  </si>
  <si>
    <t>DRP</t>
  </si>
  <si>
    <t>Taxe voiries et drainage</t>
  </si>
  <si>
    <t>Taxe concentrés</t>
  </si>
  <si>
    <t>Taxe sur la reconstruction (Kasaï Oriental)</t>
  </si>
  <si>
    <t>Autorisation de transport de minerais (ATM)</t>
  </si>
  <si>
    <t>Taxe sur autorisation d'exploitation des eaux naturelles de surface ou souterraines</t>
  </si>
  <si>
    <t>Royalties (DGRMA)</t>
  </si>
  <si>
    <r>
      <t>Taxe 1% sur les produits de transaction des matières précieuses  d'exploitation artisanale</t>
    </r>
    <r>
      <rPr>
        <sz val="8"/>
        <color rgb="FF000000"/>
        <rFont val="Trebuchet MS"/>
        <family val="2"/>
      </rPr>
      <t>*</t>
    </r>
  </si>
  <si>
    <t>Quotité 25% de la RM  (Voir flux  Redevance minière)</t>
  </si>
  <si>
    <t>Droits proportionnels sur la cession des parts ou actions des personnes morales</t>
  </si>
  <si>
    <t>SGH</t>
  </si>
  <si>
    <t>Banque de données</t>
  </si>
  <si>
    <t>Contribution aux droits payables à l’Association des Pays Africains Producteurs de Pétrole (APPA)</t>
  </si>
  <si>
    <t>Participation à l’effort de reconstruction nationale</t>
  </si>
  <si>
    <t>Contribution à l'effort pour l'exploration de la Cuvette Centrale</t>
  </si>
  <si>
    <t>Frais de formation des cadres Congolais</t>
  </si>
  <si>
    <t>CEEC</t>
  </si>
  <si>
    <t>Taxe rémunératoire</t>
  </si>
  <si>
    <t xml:space="preserve">Frais de Certification </t>
  </si>
  <si>
    <t>BCC</t>
  </si>
  <si>
    <t>Redevance de Suivi de Change</t>
  </si>
  <si>
    <t>CAMI</t>
  </si>
  <si>
    <t>Quotité 50% des DSA (voir DSA)</t>
  </si>
  <si>
    <t>Frais d'instruction environnementale et sociale</t>
  </si>
  <si>
    <t>FOMIN</t>
  </si>
  <si>
    <t>Quotité 8%  de la RM (Voir Flux  Redevance Minière)</t>
  </si>
  <si>
    <t>ETD</t>
  </si>
  <si>
    <t>Organismes Spécialisés (OS/DOT)</t>
  </si>
  <si>
    <t>Dépenses sociales</t>
  </si>
  <si>
    <t>Entreprises/ Etat</t>
  </si>
  <si>
    <t>Autres Paiements/Recettes significatifs</t>
  </si>
  <si>
    <t>* Flux partagé entre le pouvoir central et les autres échelons de pouvoir, ne considérer qu'un seul flux</t>
  </si>
  <si>
    <t xml:space="preserve">Cabinda Oïl Company Limited </t>
  </si>
  <si>
    <t>Critéres de
Selection</t>
  </si>
  <si>
    <t xml:space="preserve">Matérialité </t>
  </si>
  <si>
    <t>A0702063B</t>
  </si>
  <si>
    <t>A0705928C</t>
  </si>
  <si>
    <t>A0704478M</t>
  </si>
  <si>
    <t>A1809916Z</t>
  </si>
  <si>
    <t>NC</t>
  </si>
  <si>
    <t>THOMAS MINING Sarl</t>
  </si>
  <si>
    <t>A1408473B</t>
  </si>
  <si>
    <t>A1500752K</t>
  </si>
  <si>
    <t>RUBAMIN SARL</t>
  </si>
  <si>
    <t>A1821178Q</t>
  </si>
  <si>
    <t>H99A0059N</t>
  </si>
  <si>
    <t xml:space="preserve">SIMCO </t>
  </si>
  <si>
    <t>A1716611A</t>
  </si>
  <si>
    <t>A1212519X</t>
  </si>
  <si>
    <t>A1805938A</t>
  </si>
  <si>
    <t>A1213242H</t>
  </si>
  <si>
    <t>A1309746J</t>
  </si>
  <si>
    <t>A0700073N</t>
  </si>
  <si>
    <t>A0700540W</t>
  </si>
  <si>
    <t>A1810064K</t>
  </si>
  <si>
    <t>A1418408A</t>
  </si>
  <si>
    <t>A1906957J</t>
  </si>
  <si>
    <t>MISOLE MINING SARL</t>
  </si>
  <si>
    <t>A1910321Q</t>
  </si>
  <si>
    <t>A0700163L</t>
  </si>
  <si>
    <t>A1407282G</t>
  </si>
  <si>
    <t>A1102426A</t>
  </si>
  <si>
    <t>A22818828T</t>
  </si>
  <si>
    <t>A1106531M</t>
  </si>
  <si>
    <t>A1704461T</t>
  </si>
  <si>
    <t>NGONDO MINING SARL</t>
  </si>
  <si>
    <t>K99A0570P</t>
  </si>
  <si>
    <t>A2150245N</t>
  </si>
  <si>
    <t>A0712818R</t>
  </si>
  <si>
    <t>A0901460Y</t>
  </si>
  <si>
    <t>A1511236F</t>
  </si>
  <si>
    <t>LUALABA MINING COMPANY</t>
  </si>
  <si>
    <t>A0814837M</t>
  </si>
  <si>
    <t>EP (en dessous du seuil de matérialité)</t>
  </si>
  <si>
    <t>A1301245T</t>
  </si>
  <si>
    <t>181210609</t>
  </si>
  <si>
    <t>A1815530B</t>
  </si>
  <si>
    <t>A1205570D</t>
  </si>
  <si>
    <t>A1201610P</t>
  </si>
  <si>
    <t>A2040922D</t>
  </si>
  <si>
    <t>A1402652Z</t>
  </si>
  <si>
    <t>A0906707B</t>
  </si>
  <si>
    <t>A0704864W</t>
  </si>
  <si>
    <t>A0714789G</t>
  </si>
  <si>
    <t>A1302523H</t>
  </si>
  <si>
    <t>A1236645M</t>
  </si>
  <si>
    <t>A1613991B</t>
  </si>
  <si>
    <t>A1703029M</t>
  </si>
  <si>
    <t>A2043540Z</t>
  </si>
  <si>
    <t>INVESTISSEMENT ET DEVELOPPEMENT IMMOBILIERS SARL</t>
  </si>
  <si>
    <t>A1407402M</t>
  </si>
  <si>
    <t>A1400941P</t>
  </si>
  <si>
    <t>A1911999P</t>
  </si>
  <si>
    <t>A1217395X</t>
  </si>
  <si>
    <t>A1304079Z</t>
  </si>
  <si>
    <t>A1716860W</t>
  </si>
  <si>
    <t>A1203459Z</t>
  </si>
  <si>
    <t>A1302557U</t>
  </si>
  <si>
    <t>A0700153A</t>
  </si>
  <si>
    <t>A2167973H</t>
  </si>
  <si>
    <t>A1301660U</t>
  </si>
  <si>
    <t>A13019632</t>
  </si>
  <si>
    <t>A19091601A</t>
  </si>
  <si>
    <t>A1300694U</t>
  </si>
  <si>
    <t>A1704213Z</t>
  </si>
  <si>
    <t>A1916183M</t>
  </si>
  <si>
    <t>KIVU MINERALS SARL</t>
  </si>
  <si>
    <t>A1800312K</t>
  </si>
  <si>
    <t>A1911865T</t>
  </si>
  <si>
    <t>A2151773Z</t>
  </si>
  <si>
    <t>A1206818A</t>
  </si>
  <si>
    <t>A1505983W</t>
  </si>
  <si>
    <t>A0905426J</t>
  </si>
  <si>
    <t>A1111135R</t>
  </si>
  <si>
    <t>A2153708C</t>
  </si>
  <si>
    <t>A1202401Z</t>
  </si>
  <si>
    <t>A1808319N</t>
  </si>
  <si>
    <t>A1309718D</t>
  </si>
  <si>
    <t>SOCIETE KIN-BETON SARL</t>
  </si>
  <si>
    <t>A2298296T</t>
  </si>
  <si>
    <t>A0815188T</t>
  </si>
  <si>
    <t>A1622167N</t>
  </si>
  <si>
    <t>A0700161J</t>
  </si>
  <si>
    <t>A0700173X</t>
  </si>
  <si>
    <t>A1826355S</t>
  </si>
  <si>
    <t>A1601877J</t>
  </si>
  <si>
    <t>A1204674U</t>
  </si>
  <si>
    <t>A2031137S</t>
  </si>
  <si>
    <t>A1723209X</t>
  </si>
  <si>
    <t>A2164661H</t>
  </si>
  <si>
    <t>A0908632R</t>
  </si>
  <si>
    <t>A1102786R</t>
  </si>
  <si>
    <t>A1622904P</t>
  </si>
  <si>
    <t>A2046683Q</t>
  </si>
  <si>
    <t>A0909048W</t>
  </si>
  <si>
    <t>A1800797M</t>
  </si>
  <si>
    <t>A1601838R</t>
  </si>
  <si>
    <t>A1901088E</t>
  </si>
  <si>
    <t>A2032855K</t>
  </si>
  <si>
    <t>A1118165H</t>
  </si>
  <si>
    <t>A1827532X</t>
  </si>
  <si>
    <t>A2041882X</t>
  </si>
  <si>
    <t>A2032059V</t>
  </si>
  <si>
    <t>A1822604Q</t>
  </si>
  <si>
    <t>EXTRA- MADURA SARL</t>
  </si>
  <si>
    <t>A1511110T</t>
  </si>
  <si>
    <t>A1807132Y</t>
  </si>
  <si>
    <t>A1311427L</t>
  </si>
  <si>
    <t>A1806039K</t>
  </si>
  <si>
    <t>A1716729D</t>
  </si>
  <si>
    <t>A1800382L</t>
  </si>
  <si>
    <t>A1923999H</t>
  </si>
  <si>
    <t>A1802779R</t>
  </si>
  <si>
    <t>A1819399G</t>
  </si>
  <si>
    <t>A1821508Z</t>
  </si>
  <si>
    <t>A0707219F</t>
  </si>
  <si>
    <t>A0811958H</t>
  </si>
  <si>
    <t>A1309307G</t>
  </si>
  <si>
    <t>A1617628C</t>
  </si>
  <si>
    <t>A1600896S</t>
  </si>
  <si>
    <t>A2168898N</t>
  </si>
  <si>
    <t>A1603768P</t>
  </si>
  <si>
    <t>A216777W</t>
  </si>
  <si>
    <t>A2290577D</t>
  </si>
  <si>
    <t>N5032501E</t>
  </si>
  <si>
    <t>A1816326R</t>
  </si>
  <si>
    <t>A1509719G</t>
  </si>
  <si>
    <t>A0709233N</t>
  </si>
  <si>
    <t>A1804182R</t>
  </si>
  <si>
    <t>A1404022N</t>
  </si>
  <si>
    <t>A1829266G</t>
  </si>
  <si>
    <t>A2025837G</t>
  </si>
  <si>
    <t>A1828170Q</t>
  </si>
  <si>
    <t>A1210828J</t>
  </si>
  <si>
    <t>A1916805N</t>
  </si>
  <si>
    <t>A215567P</t>
  </si>
  <si>
    <t>A2031136R</t>
  </si>
  <si>
    <t>A1510765T</t>
  </si>
  <si>
    <t>A173580Q</t>
  </si>
  <si>
    <t>A0709724D</t>
  </si>
  <si>
    <t>A1827881B</t>
  </si>
  <si>
    <t>A1510518A</t>
  </si>
  <si>
    <t>A1418143M</t>
  </si>
  <si>
    <t>A1809780B</t>
  </si>
  <si>
    <t>A1114970K</t>
  </si>
  <si>
    <t>A0815795D</t>
  </si>
  <si>
    <t>A1505151R</t>
  </si>
  <si>
    <t>A2153932W</t>
  </si>
  <si>
    <t>A1808538B</t>
  </si>
  <si>
    <t>A1918644</t>
  </si>
  <si>
    <t>A0700152Z</t>
  </si>
  <si>
    <t>A2037222G</t>
  </si>
  <si>
    <t>A1600559B</t>
  </si>
  <si>
    <t>A2164599Q</t>
  </si>
  <si>
    <t>A1202285Y</t>
  </si>
  <si>
    <t>A1300864E</t>
  </si>
  <si>
    <t>A1802916Q</t>
  </si>
  <si>
    <t>NAVARRO RESOURCES SARL</t>
  </si>
  <si>
    <t>A1405389Z</t>
  </si>
  <si>
    <t>A1816652W</t>
  </si>
  <si>
    <t>ROHIM-MINING SARL</t>
  </si>
  <si>
    <t>A1827361L</t>
  </si>
  <si>
    <t>A1203799T</t>
  </si>
  <si>
    <t>A1822549F</t>
  </si>
  <si>
    <t>A2156305A</t>
  </si>
  <si>
    <t>A1905752Z</t>
  </si>
  <si>
    <t>A1621217F</t>
  </si>
  <si>
    <t>A1921771L</t>
  </si>
  <si>
    <t>A1807830G</t>
  </si>
  <si>
    <t>A1412965J</t>
  </si>
  <si>
    <t>A1902457S</t>
  </si>
  <si>
    <t>A1922825G</t>
  </si>
  <si>
    <t>A1903662C</t>
  </si>
  <si>
    <t>A2029187Y</t>
  </si>
  <si>
    <t>A1303409W</t>
  </si>
  <si>
    <t>AITEO MINING CONGO LIMITED SARL</t>
  </si>
  <si>
    <t>A1902062N</t>
  </si>
  <si>
    <t>A1808679E</t>
  </si>
  <si>
    <t>A1912147A</t>
  </si>
  <si>
    <t>COOPERATIVE MINIERE ET AGRICOLE DU LUALABA</t>
  </si>
  <si>
    <t>A2029554X</t>
  </si>
  <si>
    <t>A2159138E</t>
  </si>
  <si>
    <t>A2151839W</t>
  </si>
  <si>
    <t>A2026743R</t>
  </si>
  <si>
    <t>A1817679M</t>
  </si>
  <si>
    <t>A1211546P</t>
  </si>
  <si>
    <t>A1908673Z</t>
  </si>
  <si>
    <t>A2032439A</t>
  </si>
  <si>
    <t>A2042864P</t>
  </si>
  <si>
    <t>A1804530U</t>
  </si>
  <si>
    <t>A2154703J</t>
  </si>
  <si>
    <t>A2044265M</t>
  </si>
  <si>
    <t>A2034774W</t>
  </si>
  <si>
    <t>A1818636H</t>
  </si>
  <si>
    <t>A1210124T</t>
  </si>
  <si>
    <t>A21567707</t>
  </si>
  <si>
    <t>A2177393X</t>
  </si>
  <si>
    <t>A1918449A</t>
  </si>
  <si>
    <t>A2173205U</t>
  </si>
  <si>
    <t>Ordre</t>
  </si>
  <si>
    <t>Désignation du projet</t>
  </si>
  <si>
    <t>Localisation</t>
  </si>
  <si>
    <t>Coût du projet</t>
  </si>
  <si>
    <t>Travaux exécutés (cumul 2022) en USD</t>
  </si>
  <si>
    <t>Travaux exécutés (cumul à ce jour) en USD</t>
  </si>
  <si>
    <t>Travaux restants en USD</t>
  </si>
  <si>
    <t>Unités</t>
  </si>
  <si>
    <t>Prévue</t>
  </si>
  <si>
    <t>Réalisés</t>
  </si>
  <si>
    <t>Etat d'avancement du projet</t>
  </si>
  <si>
    <t>Budget 2015-1018 (305 millions USD)</t>
  </si>
  <si>
    <t>Asphaltage de la route bukavu-Kamanyola (Phase 1)</t>
  </si>
  <si>
    <t>Km</t>
  </si>
  <si>
    <t>Contrat d'études et des travaux du projet de réhabilitation et de modernisation de la route Lwambo-Mitwana-Manono</t>
  </si>
  <si>
    <t>Haut Katanga, Lualaba, Haut Lomami et Tanganyika</t>
  </si>
  <si>
    <t>Contrat d'études et des travaux du projet de la modernisation de la traversée de Butembo</t>
  </si>
  <si>
    <t>Projet d'accompagnement de la SICOMINES à Kolwezi</t>
  </si>
  <si>
    <t>Contrat d'études et des travaux du projet de réhabilitation et de modernisation de la route Kilwit-Idiofa (70km)</t>
  </si>
  <si>
    <t>Contrat d'études et de travaux du projet de renforcement de la route revêtue Mbuji Mayi-Mwene Ditu</t>
  </si>
  <si>
    <t>Kasai Oriental, Lomami</t>
  </si>
  <si>
    <t>Contrat d'études et des travaux du projet de réhabilitation et de modernisation de la voirie de Kalemie (Phase I)</t>
  </si>
  <si>
    <t>Tanganyika</t>
  </si>
  <si>
    <t>Contrat d'études et des travaux du projet de réhabilitation et de modernisation de la voirie de Kalemie (Phase II)</t>
  </si>
  <si>
    <t>Contrat d'études et de travaux du projet de construction d'un nouveau stade à Kalemie</t>
  </si>
  <si>
    <t>Places</t>
  </si>
  <si>
    <t>Contrat d'études et de travaux de réhabilitation et modernisation de la route Bunagan-Rutshuru-Goma (100km)</t>
  </si>
  <si>
    <t>Contrat d'études et de travaux du projet de stade de Goma</t>
  </si>
  <si>
    <t>Contrat d'études et de travaux du projet de stade de Bunia</t>
  </si>
  <si>
    <t>Contrat d'études et des travaux du projet de réhabilitation et de modernisation de la voirie de Manono</t>
  </si>
  <si>
    <t>Contrat d'études et de travaux du projet de construction de l'unité de captage et de traitement de l'eau à Kamina dans la province du Katanga</t>
  </si>
  <si>
    <t>Haut Lomami</t>
  </si>
  <si>
    <t>Production (m3)</t>
  </si>
  <si>
    <t>Contrat d'études et des travaux du projet de réhabilitation et de modernisation de la route Kitanda-Ankoro (70km)</t>
  </si>
  <si>
    <t>Contrat d'études et des travaux du projet de réhabilitation et de modernisation de la route Ankoro-Manono</t>
  </si>
  <si>
    <t>Contrat d'études et des travaux du projet de réhabilitation et de modernisation de la route Kamina-Kabongo</t>
  </si>
  <si>
    <t>Contrat d'études et des travaux du projet de réhabilitation et de modernisation de la route Kabondo-Dienda-Mukwende</t>
  </si>
  <si>
    <t>Contrat d'études et des travaux du projet de réhabilitation et de modernisation de la voirie de Kisangani</t>
  </si>
  <si>
    <t>Contrat d'études et des travaux du projet de réhabilitation et de modernisation de la voirie de Uvira (phase I)</t>
  </si>
  <si>
    <t>Contrat d'études et des travaux du projet de réhabilitation et de modernisation de la voirie de Uvira (phase II)</t>
  </si>
  <si>
    <t>Contrat d'études et de travaux du projey du stade de Bukavu (Phase I)</t>
  </si>
  <si>
    <t>Contrat d'études et de fourniture et d'installation de pouteaux solaires</t>
  </si>
  <si>
    <t>Contrat d'études et de travaux de réhabilitation de l'avenue Nzolana (Phase I)</t>
  </si>
  <si>
    <t>Travaux de renforcement des boulevards triomphal et Sendwe à Kinshasa</t>
  </si>
  <si>
    <t>Projet de construction de la bretelle reliant le boulevard Lumumba au stade de Kalemie</t>
  </si>
  <si>
    <t>Bitumage de 14km de la route entre Kanina-Musunoi-Kapata dans la ville de Kolwezi</t>
  </si>
  <si>
    <t>Projet de sondage et de découverte des zones d'exploitation artisanale dans la province de Lualaba</t>
  </si>
  <si>
    <t>Projet de construction du pont LOMELA et ses composantes sociales d'accompagnement</t>
  </si>
  <si>
    <t>Mètres</t>
  </si>
  <si>
    <t>Budget 2022 (150 millions USD)</t>
  </si>
  <si>
    <t>Réhabilitation de l'Avenue Nzolana phase 2 et indemnisation des riverains</t>
  </si>
  <si>
    <t>Construction du stade de Bakuvu phase 2</t>
  </si>
  <si>
    <t>Construction du stade de Bunia (voies d'accès + finalisation des travaux)</t>
  </si>
  <si>
    <t>Réhabilitation batiment 4 de l'ESP Bukavu</t>
  </si>
  <si>
    <t>Réhabilitation de l'université de Mbandaka et equipement</t>
  </si>
  <si>
    <t>Equateur</t>
  </si>
  <si>
    <t>Fourniture et installation pouteaux solaires Av,Kitutu</t>
  </si>
  <si>
    <t>Réhabilitation de l'aérodrome de Tshikapa (piste et aérogare) phase I</t>
  </si>
  <si>
    <t>Usine de captage et de traitement d'eau potable de KAMINA phase II</t>
  </si>
  <si>
    <t>Réhabilitation route Kaniama-Kamina RN1</t>
  </si>
  <si>
    <t>Réhabilitation route Kamina-Luena RN 1</t>
  </si>
  <si>
    <t>Réhabilitation de la RN20, trançon allant du croisement de la RN1 et Idiofa phases 2 et 3</t>
  </si>
  <si>
    <t>Réhabilitation de la route Mbuji Mayi- Mwene Ditu phase 1 et 2</t>
  </si>
  <si>
    <t>Kasai oriental et Lomami</t>
  </si>
  <si>
    <t>Réhabilitation de la route Bakuvu-Nyangezi-Kamanyola phase 2</t>
  </si>
  <si>
    <t>Réhabilitation de la route Mwenne Ditu-Kanyama phase 1</t>
  </si>
  <si>
    <t>Réhabilitation RN25 Isiro-Poko et de la route Bafwasende-Bomili-Babeyro</t>
  </si>
  <si>
    <t>Réhabilitation de la route Manterne-Tshela-Singingi</t>
  </si>
  <si>
    <t>Réhabilitation de la route Lusambo-Lac Mukamba</t>
  </si>
  <si>
    <t>Réhabilitation et modernisation de l'hopital general de Kikwit</t>
  </si>
  <si>
    <t>Modernisation de l'aérodrome de Lodja</t>
  </si>
  <si>
    <t>Viabilisation de Lumumba-ville</t>
  </si>
  <si>
    <t>Budget 2024 (324 millions USD)</t>
  </si>
  <si>
    <t>Construction des rocades Sud-est et Sud-ouest de Kinshasa</t>
  </si>
  <si>
    <t>Rocade sud-ouest</t>
  </si>
  <si>
    <t>Construction de la route Kananga-Kalamba Mbuji</t>
  </si>
  <si>
    <t>Kasai central</t>
  </si>
  <si>
    <t>Construction de la route Mbuji Mayi - Nguba</t>
  </si>
  <si>
    <t>Mbuji Mayi- Nguba</t>
  </si>
  <si>
    <t>Construction de la route Bukavu-Kamanyola phase 3</t>
  </si>
  <si>
    <t>Construction de la route Kamanyola-Uvira</t>
  </si>
  <si>
    <t>Construction de la route de la passion (Mbanza Ngungu-Nkamba, Kongo Centrale)</t>
  </si>
  <si>
    <t>Construction de la route Manterne-Tshela-Singingi phase 2</t>
  </si>
  <si>
    <t>Acquisition de satellite</t>
  </si>
  <si>
    <t>Frais de prestations sur consultant pour la réalisation des études hydrauliques de Kalemie et Uvira</t>
  </si>
  <si>
    <t>Frais de gestion du programme (APCSC)</t>
  </si>
  <si>
    <t>Budget 2024 (Tranche de 300 millions USD)</t>
  </si>
  <si>
    <t>Kasai oriental</t>
  </si>
  <si>
    <t>Construction de la route Manterne-Tshela-Singini</t>
  </si>
  <si>
    <t>Construction de la route Buta-Isiro-Poko</t>
  </si>
  <si>
    <t>Haut uele</t>
  </si>
  <si>
    <t>Construction de la route Lac Munkamba-Lusambo</t>
  </si>
  <si>
    <t>Kasai central et Lusambo</t>
  </si>
  <si>
    <t>Construction de la route Ingudi-Idiofa</t>
  </si>
  <si>
    <t>Modernisation de l'hopital général de Kikwit</t>
  </si>
  <si>
    <t>Construction de l'université de Mbandaka et equipement</t>
  </si>
  <si>
    <t>Réhabilitation de l'aérodrome et l'aérogare de tshikapa</t>
  </si>
  <si>
    <t>Construction de l'aérodrome de Lodja</t>
  </si>
  <si>
    <t>Viabilisation et aménagement de Lumumba-ville</t>
  </si>
  <si>
    <t>Construction du stade de Kananga</t>
  </si>
  <si>
    <t>Construction d'un stade à Idiofa</t>
  </si>
  <si>
    <t>Solde pour acquisition d'un satellite</t>
  </si>
  <si>
    <t>Ifrastructures sociales dans la province du Kongo central : Réfection écoles (Mbanza Boma et Kisantu) et hopital de Kimpese</t>
  </si>
  <si>
    <t>Provision pour expropriation des riveriains des rocades de Kinshasa</t>
  </si>
  <si>
    <t>Etudes pour les projets à mettre en œuvre dans les prochaines tranches</t>
  </si>
  <si>
    <t>COMMUNE DE SHITURU</t>
  </si>
  <si>
    <t>DRHKAT</t>
  </si>
  <si>
    <t>DRLU</t>
  </si>
  <si>
    <t>CHEFFERIE DE BAYEKE</t>
  </si>
  <si>
    <t>COMMUNE DE FUNGURUME</t>
  </si>
  <si>
    <t>COMMUNE DE RUASHI</t>
  </si>
  <si>
    <t>COMMUNE DE KAMPEMBA</t>
  </si>
  <si>
    <t>COMMUNE DE PANDA</t>
  </si>
  <si>
    <t>SECTEUR DE BALAMBA</t>
  </si>
  <si>
    <t>SECTEUR DE LUFIRA</t>
  </si>
  <si>
    <t>COMMUNE DE LUBUMBASHI</t>
  </si>
  <si>
    <t>COMMUNE DE DILALA</t>
  </si>
  <si>
    <t>CHEFFERIE DE MARIMINZA</t>
  </si>
  <si>
    <t>DRTANG</t>
  </si>
  <si>
    <t>SECTEUR DE LUFUPA</t>
  </si>
  <si>
    <t>Procédure d'assurance et fiabilité des données</t>
  </si>
  <si>
    <t>Pour les Régies Financières nationales</t>
  </si>
  <si>
    <t>Niveau de fiabilité
(Faible/Moyen/Elevé)</t>
  </si>
  <si>
    <t>Entités Etatiques</t>
  </si>
  <si>
    <t>Oui/Non</t>
  </si>
  <si>
    <t>Entité publique Niveau Centrale</t>
  </si>
  <si>
    <t>Régies financiéres</t>
  </si>
  <si>
    <t>Oui</t>
  </si>
  <si>
    <t>N/a</t>
  </si>
  <si>
    <t>Faible</t>
  </si>
  <si>
    <t>Autres Entités Publiques</t>
  </si>
  <si>
    <t>Entité publique Niveau Provincial</t>
  </si>
  <si>
    <t>Direction des Recettes provinciale</t>
  </si>
  <si>
    <t>DGRKOR</t>
  </si>
  <si>
    <t>DGRMA</t>
  </si>
  <si>
    <t>DR du Haut Lomami</t>
  </si>
  <si>
    <t>DGRHU</t>
  </si>
  <si>
    <t>DGR/KC</t>
  </si>
  <si>
    <t>CHEFFERIE DE BASANGA</t>
  </si>
  <si>
    <t>SECTEUR DE BUKANDA</t>
  </si>
  <si>
    <t>CHEFFERIE DE KAPONDA</t>
  </si>
  <si>
    <t>CHEFFERIE DE MUSEKA</t>
  </si>
  <si>
    <t>SECTEUR DE KIBALI</t>
  </si>
  <si>
    <t>CHEFFERIE DE LOGO DOKA</t>
  </si>
  <si>
    <t>CHEFFERIE DE DHONGO</t>
  </si>
  <si>
    <t>CHEFFERIE DE LOGO OGAMBI</t>
  </si>
  <si>
    <t>SECTEUR DE KAKANGAYI</t>
  </si>
  <si>
    <t>SECTEUR DE MPEMBA</t>
  </si>
  <si>
    <t>SECTEUR DE MOVO NKATSHIA</t>
  </si>
  <si>
    <t>SECTEUR DE TSHIJIBA</t>
  </si>
  <si>
    <t>COMMUNE DE MIABI</t>
  </si>
  <si>
    <t>SECTEUR DE LUILU</t>
  </si>
  <si>
    <t>MAIRIE DE KOLWEZI</t>
  </si>
  <si>
    <t>COMMUNE MANIKA</t>
  </si>
  <si>
    <t>SECTEUR DE BEIA</t>
  </si>
  <si>
    <t>SECTEUR D'AMBWE</t>
  </si>
  <si>
    <t>SECTEUR DE BABIRA</t>
  </si>
  <si>
    <t>SECTEUR DE BITULE</t>
  </si>
  <si>
    <t>SECTEUR DU NORD LUKUGA</t>
  </si>
  <si>
    <t>CHEFFERIE DE BAKONGOLO</t>
  </si>
  <si>
    <t>OS/DOT</t>
  </si>
  <si>
    <t>DOT MMG KINSEVERE (MMG)</t>
  </si>
  <si>
    <t>DOT RUASHI MINING</t>
  </si>
  <si>
    <t>DOT SHITURU MINING CORPORATION SAS</t>
  </si>
  <si>
    <t>DOT COMPAGNIE MINIERE DE KAMBOVE SAS </t>
  </si>
  <si>
    <t>DOT KIBALI GOLD MINE (KGM)</t>
  </si>
  <si>
    <t>DOT SOCIETE ANHUE D'INVESTISSEMENT MINIER (SACIM)</t>
  </si>
  <si>
    <t>DOT MUTANDA MINING (MUMI)</t>
  </si>
  <si>
    <t xml:space="preserve">DOT KAMOA COOPER SA </t>
  </si>
  <si>
    <t>DOT COMPGNIE MINIERE DE MUSONOIE SAS (COMMUS)</t>
  </si>
  <si>
    <t>DOT KAMOTO COOPER COMPAGNY S.A (KCC)</t>
  </si>
  <si>
    <t>DOT SINO CONGOLAISE DES MINES (SICOMINES)</t>
  </si>
  <si>
    <t>DOT TENKE FUNGURUME MINING (TFM)</t>
  </si>
  <si>
    <t>DOT ALPHAMIN BISIE MINING.</t>
  </si>
  <si>
    <t>METALKOL</t>
  </si>
  <si>
    <t>DOMAINE SOCIAL (ECOLE/SANTE)</t>
  </si>
  <si>
    <t>COMMUNAUTE DU TERRITOIRE DE MUANDA</t>
  </si>
  <si>
    <t>TERRITOIRE DE MUANDA</t>
  </si>
  <si>
    <t>KONGO-CENTRAL/MUANDA</t>
  </si>
  <si>
    <t>AVENANT 8 / CONVENTION PETROLIERE &lt;=&gt; Budget annuel de 400,000 USD pour toute l’Association JV Offshore et sont financés en raison de 50 % (MIOC), 32.28%(TEIKOKU) et 17.72%(PERENCO ODS)</t>
  </si>
  <si>
    <t>AVENANT 9 / CONVENTION PETROLIERE &lt;=&gt; Budget annuel de 200,000 USD pour toute l’Association JV Onshore et sont financés en raison de 54,5455 % (PERENCO REP) et 45,4545%(LIREX)</t>
  </si>
  <si>
    <t>Entreprises minières :</t>
  </si>
  <si>
    <t>Audit annuel</t>
  </si>
  <si>
    <t>ISA</t>
  </si>
  <si>
    <t>Entreprises pétrolières :</t>
  </si>
  <si>
    <t>ALPHAMINBISIE MINING SA  (EX MINING PROCESSING AND CONGO)</t>
  </si>
  <si>
    <t>ALPHAMIN RESOURCES LTD</t>
  </si>
  <si>
    <t>ALPHAMIN RESOURCES CORP</t>
  </si>
  <si>
    <t>IDC SOUTH AFRICA</t>
  </si>
  <si>
    <t>BRITANNIQUE</t>
  </si>
  <si>
    <t>MAURICE</t>
  </si>
  <si>
    <t>ALLIANCE LOWA</t>
  </si>
  <si>
    <t>WALIKALE</t>
  </si>
  <si>
    <t>KGL -SOMITURI</t>
  </si>
  <si>
    <t>NAKO MINES</t>
  </si>
  <si>
    <t>EXPLOITATION ET PROSPECTION MINIERE SARL</t>
  </si>
  <si>
    <t>COMPAGNIE DE DEVELOPPEMENT RURAL</t>
  </si>
  <si>
    <t>Kwango</t>
  </si>
  <si>
    <t>Alphonse Rémy BIBUAYA KAYEMBE</t>
  </si>
  <si>
    <t>MIDAMINES SARL</t>
  </si>
  <si>
    <t>SOCIETE MINIERE DE DIAMANT DE LUPATAPATA</t>
  </si>
  <si>
    <t>Gem Diamond Longatshimo Mining Company</t>
  </si>
  <si>
    <t>CHADILA SARL</t>
  </si>
  <si>
    <t>KASAI SUD DIAMANT SARL</t>
  </si>
  <si>
    <t>DIER-YE-MIY</t>
  </si>
  <si>
    <t>KUMPALA DIAMOND RESOURCES DRC SARL</t>
  </si>
  <si>
    <t>YUSUFU MWANA KASONGO</t>
  </si>
  <si>
    <t>SEMCO</t>
  </si>
  <si>
    <t>AFRICA RESOURCES SARL</t>
  </si>
  <si>
    <t>SOCIETE KADUNYI MINE SARL</t>
  </si>
  <si>
    <t>MAGHARIBI MINING SAU</t>
  </si>
  <si>
    <t>SOCIETE CHINOISE POUR LE DEVELOPPEMENT DU CONGO SARL</t>
  </si>
  <si>
    <t>COMPAGNIE MINIERE DE SAKANIA SPRL</t>
  </si>
  <si>
    <t>Nessrallah SAHID MOHAMED</t>
  </si>
  <si>
    <t>ACACIA Sprl</t>
  </si>
  <si>
    <t>KWANGO MINES SPRL</t>
  </si>
  <si>
    <t>CHARLY MINING COMPANY SARL</t>
  </si>
  <si>
    <t>KAMI SERVICE DE RECHERCHE ET D'EXPLOITATION SARL</t>
  </si>
  <si>
    <t>Mai-Ndombe</t>
  </si>
  <si>
    <t>INVESTORS EQUITY LIMITED SPRL</t>
  </si>
  <si>
    <t>Krismat Financial Corporation</t>
  </si>
  <si>
    <t>CLEARSURF NEW MEDIA</t>
  </si>
  <si>
    <t>ADAMANTES SARL</t>
  </si>
  <si>
    <t>BANRO CONGO MINING Sarl</t>
  </si>
  <si>
    <t>CONGO MINERALS EXPLORATION</t>
  </si>
  <si>
    <t>Demande PE Approuvée</t>
  </si>
  <si>
    <t>EBACOR Sprl</t>
  </si>
  <si>
    <t>KGL ISIRO</t>
  </si>
  <si>
    <t>Mondo Mining</t>
  </si>
  <si>
    <t>GROUPE MINIER KASHALA &amp; CHUGBO Sarl</t>
  </si>
  <si>
    <t>CHEMAF KATANGA MINING SPRL</t>
  </si>
  <si>
    <t>MASTERS</t>
  </si>
  <si>
    <t>SOCIETE MINIERE DE KOLWEZI</t>
  </si>
  <si>
    <t>MATSHI MINING SARL</t>
  </si>
  <si>
    <t>KASAI MINING AND EXPLORATION LIMITED</t>
  </si>
  <si>
    <t>BITMAK COMPANY Sprl</t>
  </si>
  <si>
    <t>LIDA AFRIMING</t>
  </si>
  <si>
    <t>GOLDBELTS EXPLORATION AND MINING Sprl</t>
  </si>
  <si>
    <t>BINGOMWA MINES SARL</t>
  </si>
  <si>
    <t>LUNGA MINING SARL</t>
  </si>
  <si>
    <t>LIBERTY DIAMOND GROUP Sprl</t>
  </si>
  <si>
    <t>SOCIETE DE DEVELOPPEMENT INDUSTRIEL ET MINIER DU KATANGA</t>
  </si>
  <si>
    <t>OSHUNG CONGO</t>
  </si>
  <si>
    <t>Demande PEPM Approuvée</t>
  </si>
  <si>
    <t>Remec</t>
  </si>
  <si>
    <t>BELAIR MANIEMA SARL</t>
  </si>
  <si>
    <t>WB KASAI INVESTMENTS SPRL</t>
  </si>
  <si>
    <t>ASSOCIATION MINIERE DU KIVU Sprl</t>
  </si>
  <si>
    <t>IRON MOUNTAIN ENTERPRISES SPRL</t>
  </si>
  <si>
    <t>KATANGA MEGA MINING</t>
  </si>
  <si>
    <t>SOCIETE MINIERE DE MOKU-BEVERENDI</t>
  </si>
  <si>
    <t>STR MINING SPRL</t>
  </si>
  <si>
    <t>HAI NAN INTERNATIONAL RESOURCES MINING DRC SPRL</t>
  </si>
  <si>
    <t>RESHINE CONGO</t>
  </si>
  <si>
    <t>IMPORTATION - REPRESENTATION - COMMERCIALE Sprl</t>
  </si>
  <si>
    <t>MINIERE DU MANIEMA Sprl</t>
  </si>
  <si>
    <t>INTERNATIONAL CONGO AFRICAN MINING</t>
  </si>
  <si>
    <t>ORKA</t>
  </si>
  <si>
    <t>NEW TIME SPRL</t>
  </si>
  <si>
    <t>CONGO MINING ENTREPRISE SA</t>
  </si>
  <si>
    <t>LA BOISSIERE SPRL</t>
  </si>
  <si>
    <t>INTERMINES Sprl</t>
  </si>
  <si>
    <t>CONGO UNITED MINING</t>
  </si>
  <si>
    <t>Droit Octroyé PR-&gt;PE</t>
  </si>
  <si>
    <t>DRC RESOURCE HOLDINGS INC</t>
  </si>
  <si>
    <t>SOCIETE D'EXPLOITATION MINIERES</t>
  </si>
  <si>
    <t>MEXPO MINERALS Sprl</t>
  </si>
  <si>
    <t>METAL CHEMICAL SARL</t>
  </si>
  <si>
    <t>Abdallah HASSAN ALI MOHAMED</t>
  </si>
  <si>
    <t>THERMO METALS PROCESSER</t>
  </si>
  <si>
    <t>LA TERRE COMPANY</t>
  </si>
  <si>
    <t>TECHNO BUILD</t>
  </si>
  <si>
    <t>LEK MINING SPRL</t>
  </si>
  <si>
    <t>FURNEIKO FIRE EXTRUTIONS</t>
  </si>
  <si>
    <t>EMENTO MANUFACTURING &amp; TRADING SPRL</t>
  </si>
  <si>
    <t>FOSSIL FUEL &amp; METAL CORPORATION Sprl</t>
  </si>
  <si>
    <t>LA GENERALE DES MINES , D'AGRICULTURE ET DU COMMERCE</t>
  </si>
  <si>
    <t>CONGO MINING COMPANY</t>
  </si>
  <si>
    <t>Cogeta</t>
  </si>
  <si>
    <t>LIBERTY MINING AND INVESTMENTS Sarl</t>
  </si>
  <si>
    <t>TILU MINING</t>
  </si>
  <si>
    <t>SOCIETE OLIVE</t>
  </si>
  <si>
    <t>BLACKSTONE PETROMINERALS Sprl</t>
  </si>
  <si>
    <t>NOVA MINING</t>
  </si>
  <si>
    <t>MUNONGA MIKUBA SARL</t>
  </si>
  <si>
    <t>FAMETAL MINING ET RESSOURCES DRC SPRL</t>
  </si>
  <si>
    <t>Maoni Mining</t>
  </si>
  <si>
    <t>OLGA SARL</t>
  </si>
  <si>
    <t>AR MINERALS AND MINING</t>
  </si>
  <si>
    <t>GROUPE KEPPY MUKESH COORPORATION Sprl</t>
  </si>
  <si>
    <t>SOCIETE MINIERE INTERNATIONALE SPRL</t>
  </si>
  <si>
    <t>HAULCO HAULING COMPANY</t>
  </si>
  <si>
    <t>PATIENCE</t>
  </si>
  <si>
    <t>Adèle NDAYA</t>
  </si>
  <si>
    <t>Edouard KAMBALE</t>
  </si>
  <si>
    <t>LOMAMI RESOURCES SARL</t>
  </si>
  <si>
    <t>EBENDE RESOURCES LIMITED</t>
  </si>
  <si>
    <t>AMBASE EXPLORATION AFRICA Sprl</t>
  </si>
  <si>
    <t>SOCIETE MINIERE DE SANDOA</t>
  </si>
  <si>
    <t>TIDIANE KONE &amp; FREDERICK SPRL</t>
  </si>
  <si>
    <t>Gaston KAHILU MBAKA</t>
  </si>
  <si>
    <t>JONGEA SARL</t>
  </si>
  <si>
    <t>MICHROT CONGO COMPANY S.A</t>
  </si>
  <si>
    <t>SOMAF CORPORATION S.A</t>
  </si>
  <si>
    <t>CONGO ECO-PROJECT</t>
  </si>
  <si>
    <t>TIRAN MINING SPRL</t>
  </si>
  <si>
    <t>CONGO WORLD INVESTMENT</t>
  </si>
  <si>
    <t>NONO MINING SARL</t>
  </si>
  <si>
    <t>Godefroid Mankumbwa Yasupa</t>
  </si>
  <si>
    <t>SOCIETE RENZO</t>
  </si>
  <si>
    <t>UNITED AFRICA TIN AND TANTALUM SAS</t>
  </si>
  <si>
    <t>SOCIETE ROTAX INTERNATIONAL Sarl</t>
  </si>
  <si>
    <t>SOCIETE MINIERE DE DEVELOPPEMENT</t>
  </si>
  <si>
    <t>SOCIETE D'APPUI LOGISTIQUE DU KATANGA</t>
  </si>
  <si>
    <t>SOLAIZE DRC</t>
  </si>
  <si>
    <t>DEVON RESOURCES SARL</t>
  </si>
  <si>
    <t>ENTREPRISES MINIERE DE MUSOSHI SA</t>
  </si>
  <si>
    <t>LYSE INTERNATIONAL SARL</t>
  </si>
  <si>
    <t>SR TANMIN</t>
  </si>
  <si>
    <t>MWANA CHIETA MINING SARL</t>
  </si>
  <si>
    <t>MINERAL DEVELOPMENT INVESTMENT</t>
  </si>
  <si>
    <t>ZHONGJIN MINING SARL</t>
  </si>
  <si>
    <t>SOCIETE DIVISHO SARL</t>
  </si>
  <si>
    <t>COOPERATIVE MINIERE ET DE SOUS TRAITANCE</t>
  </si>
  <si>
    <t>SPILL CONGO SARL</t>
  </si>
  <si>
    <t>GROUPE LES LEADERS SERVICE SARL</t>
  </si>
  <si>
    <t>CONSTRUCT SERVICES SECURITY SARL</t>
  </si>
  <si>
    <t>SOCIETE INDUSTRIE MINIERE XINYUAN DE TONGLIAO</t>
  </si>
  <si>
    <t>ZHENGWEI TECHNIQUE COOPERATION SARL</t>
  </si>
  <si>
    <t>GROUPE ABK SARL</t>
  </si>
  <si>
    <t>ETABLISSEMENTS NSB GOLDEN SARL</t>
  </si>
  <si>
    <t>ETABLISSEMENTS TRUST SERVICES GROUP</t>
  </si>
  <si>
    <t>FUANI MUSOLE SARL</t>
  </si>
  <si>
    <t>SOCIETE MINIERE DE LUEBO</t>
  </si>
  <si>
    <t>COOPERATIVE MINIERE DES POPOY PANGA</t>
  </si>
  <si>
    <t>ESPACE POLYD'OR</t>
  </si>
  <si>
    <t>SOCIETE DE MINES D'OR RESOURCES</t>
  </si>
  <si>
    <t>GLOBAL TRADING COMMODITIES SARL</t>
  </si>
  <si>
    <t>K-MINING SARL</t>
  </si>
  <si>
    <t>SOCIETE LMTD SARL</t>
  </si>
  <si>
    <t>SAFI MINING SARL</t>
  </si>
  <si>
    <t>ROAN MINING DEVELOPMENT SARL</t>
  </si>
  <si>
    <t>SOCIETE MANGO TREE MINING SARL</t>
  </si>
  <si>
    <t>NEW SUBIRA CONFORT SARL</t>
  </si>
  <si>
    <t>OLYMPIC EXPLORATION DRC SARL</t>
  </si>
  <si>
    <t>SOCIETE MINIERE DE GRAND LAC SARL</t>
  </si>
  <si>
    <t>NYOTA MINING SARL</t>
  </si>
  <si>
    <t>GROUPE NEUF CONSTRUCTION COMPANY SARL</t>
  </si>
  <si>
    <t>EMPIRE RESSOURCES SARL</t>
  </si>
  <si>
    <t>WORLD MINING COMPANY SARL</t>
  </si>
  <si>
    <t>SOCIETE BIG TOTAL MINING SAS</t>
  </si>
  <si>
    <t>AFRICAN CONGO MINING SARL</t>
  </si>
  <si>
    <t>AL HILAL MINING SARL</t>
  </si>
  <si>
    <t>VAGUE MINES SARLU</t>
  </si>
  <si>
    <t>SOCIETE YOROZU MINING SARL</t>
  </si>
  <si>
    <t>GROUP EMANUEL SARL</t>
  </si>
  <si>
    <t>XIANG JIANG MINING SARL</t>
  </si>
  <si>
    <t>WANDO MINING SARL</t>
  </si>
  <si>
    <t>GOLDEN TRIO SARL</t>
  </si>
  <si>
    <t>185 000 000 CDF</t>
  </si>
  <si>
    <t>*Amodiations 2023</t>
  </si>
  <si>
    <t>NOM DE L'AMODIANT</t>
  </si>
  <si>
    <t>NOM DE L'AMODIATAIRE</t>
  </si>
  <si>
    <t>TYPE D'AMODIATION</t>
  </si>
  <si>
    <t>SIGNATURE DU CONTRAT</t>
  </si>
  <si>
    <t>DATE INSCRIPTION</t>
  </si>
  <si>
    <t>LA GENERALE DES CARRIERES ET DES MINES SA</t>
  </si>
  <si>
    <t>Totale</t>
  </si>
  <si>
    <t xml:space="preserve"> KAMOTO COPPER COMPANY</t>
  </si>
  <si>
    <t>KASONGA MINING SARL</t>
  </si>
  <si>
    <t>STE MINIERE DU KATANGA</t>
  </si>
  <si>
    <t>NEW MINERALS INVESTMENT SARL</t>
  </si>
  <si>
    <t>Partielle</t>
  </si>
  <si>
    <t>SOCIETE K-YENE MULTI SERVICES SARL</t>
  </si>
  <si>
    <t>COMPAGNIE MINIERE DE MUSONOIE GLOBAL SAS</t>
  </si>
  <si>
    <t xml:space="preserve">PE </t>
  </si>
  <si>
    <t xml:space="preserve">SOCIETE MINIERE DU KATANGA </t>
  </si>
  <si>
    <t>MINIERE DE KALUKUNDI</t>
  </si>
  <si>
    <t>*Cessions 2023</t>
  </si>
  <si>
    <t>NOM DU CEDANT</t>
  </si>
  <si>
    <t>NOM DU CESSIONNAIRE</t>
  </si>
  <si>
    <t>TYPE DE CESSION</t>
  </si>
  <si>
    <t>TOTALE</t>
  </si>
  <si>
    <t>GOLDLOCHE COMPANY SARL</t>
  </si>
  <si>
    <t>RENZHEN CONGO SARL</t>
  </si>
  <si>
    <t>PROXMIN SARL</t>
  </si>
  <si>
    <t>SSMMAWN LIMITED SARL</t>
  </si>
  <si>
    <t>IKEKETE COPPER MINING SAS</t>
  </si>
  <si>
    <t xml:space="preserve">PR </t>
  </si>
  <si>
    <t>MULOMBA COPPER SAS</t>
  </si>
  <si>
    <t>MUSOKATANDA METAL SAS</t>
  </si>
  <si>
    <t>KAMPEMBA CORPORATION SAS</t>
  </si>
  <si>
    <t>MANONO LITHIUM SAS</t>
  </si>
  <si>
    <t>PARTIELLE</t>
  </si>
  <si>
    <t>JIN XUN CONGO</t>
  </si>
  <si>
    <t>ZHAN FEI MINING SARL</t>
  </si>
  <si>
    <t>*Contrats d'options 2023</t>
  </si>
  <si>
    <t>SOCIETE MINIERE DE BAKWANGA SA</t>
  </si>
  <si>
    <t>ENERGY 24 SARL</t>
  </si>
  <si>
    <t>SOCIETE LBK CONSTRUCION SARL</t>
  </si>
  <si>
    <t>EXCELLENT MINERALS</t>
  </si>
  <si>
    <t>10 000 USD</t>
  </si>
  <si>
    <t>TSHISANGAMA SIMEON</t>
  </si>
  <si>
    <t>HONGKONG EXCELLEN INVESTEMENT CO.LIMITED</t>
  </si>
  <si>
    <t>LIANG FENG</t>
  </si>
  <si>
    <t>Adjoint du chef du village</t>
  </si>
  <si>
    <t>Rempli</t>
  </si>
  <si>
    <t>Réponse</t>
  </si>
  <si>
    <t>Lien vers la politique</t>
  </si>
  <si>
    <t>https://barrickgold.sharepoint.com/sites/policies-en</t>
  </si>
  <si>
    <t xml:space="preserve">https://www.glencore.com/publications </t>
  </si>
  <si>
    <t>Société Minière de Kilo Moto</t>
  </si>
  <si>
    <t>https://www.alphaminresources.com/</t>
  </si>
  <si>
    <t>Situation au niveau du registre minier</t>
  </si>
  <si>
    <t>Kasaï Oriental</t>
  </si>
  <si>
    <t>Kasaï Occidental</t>
  </si>
  <si>
    <t>Entreprise soumise à l'obligation de désigner un CAC (règles de l’OHADA)</t>
  </si>
  <si>
    <t>Entreprise non soumise à l'obligation de désigner un CAC (règles de l’OHADA)</t>
  </si>
  <si>
    <t>Pour les EP</t>
  </si>
  <si>
    <t>Lien vers la publication des EF (Pour les EP)</t>
  </si>
  <si>
    <t>Entreprises Extractives</t>
  </si>
  <si>
    <t>EP/Privée</t>
  </si>
  <si>
    <t>Nature du document</t>
  </si>
  <si>
    <t>Nbr. Ayant soumis FD</t>
  </si>
  <si>
    <t>Privée</t>
  </si>
  <si>
    <t>Nbr</t>
  </si>
  <si>
    <t>Niveau de fiabilité</t>
  </si>
  <si>
    <t>Secteur des hydrocarbures</t>
  </si>
  <si>
    <t>Secteur pétrolier</t>
  </si>
  <si>
    <t>Secteur minier</t>
  </si>
  <si>
    <t>PERENCO ODS LTD</t>
  </si>
  <si>
    <t xml:space="preserve"> SOCIETE MINIERE DE DEZIWA SAS (SOMIDEZ)</t>
  </si>
  <si>
    <t>FD signés</t>
  </si>
  <si>
    <t>FD  contreseing de la Cour des comptes</t>
  </si>
  <si>
    <t>Elevé</t>
  </si>
  <si>
    <t>FD certifiés IGF</t>
  </si>
  <si>
    <t>Régies financières</t>
  </si>
  <si>
    <t>SOCIETE DES SERVICES MINIERS</t>
  </si>
  <si>
    <t>SUCCESS THREE MINING SARL</t>
  </si>
  <si>
    <t>OKL MNG</t>
  </si>
  <si>
    <t>SOCIETE GENERALE DES CARRIERES ET MINES DU CONGO SARL</t>
  </si>
  <si>
    <t>VIHAR MINING SARL</t>
  </si>
  <si>
    <t>MUSHIMA MNG</t>
  </si>
  <si>
    <t>AFRICA HOLDING MINING SARL</t>
  </si>
  <si>
    <t>LUAPULA SARL</t>
  </si>
  <si>
    <t>SGE</t>
  </si>
  <si>
    <t>ORACLE MING</t>
  </si>
  <si>
    <t>SALEM MINING SARL</t>
  </si>
  <si>
    <t>BENEFONE MINING</t>
  </si>
  <si>
    <t>PAMOJA</t>
  </si>
  <si>
    <t>CRUSHING 4 CONGO SARL</t>
  </si>
  <si>
    <t>TERRA CONGO MINING SARLU</t>
  </si>
  <si>
    <t>KIMIA GOLD RESSOURCES SARL</t>
  </si>
  <si>
    <t>QUALITY CORPORATE MINING SARL</t>
  </si>
  <si>
    <t>SOCIETE MINIERE ITURI MINERAL</t>
  </si>
  <si>
    <t>Moyen</t>
  </si>
  <si>
    <t>% Part dans les recettes globales</t>
  </si>
  <si>
    <t>Evaluation globale</t>
  </si>
  <si>
    <t xml:space="preserve">En % des recettes globales </t>
  </si>
  <si>
    <t>Global</t>
  </si>
  <si>
    <t>Provinces</t>
  </si>
  <si>
    <t>Cahiers de charges approuvés par l'autorité compétente</t>
  </si>
  <si>
    <t>Cahiers des charges approuvés par la CPI non encore approuvés par l'autorité compétente</t>
  </si>
  <si>
    <t>Cahiers des charges en cours d’instruction</t>
  </si>
  <si>
    <t>Cahiers des charges en cours de négociation</t>
  </si>
  <si>
    <t>Cahiers de charges signés avec les communautés non transmis à la CPI pour instruction</t>
  </si>
  <si>
    <t xml:space="preserve">KIPUSHI CORPORATION </t>
  </si>
  <si>
    <t xml:space="preserve">4 : CHEMAF, THOMAS MINING, ENTREPRISE GENERALE MALTA FOREST, MMT </t>
  </si>
  <si>
    <t>Kasai-Oriental</t>
  </si>
  <si>
    <t>SACIM</t>
  </si>
  <si>
    <t>KIBALI GOLDMINE</t>
  </si>
  <si>
    <t>Ville de Kinshasa</t>
  </si>
  <si>
    <t>Kongo-Central</t>
  </si>
  <si>
    <t>ALPHAMIN BISIE</t>
  </si>
  <si>
    <t>-</t>
  </si>
  <si>
    <t>Organiser les paysans en coopératives</t>
  </si>
  <si>
    <t>Aout 2023</t>
  </si>
  <si>
    <t>Renseigner les noms des fournisseurs (personne physique ou personne morale) par ordre décroissant des paiements annuels cumulés</t>
  </si>
  <si>
    <t>Nationalité 
(Local ou étranger)</t>
  </si>
  <si>
    <t>NIF du fournisseur</t>
  </si>
  <si>
    <t>Adresse physique du fournisseur</t>
  </si>
  <si>
    <t>Nombre de marchés exécutés</t>
  </si>
  <si>
    <t>Cumul annuel des Paiements en USD</t>
  </si>
  <si>
    <t>Bénéficiaires effectifs de la personne morale ou lien vers la place bousière où l'entreprise est cotée</t>
  </si>
  <si>
    <t>BRILLIANT LEGEND INT’L LIMITED</t>
  </si>
  <si>
    <t>Unit 2 , LG 1, Mirror Tower, 61 Mody Road, Tsim Sha Tsui, Hong Kong, Hong Kong Island</t>
  </si>
  <si>
    <t>GANAFRIQUE CONSULTANT MINIER</t>
  </si>
  <si>
    <t>A1914460P</t>
  </si>
  <si>
    <t>Av Lukenge Commune de Ngaliema No2, KINSHASA, DR CONGO</t>
  </si>
  <si>
    <t>LUALABA PROSPERE SARL</t>
  </si>
  <si>
    <t>A2151410E</t>
  </si>
  <si>
    <t>Av,Bota/Q,Mutoshi,C/Manika, No412, KOLWEZI DR CONGO</t>
  </si>
  <si>
    <t>PANDA INTERNATIONAL CONGO ENGINEERI</t>
  </si>
  <si>
    <t>A2046262H</t>
  </si>
  <si>
    <t>Av Jerusalem, C/Annexe, No2100, LUBUMBASHI, DR CONGO</t>
  </si>
  <si>
    <t>A1907439H</t>
  </si>
  <si>
    <t>NENDA MBELE SAS</t>
  </si>
  <si>
    <t>A2025841L</t>
  </si>
  <si>
    <t>A1203901E</t>
  </si>
  <si>
    <t>A2178565W</t>
  </si>
  <si>
    <t>A2040360S</t>
  </si>
  <si>
    <t>CARGO CONGO</t>
  </si>
  <si>
    <t>A1304152D</t>
  </si>
  <si>
    <t>A2165932P</t>
  </si>
  <si>
    <t>A1417575U</t>
  </si>
  <si>
    <t>A2179922W</t>
  </si>
  <si>
    <t>SINOMINE INTERNATIONAL RDC ENGINEERING SARL</t>
  </si>
  <si>
    <t>A1912673X</t>
  </si>
  <si>
    <t>SOCIETE COMMERCIALE DES MINES SAS - T/A SOCOM</t>
  </si>
  <si>
    <t>UNITED PETROLEUM SARL</t>
  </si>
  <si>
    <t>SUPPORT PLUS SAS</t>
  </si>
  <si>
    <t>TECHNOLOGIE GLOBALE SAS</t>
  </si>
  <si>
    <t>ORICA DRC SARL</t>
  </si>
  <si>
    <t>SURTEK TRADING SAS</t>
  </si>
  <si>
    <t>COPPERLINE SAS</t>
  </si>
  <si>
    <t>KANU EQUIPMENT DRC</t>
  </si>
  <si>
    <t>SOCIETE DES SERVICES ET LOGISTIQUE SARL</t>
  </si>
  <si>
    <t>DOUANE EXPRESS CUSTOMS SARL</t>
  </si>
  <si>
    <t>DUPLICATE - CHRISTINA TRADING SARL</t>
  </si>
  <si>
    <t>BUSH CAMP SA</t>
  </si>
  <si>
    <t>CONGO EQUIPMENT SARL</t>
  </si>
  <si>
    <t>CRUSHER EQUIPMENT AFRICA SARL - CE AFRICA</t>
  </si>
  <si>
    <t>VISION SAS</t>
  </si>
  <si>
    <t>BLU ROCK SARL</t>
  </si>
  <si>
    <t>SANDVIK MINING &amp; CONSTRUCTION DRC SARL</t>
  </si>
  <si>
    <t>MUSHANGAO SARL</t>
  </si>
  <si>
    <t>KANU SUPPORT SAS</t>
  </si>
  <si>
    <t>LIQUID ROCK SARL</t>
  </si>
  <si>
    <t>GROUP 4 SECURICOR DRC SARL - G4S DRC SARL</t>
  </si>
  <si>
    <t>BEARING MAN GROUP CONGO SARL</t>
  </si>
  <si>
    <t>PAN AFRICAN COMPANY - T/A - PANACO SARL</t>
  </si>
  <si>
    <t>BERENICE TRADING SARL</t>
  </si>
  <si>
    <t>LEXAP DRC SARL</t>
  </si>
  <si>
    <t>JOHN TSHIKULU TSHILOMBO SARL - T/A JTT SARL</t>
  </si>
  <si>
    <t>PROXIMITY BUSINESS EXPERTISE SARL - T/A PROXIBEX SARL</t>
  </si>
  <si>
    <t>TRI-PUMP DRC SARLU</t>
  </si>
  <si>
    <t>T3 PROJECTS DRC SAS</t>
  </si>
  <si>
    <t>SERVICES MACHINERY TRUCKS RDC SARL - T/A SMT</t>
  </si>
  <si>
    <t>STANDART FIABLE SAS</t>
  </si>
  <si>
    <t>TECHNICAL MECHANICAL SERVICES SPARE PARTS CONGO SARL - TMS</t>
  </si>
  <si>
    <t>CONGO SERVICES ENGINEERING SARL - T/A - CSE SARL</t>
  </si>
  <si>
    <t>NEW BUSINESS LIGHT SARL</t>
  </si>
  <si>
    <t>HM ENERGING</t>
  </si>
  <si>
    <t>AFRITECH BUSINESS SOLUTIONS SARL - T/A ABS SARL</t>
  </si>
  <si>
    <t>AFRICAN ENGINEERING SERVICES SARL</t>
  </si>
  <si>
    <t>MALABAR BUSINESS TRAVEL SARL</t>
  </si>
  <si>
    <t>DUPLICATE - KKS ENTERPRISE SARL</t>
  </si>
  <si>
    <t>TRADE SERVICE ETUDES FISCALITE &amp; FACILITATION SARL - IMPORT</t>
  </si>
  <si>
    <t>MILTRAC DRC SARL</t>
  </si>
  <si>
    <t>ELECTRIC SYSTEMS SARL</t>
  </si>
  <si>
    <t>VIRUNGA GROUP AFRICA SARL</t>
  </si>
  <si>
    <t>MAISON DES CONSTRUCTIONS CIVILE ET INDUSTRIELLE MULTISERVICES - T/A - MCI MULTISERVICES</t>
  </si>
  <si>
    <t>PRO STEEL SARL</t>
  </si>
  <si>
    <t>SOCIETE DE SURVEILLANCE MINIERE  SARL - T/A SSM SARL</t>
  </si>
  <si>
    <t>EPIROC DRC SARLU</t>
  </si>
  <si>
    <t>RIGHT SERVICE SARL</t>
  </si>
  <si>
    <t>ALFRED H KNIGHT DRC SARL</t>
  </si>
  <si>
    <t>ETUDE KABINDA AVOCATS DRC SARL</t>
  </si>
  <si>
    <t>ANSULTECH FIRE SYSTEMS SARL</t>
  </si>
  <si>
    <t>MINES D'AFRIQUE SARL - MINAF</t>
  </si>
  <si>
    <t>STEEL LUBUMBASHI SARL</t>
  </si>
  <si>
    <t>BABA DRILLING DRC SARL</t>
  </si>
  <si>
    <t>HIMALAYA BRICK CONSTRUCTION - HBC</t>
  </si>
  <si>
    <t>AMAZON MINING SERVICES SARL</t>
  </si>
  <si>
    <t>CFAO MOTORS RDC SARL</t>
  </si>
  <si>
    <t>RUBATEK SARL</t>
  </si>
  <si>
    <t>SMART MOVE DRC</t>
  </si>
  <si>
    <t>GUY SWANA CATHERINE KASONGO SARL - T/A - GSCK SARL</t>
  </si>
  <si>
    <t>KIPELO MASHIND MULTISERVICES SARL - EKMM</t>
  </si>
  <si>
    <t>MUTENDE MINING SUPPLY SARL</t>
  </si>
  <si>
    <t>DRILL AFRICA CONGO SARL</t>
  </si>
  <si>
    <t>SEAFOOD BASKET CONGO SARL</t>
  </si>
  <si>
    <t>ETS AUTO TIMA</t>
  </si>
  <si>
    <t>ALASKA SARL</t>
  </si>
  <si>
    <t>ELECTRO DRIVES SL</t>
  </si>
  <si>
    <t>CHRISTINA TRADING SARL</t>
  </si>
  <si>
    <t>FAILA PROJECTS &amp; INDUSTRIAL SUPPLIES SARL - T/A FAILA PIS</t>
  </si>
  <si>
    <t>WEIR MINERALS DRC SAS</t>
  </si>
  <si>
    <t>CUPROLABO SARL</t>
  </si>
  <si>
    <t>DREYER RISK SOLUTIONS SARL</t>
  </si>
  <si>
    <t>MARGUERITE LUBUNGA MUKOKA SARL</t>
  </si>
  <si>
    <t>ROBINSON INTERNATIONAL AFRIQUE SARL - T/A RIA SARL</t>
  </si>
  <si>
    <t>EJKK LOGISTICS &amp; SERVICES</t>
  </si>
  <si>
    <t>INTERNATIONAL COLLECTIVE VENTURE - T/A ICV</t>
  </si>
  <si>
    <t>KAFC INVESTMENTS SARL</t>
  </si>
  <si>
    <t>ETS LA PROVIDENCE</t>
  </si>
  <si>
    <t>GAMMY INVESTMENTS SARL</t>
  </si>
  <si>
    <t>C&amp;J CONSULTANTS SARL</t>
  </si>
  <si>
    <t>ARROW BEARINGS DRC SARL</t>
  </si>
  <si>
    <t>ETS UNITED SCIENTIFICS</t>
  </si>
  <si>
    <t>SITA SARL</t>
  </si>
  <si>
    <t>ENVIRONMENTAL &amp; MINING SERVICES - T/A EMIS SARL</t>
  </si>
  <si>
    <t>CONNEXAFRICA RDC SARL</t>
  </si>
  <si>
    <t>STESON GLOBAL DRC</t>
  </si>
  <si>
    <t>EPOCH RESOURCES (PTY) LTD</t>
  </si>
  <si>
    <t>SOCIETE SOLUTION ADDRESS SARL</t>
  </si>
  <si>
    <t>TERRE BLANCHE</t>
  </si>
  <si>
    <t>BOSS K INC SARL</t>
  </si>
  <si>
    <t>JAPAN MOTORS AFRICA SARL</t>
  </si>
  <si>
    <t>EKM LABO BUSINESS SARL</t>
  </si>
  <si>
    <t>ETRANGER</t>
  </si>
  <si>
    <t>xxxxxxxxx</t>
  </si>
  <si>
    <t>LOCAL</t>
  </si>
  <si>
    <t>A1200714Q</t>
  </si>
  <si>
    <t>KINSHASA</t>
  </si>
  <si>
    <t>A1205197N</t>
  </si>
  <si>
    <t>EUROPE FONDATIONS SA</t>
  </si>
  <si>
    <t>KAS 1 LIMITED</t>
  </si>
  <si>
    <t>A1210107A</t>
  </si>
  <si>
    <t>ORICA TANZANIA LIMITED</t>
  </si>
  <si>
    <t>A0812659U</t>
  </si>
  <si>
    <t>LUBUMBASHI</t>
  </si>
  <si>
    <t>A1704253S</t>
  </si>
  <si>
    <t>OREZONE DRILLING SARL</t>
  </si>
  <si>
    <t>A1505722M</t>
  </si>
  <si>
    <t>A0703768E</t>
  </si>
  <si>
    <t>A2042854D</t>
  </si>
  <si>
    <t>DURBA</t>
  </si>
  <si>
    <t>ETS MD SOUS-TRAITANCE DU PERSONNEL</t>
  </si>
  <si>
    <t>GECOTRANS SARL</t>
  </si>
  <si>
    <t>A0700854M</t>
  </si>
  <si>
    <t>A1603093F</t>
  </si>
  <si>
    <t>SGS MINERALS RDC SPRL</t>
  </si>
  <si>
    <t>MSALABS DRC SAS</t>
  </si>
  <si>
    <t>A2200526X</t>
  </si>
  <si>
    <t>UELE MOTORS CORPORATION SARL</t>
  </si>
  <si>
    <t>A1307325C</t>
  </si>
  <si>
    <t>WATSA</t>
  </si>
  <si>
    <t>A1808294L</t>
  </si>
  <si>
    <t>ORICA BMK SASU</t>
  </si>
  <si>
    <t>KOLWEZI</t>
  </si>
  <si>
    <t>A1314522A</t>
  </si>
  <si>
    <t>A1112978U</t>
  </si>
  <si>
    <t>Maelgwyn Mineral Services Africa</t>
  </si>
  <si>
    <t>A1915181Y</t>
  </si>
  <si>
    <t>A2172284T</t>
  </si>
  <si>
    <t>CARGOTRANS SARL FREIGHT</t>
  </si>
  <si>
    <t>A1505727S</t>
  </si>
  <si>
    <t>KJME SARL</t>
  </si>
  <si>
    <t>A2031668E</t>
  </si>
  <si>
    <t>MGMM &amp; ASSOCIES</t>
  </si>
  <si>
    <t>Office Congolais de Controle</t>
  </si>
  <si>
    <t>A0700325M</t>
  </si>
  <si>
    <t>A0704885T</t>
  </si>
  <si>
    <t>SANDVIK MIDDLE EAST FZE</t>
  </si>
  <si>
    <t>WINDER CONTROLS (PTY) LTD</t>
  </si>
  <si>
    <t>WD POWER (PTY) LTD</t>
  </si>
  <si>
    <t>SIMAX ENGINEERING LIMITED</t>
  </si>
  <si>
    <t>GLOBAL SERVICES CONGO SARL</t>
  </si>
  <si>
    <t>A1902753P</t>
  </si>
  <si>
    <t>MAJALIWA MWANJALOLO</t>
  </si>
  <si>
    <t>SURUR ACCEIL TOUTS</t>
  </si>
  <si>
    <t>HOTEL MEMLING</t>
  </si>
  <si>
    <t>GROUPE NORBERT SERVICE</t>
  </si>
  <si>
    <t>EKA INVESTMENT SARL</t>
  </si>
  <si>
    <t>BARI KIBALI CONSTRUCTION</t>
  </si>
  <si>
    <t>Mutupe Ngefu Tambwe</t>
  </si>
  <si>
    <t>EMIAFRICA SARL</t>
  </si>
  <si>
    <t>A1801315A</t>
  </si>
  <si>
    <t>BONGISA MBOKA SARL</t>
  </si>
  <si>
    <t>A1710248J</t>
  </si>
  <si>
    <t>ENGINEERS TEAM</t>
  </si>
  <si>
    <t>SOCIETE MUNGU IKO</t>
  </si>
  <si>
    <t>M&amp;M PARTNERS CONGO SARL</t>
  </si>
  <si>
    <t>CAMS INVEST SARL</t>
  </si>
  <si>
    <t>Dassault Systemes South Africa (Pty</t>
  </si>
  <si>
    <t>SAYO COMPANY LTD</t>
  </si>
  <si>
    <t>MODERN COMFORT SERVICE</t>
  </si>
  <si>
    <t>A1703866X</t>
  </si>
  <si>
    <t>A1714421U</t>
  </si>
  <si>
    <t>NATHO BUSINESS SERVICE</t>
  </si>
  <si>
    <t>A1715507A</t>
  </si>
  <si>
    <t>A2025354G</t>
  </si>
  <si>
    <t>ETS TRECIA PRIMEUR</t>
  </si>
  <si>
    <t>MORIAH LOGISTICS SARL</t>
  </si>
  <si>
    <t>ATTOW (PTY) LTD</t>
  </si>
  <si>
    <t>A1815958R</t>
  </si>
  <si>
    <t>STRONG SERVICES SARLU</t>
  </si>
  <si>
    <t>KIND GROUP SARL</t>
  </si>
  <si>
    <t>NAMAF CONSULTING SARL</t>
  </si>
  <si>
    <t>A1202400Y</t>
  </si>
  <si>
    <t>RENZI MPE MBOKA</t>
  </si>
  <si>
    <t>Power Quality Commercial (Pty) Ltd</t>
  </si>
  <si>
    <t>REVOTECH CONSULTING SARL</t>
  </si>
  <si>
    <t>A1715349D</t>
  </si>
  <si>
    <t>Groupe Kanze Services</t>
  </si>
  <si>
    <t>BOPETO ENVIRONMENT</t>
  </si>
  <si>
    <t>Dempers &amp; Seymour Pty Ltd</t>
  </si>
  <si>
    <t>EPIROC TANZANIA LIMITED</t>
  </si>
  <si>
    <t>Institute of Mine Seismology (Pty)</t>
  </si>
  <si>
    <t>EQUITY LOGISTICS SARL</t>
  </si>
  <si>
    <t>UELE BUILDERS COMPANY</t>
  </si>
  <si>
    <t>Step Up Skills</t>
  </si>
  <si>
    <t>CANAL+ RDC</t>
  </si>
  <si>
    <t>NEW VISION OF LIFE SARL</t>
  </si>
  <si>
    <t>ETSOKU-AVOSSEA</t>
  </si>
  <si>
    <t>Leica Geosystems (Pty) Ltd</t>
  </si>
  <si>
    <t>OKAPI SERVICE SARL</t>
  </si>
  <si>
    <t>Amigos Trading Company</t>
  </si>
  <si>
    <t>WISDOM LOGISTIC SARL</t>
  </si>
  <si>
    <t>OMB BUSINESS COMPANY</t>
  </si>
  <si>
    <t>ZAIN CONGO</t>
  </si>
  <si>
    <t>N'KOY TRADING COMPANY</t>
  </si>
  <si>
    <t>METALINK TELECOM SARLU</t>
  </si>
  <si>
    <t>BUILDING TRADING COMPANY</t>
  </si>
  <si>
    <t>MA SIGNATURE NAKON SARL</t>
  </si>
  <si>
    <t>SOCIETE MLGB TRADING</t>
  </si>
  <si>
    <t>ETS SODIKIM</t>
  </si>
  <si>
    <t>SPIDER TECHNOLOGY SARL</t>
  </si>
  <si>
    <t>SDG TECHNOLOGIES CC</t>
  </si>
  <si>
    <t>ELIKIA YA DURBA</t>
  </si>
  <si>
    <t>Mighty Works Consult</t>
  </si>
  <si>
    <t>C&amp;J Consultants</t>
  </si>
  <si>
    <t>POWER PEOPLE COMPANY SARL</t>
  </si>
  <si>
    <t>HIPHIL SARL</t>
  </si>
  <si>
    <t>AKT COMPANY DRC SARL</t>
  </si>
  <si>
    <t>Lebo Winders (Pty) Ltd</t>
  </si>
  <si>
    <t>SOCIETE DE BONNE MANIERE</t>
  </si>
  <si>
    <t>RRC INTERNATIONAL</t>
  </si>
  <si>
    <t>AFRO - INVESTMENT SARL</t>
  </si>
  <si>
    <t>ZEE SOURCE</t>
  </si>
  <si>
    <t>PRAGMA AFRICA (PTY) LTD</t>
  </si>
  <si>
    <t>A0903284F</t>
  </si>
  <si>
    <t>38 Ave Mama Yemo Coin Likasi</t>
  </si>
  <si>
    <t>A2153131A</t>
  </si>
  <si>
    <t>A1301315U</t>
  </si>
  <si>
    <t>A1404516A</t>
  </si>
  <si>
    <t>A1006562U</t>
  </si>
  <si>
    <t>A2161348G</t>
  </si>
  <si>
    <t>82 Avenue Luvungi</t>
  </si>
  <si>
    <t>A2032913Y</t>
  </si>
  <si>
    <t>A0905435T</t>
  </si>
  <si>
    <t>A1601120L</t>
  </si>
  <si>
    <t>KUBOL</t>
  </si>
  <si>
    <t>SINOMINE INTERNATIONNAL</t>
  </si>
  <si>
    <t>WINA MAX</t>
  </si>
  <si>
    <t>EM TRADING</t>
  </si>
  <si>
    <t>MWANA MBOKA</t>
  </si>
  <si>
    <t>NORTH ENGEENIRING</t>
  </si>
  <si>
    <t xml:space="preserve">GRAND AIGLE </t>
  </si>
  <si>
    <t>CONORD SASU</t>
  </si>
  <si>
    <t>TRANSKAT</t>
  </si>
  <si>
    <t>A1418766P</t>
  </si>
  <si>
    <t>FAMUK</t>
  </si>
  <si>
    <t>A1708449D</t>
  </si>
  <si>
    <t>CMOK</t>
  </si>
  <si>
    <t>A1404748C</t>
  </si>
  <si>
    <t>LC R.D.C. SAS</t>
  </si>
  <si>
    <t>A2152960P</t>
  </si>
  <si>
    <t>T3 DRILLING DRC SPRL</t>
  </si>
  <si>
    <t>A1201356N</t>
  </si>
  <si>
    <t>A1303129R</t>
  </si>
  <si>
    <t>COPY N MORE SARL</t>
  </si>
  <si>
    <t>A2031776M</t>
  </si>
  <si>
    <t>SINAI SERVICES GROUP COMPANY SARL</t>
  </si>
  <si>
    <t>A1823771J</t>
  </si>
  <si>
    <t>PROTEC SARL</t>
  </si>
  <si>
    <t>A2156389R</t>
  </si>
  <si>
    <t>MALABAR BUSINESS TRAVEL</t>
  </si>
  <si>
    <t>A0913069R</t>
  </si>
  <si>
    <t>SM HYDRAULICS SARL</t>
  </si>
  <si>
    <t>A2038546W</t>
  </si>
  <si>
    <t>SALVO MULTI SERVICES SARL</t>
  </si>
  <si>
    <t>A2202037P</t>
  </si>
  <si>
    <t>ZENTEC NETWORK</t>
  </si>
  <si>
    <t>A1824550F</t>
  </si>
  <si>
    <t>NEEMA HOLDING SARLU</t>
  </si>
  <si>
    <t>A2175351C</t>
  </si>
  <si>
    <t>CONGO ENGINEERING EXPERTISE</t>
  </si>
  <si>
    <t>A1410534R</t>
  </si>
  <si>
    <t>BIOS ENGINEERING CONSULTING SARL</t>
  </si>
  <si>
    <t>A1919417C</t>
  </si>
  <si>
    <t>SERALIME SARL</t>
  </si>
  <si>
    <t>BARAKA ENGINEERING AND IT SARL</t>
  </si>
  <si>
    <t>A2025411T</t>
  </si>
  <si>
    <t>BRAS SECURITY AND SERVICES</t>
  </si>
  <si>
    <t>AFRIXMARK GROUPE SARLU</t>
  </si>
  <si>
    <t>A1919298Y</t>
  </si>
  <si>
    <t>EUPTECH ENERGY SARL</t>
  </si>
  <si>
    <t>A1806254T</t>
  </si>
  <si>
    <t>NEW TSHWALEC DRC SARL</t>
  </si>
  <si>
    <t>A2037894M</t>
  </si>
  <si>
    <t>THIERMAR SARL</t>
  </si>
  <si>
    <t>A1910010C</t>
  </si>
  <si>
    <t>A2169167F</t>
  </si>
  <si>
    <t>FABACOM SERVICES SARL</t>
  </si>
  <si>
    <t>A1911829E</t>
  </si>
  <si>
    <t>SRK CONSULTING CONGO SA</t>
  </si>
  <si>
    <t>A1008094K</t>
  </si>
  <si>
    <t>ETS TO BELIEVE MULTISERVICES</t>
  </si>
  <si>
    <t>A1806831W</t>
  </si>
  <si>
    <t>MBAKA TIKKUN HOLDING SARLU</t>
  </si>
  <si>
    <t>TECHNICAL ENGINEERING APPOINTMENT</t>
  </si>
  <si>
    <t>A1621623X</t>
  </si>
  <si>
    <t>BUSINESS ACCESS PARTNERS</t>
  </si>
  <si>
    <t>A2295818A</t>
  </si>
  <si>
    <t>GONEL INTERNATIONAL SARL</t>
  </si>
  <si>
    <t>A2010210B</t>
  </si>
  <si>
    <t>CREMAILLERE SERVICE</t>
  </si>
  <si>
    <t>A1313781U</t>
  </si>
  <si>
    <t>TRANSFIELDS SERVICES RDC SARL</t>
  </si>
  <si>
    <t>A1920351S</t>
  </si>
  <si>
    <t>GYM TECH SERVICES</t>
  </si>
  <si>
    <t>A1616389H</t>
  </si>
  <si>
    <t>GEOQUEST SARL</t>
  </si>
  <si>
    <t>A0906481F</t>
  </si>
  <si>
    <t>A1001109S</t>
  </si>
  <si>
    <t>AFRICAN ELECTRICAL AND SERVICES</t>
  </si>
  <si>
    <t>A1920684E</t>
  </si>
  <si>
    <t>TWELVE STONES SARL</t>
  </si>
  <si>
    <t>A2030545Z</t>
  </si>
  <si>
    <t>RAYON SERVICES</t>
  </si>
  <si>
    <t>A1806897S</t>
  </si>
  <si>
    <t>MODERN AUTO COMPANY SPRL</t>
  </si>
  <si>
    <t>A0900871H</t>
  </si>
  <si>
    <t>CHUKRA SERVICES SARL</t>
  </si>
  <si>
    <t>A1618981A</t>
  </si>
  <si>
    <t>GHISLAIN ELECTRICAL MECHANICAL</t>
  </si>
  <si>
    <t>A2160689Q</t>
  </si>
  <si>
    <t>DELTECH SARL</t>
  </si>
  <si>
    <t>A1112906R</t>
  </si>
  <si>
    <t>GEO KATANGA SARL</t>
  </si>
  <si>
    <t>A1404690P</t>
  </si>
  <si>
    <t>AFRITECH SARL</t>
  </si>
  <si>
    <t>A1919589P</t>
  </si>
  <si>
    <t>LA GENERALE DE FORAGE</t>
  </si>
  <si>
    <t>LOMI CONGO SARL</t>
  </si>
  <si>
    <t>BETHSA SARL</t>
  </si>
  <si>
    <t>A1819731S</t>
  </si>
  <si>
    <t>BEACY SARL</t>
  </si>
  <si>
    <t>A1705999Q</t>
  </si>
  <si>
    <t>A2175718B</t>
  </si>
  <si>
    <t>HYDROTEK SARL</t>
  </si>
  <si>
    <t>A1206832Q</t>
  </si>
  <si>
    <t>PANACO ELECTRICITE GENERALE SARL</t>
  </si>
  <si>
    <t>INTERNATIONAL FACILITIES SERVICES</t>
  </si>
  <si>
    <t>LUFIRA ENGINEERING SERVICE SA</t>
  </si>
  <si>
    <t>A2026775B</t>
  </si>
  <si>
    <t>TS CIS RDC SARL TSC SARL</t>
  </si>
  <si>
    <t>A1520869B</t>
  </si>
  <si>
    <t>FISMA SARL</t>
  </si>
  <si>
    <t>A1905729Z</t>
  </si>
  <si>
    <t>WS INSIGHT CONGO SARL</t>
  </si>
  <si>
    <t>A1201636S</t>
  </si>
  <si>
    <t>EKMM SARL</t>
  </si>
  <si>
    <t>A1315509Y</t>
  </si>
  <si>
    <t>A0700301L</t>
  </si>
  <si>
    <t>KATANGA MINING EQUIPMENT SARL</t>
  </si>
  <si>
    <t>A1807843W</t>
  </si>
  <si>
    <t>STE WUHUANG CONSTRUCTION ET</t>
  </si>
  <si>
    <t>MALABAR RDC SARL</t>
  </si>
  <si>
    <t>A1309334L</t>
  </si>
  <si>
    <t>MINING EXCAVATION CONGO SAS</t>
  </si>
  <si>
    <t>A2155884S</t>
  </si>
  <si>
    <t>DAYE TECHNOLOGY SERVICE (DTS)</t>
  </si>
  <si>
    <t>Congolais</t>
  </si>
  <si>
    <t>A2040151Q</t>
  </si>
  <si>
    <t>7677 AV KILWA LUBUMBASHI</t>
  </si>
  <si>
    <t>CNMCHKL</t>
  </si>
  <si>
    <t>Etat chinois</t>
  </si>
  <si>
    <t>419, KAMANYOLA</t>
  </si>
  <si>
    <t>RICH MARK COMPANY SARL</t>
  </si>
  <si>
    <t>A1314010T</t>
  </si>
  <si>
    <t>KALUBWE LODGE</t>
  </si>
  <si>
    <t>A1313885H</t>
  </si>
  <si>
    <t>CISA SARL</t>
  </si>
  <si>
    <t>A0705998D</t>
  </si>
  <si>
    <t>BUNKER SECURITE SARL</t>
  </si>
  <si>
    <t>A1704460S</t>
  </si>
  <si>
    <t>Brother Transport Congo SARL</t>
  </si>
  <si>
    <t>RHINOCEROS ONE SECURITY SARL</t>
  </si>
  <si>
    <t>A1811939Y</t>
  </si>
  <si>
    <t>COREDIS SARL</t>
  </si>
  <si>
    <t>A0906349M</t>
  </si>
  <si>
    <t>A2292829B</t>
  </si>
  <si>
    <t>Fraser Alexander</t>
  </si>
  <si>
    <t>A0906628Q</t>
  </si>
  <si>
    <t>NENDA MBELE</t>
  </si>
  <si>
    <t>BKM</t>
  </si>
  <si>
    <t>A1010510L</t>
  </si>
  <si>
    <t>PLANET DRC CORPORATION SARL PLANET</t>
  </si>
  <si>
    <t>A2157801B</t>
  </si>
  <si>
    <t>ASCAT</t>
  </si>
  <si>
    <t>A1606569J</t>
  </si>
  <si>
    <t>SHABA WHEELS SARL</t>
  </si>
  <si>
    <t>A1807313U</t>
  </si>
  <si>
    <t>COPPERLINE</t>
  </si>
  <si>
    <t>A1812942N</t>
  </si>
  <si>
    <t>SINO-CONGOLAISE D’EXPLOITATION SA</t>
  </si>
  <si>
    <t>A1706921S</t>
  </si>
  <si>
    <t>ELIAS &amp; MATIS TRADING SARL</t>
  </si>
  <si>
    <t>A2157291X</t>
  </si>
  <si>
    <t>GLOBAL LOGISTICS SARL</t>
  </si>
  <si>
    <t>A1204430E</t>
  </si>
  <si>
    <t>A2168753F</t>
  </si>
  <si>
    <t>CONNEXAFRICA SARL</t>
  </si>
  <si>
    <t>A1703425S</t>
  </si>
  <si>
    <t>CONGO PETROL</t>
  </si>
  <si>
    <t>A0811599S</t>
  </si>
  <si>
    <t>KAFAUS BUSINESS SERVICE SARL</t>
  </si>
  <si>
    <t>A1418621G</t>
  </si>
  <si>
    <t>EADDECON SARL</t>
  </si>
  <si>
    <t>A1805259M</t>
  </si>
  <si>
    <t>KINGKO CONSTRUCTION SARL</t>
  </si>
  <si>
    <t>A2173555A</t>
  </si>
  <si>
    <t>CRSN CONSTRUCTION MINIERE (RDC) SARL 中国中铁刚果（金）矿业建设有限公司</t>
  </si>
  <si>
    <t>A1314046H</t>
  </si>
  <si>
    <t>N°3 CONCESSION SICOMINES,Q/KAPATA,C/DILALA, KOLWEZI</t>
  </si>
  <si>
    <t>INTERNATIONAL FOURTEENTH FIRST CONGO SARL
刚果（金）国际141联营体有限责任公司</t>
  </si>
  <si>
    <t>A1417151J</t>
  </si>
  <si>
    <t>259, avenue de l’église, Commune de DILALA,QuartierBiashara,VilledeKolwezi, Lualaba</t>
  </si>
  <si>
    <t>BANGDE CONSTRUCTION SARL 邦德建筑有限责任公司　</t>
  </si>
  <si>
    <t>A1813389Z</t>
  </si>
  <si>
    <t>N* 25 Av. KAYEMBE Q.KAKIFULUWE CIMANIKA-KOLWEZI</t>
  </si>
  <si>
    <t>CGM LISHI MINING SARL 
中矿利世有限责任公司（三和）</t>
  </si>
  <si>
    <t>A0906803F</t>
  </si>
  <si>
    <t>No.9 Route Kambove, Ville de Likasi, Province du Haut-Katanga</t>
  </si>
  <si>
    <t>LA GRANDE CIMENTERIE DU KATANGA SAS
加丹加大水泥厂</t>
  </si>
  <si>
    <t>Route KAKONTWE, Quartier KAKONTWE, Commune de PANDA, Ville de LIKASI, Province du HAUT-KATANGA</t>
  </si>
  <si>
    <t>CARRIERE DU LUALABA SAS
卢阿拉巴矿业简易股份有限公司</t>
  </si>
  <si>
    <t>Groupement MWANFWE, Secteur de Luilu, Territoire de Mutshatsha, Province du Lualaba en République Démocratique du Congo</t>
  </si>
  <si>
    <t>AGENCE DE SERVICE,COMMERCE,ASSURANCE &amp; TRANSIT SARL                                        
ASCAT有限责任公司</t>
  </si>
  <si>
    <t>79, Avenue Munongo, Bâtiment I.N.S.S.</t>
  </si>
  <si>
    <t>TASKS SERVICE LIMITED
工作服务有限责任公司（TSL工作餐供应）</t>
  </si>
  <si>
    <t>A2163948H</t>
  </si>
  <si>
    <t>8120, Boulevard Sendwe,Quartier Funa,Commune de Kalamu,Ville-Province de Kingshasa.</t>
  </si>
  <si>
    <t xml:space="preserve">FRONTIER SERVICES GROUP SECURITE
先丰服务集团安保公司 FSGS </t>
  </si>
  <si>
    <t>A1914978C</t>
  </si>
  <si>
    <t xml:space="preserve">15 Avenue les flamboyants, Gombe-Kinshasa </t>
  </si>
  <si>
    <t>SOCIETE IMMOBILIERE SERGE KASANDA LUSAMBA        
SERKAS出口清关公司</t>
  </si>
  <si>
    <t>A0700848F</t>
  </si>
  <si>
    <t xml:space="preserve"> 1er Niveau du Building SERKAS wa NDEKA, n°7639 quartier Haut Commandement, dans la Communes de la Gombe à Kinshasa</t>
  </si>
  <si>
    <t>Entreprise de Transport et de Services S.A.R.L
ETS运输服务公司</t>
  </si>
  <si>
    <t>A1723119Z</t>
  </si>
  <si>
    <t>1142, Avenue Géomètre Kisamba, Quartier Latin, Comune de Manika, Ville de Kolwezi, Province de Lualaba</t>
  </si>
  <si>
    <t>DOUANE EXPRESS CUSTOM SARL
DEC清关公司</t>
  </si>
  <si>
    <t>Nº2573 AV.LUMUMBA, COMMUNE ET VILLE DE LUBUMBASHI,PROVINCE DU KATANGA</t>
  </si>
  <si>
    <t>A2156843K</t>
  </si>
  <si>
    <t>13 de l'avenue fizi du Quartier bel'air dans la Commune de kampemba dans la ville de Lubumbashi en République Démocratique du Congo</t>
  </si>
  <si>
    <t>AFRICAINE D'EXPLOSIFS (AFRIDEX)              
非洲炸药管理局</t>
  </si>
  <si>
    <t>Avenue Kambove.C/Panda-Likasi.B.P.:290</t>
  </si>
  <si>
    <t>Agence de transport PORTA GRACIA
PORTA GRACIA 运输公司</t>
  </si>
  <si>
    <t>A1310500D</t>
  </si>
  <si>
    <t>31, AV.DU 30 JUIN,C/MANIKA-KOLWEZI</t>
  </si>
  <si>
    <t>GENERAL DE COMMERCE ET DE TRANSIT  SARLU 
GECOTRANS进口清关公司</t>
  </si>
  <si>
    <t xml:space="preserve"> 51 avenue Du livre,Q/Golf,C/Gombe,V/Kinshasa,P/Kinshasa, RD Congo</t>
  </si>
  <si>
    <t>SECURITY DEFENSE AND INTERVENTION SARLU
SDI安保公司</t>
  </si>
  <si>
    <t>A2033454L</t>
  </si>
  <si>
    <t>la commune de KATUBA, ville de Kolwezi, province de Lualaba</t>
  </si>
  <si>
    <t>ARCHIDIOCESE du KATANKA
东正教医院</t>
  </si>
  <si>
    <t>A1113017M</t>
  </si>
  <si>
    <t>Avenue MADUDA,N°1-2,commune de Dilala,Ville de Kolwezi</t>
  </si>
  <si>
    <t>CONGO KAZI BORA
CKB公司</t>
  </si>
  <si>
    <t>A2026061A</t>
  </si>
  <si>
    <t>N°6A, Avenue Kipuluka, Quartier Golf les battants, Commune et Ville de Lubumbashi, Province du Haut-Katanga en République Démocratique du Congo</t>
  </si>
  <si>
    <t>LA SOCIETE GENERALE DE SERVICE ET CONSTRUCTION SARL</t>
  </si>
  <si>
    <t>A1506054Y</t>
  </si>
  <si>
    <t>n°4288, Av. CHEMIN PUBLIQUE, Quartier JOLI SITE, Commune MANIKA, Province du LUALABA</t>
  </si>
  <si>
    <t>Centre de Santé PENIEL
卡巴达医院</t>
  </si>
  <si>
    <t>A1510958D</t>
  </si>
  <si>
    <t>Avenue KENYA N°3,Cité KAPATA,à Kolwezi</t>
  </si>
  <si>
    <t>PricewaterhouseCoopers  RDC SAS                                     　　　　     普华永道刚果会计师事务所</t>
  </si>
  <si>
    <t>A0700522B</t>
  </si>
  <si>
    <t xml:space="preserve">Immeuble Midema, 13 avenue Mongala, Gombe, B.P. 10195 Kinshasa I.  </t>
  </si>
  <si>
    <t>TRADE SERVICE S.A.R.L.
Trade Service有限责任公司</t>
  </si>
  <si>
    <t>A0814807E</t>
  </si>
  <si>
    <t>Numéro 194,Avenue MOERO, COMMUNE ET VILLE DE LUBUMBASHI</t>
  </si>
  <si>
    <t>CONGO BUSINESS INVESTMENTS JL&amp;FK
刚果商业投资公司（CBI）</t>
  </si>
  <si>
    <t>A2157374M</t>
  </si>
  <si>
    <t>82, avenue JACARANDAS, Commune de Kampembe, Ville de Lubumbashi Province de Haut-Katanga, en République Démocratique du Congo</t>
  </si>
  <si>
    <t>SUPER SERVICES SARL</t>
  </si>
  <si>
    <t>A157029C</t>
  </si>
  <si>
    <t>DAP INVESTMENT SARL
DAP公司</t>
  </si>
  <si>
    <t>A1823811C</t>
  </si>
  <si>
    <t>N°712 de l'avenue Kundelungu, Commune de Ruashi, Ville de Lubumbashi</t>
  </si>
  <si>
    <t>BEKET HOLDING SARL</t>
  </si>
  <si>
    <t>A1822602N</t>
  </si>
  <si>
    <t>n°02, Av. Llunga, Quatier Golf Malela, Commune Lubumbashi</t>
  </si>
  <si>
    <t>Ultimate Industrial Ltd
Ultimate Industrials有限责任公司</t>
  </si>
  <si>
    <t>No.6,Av.Luvungi,Q/Industriel,C/Kampemba,Lubumbashi</t>
  </si>
  <si>
    <t>LA GENERALE DE FORAGE SARL
钻井总公司（GEFOR）</t>
  </si>
  <si>
    <t>A1202126A</t>
  </si>
  <si>
    <t>781 avenue Kashobwe, commune et ville de Lubumbashi, Province du Haut-Katanga en République Démocratique du Congo</t>
  </si>
  <si>
    <t>Société Nationale D'Assurances (SONAS)
刚果（金)国家保险公司</t>
  </si>
  <si>
    <t>AO 70030307S</t>
  </si>
  <si>
    <t>7871 AV.KABALO C/LUBUMBASHI</t>
  </si>
  <si>
    <t>SOCIETE PROGUARD
PROGUARD安保有限责任公司</t>
  </si>
  <si>
    <t>A2206853Z</t>
  </si>
  <si>
    <t>8120 avenue SENDWE, quartier FUNA, commune de Kalamu, ville et province de Kinshasa</t>
  </si>
  <si>
    <t>MIKUBA RADIO TELE SARL
MIKUBA广播电视有限责任公司</t>
  </si>
  <si>
    <t>A1715565N</t>
  </si>
  <si>
    <t xml:space="preserve">64, Avenue Lumumba, Quartier Mutoshi, Commune Manika, Ville de Kolwezi, Province du Lualaba en RDC. </t>
  </si>
  <si>
    <t>KIBIL SERVICES SARL
KIBIL服务公司（KBLS）</t>
  </si>
  <si>
    <t>A1825929E</t>
  </si>
  <si>
    <t>COMMUNE DE DILALA, VILLE DE KOLWEZI, PROVINCE DU LUALABA, EN REPUBLIQUE DEMOCRATIQUE DU CONGO</t>
  </si>
  <si>
    <t>STRATEGIC ENVIRONMENTAL CONSULTING SARL
环境战略咨询有限责任公司（SEC）</t>
  </si>
  <si>
    <t xml:space="preserve"> A1902164Z</t>
  </si>
  <si>
    <t>n°594 sur l’avenue Dilolo, dans la ville de Kolwezi, province du Lualaba, en RDC</t>
  </si>
  <si>
    <t>N 2100 AV JERUSALEM Q/JOLI SITE C ANNEXE V LUBUMBASHI P/HAUT-KATANGA RDC</t>
  </si>
  <si>
    <t>412 AV BOTA QUARTIER MUTOSHI COMMUNE MANIKA KOLWEZI LUALABA REP DEM CONGO</t>
  </si>
  <si>
    <t>A2156321S</t>
  </si>
  <si>
    <t>16 AV BIENAIMME Q GOLF C LUBUMBASHI  REPUBLIQUE DEMOCRATIQUE DU CONGO</t>
  </si>
  <si>
    <t>CCTEB CONGO ENGINEERING CONTRACTING</t>
  </si>
  <si>
    <t>A2283757P</t>
  </si>
  <si>
    <t>LE CAMP CHINOIS EN FACE DU PALAIS DU PEUPLE,AVENUE DES HUILERIES KASHASA-LINGWALA DEMOCRATIQUE DU CONGO</t>
  </si>
  <si>
    <t>YELLOW RIVER MINING SARL</t>
  </si>
  <si>
    <t>A1603936X</t>
  </si>
  <si>
    <t>N12686 AVENUE MUNUA QUARTIER GOLF METEO COMMUNE ET VILLE DE LUBUMBASHI,PROVINCE DU HAUT-KATANGA RDC</t>
  </si>
  <si>
    <t>No.1 015 AVENUE FLAMBOYANT C/GOMBA KINSHASHA RDC</t>
  </si>
  <si>
    <t>COLINGO RDC SARL</t>
  </si>
  <si>
    <t>A2031384L</t>
  </si>
  <si>
    <t>89 ROUTE KASAPA Q/GAMBELA2 C/LUBUMBASHI PROVINCE DU HAUT -KATANGA REPUBLIQUE DEMOCRATIQUE DU CONGO</t>
  </si>
  <si>
    <t>A2042279D</t>
  </si>
  <si>
    <t>AV LUANO CITY NO27 Q JOLY CITY V LUBUMBASHI PROVINCE DU HAUT-KATANGA REPUBILIQUE DEMOCRATIQUE DU CONGO</t>
  </si>
  <si>
    <t>A1805793S</t>
  </si>
  <si>
    <t>N 176 AV BUSANGA Q/MUTOSHI C/ MANIKA V/KOLWEZI LUALABA PROVINCE DRC</t>
  </si>
  <si>
    <t>BOLLORE LOGISTICS SERVICES RDC SAS</t>
  </si>
  <si>
    <t>A1101382Q</t>
  </si>
  <si>
    <t>A0905301Y</t>
  </si>
  <si>
    <t>Permanents hommes</t>
  </si>
  <si>
    <t>Contractuels hommes</t>
  </si>
  <si>
    <t>Permanents femmes</t>
  </si>
  <si>
    <t>Contractuels femmes</t>
  </si>
  <si>
    <t>Total employés</t>
  </si>
  <si>
    <t>Total masse salariale</t>
  </si>
  <si>
    <t>cadres supérieurs</t>
  </si>
  <si>
    <t>techniciens supérieurs et moyens</t>
  </si>
  <si>
    <t>techniciens et ouvriers qualifiés</t>
  </si>
  <si>
    <t>employés ouvriers et apprentis</t>
  </si>
  <si>
    <t>Etrangers</t>
  </si>
  <si>
    <t>NEW MINERALS INVESTEMENT</t>
  </si>
  <si>
    <t>A0906592B</t>
  </si>
  <si>
    <t xml:space="preserve">Annexe 0  – Présentation sociétés du périmetre </t>
  </si>
  <si>
    <t>Commune</t>
  </si>
  <si>
    <t>Province</t>
  </si>
  <si>
    <t>Chiffre d'affaires</t>
  </si>
  <si>
    <t>EF audités</t>
  </si>
  <si>
    <t>CAC</t>
  </si>
  <si>
    <t>DILALA</t>
  </si>
  <si>
    <t>Deloitte &amp; JPP &amp; Associés</t>
  </si>
  <si>
    <t>65 050 000 USD</t>
  </si>
  <si>
    <t>Munkeni kiekie Elianne</t>
  </si>
  <si>
    <t>PricewaterhouseCoopers RDC SAS</t>
  </si>
  <si>
    <t>Pricewaterhousecoopers RDC SAS</t>
  </si>
  <si>
    <t>HAUT UELE</t>
  </si>
  <si>
    <t>M M &amp; PARTNERS</t>
  </si>
  <si>
    <t>AJM et Associates</t>
  </si>
  <si>
    <t>ELISEE KILUBA</t>
  </si>
  <si>
    <t>DELOITTE SERVICES SARL</t>
  </si>
  <si>
    <t xml:space="preserve">JPP ASSOCIE </t>
  </si>
  <si>
    <t>Pricewaterhousecoopers</t>
  </si>
  <si>
    <t>Deloitte</t>
  </si>
  <si>
    <t>PANDA</t>
  </si>
  <si>
    <t>SAKANIA</t>
  </si>
  <si>
    <t>TONKA TSHAMALA</t>
  </si>
  <si>
    <t>LIKASI</t>
  </si>
  <si>
    <t xml:space="preserve">KOLWEZI </t>
  </si>
  <si>
    <t>KISANFU</t>
  </si>
  <si>
    <t>MUTSHATSHA</t>
  </si>
  <si>
    <t>MIABI</t>
  </si>
  <si>
    <t>KASAI ORIENTAL</t>
  </si>
  <si>
    <t>XIAVIER NDUSHA</t>
  </si>
  <si>
    <t>KALIMA</t>
  </si>
  <si>
    <t>MANIEMA</t>
  </si>
  <si>
    <t>BAMBOLE ISSIA Serge et KINGOMBE OMANGA Rudy</t>
  </si>
  <si>
    <t>Mr KAPEND TSHIBAL et Mme ILEO BOTINDO</t>
  </si>
  <si>
    <t>DIEUDONNE MAMPASI/JOEL FIMPA</t>
  </si>
  <si>
    <t>KISENGE</t>
  </si>
  <si>
    <t>MBUJIMAYI</t>
  </si>
  <si>
    <t>Eliane MUNKENI</t>
  </si>
  <si>
    <t>MUANDA</t>
  </si>
  <si>
    <t>KONGO CENTRAL</t>
  </si>
  <si>
    <t>NDANGI NDANGANI</t>
  </si>
  <si>
    <t>Rapport CAC</t>
  </si>
  <si>
    <t>Nouvelles mesures correctives et recommandations (Validation (Juillet 2022)</t>
  </si>
  <si>
    <t>Exigence ITIE (2019)</t>
  </si>
  <si>
    <t>Octrois des contrats et des licences (Exigence 2.2)</t>
  </si>
  <si>
    <t>En vertu de l’Exigence 2.2.a.iv, la RDC devra veiller à ce que toute évaluation future des écarts non négligeables par rapport aux procédures légales dans le processus d’octroi de licences minières comprenne les octrois et transferts effectués par des entreprises d’État sous forme d’amodiation, de transfert ou d’appel d’offres, selon la pertinence de la période, ainsi qu’une explication des règles déterminant le type de procédure suivi par les entreprises d’État en pratique. Pour renforcer la mise en oeuvre, l’ITIE RDC est encouragée à inclure dans son plan de travail les octrois de licences minières, afin de donner suite aux recommandations provenant de l’étude thématique de l’Administrateur indépendant.</t>
  </si>
  <si>
    <t>2.2</t>
  </si>
  <si>
    <t>Registre des licences (Exigence 2.3)</t>
  </si>
  <si>
    <t>Afin de renforcer la mise en oeuvre, le ministère des Hydrocarbures est encouragé à mettre à jour son registre en ligne des licences pétrolières, en particulier tout changement intervenu dans le statut des licences – par exemple, une annulation ou un transfert. En conformité avec l’Exigence 2.3.b.ii, le ministère des Hydrocarbures pourrait inclure les coordonnées géographiques de chaque titre minier dans le registre en ligne, en suivant la pratique appliquée sur le site Internet de l’ITIE RDC. Aux termes de l’Exigence 2.3.b.iii, le ministère des
Hydrocarbures pourrait également préciser dans son registre des licences les dates de demande. En vertu de l’Exigence 2.3.b.iv, le ministère des Hydrocarbures pourrait enfin inclure les matières premières ciblées, au moins pour les licences en production, dans le registre en ligne des licences pétrolières. Pour promouvoir la compréhension des informations contenues dans le registre en ligne, le ministère est encouragé à inclure les noms des détenteurs et/ou exploitants de licences pétrolières. Pour renforcer la mise en oeuvre, le ministère des Mines
est convié à publier toutes les données sur les licences minières dans un format ouvert afin de
faciliter les recherches et les analyses.</t>
  </si>
  <si>
    <t>2.3</t>
  </si>
  <si>
    <t>Contrats (Exigence 2.4)</t>
  </si>
  <si>
    <t>Pour renforcer la mise en oeuvre et élargir l’accès du public aux contrats extractifs, la RDC est encouragée à établir des bases de données centralisées et régulièrement mises à jour des contrats et licences publiés dans les secteurs minier, pétrolier et gazier, par exemple sur les sites des administrations publiques correspondantes. La RDC pourrait souhaiter renforcer son utilisation du processus ITIE pour évaluer l’efficacité du système de publication des contrats et licences extractifs.</t>
  </si>
  <si>
    <t>2.4</t>
  </si>
  <si>
    <t>Propriété effective (Exigence 2.5)</t>
  </si>
  <si>
    <t>Conformément à l’Exigence ITIE 2.5, depuis janvier 2022, la RDC doit tenir à jour un registre public des bénéficiaires effectifs des personnes morales qui demandent ou détiennent une participation dans une licence ou un contrat de prospection ou d’exploitation de pétrole, de gaz ou de minerais, comportant notamment l’identité de leurs bénéficiaires effectifs, leur niveau de participation, ainsi que des détails sur les modalités de participation ou de contrôle.
Toute lacune ou insuffisance significative dans la déclaration des informations sur la propriété effective doit être indiquée, y compris en citant le nom des entités qui n’ont pas soumis, en partie ou en totalité, les informations sur leur propriété effective. 
Les informations publiques relatives à l’identité des bénéficiaires effectifs devront comprendre le nom, la nationalité et le pays de résidence de ces personnes, et permettre d’identifier toute personne politiquement exposée. Il est également recommandé de divulguer le numéro d’identité national, la date de naissance, l’adresse privée ou professionnelle et les coordonnées. L’ITIE RDC devra évaluer tous les mécanismes existants afin de s’assurer que les informations sur la propriété effective sont fiables et elle conviendra d’une approche garantissant que les entreprises extractives veillent à l’exactitude des informations qu’elles fournissent sur leur propriété effective. Pour atteindre cette cible, la RDC devra demander à tous les détenteurs et les demandeurs de licences extractives de divulguer les informations sur leur propriété effective. La RDC est encouragée à convenir de priorités pour les divulgations sur la propriété effective et à planifier les efforts à déployer dans ce cadre en vue d’obtenir ces données. Par exemple, la RDC pourrait décider de privilégier les divulgations soumises par certains types d’entreprises ou par celles détenant un type donné de licence ou produisant une matière première spécifique, compte tenu des risques associés à la corruption, à l’évasion fiscale ou au contournement des dispositions en matière de participation locale. Ces priorités devront orienter les efforts de sensibilisation auprès des entreprises et leur fournir des conseils. Il est recommandé de publier les divulgations dans un format de données ouvertes, comparables et simples à analyser. La RDC pourrait également envisager d’étendre les divulgations sur la propriété effective à d’autres segments de la chaîne de valeur extractive en amont, par exemple en collectant et en divulguant les informations sur la propriété effective de prestataires de services hors du secteur extractif, afin d’assurer le suivi du respect des dispositions liées au contenu local et de gérer les risques de corruption et d’évasion fiscale.</t>
  </si>
  <si>
    <t>2.5</t>
  </si>
  <si>
    <t>Participation de l’État (Exigence 2.6)</t>
  </si>
  <si>
    <t xml:space="preserve">Conformément à l’Exigence 2.6, la RDC devra veiller à ce que les détails concernant tout prêt ou toute garantie de prêt accordé(e) à des entreprises minières, pétrolières et gazières actives dans le pays fassent l’objet d’une divulgation adéquate, y compris la teneur et les conditions du prêt (c’est-à-dire l’échéancier de remboursement et le taux d’intérêt). Pour renforcer la mise en oeuvre, la RDC est également encouragée à institutionnaliser et systématiser sa revue de la participation de l’Etat dans le secteur extractif, afin d’améiorer la compréhension des contributions des entreprises d’État à l’économie du pays, que ce soit d’un point de vue financier, économique ou social.
Pour renforcer la mise en oeuvre, les entreprises d’Etat sont encouragées à publier régulièrement les états financiers audités sur leurs sites respectifs, afin de pouvoir informer le public au sujet des relations financières entre l’État et ses entreprises dans la pratique </t>
  </si>
  <si>
    <t>2.6</t>
  </si>
  <si>
    <t>Exploration (Exigence 3.1)</t>
  </si>
  <si>
    <t>Pour renforcer la mise en oeuvre, la RDC est encouragée à faire en sorte que les activités de prospection majeures dans son secteur extractif fassent l’objet de divulgations systématiques.</t>
  </si>
  <si>
    <t>3.1</t>
  </si>
  <si>
    <t>Production (Exigence 3.2)
Exportations (Exigence 3.3)</t>
  </si>
  <si>
    <t>Pour renforcer la mise en oeuvre, la RDC est encouragée à s’assurer que la valeur de la production pétrolière et gazière est systématiquement divulguée, en suivant une pratique similaire à celle employée pour le secteur minier.
Pour renforcer la mise en oeuvre, la RDC est encouragée à divulguer, par le biais des publications du ministère des Hydrocarbures, les volumes et les valeurs des exportations de pétrole et de gaz, selon des modalités similaires à celles des divulgations ITIE sur le portail de données ouvertes du site Internet de l’ITIE RDC</t>
  </si>
  <si>
    <t>3.2</t>
  </si>
  <si>
    <t>Divulgation exhaustive des taxes et des revenus (Exigence 4.1)</t>
  </si>
  <si>
    <t>Pour renforcer la mise en oeuvre, la RDC pourra étendre son utilisation des divulgations de données ITIE pour faciliter l’accès aux états financiers audités des entreprises extractives menant leurs activités dans le pays. La RDC est également encouragée à envisager de tirer parti de sa déclaration ITIE « assouplie » pour tester d’autres solutions permettant d’assurer des divulgations exhaustives et fiables des revenus extractifs du gouvernement.</t>
  </si>
  <si>
    <t>4.1</t>
  </si>
  <si>
    <t>Vente des revenus en nature de l’État (Exigence 4.2)</t>
  </si>
  <si>
    <t>Pour renforcer la mise en oeuvre et le suivi des paiements en nature, la RDC est encouragée à établir un cadre de déclaration en vue de divulguer les futurs paiements en nature provenant de tous les projets miniers, pétroliers et gaziers desquels l’État perçoit des revenus en nature une fois qu’ils entrent en phase de production.</t>
  </si>
  <si>
    <t>4.2</t>
  </si>
  <si>
    <t>Fournitures d’infrastructures et accords de troc (Exigence 4.3)</t>
  </si>
  <si>
    <t>Pour renforcer la mise en oeuvre, la RDC pourra examiner des moyens permettant d’améliorer les divulgations systématiques des informations sur les accords de troc liés à des infrastructures tels que l’accord concernant le projet SICOMINES. La RDC pourrait envisager d’étendre son utilisation des données ITIE pour améliorer la transparence dans les exonérations fiscales liées à l’accord visant le projet SICOMINES.</t>
  </si>
  <si>
    <t>4.3</t>
  </si>
  <si>
    <t>Paiements infranationaux (Exigence 4.6)</t>
  </si>
  <si>
    <t>Conformément à l’Exigence 4.6, la RDC devra s’assurer que toutes les entreprises, les directions provinciales des revenus ainsi que les entités territoriales décentralisées (ETD) divulguent leurs revenus extractifs infranationaux, dans le respect des niveaux de
fiabilité prévus à l’Exigence 4.9. La RDC devra veiller à ce que le cadre juridique applicable aux différents flux de paiements infranationaux fasse l’objet d’une description publique pour chaque province, afin de garantir l’exhaustivité des divulgations, notamment pour les accords spécifiques visant l’affectation de la redevance minière entre les entités territoriales décentralisées (ETD) et les provinces, ainsi qu’entre les différentes ETD. Le rapprochement des revenus au niveau infranational ne serait réalisable que si l’on connaissait l’identité de leurs récipiendaires
effectifs, afin de promouvoir la redevabilité de ces derniers dans la gestion de leurs
revenus extractifs. Les paiements devraient être déclarés par entreprise, par entité
récipiendaire effective et par projet, le cas échéant.</t>
  </si>
  <si>
    <t>4.6</t>
  </si>
  <si>
    <t>Niveau de désagrégation (Exigence 4.7)</t>
  </si>
  <si>
    <t>Conformément à l’Exigence 4.7, la RDC pourra convenir d’une définition du terme « projet » (licence, contrat et concession), dans le respect de la Norme ITIE, et veiller à ce que soient déclarées au niveau des projets toutes les données financières figurant dans sa déclaration ITIE consacrée aux revenus extractifs du gouvernement qui sont perçus par projet. La RDC devra s’assurer que tous les accords ayant des liens substantiels entre eux ou les accords globaux sont identifiés publiquement et que les données pertinentes concernant chaque entreprise font l’objet d’une ventilation par projet claire. Pour améliorer encore les systèmes du gouvernement et sa capacité à assurer un suivi des paiements par projet, le Groupe multipartite est encouragé à engager les agences gouvernementales
chargées de leur collecte. Il pourrait notamment s’agir d’établir s’il convient d’apporter des changements dans les lois ou les instruments et réglementations statutaires tout en s’assurant que de tels changements sont rentables.</t>
  </si>
  <si>
    <t>4.7</t>
  </si>
  <si>
    <t>Qualité des
données et
assurance qualité
(Exigence 4.9)</t>
  </si>
  <si>
    <t>En conformité avec l’Exigence 4.9, la RDC devra veiller à ce que les données financières divulguées par les agences gouvernementales soient soumises à des procédures d’assurance qualité solides qui garantissent que les données financières figurant dans les Rapports ITIE de la RDC proviennent de sources régulièrement auditées dans le respect des normes internationales.</t>
  </si>
  <si>
    <t>4.9</t>
  </si>
  <si>
    <t>Répartition des revenus provenant des industries extractives (Exigence 5.1)</t>
  </si>
  <si>
    <t>Conformément à l’Exigence 5.1, la RDC devra s’assurer que la gestion de tous les revenus extractifs non-inscrits au budget national sont spécifiquement présentés, y compris, dans la mesure du possible, avec des références aux rapports financiers publiquement accessibles. La RDC devra veiller à ce que sa déclaration ITIE clarifie publiquement la gestion des revenus extractifs non-inscrits au budget national. La RDC devra également veiller à ce que les entreprises et la Banque centrale ou toute autre entité assumant la gestion de revenus extractifs et ne figurant pas dans le budget
national donnent une présentation cohérente de la gestion de ces fonds comprenant des données
désagrégées, avec une référence aux rapports financiers publiquement accessibles, le cas échéant.</t>
  </si>
  <si>
    <t>5.1</t>
  </si>
  <si>
    <t>Transferts infranationaux (Exigence 5.2)</t>
  </si>
  <si>
    <t>Pour renforcer la mise en oeuvre, la RDC est encouragée à établir un mécanisme systématique pour assurer que les autorités provinciales et décentralisées soumettent une divulgation ponctuelle des transferts infranationaux des revenus extractifs, conformément à l’Exigence 5.2. Le gouvernement et les partenaires de développement sont encouragés à poursuivre et à accroître l’appui qu’ils apportent au renforcement des capacités des autorités provinciales et décentralisées en matière de gestion financière, ainsi que leur soutien aux initiatives pertinentes de la société civile et des médias, en vue de promouvoir une redevabilité dans la gestion des revenus extractifs transférés à ces provinces.</t>
  </si>
  <si>
    <t>5.2</t>
  </si>
  <si>
    <t>Gestion des revenus et dépenses (Exigence 5.3)</t>
  </si>
  <si>
    <t>Pour renforcer la mise en oeuvre, la RDC est encouragée à divulguer publiquement des informations ponctuelles sur les dépenses financées par les revenus extractifs. La RDC, et en particulier le ministère du Budget, est encouragée à divulguer publiquement des informations sur les hypothèses budgétaires et sur les prévisions concernant la production, les prix des matières premières et les revenus pour le secteur extractif.</t>
  </si>
  <si>
    <t>5.3</t>
  </si>
  <si>
    <t>Dépenses sociales et environnementales (Exigence 6.1)</t>
  </si>
  <si>
    <t>Aux termes de l’Exigence 6.1, la RDC devra veiller à la divulgation publique des dépenses sociales significatives des entreprises ainsi que l’exige la loi, y compris les conditions d’accords de développement communautaire prévus par la loi, ou le contrat avec le gouvernement qui régit les investissements dans le secteur extractif. Lorsque le récipiendaire d’une dépense sociale obligatoire est un tiers – c’est-à-dire, une agence non gouvernementale –, son nom et sa fonction doivent être divulgués. Si des paiements versés par des entreprises extractives au gouvernement sont liés à l’environnement et sont considérés comme significatifs, ils devront faire l’objet d’une divulgation exhaustive, conformément à l’Exigence 6.1.b. Lorsque l’ITIE RDC convient que des dépenses sociales et environnementales discrétionnaires et des transferts sont significatifs, elle est encouragée à élaborer un processus de déclaration en vue d’atteindre un niveau de transparence équivalent à celui de la divulgation des autres paiements et flux de revenus.</t>
  </si>
  <si>
    <t>6.1</t>
  </si>
  <si>
    <t>Dépenses quasi budgétaires (Exigence 6.2)</t>
  </si>
  <si>
    <t>En conformité avec I’Exigence 6.2, la RDC est tenue d’élaborer un processus de déclaration ITIE pour les dépenses quasi budgétaires des entreprises d’État, dans le but d’atteindre un niveau de transparence analogue à celui qui s’applique aux autres paiements et flux de revenus et d’y inclure les filiales ainsi que les contrats de partenariat des entreprises d’État.
Ces divulgations devront couvrir toutes les dépenses sociales publiques des entreprises d’État aux revenus significatifs, notamment les prêts et les avances fiscales au profit de l’État, qui ont été engagées en dehors du processus budgétaire du gouvernement national.</t>
  </si>
  <si>
    <t>6.2</t>
  </si>
  <si>
    <t>Contribution du secteur
extractif à l’économie
(Exigence 6.3)</t>
  </si>
  <si>
    <t>Pour renforcer la mise en oeuvre, la RDC pourrait envisager d’assurer la publication régulière d’estimations sur les activités extractives informelles (notamment par rapport au PIB) sur les portails du gouvernement, de manière similaire aux estimations sur la production publiées par le ministère des Mines et de la Géologie</t>
  </si>
  <si>
    <t>2.1.7</t>
  </si>
  <si>
    <t>Impact environnemental (Exigence 6.4)</t>
  </si>
  <si>
    <t>En conformité avec I’Exigence 6.4, la RDC est encouragée à renforcer son utilisation de la déclaration ITIE pour divulguer les dispositions juridiques et les règles administratives pertinentes concernant la gestion de l’environnement et le suivi des projets extractifs, ainsi qu’à examiner les pratiques réellement appliquées relativement aux mécanismes d’application des processus de gestion environnementale et administrative.</t>
  </si>
  <si>
    <t>6.4</t>
  </si>
  <si>
    <t>Suivi dans le rapport ITIE 2022 (Section)</t>
  </si>
  <si>
    <t>Entreprises Publiques (recettes)</t>
  </si>
  <si>
    <t>FD certifiés / EF certifiés</t>
  </si>
  <si>
    <t>NEW MINERALS INVESTEMENT SA</t>
  </si>
  <si>
    <t>Générale des Carrières et des Mines (GECAMINES SA)</t>
  </si>
  <si>
    <t>SOCIETE MINIERE DE KILO-MOTO SA</t>
  </si>
  <si>
    <t>A0907535B</t>
  </si>
  <si>
    <t>https://www.commussas.com      https://fr.zijinmining.com/</t>
  </si>
  <si>
    <t xml:space="preserve">https://www.ergafrica.com </t>
  </si>
  <si>
    <t>https://www.ergafrica.com/wp-content/uploads/Anti-Bribery-and-Corruption-Policy.pdf</t>
  </si>
  <si>
    <t> Anti-Corruption and Bribery Policy_French.pdf (glencore.com)</t>
  </si>
  <si>
    <t xml:space="preserve">Lien vers la publication </t>
  </si>
  <si>
    <t>Synthese des activites 2023 - Frontier SA.pdf</t>
  </si>
  <si>
    <t>G:\Environmental Monitoring\EMS\GOVERNANCE\GLEN-2024-Sustainability-Report.pdf</t>
  </si>
  <si>
    <t>service interne de lutte contre la corruption</t>
  </si>
  <si>
    <t xml:space="preserve">copie dure deposee a la DPEM </t>
  </si>
  <si>
    <t>Web site MMG</t>
  </si>
  <si>
    <t>https://www.mmg.com/sustainability/sustainability-reports/</t>
  </si>
  <si>
    <t>Non publié</t>
  </si>
  <si>
    <t>Metorexgroup.sharepoint.com</t>
  </si>
  <si>
    <t>https://en.cmoc.com/html/SustainableDevelopment/Policies/</t>
  </si>
  <si>
    <t>https://en.cmoc.com/html/SustainableDevelopment/Reports/GroupReports/</t>
  </si>
  <si>
    <t>perenco.com/wp-content/uploads/2024/07/2023-ESG-Report.pdf</t>
  </si>
  <si>
    <t xml:space="preserve">Le lien ne fonctionne pas </t>
  </si>
  <si>
    <t>DESIGNATION</t>
  </si>
  <si>
    <t>INVESTISSEMENTS CUMULES</t>
  </si>
  <si>
    <t>LOCALISATION</t>
  </si>
  <si>
    <t>Route Lutundele (Kinshasa)</t>
  </si>
  <si>
    <t>Avenue du Tourisme (Kinshasa)</t>
  </si>
  <si>
    <t>Bitumage Route Lubumbashi-Kasomeno-Kasenga RN5</t>
  </si>
  <si>
    <t>Terrassement Route Lubumbashi-Kasomeno-Kasenga RN5</t>
  </si>
  <si>
    <t>Boulevard Sendwe et Triomphal</t>
  </si>
  <si>
    <t>Boulevard du 30 juin Lot 1</t>
  </si>
  <si>
    <t>Boulevard du 30 juin Lot 2</t>
  </si>
  <si>
    <t>Bitumage RN4 Beni-Niania Lot 1</t>
  </si>
  <si>
    <t>Nord-Kivu et Tshopo</t>
  </si>
  <si>
    <t>Hôpital du Centre Ville (Hôpital du Centenaire)</t>
  </si>
  <si>
    <t>Esplanade Palais du Peuple Lot 1</t>
  </si>
  <si>
    <r>
      <t xml:space="preserve">Contrat d'Acquisition des équipements de production des préfabriqués et des groupes électrogènes </t>
    </r>
    <r>
      <rPr>
        <b/>
        <i/>
        <sz val="9"/>
        <color rgb="FF0070C0"/>
        <rFont val="Trebuchet MS"/>
        <family val="2"/>
      </rPr>
      <t>(Contrat 2011)</t>
    </r>
  </si>
  <si>
    <t>Installation des poteaux solaires et accessoires</t>
  </si>
  <si>
    <r>
      <t xml:space="preserve">Projet d’études et de travaux de réhabilitation et modernisation de la Route Lwambo-Mitwaba-Manono-Kalemie </t>
    </r>
    <r>
      <rPr>
        <b/>
        <i/>
        <sz val="9"/>
        <color rgb="FF0070C0"/>
        <rFont val="Trebuchet MS"/>
        <family val="2"/>
      </rPr>
      <t>(Projet 2015)</t>
    </r>
  </si>
  <si>
    <t>Haut-Katanga, Haut-Lomami et Tanganyika</t>
  </si>
  <si>
    <r>
      <t xml:space="preserve">Projet d'études et de travaux d'accompagnement de la SICOMINES KOLWEZI (Réhabilitation et Modernisation de la Voirie de Kolwezi) </t>
    </r>
    <r>
      <rPr>
        <b/>
        <i/>
        <sz val="9"/>
        <color rgb="FF0070C0"/>
        <rFont val="Trebuchet MS"/>
        <family val="2"/>
      </rPr>
      <t>(Projet 2015)</t>
    </r>
  </si>
  <si>
    <r>
      <t xml:space="preserve">Projet d'asphaltage de la route Bukavu-Kamanyola </t>
    </r>
    <r>
      <rPr>
        <b/>
        <i/>
        <sz val="9"/>
        <color rgb="FF0070C0"/>
        <rFont val="Trebuchet MS"/>
        <family val="2"/>
      </rPr>
      <t>(Projet 2015)</t>
    </r>
  </si>
  <si>
    <r>
      <t xml:space="preserve">Projet de Modernisation de la Traversée de Butembo </t>
    </r>
    <r>
      <rPr>
        <b/>
        <i/>
        <sz val="9"/>
        <color rgb="FF0070C0"/>
        <rFont val="Trebuchet MS"/>
        <family val="2"/>
      </rPr>
      <t>(Projet 2015)</t>
    </r>
  </si>
  <si>
    <t xml:space="preserve">Nord-Kivu </t>
  </si>
  <si>
    <r>
      <t xml:space="preserve">Projet de Réhabilitation et de Modernisation de la Voirie de Manono </t>
    </r>
    <r>
      <rPr>
        <b/>
        <i/>
        <sz val="9"/>
        <color rgb="FF0070C0"/>
        <rFont val="Trebuchet MS"/>
        <family val="2"/>
      </rPr>
      <t>(Projet 2015)</t>
    </r>
  </si>
  <si>
    <r>
      <t xml:space="preserve">Projet de Construction de l'Unité de Captage et de Traitement d'eau à Kamina au Katanga </t>
    </r>
    <r>
      <rPr>
        <b/>
        <i/>
        <sz val="9"/>
        <color rgb="FF0070C0"/>
        <rFont val="Trebuchet MS"/>
        <family val="2"/>
      </rPr>
      <t>(Projet 2015)</t>
    </r>
  </si>
  <si>
    <t>Projet de Réhabilitation et de Modernisation de la Route Kitanda-Ankoro (70Km) (Projet 2015)</t>
  </si>
  <si>
    <t>Projet de Réhabilitation et Modernisation de la Route Ankoro-Manono (115Km) (Projet 2015)</t>
  </si>
  <si>
    <t>Contrat d’études et travaux du projet de la construction de route devant relier l’aérogare de Kalemie et le nouveau stade de Kalemie au Boulevard de Lumumba　</t>
  </si>
  <si>
    <r>
      <t xml:space="preserve">Projet de Réhabilitation et Modernisation de la Route Kamina-Kabongo (230Km) </t>
    </r>
    <r>
      <rPr>
        <b/>
        <i/>
        <sz val="9"/>
        <color rgb="FF0070C0"/>
        <rFont val="Trebuchet MS"/>
        <family val="2"/>
      </rPr>
      <t>(Projet 2015)</t>
    </r>
  </si>
  <si>
    <r>
      <t xml:space="preserve">Projet de Réhabilitation de la Route Kabondo-Dianda-Mukwende (350Km) </t>
    </r>
    <r>
      <rPr>
        <b/>
        <i/>
        <sz val="9"/>
        <color rgb="FF0070C0"/>
        <rFont val="Trebuchet MS"/>
        <family val="2"/>
      </rPr>
      <t>(Projet 2015)</t>
    </r>
  </si>
  <si>
    <r>
      <t xml:space="preserve">Projet de Réhabilitation et de Modernisation de la Voirie de Kisangani </t>
    </r>
    <r>
      <rPr>
        <b/>
        <i/>
        <sz val="9"/>
        <color rgb="FF0070C0"/>
        <rFont val="Trebuchet MS"/>
        <family val="2"/>
      </rPr>
      <t>(Projet 2015)</t>
    </r>
  </si>
  <si>
    <r>
      <t xml:space="preserve">Projet de Réhabilitation et de Modernisation de la Voirie Uvira </t>
    </r>
    <r>
      <rPr>
        <b/>
        <i/>
        <sz val="9"/>
        <color rgb="FF0070C0"/>
        <rFont val="Trebuchet MS"/>
        <family val="2"/>
      </rPr>
      <t>(Projet 2015)</t>
    </r>
  </si>
  <si>
    <r>
      <t xml:space="preserve">Projet de construction d'un nouveau Stade de Bukavu </t>
    </r>
    <r>
      <rPr>
        <b/>
        <i/>
        <sz val="9"/>
        <color rgb="FF0070C0"/>
        <rFont val="Trebuchet MS"/>
        <family val="2"/>
      </rPr>
      <t>(Projet 2015)</t>
    </r>
  </si>
  <si>
    <r>
      <t xml:space="preserve">Contrat d'études, de fourniture et d'installation des poteaux solaires et accessoires </t>
    </r>
    <r>
      <rPr>
        <b/>
        <i/>
        <sz val="9"/>
        <color rgb="FF0070C0"/>
        <rFont val="Trebuchet MS"/>
        <family val="2"/>
      </rPr>
      <t>(Projet 2015)</t>
    </r>
  </si>
  <si>
    <r>
      <t>Projet de Réhabilitation et de Modernisation de la Route Kikwit-Idiofa (75Km)</t>
    </r>
    <r>
      <rPr>
        <b/>
        <i/>
        <sz val="9"/>
        <color rgb="FF0070C0"/>
        <rFont val="Trebuchet MS"/>
        <family val="2"/>
      </rPr>
      <t xml:space="preserve"> (Projet 2015)</t>
    </r>
  </si>
  <si>
    <r>
      <t xml:space="preserve">Projet de Renforcement de la Route revêtue Mbuji Mayi-Mwene Ditu (135Km) </t>
    </r>
    <r>
      <rPr>
        <b/>
        <i/>
        <sz val="9"/>
        <color rgb="FF0070C0"/>
        <rFont val="Trebuchet MS"/>
        <family val="2"/>
      </rPr>
      <t>(Projet 2015)</t>
    </r>
  </si>
  <si>
    <t>Kasaï-Oriental et Lomami</t>
  </si>
  <si>
    <r>
      <t xml:space="preserve">Projet de Réhabilitation et de Modernisation de la Voirie de Kalemie </t>
    </r>
    <r>
      <rPr>
        <b/>
        <i/>
        <sz val="9"/>
        <color rgb="FF0070C0"/>
        <rFont val="Trebuchet MS"/>
        <family val="2"/>
      </rPr>
      <t>(Projet 2015)</t>
    </r>
  </si>
  <si>
    <t>Contrat d’études et travaux du projet de réhabilitation et modernisation de la Voirie de Kalemie (PK3+000~Pk4+600 de la phase 1)</t>
  </si>
  <si>
    <t>Contrat d’études et travaux du projet de  modernisation de la Voirie Uvira (phase 2)</t>
  </si>
  <si>
    <r>
      <t xml:space="preserve">Contrat d’Etudes et Travaux de Réhabilitation et Modernisation de la Voirie de Kalemie (Phase 2) </t>
    </r>
    <r>
      <rPr>
        <b/>
        <i/>
        <sz val="9"/>
        <color rgb="FF0070C0"/>
        <rFont val="Trebuchet MS"/>
        <family val="2"/>
      </rPr>
      <t>(Projet 2015)</t>
    </r>
  </si>
  <si>
    <r>
      <t xml:space="preserve">Contrat d’Etudes et Travaux de construction d'un nouveau Stade à Kalemie (Phase 2) </t>
    </r>
    <r>
      <rPr>
        <b/>
        <i/>
        <sz val="9"/>
        <color rgb="FF0070C0"/>
        <rFont val="Trebuchet MS"/>
        <family val="2"/>
      </rPr>
      <t>(Projet 2015)</t>
    </r>
  </si>
  <si>
    <r>
      <t xml:space="preserve">Projet de Construction d’un Nouveau Stade à Kalemie </t>
    </r>
    <r>
      <rPr>
        <b/>
        <i/>
        <sz val="9"/>
        <color rgb="FF0070C0"/>
        <rFont val="Trebuchet MS"/>
        <family val="2"/>
      </rPr>
      <t>(Projet 2015)</t>
    </r>
  </si>
  <si>
    <r>
      <t xml:space="preserve">Projet du Stade de Goma </t>
    </r>
    <r>
      <rPr>
        <b/>
        <i/>
        <sz val="9"/>
        <color rgb="FF0070C0"/>
        <rFont val="Trebuchet MS"/>
        <family val="2"/>
      </rPr>
      <t>(Projet 2015)</t>
    </r>
  </si>
  <si>
    <r>
      <t xml:space="preserve">Projet de construction d’un stade à Bunia </t>
    </r>
    <r>
      <rPr>
        <b/>
        <i/>
        <sz val="9"/>
        <color rgb="FF0070C0"/>
        <rFont val="Trebuchet MS"/>
        <family val="2"/>
      </rPr>
      <t>(Projet 2015)</t>
    </r>
  </si>
  <si>
    <r>
      <t xml:space="preserve">Projet de Réhailitation et Modernisation de la Route Bunagana-Rutshuru-Goma (100Km) </t>
    </r>
    <r>
      <rPr>
        <b/>
        <i/>
        <sz val="9"/>
        <color rgb="FF0070C0"/>
        <rFont val="Trebuchet MS"/>
        <family val="2"/>
      </rPr>
      <t>(Projet 2015)</t>
    </r>
  </si>
  <si>
    <r>
      <t xml:space="preserve">Projet de réhabilitation et modernisation de l’avenue Nzolana et de lutte anti-érosive sur l’avenue Nzolana </t>
    </r>
    <r>
      <rPr>
        <b/>
        <i/>
        <sz val="9"/>
        <color rgb="FF0070C0"/>
        <rFont val="Trebuchet MS"/>
        <family val="2"/>
      </rPr>
      <t xml:space="preserve">(Projet 2016) </t>
    </r>
  </si>
  <si>
    <r>
      <t xml:space="preserve">Projet de renforcement des Boulevards triomphal et Sendwe à Kinshasa </t>
    </r>
    <r>
      <rPr>
        <b/>
        <i/>
        <sz val="9"/>
        <color rgb="FF0070C0"/>
        <rFont val="Trebuchet MS"/>
        <family val="2"/>
      </rPr>
      <t xml:space="preserve">(Projet 2018) </t>
    </r>
  </si>
  <si>
    <r>
      <t xml:space="preserve">Projet de Construction du Pont Lomela </t>
    </r>
    <r>
      <rPr>
        <b/>
        <i/>
        <sz val="9"/>
        <color rgb="FF0070C0"/>
        <rFont val="Trebuchet MS"/>
        <family val="2"/>
      </rPr>
      <t xml:space="preserve">(Projet 2018) </t>
    </r>
  </si>
  <si>
    <r>
      <t xml:space="preserve">Projet de Bitumage de 14 Km de route entre Kanina-Musonoie-Kapata dans la ville de Kolwezi </t>
    </r>
    <r>
      <rPr>
        <b/>
        <i/>
        <sz val="9"/>
        <color rgb="FF0070C0"/>
        <rFont val="Trebuchet MS"/>
        <family val="2"/>
      </rPr>
      <t xml:space="preserve">(Projet 2018) </t>
    </r>
  </si>
  <si>
    <r>
      <t xml:space="preserve">Travaux de sondage et découverture des Zones d’Exploitation Artisanale dans la Province du Lualaba </t>
    </r>
    <r>
      <rPr>
        <b/>
        <i/>
        <sz val="9"/>
        <color rgb="FF0070C0"/>
        <rFont val="Trebuchet MS"/>
        <family val="2"/>
      </rPr>
      <t xml:space="preserve">(Projet 2018) </t>
    </r>
  </si>
  <si>
    <t xml:space="preserve">Contrat d’études et travaux du projet de réhabilitation de l’avenue Nzolana Phase 2 </t>
  </si>
  <si>
    <t>Contrat d’études et travaux du projet de réhabilitation de la route MANTERNE-TSHELA-SINGINGI Phases 1 2 3</t>
  </si>
  <si>
    <t>Contrat d’études et travaux du projet de réhabilitation de la route Kamina-Luena RN1</t>
  </si>
  <si>
    <t>Contrat d’études et travaux du projet de réhabilitation de la route Kaniama-Kamina RN1</t>
  </si>
  <si>
    <t xml:space="preserve">Contrat d’études et travaux du projet de réhabilitation de la route BUKAVU-NYANGEZI-KAMANYOLA </t>
  </si>
  <si>
    <t xml:space="preserve">Contrat d’études et travaux du projet de réhabilitation de la route Mweneditu-Kanyama Phase 1 </t>
  </si>
  <si>
    <t>Lomami, Haut-Lomami</t>
  </si>
  <si>
    <t>Contrat d’études et travaux du projet de réhabilitation de la route Lusambo-Lac Mukamba</t>
  </si>
  <si>
    <t>Kasaï-Central et Sankuru</t>
  </si>
  <si>
    <t>Contrat d’études et travaux du Projet de construction du Stade BUKAVU (Phase 2)</t>
  </si>
  <si>
    <t>Contrat d’études et travaux du projet de réhabilitation de la RN20, Tronçon allant du croisement de la RN1 et IDIOFA</t>
  </si>
  <si>
    <t>Projet de construction d'un Stade à IDIOFA</t>
  </si>
  <si>
    <t>Projet de construction de la Route INGUDI - IDIOFA (Phase 2)</t>
  </si>
  <si>
    <t>Contrat d'études et travaux de Projet de réhabilitation de l’Usine de Captage et de Traitement d’Eau à Kamina (Phase 2)</t>
  </si>
  <si>
    <t>Projet de Construction de la route périphérique Sud-Est et Sud-Ouest dans la Ville de Kinshasa</t>
  </si>
  <si>
    <t>Projet de construction de la route MBUJIMAYI-NGUBA</t>
  </si>
  <si>
    <t>Kasaï-Oriental, Lomami, Haut-Lomami, Lualaba</t>
  </si>
  <si>
    <t>Projet de Construction de la route KANANGA-KALAMBA MBUJI Phases 1 et 2</t>
  </si>
  <si>
    <t>Kasaï-Central</t>
  </si>
  <si>
    <t xml:space="preserve">Projet de Réhabilitation de la route RN25 Isiro-Poko et de la route Bafwasende-Bomili-Babeyro </t>
  </si>
  <si>
    <t>Projet de Modernisation de l'aérodrome de Lodja 1 &amp; 2</t>
  </si>
  <si>
    <t>Projet de viabilisation de Lumumba-Ville, Phases 1 &amp; 2</t>
  </si>
  <si>
    <t xml:space="preserve">Projet de réhabilitation de Bâtiment 4 de l’ISP Bukavu </t>
  </si>
  <si>
    <t xml:space="preserve">Projet de Construction du Stade de Bunia (les voies d'accès+finalisation des travaux) </t>
  </si>
  <si>
    <t xml:space="preserve">Projet de Fourniture et Installation des Poteaux Solaires Av. Kitutu </t>
  </si>
  <si>
    <t>Construction de la route BUKAVU KANYOLA, Phase 3</t>
  </si>
  <si>
    <t>Projet de Réhabilitation de l'Université de Mbandaka et Equipement Phases 1 &amp; 2</t>
  </si>
  <si>
    <t>Réhabilitation de l'aérodrome de Tshikapa (piste et aérogare), Phases 1 &amp; 2</t>
  </si>
  <si>
    <t>Kasaï</t>
  </si>
  <si>
    <t>Construction d'un Stade de 8000 places à Kananga, Phases 1 &amp; 2</t>
  </si>
  <si>
    <t>Projet de construction de la route reliant le port de Ndomba au Village de Bena-Kazadi</t>
  </si>
  <si>
    <t>Kasaï-Oriental</t>
  </si>
  <si>
    <t>Projet d'infrastructures sociales dans la Province du Kongo Central : Réfection école (Mbanza Boma et de Kisantu) et Hôpital de Kimpese</t>
  </si>
  <si>
    <t>Construction de la route BUTA - POKO - ISIRO, Phase 2</t>
  </si>
  <si>
    <t>Haut-Uele &amp; Bas-Uele</t>
  </si>
  <si>
    <t>Projet de la Provision pour expropriation des riverains des Rocades de Kinshasa</t>
  </si>
  <si>
    <t>Projet de Réhabilitation et de Modernisation de l'Hôpital Général de Kikwit</t>
  </si>
  <si>
    <t>Projet de renforcement du Pont Lubuye du Projet de réhabilitation du Boulevard Lumumba à Kalemie</t>
  </si>
  <si>
    <t>Kalemie</t>
  </si>
  <si>
    <t>Frais de fonctionnement du BCPSC</t>
  </si>
  <si>
    <t>Frais de fonctionnement de l’APCSC</t>
  </si>
  <si>
    <t>Taxes des concentrés et Taxe voirie exigées par le Gouvernement du Lualaba</t>
  </si>
  <si>
    <t>Travaux exécutés (cumul 2023) en USD</t>
  </si>
  <si>
    <t>Démarrage travaux : 21 Octobre 20222; Récéption provisoire : 21 mai 2024</t>
  </si>
  <si>
    <t>Démarrage travaux (1ére phase ) : Décembre 2017; Reprise travaux  (2éme phase) : 21 août 2023: travaux en arrêt.</t>
  </si>
  <si>
    <t>Signature contrat : 18 juillet 2024; travaux encours.</t>
  </si>
  <si>
    <t>signature contrat : 24 novembre 2023; travaux non démarrés.</t>
  </si>
  <si>
    <t>signature contrat : 24 novembre 2023; Projet clôturé.</t>
  </si>
  <si>
    <t>signature contrat : 18 juillet 2024; travaux non démarrés.</t>
  </si>
  <si>
    <t>Démarrage travaux : juillet 2024; travaux en cours.</t>
  </si>
  <si>
    <t>Démarrage travaux : Août 2024; travaux en cours.</t>
  </si>
  <si>
    <t>Phase 2 : démarrage travaux : 27 octobre 2023;
Réception définitive : 07 juin 2025.
Phase 3 : démarrage travaux : 06 juillet 2024;
Récéption provisoire : 10 juin 2025.</t>
  </si>
  <si>
    <t>Démarrage travaux : 29 juin 2023;
Réception provisoire : 19 août 2025.</t>
  </si>
  <si>
    <t>Démarrage travaux : 06 septembre 2023;
Travaux en arrêt .</t>
  </si>
  <si>
    <t>Démarrage travaux : 15 mars 2024;
Travaux en cours.</t>
  </si>
  <si>
    <t>Haut- Uele</t>
  </si>
  <si>
    <t>Lomami et Haut lomami</t>
  </si>
  <si>
    <t>Signature contrat : 24 novembre 2023;
Travaux en cours.</t>
  </si>
  <si>
    <t>Démarrage travaux : 15 juillet 2023;
Réception provisoire : 13 janvier 2025;</t>
  </si>
  <si>
    <t>kasai central et sankuru</t>
  </si>
  <si>
    <t>Signature contrat : 24 novembre 2023; 
Travaux en cours.</t>
  </si>
  <si>
    <t>Signature contrat : 10 juin 2024; 
Travaux en cours.</t>
  </si>
  <si>
    <t>démarrage travaux : 12 juin 2024; travaux en cours.</t>
  </si>
  <si>
    <t>Travaux de réparation du Pont lubuye (Remboursement)</t>
  </si>
  <si>
    <t>Projet clôturé.</t>
  </si>
  <si>
    <t>Construction d'un stade de 10 000 places à Katanga</t>
  </si>
  <si>
    <t>travaux en cours;</t>
  </si>
  <si>
    <t>Travaux en arrêt.</t>
  </si>
  <si>
    <t>Procédure de conctractualisation en cours (signature contrat).</t>
  </si>
  <si>
    <t>Construction de la route reliant le port de Ndomba au village de Bena Kazadi</t>
  </si>
  <si>
    <t>Démarrage travaux 20 septembre 2025 ;travaux en cours</t>
  </si>
  <si>
    <t>signature contrat : 24 novembre 2023; travaux en cours.</t>
  </si>
  <si>
    <t>Démarrage travaux : 12 juin 2025; travaux en cours.</t>
  </si>
  <si>
    <t>Procédure de contractualisation en cours (signature contrat):</t>
  </si>
  <si>
    <t>expropriations en cours;</t>
  </si>
  <si>
    <t>Budget 2025 (Tranche de 324 millions USD)</t>
  </si>
  <si>
    <t>Construction des Rocades Sud-est et Sud-ouest de Kinshasa</t>
  </si>
  <si>
    <t>km</t>
  </si>
  <si>
    <t>Démarrage travaux : 10 Août 2024; taravux en cours;</t>
  </si>
  <si>
    <t>Construction de la route Manterne-Tshela-Singini Phase 2</t>
  </si>
  <si>
    <t>Kango Central</t>
  </si>
  <si>
    <t>Projet d'asphaltage de la route Bukavu-Kamanyola (Projet 2015)</t>
  </si>
  <si>
    <t xml:space="preserve">Projet de Bitumage de 14 Km de route entre Kanina-Musonoie-Kapata dans la ville de Kolwezi (Projet 2018) </t>
  </si>
  <si>
    <t xml:space="preserve">Projet de Construction du Pont Lomela (Projet 2018) </t>
  </si>
  <si>
    <t>Projet de construction d'un nouveau Stade de Bukavu (Projet 2015)</t>
  </si>
  <si>
    <t>Projet d'études et de travaux d'accompagnement de la SICOMINES KOLWEZI (Réhabilitation et Modernisation de la Voirie de Kolwezi) (Projet 2015)</t>
  </si>
  <si>
    <t xml:space="preserve">Travaux de sondage et découverture des Zones d’Exploitation Artisanale dans la Province du Lualaba (Projet 2018) </t>
  </si>
  <si>
    <t>Désignation</t>
  </si>
  <si>
    <t>Investissement cumulé reporté par l'ACGT</t>
  </si>
  <si>
    <t>Investissement cumulé reporté par l'APCSC</t>
  </si>
  <si>
    <t>Nc</t>
  </si>
  <si>
    <t>18 000 000 USD</t>
  </si>
  <si>
    <t>LA SOCIETE SUMMIT REWARD INVESTMENT LIMITID</t>
  </si>
  <si>
    <t>CONG MAOHUAI</t>
  </si>
  <si>
    <t>WANG GUOSHAN</t>
  </si>
  <si>
    <t>CONG DONGHUI</t>
  </si>
  <si>
    <t>CONG DONGYAN</t>
  </si>
  <si>
    <t>LA SOCIETE WIDAL TRADING CORP.</t>
  </si>
  <si>
    <t>LA SOCIETE TRIPROSPER INVESTMENT LIMITED</t>
  </si>
  <si>
    <t>MIN GUOWEI</t>
  </si>
  <si>
    <t>ENRC Congo B.V.</t>
  </si>
  <si>
    <t xml:space="preserve">46 640 000 CDF </t>
  </si>
  <si>
    <t>51 717 970 USD</t>
  </si>
  <si>
    <t>378 690 182 USD</t>
  </si>
  <si>
    <t>EXCELLEN MINERALS</t>
  </si>
  <si>
    <t xml:space="preserve">2 000 000 USD </t>
  </si>
  <si>
    <t>TENGYUAN NEW MATERIALS (Hong-Kong) INVESTIMENT HOLDING LIMITED</t>
  </si>
  <si>
    <t xml:space="preserve">900 000 USD </t>
  </si>
  <si>
    <t>LIANG JIANKUN</t>
  </si>
  <si>
    <t>LIANG JIE</t>
  </si>
  <si>
    <t>JIANGSU TUOBANG INVESTMENT MANAGEMENT Co Ltd</t>
  </si>
  <si>
    <t>WANG DONGFENG</t>
  </si>
  <si>
    <t>NANJING TUOCHI INVESTMENTMANAGEMENT Co, Ltd</t>
  </si>
  <si>
    <t>NGOIE KAFULA DIDAS</t>
  </si>
  <si>
    <t>ZOU WEIQIANG</t>
  </si>
  <si>
    <t>Travailleurs de Thomas</t>
  </si>
  <si>
    <t>LUILU RESSOURCES SAS</t>
  </si>
  <si>
    <t>20 000 000 CDF</t>
  </si>
  <si>
    <t>M. CLEMENT WACHIRI KAHILU</t>
  </si>
  <si>
    <t>LEONAF HOLDING LIMITED</t>
  </si>
  <si>
    <t>21 648 131 USD</t>
  </si>
  <si>
    <t>91 802 403 USD</t>
  </si>
  <si>
    <t>15 263 505 USD</t>
  </si>
  <si>
    <t>894 544 USD</t>
  </si>
  <si>
    <t>37 218 021 USD</t>
  </si>
  <si>
    <t>LIU YUNFENG</t>
  </si>
  <si>
    <t>03/03/2017</t>
  </si>
  <si>
    <t>CNMHK</t>
  </si>
  <si>
    <t>LIBAN</t>
  </si>
  <si>
    <t>0978422219</t>
  </si>
  <si>
    <t>XIE FUBIAO</t>
  </si>
  <si>
    <t>N°1, Avenue Comité Urbain / Kinshasa-Gombe</t>
  </si>
  <si>
    <t>#64</t>
  </si>
  <si>
    <t>Minerais de cuivre sulfuré</t>
  </si>
  <si>
    <t>#1</t>
  </si>
  <si>
    <t>lubumbashi</t>
  </si>
  <si>
    <t>ALPHAMINBISIE MINING SA</t>
  </si>
  <si>
    <t>haut katanga</t>
  </si>
  <si>
    <t>526/11367</t>
  </si>
  <si>
    <t>KINSENDA</t>
  </si>
  <si>
    <t>PE 101</t>
  </si>
  <si>
    <t>PE815</t>
  </si>
  <si>
    <t>SULFURE</t>
  </si>
  <si>
    <t>#70</t>
  </si>
  <si>
    <t>Terres rares</t>
  </si>
  <si>
    <t>Monazite</t>
  </si>
  <si>
    <t>Trafigura</t>
  </si>
  <si>
    <t>Kinsevere</t>
  </si>
  <si>
    <t>PE528</t>
  </si>
  <si>
    <t>Raffelet et cosmos</t>
  </si>
  <si>
    <t>LCS</t>
  </si>
  <si>
    <t>GERALD METALS</t>
  </si>
  <si>
    <t>TRAFIGURA</t>
  </si>
  <si>
    <t>Haut Katanga</t>
  </si>
  <si>
    <t>KFM Holding Limited</t>
  </si>
  <si>
    <t>CMOC LIMITED</t>
  </si>
  <si>
    <t>Cuivre</t>
  </si>
  <si>
    <t>DIAMANT</t>
  </si>
  <si>
    <t>TSHIBWE</t>
  </si>
  <si>
    <t>SHAZE</t>
  </si>
  <si>
    <t>PE32</t>
  </si>
  <si>
    <t xml:space="preserve"> * Publié </t>
  </si>
  <si>
    <t xml:space="preserve"> * Non publié </t>
  </si>
  <si>
    <t>Les EFS 2023</t>
  </si>
  <si>
    <t>Rapport Financier group 2023</t>
  </si>
  <si>
    <t>Publication des Efs en ligne</t>
  </si>
  <si>
    <t>Les Efs certifiés</t>
  </si>
  <si>
    <t>Autres documents signés par le CAC certifiant les EF 2023</t>
  </si>
  <si>
    <t>Attestation de certification des Efs et  rapport du CAC</t>
  </si>
  <si>
    <t>Attestation de certification des Efs</t>
  </si>
  <si>
    <t>AUDIT EN COURS</t>
  </si>
  <si>
    <t xml:space="preserve">Normes comptables </t>
  </si>
  <si>
    <t>Non : les Etats Financiers sont remis au CPCC et à la DGI</t>
  </si>
  <si>
    <t>FD 2023 signé</t>
  </si>
  <si>
    <t>Pour les Directions des recettes provinciales, les ETD et les OS/DOT</t>
  </si>
  <si>
    <t>FD 2023 certifié par l'IGF</t>
  </si>
  <si>
    <t>FD 2023 revêtu du contreseing de la Cour des comptes</t>
  </si>
  <si>
    <t>FONAREV</t>
  </si>
  <si>
    <t>SECTEUR DE PWETO</t>
  </si>
  <si>
    <t>CHEFFERIE DE KYONA NGOIE</t>
  </si>
  <si>
    <t>CHEFFERIE DE BAUSHI</t>
  </si>
  <si>
    <t>DOT CHEMICAL OF AFRICA Sarl (DOT CHEMAF)</t>
  </si>
  <si>
    <t>DOT DIVINE LAND MINING SARL (DOT DIVINE LAND)</t>
  </si>
  <si>
    <t>DOT RUBAMIN SARL (DOT RUBAMIN)</t>
  </si>
  <si>
    <t>DOT SOCIETE DE TRAITEMENT DU TERRIL DE LUBUMBASHI SARL (DOT STL)</t>
  </si>
  <si>
    <t>DOT CONGO DONGFANG INTERNATIONAL MINING SARL (DOT CDM)</t>
  </si>
  <si>
    <t>DOT SOCIETE MINIERE DU KATANGA SARL (DOT SOMIKA)</t>
  </si>
  <si>
    <t>DOT CONGO JIN JU CHENG LINING COMPANY (DOT CJCMC)</t>
  </si>
  <si>
    <t>DOT OM METAL RESSOURCES (DOT OMR)</t>
  </si>
  <si>
    <t>DOT METAL MINES SPRL (DOT MTM)</t>
  </si>
  <si>
    <t>DOT KISAMFU MINING (DOT KIMIN)</t>
  </si>
  <si>
    <t>DOT COMPAGNIE MINIERE DE LUISHA (DOT COMILU)</t>
  </si>
  <si>
    <t>DOT HANRUI METAL CONGO (DOT HMC ou HANRUI)</t>
  </si>
  <si>
    <t>DOT CONGO CHENG TUNG RESSOURCES (DOT CCR)</t>
  </si>
  <si>
    <t>DOT THOMAS MINING (DOT TMC)</t>
  </si>
  <si>
    <t>DOT BOSS MINING SAS</t>
  </si>
  <si>
    <t>DOT TENGYUAN COBALT &amp; COPPER RESOURCES LTD. CO. (DOT TCC)</t>
  </si>
  <si>
    <t>DOT SOCIETE D'EXPLOITATION DE KIPOI (DOT SEK)</t>
  </si>
  <si>
    <t>DOT KINSENDA COOPER COMPANY (DOT KICC)</t>
  </si>
  <si>
    <t>DOT FRONTIER S.A (DOT FRONTIER)</t>
  </si>
  <si>
    <t>DOT COMPAGNIE D'EXPLOITATION DES REJETS DE KINGAMYAMBO SARL (DOT METALKOL)</t>
  </si>
  <si>
    <t>DOT LA MINIERE DE KALUMBWE MYUNGA (DOT MKM)</t>
  </si>
  <si>
    <t>DOT CNMC HUACHIN MABENDE MINING SA (DOT CNMC HUACHIN MABENDE)</t>
  </si>
  <si>
    <t>DOT LA MINIERE DE KALUKUNDI S.A (DOT LAMIKAL)</t>
  </si>
  <si>
    <t>DOT KAI PENG MINING SARL (DOT KPM)</t>
  </si>
  <si>
    <t>DOT HUACHIN METAL LEACH SA (DOT HML)</t>
  </si>
  <si>
    <t>DOT EXCELLEN MINERALS SARL (DOT EM)</t>
  </si>
  <si>
    <t>DOT MACROLINK JIAYUAN MINING SPRL (DOT MJM)</t>
  </si>
  <si>
    <t>DOT SOCIETE MINIERE DE DEZIWA SAS (DOT SOMIDEZ)</t>
  </si>
  <si>
    <t>DOT CNMC CONGO COMPAGNIE MINIERE SARL (DOT CNMC)</t>
  </si>
  <si>
    <t>DOT KAMBOVE MINING SAS (DOT KAMBOVE MINING)</t>
  </si>
  <si>
    <t>DOT ANVIL MINING CONGO SARL (DOT AMC)</t>
  </si>
  <si>
    <t>DOT LA MINIERE DE KASOMBO (DOT MIKAS)</t>
  </si>
  <si>
    <t>FD 2023 certifié par l'IGF (Pour les EP seulement)</t>
  </si>
  <si>
    <t>FD 2023 certifié</t>
  </si>
  <si>
    <t>EF 2023 certifiés</t>
  </si>
  <si>
    <t>EF 2023 certifiés publiés</t>
  </si>
  <si>
    <t>Coût du Projet encouru durant l'année 2023
USD</t>
  </si>
  <si>
    <t>N/c</t>
  </si>
  <si>
    <t>Arrêté Provincial Numéro 2008/0008/katanga du 22 mars 2008 portant mesures d'encadrement de la production agricole dans la province du Katanga</t>
  </si>
  <si>
    <t>Néant</t>
  </si>
  <si>
    <t>Financement Projets de developpement communautaire local</t>
  </si>
  <si>
    <t>TFM Social Community Fund</t>
  </si>
  <si>
    <t>Article 21 de la convention Minière Amendée et reformée du 28 Septembre 2005</t>
  </si>
  <si>
    <t>Total TFM</t>
  </si>
  <si>
    <t>Construction des salles d'internements et d'une salle de maternité en extension du centre de santé PNC DILALA</t>
  </si>
  <si>
    <t>VILLAGE DE KAPEPA, PIEERE MUTEBA, TSHABULA, TSHIZUZA</t>
  </si>
  <si>
    <t>PNC DILALA</t>
  </si>
  <si>
    <t>entreprise minière société actions simplifiées</t>
  </si>
  <si>
    <t>pas encore remis</t>
  </si>
  <si>
    <t xml:space="preserve">https://appeldoffre.arsp.cd/?
</t>
  </si>
  <si>
    <t>CONSTRUCTION DU MARCHE JEAN MARIE 
KASEYA</t>
  </si>
  <si>
    <t>QUARTIER KANINA</t>
  </si>
  <si>
    <t>A LA CELLULE HEWA BORA</t>
  </si>
  <si>
    <t>Les contrats liés aux dépenses sociales obligatoires sont divulgués via le processus d'appel d'offres public.La divulgation est effectuée via la publication des appels d'offres sur les sites web de l'arsp.</t>
  </si>
  <si>
    <t>Construction d'une école primaire et secondaire</t>
  </si>
  <si>
    <t>QUARTIER MUSONOIE</t>
  </si>
  <si>
    <t>cellule kabila</t>
  </si>
  <si>
    <t>PROJET DE REHABILITATION ET MODERNISATION DU MARCHE 
CENTRAL DE LA CITE GCM KZI</t>
  </si>
  <si>
    <t>QUARTIER GECAMINES-KOLWEZI</t>
  </si>
  <si>
    <t>l'avenue du théâtre</t>
  </si>
  <si>
    <t>VILLAGE DE KAPEPA</t>
  </si>
  <si>
    <t>Projet d'appui aux producteurs de maïs</t>
  </si>
  <si>
    <t>L’installation de 6 points de forage d’eau potable</t>
  </si>
  <si>
    <t>Cellue hewa bora et etc</t>
  </si>
  <si>
    <t>DOTATION DE 0.3% DES CHIFFRES D'AFFAIRES</t>
  </si>
  <si>
    <t>VILLAGE DE KAPEPA, PIEERE MUTEBA, TSHABULA, TSHIZUZA
QUARTIER GECAMINES-KOLWEZI
QUARTIER MUSONOIE
QUARTIER KANINA
QUARTIER BIASHARA</t>
  </si>
  <si>
    <t>SECTEUR LUILU,
COMMUNE DE DILALA,
VILLE DE KOLWEZI
PROVINCE LUALABA</t>
  </si>
  <si>
    <t>DOT COMMUS</t>
  </si>
  <si>
    <t>Total COMMUS</t>
  </si>
  <si>
    <t xml:space="preserve">Solde Frais de service de l'interimaire pour la mise ne ouevre des projets du cahier des charges </t>
  </si>
  <si>
    <t xml:space="preserve">Territoire de Mutshatsha / secteur de Luilu/ Groupement Kazembe </t>
  </si>
  <si>
    <t xml:space="preserve">Province du Lulaba/territoire de Mitshatsha/ secteur Luilu/ Groupement Kasembe </t>
  </si>
  <si>
    <t xml:space="preserve">METALKOL SA </t>
  </si>
  <si>
    <t xml:space="preserve">NA </t>
  </si>
  <si>
    <t xml:space="preserve">Non </t>
  </si>
  <si>
    <t xml:space="preserve">Confidentialite </t>
  </si>
  <si>
    <t xml:space="preserve">Elaboration du nouveau cahier des charges devant couvrir les 5 prochaines annees </t>
  </si>
  <si>
    <t xml:space="preserve">09 Communautes impactees par le projet minier de Metalkol SA </t>
  </si>
  <si>
    <t xml:space="preserve">Janvier 2024 </t>
  </si>
  <si>
    <t xml:space="preserve">en cours </t>
  </si>
  <si>
    <t>Total METALKOL</t>
  </si>
  <si>
    <t xml:space="preserve">Approvisionnement en intrants agricoles
et materiels aratoires
</t>
  </si>
  <si>
    <t>LocaliteTshikala:VillageTshikalaet Village Kapaso;Localite Mumpaja
VillageKanyenze,Village Kanteba Village Kinsenda,VillageTshikala et
Quartier Commercial et Localite
MwanzaMinda:village Masumbu</t>
  </si>
  <si>
    <t xml:space="preserve"> territoire mutchatcha，
 secteur luilu，
Groupement mwanfwe </t>
  </si>
  <si>
    <t>Tshikala；Masumbu； 
Kapaso</t>
  </si>
  <si>
    <t>Bon</t>
  </si>
  <si>
    <t>Ets NDIYO 
SERVICES</t>
  </si>
  <si>
    <t>Neant</t>
  </si>
  <si>
    <t>Total SOMIDEZ</t>
  </si>
  <si>
    <t>S’appuyer sur les Associations paysannes de Musokantanda et Kaponda ; 02 pools</t>
  </si>
  <si>
    <t>Lufupa</t>
  </si>
  <si>
    <t>Construire et équiper les poulaillers mécanisés</t>
  </si>
  <si>
    <t>Muvunda / Ndizi Salama</t>
  </si>
  <si>
    <t>Appuyer les poullaliers en aliment</t>
  </si>
  <si>
    <t xml:space="preserve">Construire et appuyer la construction des étangs à partir des bas-fonds (avec toute la chaîne d’activités y relatives : alevins, produits vétérinaires, vétérinaire, commercialisation) </t>
  </si>
  <si>
    <t>Kamisangi, Tshimbunji (Cité Maseka) et Musokantanda</t>
  </si>
  <si>
    <t>Appuyer en aliment les étangs</t>
  </si>
  <si>
    <t xml:space="preserve">Appuyer en intrants agricoles (semences améliorées, insecticides…), sous forme de crédits agricoles </t>
  </si>
  <si>
    <t>Associations paysannes du groupement Musokantanda</t>
  </si>
  <si>
    <t>Grouper les  agriculteurs en fonction des cultures/spéculations porteuses/rentables (manioc, mais,….)</t>
  </si>
  <si>
    <t>Axe1: Musokantanda - Kamisange; axe2 : cité maseka - Muvunda; axe3: Kaponda - Mundjendje; axe4: Katayi- Venance</t>
  </si>
  <si>
    <t>Organiser des sessions de formation sur les différentes techniques de production (protection/recyclage du sol, sélection des semences, fertilisation, agroforesterie, reboisement, le contrôle des ennemis : maladies, gardiennage)</t>
  </si>
  <si>
    <t>Formation par Axe :
Axe1: Musokantanda - Kamisange; 
Axe2 : cité Maseka - Muvunda;
Axe3: Kaponda - Mundjendje;
Axe4: Katayi - Venance</t>
  </si>
  <si>
    <t>Aménager les points d’eau potables ( cartographie de villages desservis)</t>
  </si>
  <si>
    <t>Les villages impactés ci-après: Musokantanda, Mulemena, Tshimbunji, Kavuma, Cité Maseka, Kaponda I, Kaponda II,  Chinde Chinde, Mahamba, Venance, Mawawa, Cité Musoka, Tshomeka, Muvunda et partout ailleurs</t>
  </si>
  <si>
    <t xml:space="preserve">Mettre en place les structures communautaires de gestion de points d’eau et leur renforcer en capacités sur les techniques d’entretien  </t>
  </si>
  <si>
    <t>En fonction du rythme des aménagements des points d'eau</t>
  </si>
  <si>
    <t xml:space="preserve">Accorder les bourses d’études aux meilleurs élèves, aux filles et élèves vulnérables.
</t>
  </si>
  <si>
    <t>08 écoles : Institut Kampemba, Mwinkeu, Kamisange, Muvunda, ITA, et 02 écoles primaires de Musokantanda</t>
  </si>
  <si>
    <t>Equiper les Centres d’Eveil Communautaire (CEC) en matériel didactique</t>
  </si>
  <si>
    <t>Muvunda, Musokantanda et Kaponda</t>
  </si>
  <si>
    <t>Mettre les cantines scolaires dans tous les Centres d’Eveil Communautaire (CEC)</t>
  </si>
  <si>
    <t xml:space="preserve">Musokantanda, Muvunda, Kaponda
Voir description détaillée II.01 </t>
  </si>
  <si>
    <t>Construire les infrastructures scolaires remplissant les normes exigées et les équiper (6 classes, Direction, bloc sanitaire à 6 boxes)</t>
  </si>
  <si>
    <t xml:space="preserve">01 (une) école secondaire à Muvunda et 01 (une) école primaire à Musokantanda </t>
  </si>
  <si>
    <t xml:space="preserve">Organiser les centres d’alphabétisation fonctionnelle  </t>
  </si>
  <si>
    <t xml:space="preserve">Les sites de localisation seront successivement déterminés après évaluations avec experts du partenaire de mise en œuvre du projet. </t>
  </si>
  <si>
    <t>Construire et équiper les infrastructures sanitaires (centre de santé de référence et postes de santé) et leur appuyer en produits pharmaceutiques, officine pharmaceutique;
et préparation de plates formes pour un HGR</t>
  </si>
  <si>
    <t>Muvunda, Mundjendje, Kamisange, Musokantanda (Plate forme pour le HGR)</t>
  </si>
  <si>
    <t xml:space="preserve">Appuyer la facilitation des dialogues périodiques autour de questions clés entre les leaders communautaires de la communauté et Kamoa Copper SA (via le bureau de Développement Durable). </t>
  </si>
  <si>
    <t>Forum mensuels de discussion et évaluation avec les CLD LUFUPA sur les développements communautaire et l’avancement du projet Kamoa Copper SA</t>
  </si>
  <si>
    <t>S’appuyer sur les Associations paysannes de Mwilu</t>
  </si>
  <si>
    <t>Luilu</t>
  </si>
  <si>
    <t>Construire et appuyer la construction des étangs à partir des bas-fonds (avec toute la chaîne d’activités y relatives : alevins, produits vétérinaires, vétérinaire, commercialisation)</t>
  </si>
  <si>
    <t>Mpala, Mupenda</t>
  </si>
  <si>
    <t>Appuyer en intrants agricoles (semences améliorées, insecticides…), sous forme de crédits agricoles et système d'irrigation à goute avec réservoir, pompe)</t>
  </si>
  <si>
    <t>Associations paysannes</t>
  </si>
  <si>
    <t>Axe 1 : Walemba - Chamadingi, Axe 2 : Kalundu – Rabi, Axe 3 : Mupenda</t>
  </si>
  <si>
    <t>Organiser des sessions de formation sur les différentes techniques de production (protection/recyclage du sol, sélection des semences, fertilisation, agroforesterie, reboisement, le contrôle des ennemis : maladies, gardiennage..)</t>
  </si>
  <si>
    <t>Formation par Axe :
Axe 1 : Walemba - Chamadingi,
Axe 2 : Kalundu – Rabi (Kamoa mission), 
Axe 3 : Mupenda</t>
  </si>
  <si>
    <t>Tous les villages impactés par le projet (voir EIES) y compris Walemba, Mpala, Mwilu</t>
  </si>
  <si>
    <t>02 (deux) écoles : Walemba, Mpala</t>
  </si>
  <si>
    <t>Equiper Centres d’Eveil Communautaire (CEC) en matériel didactique</t>
  </si>
  <si>
    <t xml:space="preserve">Cité Musoka, Walemba, Mupenda </t>
  </si>
  <si>
    <t xml:space="preserve">Cité Musoka, Walemba, Mupenda
Voir description détaillée II.01 </t>
  </si>
  <si>
    <t>Cité Mwilu, Mupenda</t>
  </si>
  <si>
    <t xml:space="preserve">Appuyer l'organisation des centres d’alphabétisation fonctionnelle  </t>
  </si>
  <si>
    <t xml:space="preserve">Construire et équiper les infrastructures sanitaires (centres de santé et poste de santé) et leur appuyer en produits pharmaceutiques, officine pharmaceutique </t>
  </si>
  <si>
    <t>Chamadingi, Mupenda, Mpala, Mwilu</t>
  </si>
  <si>
    <t>Appuyer la facilitation des dialogues périodiques autour de questions clés entre les leaders communautaires de la communauté et Kamoa Copper SA (via le bureau de Développement Durable).</t>
  </si>
  <si>
    <t>Forum mensuels de discussion et évaluation avec les CLD Muilu sur les développements communautaire et l’avancement du projet Kamoa Copper SA</t>
  </si>
  <si>
    <t>Total KAMOA</t>
  </si>
  <si>
    <t>KIBALI GOLD MINES</t>
  </si>
  <si>
    <t>Construction du Centre de Formation de MAKORO</t>
  </si>
  <si>
    <t>MAKORO</t>
  </si>
  <si>
    <t>FARADJE, LOGO DOKA</t>
  </si>
  <si>
    <t>CONTRACTANT</t>
  </si>
  <si>
    <t>GUBS, RHINOCORP, SINAI</t>
  </si>
  <si>
    <t>PO</t>
  </si>
  <si>
    <t>02/08/2023</t>
  </si>
  <si>
    <t>Construction du Pont Doo</t>
  </si>
  <si>
    <t>KIRAKA</t>
  </si>
  <si>
    <t>LAPSON</t>
  </si>
  <si>
    <t>03/12/2023</t>
  </si>
  <si>
    <t>Construction du Pont TURE</t>
  </si>
  <si>
    <t>MANGBUTU</t>
  </si>
  <si>
    <t>WATSA, MANGBUTU</t>
  </si>
  <si>
    <t>RENOVATION</t>
  </si>
  <si>
    <t>Etudes de Faisabilites des Ponts</t>
  </si>
  <si>
    <t>WATSA et Faradje</t>
  </si>
  <si>
    <t>SEC, Emi-Africa, MACS, Engineering, OPTIMA</t>
  </si>
  <si>
    <t xml:space="preserve">Travaux de Finition de l'Hopital de Faradje. </t>
  </si>
  <si>
    <t>Faradje</t>
  </si>
  <si>
    <t>FARADJE, LOGO Ogambi</t>
  </si>
  <si>
    <t>CMS</t>
  </si>
  <si>
    <t>01/07/2022</t>
  </si>
  <si>
    <t>Construction du Marche Moderne MOKU</t>
  </si>
  <si>
    <t>MARIMINZA</t>
  </si>
  <si>
    <t>WATSA,MARIMINZA, MOKU</t>
  </si>
  <si>
    <t>KGB, MAHABA, TOUT EST GRACE, SHEKINAH, GNS, GLORIEUSE, GROUPE 11, GNS, STAME, ABC.</t>
  </si>
  <si>
    <t>01/06/2022</t>
  </si>
  <si>
    <t>CONSTRUCTION DU MARCHE MODERNE NZOPI</t>
  </si>
  <si>
    <t>FARADJE</t>
  </si>
  <si>
    <t>FARADJE, LOGO OGAMBI, NZOPI</t>
  </si>
  <si>
    <t>GALAXY, GGC, MIEL, MADJENGO, KANGURU, EAGLE SERVICE, MODERNITE, BOKANGA, ULGB.</t>
  </si>
  <si>
    <t>01/09/2022</t>
  </si>
  <si>
    <t>PLANTATION DU CACAO</t>
  </si>
  <si>
    <t>FARADJE, LOGO OGAMBI</t>
  </si>
  <si>
    <t>SCAK</t>
  </si>
  <si>
    <t>10/10/2022</t>
  </si>
  <si>
    <t>CONSTRUCTION DU PONT LOWA</t>
  </si>
  <si>
    <t>KJME</t>
  </si>
  <si>
    <t>01/10/2022</t>
  </si>
  <si>
    <t>REHABILITATION DE LA ROUTE DIX PAS</t>
  </si>
  <si>
    <t>GTL, ACTION B, BMS, DMK, MACS</t>
  </si>
  <si>
    <t>REHABILITATION DE LA ROUTE KOKORO AWILABA</t>
  </si>
  <si>
    <t>SAT, EYANO, SOLIJUDEWA, OKAPI, ORC</t>
  </si>
  <si>
    <t>Total KGM</t>
  </si>
  <si>
    <t>Construction et rehabilitation du centre de sante BUMI a Kawama</t>
  </si>
  <si>
    <t>Village Kawama</t>
  </si>
  <si>
    <t>Mutshasha/Luilu</t>
  </si>
  <si>
    <t>Mutanda mining Sarl</t>
  </si>
  <si>
    <t>Hugues MUNUNG</t>
  </si>
  <si>
    <t>Novembre 2023</t>
  </si>
  <si>
    <t>Appui aux agriculteurs communautaires</t>
  </si>
  <si>
    <t>Les agriculteurs de 15 Communautes autour de MUMI</t>
  </si>
  <si>
    <t>Les 15 Communautes autour de MUMI</t>
  </si>
  <si>
    <t>Amelioration de l'acces a l'eau potable</t>
  </si>
  <si>
    <t>Villages Kawama et Kisenda</t>
  </si>
  <si>
    <t>Construction d'un poulailler a Kapaso</t>
  </si>
  <si>
    <t>Village Kapaso</t>
  </si>
  <si>
    <t>Construction d'une ecole secondaire a Kahindu</t>
  </si>
  <si>
    <t>Village Kahindu</t>
  </si>
  <si>
    <t>Renforcement des capacites des agriculteurs en gestion financiere</t>
  </si>
  <si>
    <t>Total MUMI</t>
  </si>
  <si>
    <t>Total COMIKA</t>
  </si>
  <si>
    <t xml:space="preserve">Forage  industril 200metre </t>
  </si>
  <si>
    <t>Regideso , Ruashi Commune</t>
  </si>
  <si>
    <t>Haut   Katanga</t>
  </si>
  <si>
    <t>Ecole  catholic</t>
  </si>
  <si>
    <t xml:space="preserve">Mboka </t>
  </si>
  <si>
    <t xml:space="preserve">Cahier   des charges </t>
  </si>
  <si>
    <t>fevrier 2023</t>
  </si>
  <si>
    <t xml:space="preserve">fevrier </t>
  </si>
  <si>
    <t xml:space="preserve">juin </t>
  </si>
  <si>
    <t xml:space="preserve">ruashi NEWS Letter </t>
  </si>
  <si>
    <t>Lien en cours de traitements</t>
  </si>
  <si>
    <t xml:space="preserve">Progarmme  agricole </t>
  </si>
  <si>
    <t>commune  Ruashi  Ngo's</t>
  </si>
  <si>
    <t>Ruashi , Kipushi,kasenga</t>
  </si>
  <si>
    <t xml:space="preserve">Ruashi Mining </t>
  </si>
  <si>
    <t>cahier   des charges juin 2023</t>
  </si>
  <si>
    <t>aout 2023</t>
  </si>
  <si>
    <t>aout</t>
  </si>
  <si>
    <t xml:space="preserve">Dessert en Energie  Electrique </t>
  </si>
  <si>
    <t>Ruashi Luano</t>
  </si>
  <si>
    <t>Quartier  Luano</t>
  </si>
  <si>
    <t>Fremak</t>
  </si>
  <si>
    <t xml:space="preserve">janvier </t>
  </si>
  <si>
    <t>juin 2023</t>
  </si>
  <si>
    <t xml:space="preserve">Ruashi  News Letter </t>
  </si>
  <si>
    <t xml:space="preserve">Construction Ecole  KANAMBA </t>
  </si>
  <si>
    <t xml:space="preserve">Ruashi  KANAMBA </t>
  </si>
  <si>
    <t xml:space="preserve">Ruashi  kanamba </t>
  </si>
  <si>
    <t>Total RUMI</t>
  </si>
  <si>
    <t>Appui en intrants agricoles</t>
  </si>
  <si>
    <t>Population dans quatiers KIWEWE、MIKUBA、MITUMBA
Villages MAPENDO、MATEMBWE、TP</t>
  </si>
  <si>
    <t>territoire</t>
  </si>
  <si>
    <t>Responsable de responsanlité social</t>
  </si>
  <si>
    <t>cahier des charges et protocoles</t>
  </si>
  <si>
    <t>Documents sensibles</t>
  </si>
  <si>
    <t>Construction de l'école MAPENDO</t>
  </si>
  <si>
    <t>les enfants de ±6 ans à ± 12 ans vivants au village MAPENDO et ses environs.</t>
  </si>
  <si>
    <t>Total MIKAS</t>
  </si>
  <si>
    <t>CONSTRUCTION DE LA MORGUE</t>
  </si>
  <si>
    <t xml:space="preserve">Cahier de charge </t>
  </si>
  <si>
    <t>CONSTRUCTION DE L'ECOLE TECHNIQUE TWIBOMBELE</t>
  </si>
  <si>
    <t>CONSTRUCTION DE L'ECOLE PRIMAIRE KITOTWE</t>
  </si>
  <si>
    <t>CONSTRUCTION DE L'ECOLE FUNDAMINA</t>
  </si>
  <si>
    <t>Cahier de charge</t>
  </si>
  <si>
    <t>RÉHABILITATION DE L'ÉCOLE PRIMAIRE DE KITOTWE</t>
  </si>
  <si>
    <t>RÉHABILITATION DE L'ÉCOLE PRIMAIRE DE TWIBOMBELE</t>
  </si>
  <si>
    <t>CONSTRUCTION D'ENTREPÔT AGRICOLE</t>
  </si>
  <si>
    <t>Total kisenda</t>
  </si>
  <si>
    <t>卡巴达技术中学设备供应及安装项目
Projet de fourniture des équipements et installations à l’institut technique industriel du quartier Kapata</t>
  </si>
  <si>
    <t>卡巴达饮用水供应项目
Projet d'amélioration de l'accès à l'eau Potable</t>
  </si>
  <si>
    <t>卡巴达道路修复项目
Projet de réhabilitation des routes du quartier Kapata</t>
  </si>
  <si>
    <t>卡巴达变压器、断路器和电缆供应项目
Projet de fourniture des transformateurs, disjoncteurs et câbles électriques du quartier Kapata</t>
  </si>
  <si>
    <t>卡巴达警察局修复项目
Projet de réhabilitation du bureau police Kapata</t>
  </si>
  <si>
    <t>Total SICOMINE</t>
  </si>
  <si>
    <t>Appui à l'éducation des jeunes par l'octroi des bourses d'études</t>
  </si>
  <si>
    <t>5 étudiants à LUISHA et 5 autres à MILANDO</t>
  </si>
  <si>
    <t>Province : Haut-Katanga，Territoire : Kambove,  Luisha</t>
  </si>
  <si>
    <t>10/08/2023</t>
  </si>
  <si>
    <t>Construction de 1 Bureau de localité, l'un à Luisha</t>
  </si>
  <si>
    <t>Communauté de Luisha</t>
  </si>
  <si>
    <t>15/05/2023</t>
  </si>
  <si>
    <t>24/11/2023</t>
  </si>
  <si>
    <t>Appui en intrants agricoles aux agriculteurs à Luisha et à Kangambwa</t>
  </si>
  <si>
    <t>Communauté de Luisha et Kangambwa</t>
  </si>
  <si>
    <t>Province : Haut-Katanga，Territoire : Kambove,  Luisha et Kangambwa</t>
  </si>
  <si>
    <t>30/11/2023</t>
  </si>
  <si>
    <t>Adduction d'eau potable</t>
  </si>
  <si>
    <t>Communauté de Luisha, Kangambwa et Milando</t>
  </si>
  <si>
    <t>Province : Haut-Katanga，Territoire : Kambove,  Luisha, Kangambwa et Milando</t>
  </si>
  <si>
    <t>15/10/2023</t>
  </si>
  <si>
    <t>20/11/2023</t>
  </si>
  <si>
    <t>Total Excellen</t>
  </si>
  <si>
    <t>Appui logistique à la Zone de Santé de Lualaba</t>
  </si>
  <si>
    <t>Aire de Santé de Kisanfu</t>
  </si>
  <si>
    <t xml:space="preserve">Territoire de Lubudi, Chefferie des Bayeke, Groupement Nguba </t>
  </si>
  <si>
    <t>CMOC KFM, Entreprise minière</t>
  </si>
  <si>
    <t>Janvier 2023</t>
  </si>
  <si>
    <t>À l'époque, le site web de l'entreprise était en cours de construction.</t>
  </si>
  <si>
    <t>Formation éducation à la santé</t>
  </si>
  <si>
    <t>Zone d'influence du projet KFM</t>
  </si>
  <si>
    <t>Villages Mayeba, Kawala, Dikanda, Mibanze, Kalebi, Bwasalangana, Mushi wa Mumba, Kisanfu Koni et Kisanfu gare</t>
  </si>
  <si>
    <t>Zone de Santé de Lualaba /Bureau Central</t>
  </si>
  <si>
    <t>Mai 2023</t>
  </si>
  <si>
    <t>Septembre 2023</t>
  </si>
  <si>
    <t>Formation agricole</t>
  </si>
  <si>
    <t>CEADO</t>
  </si>
  <si>
    <t>Nyumba ya Binti Bora</t>
  </si>
  <si>
    <t>Octobre 2023</t>
  </si>
  <si>
    <t>Formation professionnelle Technique</t>
  </si>
  <si>
    <t>Kayts</t>
  </si>
  <si>
    <t>Travaux d'examen et de révision du CDC</t>
  </si>
  <si>
    <t>BDD</t>
  </si>
  <si>
    <t>Protocole d’accord (paiement intellectuel des prestations du processus de révision du Cahier de Charges de CMOC KFM)</t>
  </si>
  <si>
    <t>Juillet 2023</t>
  </si>
  <si>
    <t>Réunion communautaire trimestrielle</t>
  </si>
  <si>
    <t xml:space="preserve">Parties prenantes de la zone d’influence du projet KFM </t>
  </si>
  <si>
    <t>Perdiem lié au travail communautaire</t>
  </si>
  <si>
    <t>Total CMOC</t>
  </si>
  <si>
    <t>Adduction en eau</t>
  </si>
  <si>
    <t>Commune de Panda</t>
  </si>
  <si>
    <t>RK DRILLING</t>
  </si>
  <si>
    <t>Dotation des intrant agricoles</t>
  </si>
  <si>
    <t>SEED-CO</t>
  </si>
  <si>
    <t>Total CNMC</t>
  </si>
  <si>
    <t>construction1 poulailler</t>
  </si>
  <si>
    <t>Village de Kamimbi</t>
  </si>
  <si>
    <t>Kazembe</t>
  </si>
  <si>
    <t>V/Kamimbi,S/Luilu,T/mutshatsha,P/Katanga</t>
  </si>
  <si>
    <t>14/6/2023</t>
  </si>
  <si>
    <t>construction1 porcherie</t>
  </si>
  <si>
    <t>Village de  Samukinda</t>
  </si>
  <si>
    <t>V/Kamimbi, Samukinda,S/Luilu,T/mutshatsha,P/Katanga</t>
  </si>
  <si>
    <t>10/2023</t>
  </si>
  <si>
    <t>Total TENGYUAN</t>
  </si>
  <si>
    <t xml:space="preserve">CONSTRUCTION DES LOGEMENTS DU PERSONNEL SOIGNANT DU CENTRE DE SANTE </t>
  </si>
  <si>
    <t>KAMIMBI ET SAMUKINDA</t>
  </si>
  <si>
    <t>MUTSHATSHA/SECTEUR LUILU/KAZEMBE</t>
  </si>
  <si>
    <t>LUALBA/MUTSHATS</t>
  </si>
  <si>
    <t>ARCHITECTE</t>
  </si>
  <si>
    <t>CONGOLAIS</t>
  </si>
  <si>
    <t>FOURNITURE ET EQUIPEMENT DU CENTRE DE SANTE</t>
  </si>
  <si>
    <t xml:space="preserve">Total HANRUI </t>
  </si>
  <si>
    <t>赖成文付捐建学校工程款Faire un don pour construire une école</t>
  </si>
  <si>
    <t>赖成文付捐建水井合工程尾款Responsabilité sociale Construire des puits d'eau</t>
  </si>
  <si>
    <t>张雨付矿业沙龙捐赠费sponsorat au Salon minier de lualaba</t>
  </si>
  <si>
    <t>赖成文报销社会责任农业扶持种子采购捐赠Faites un don de semences</t>
  </si>
  <si>
    <t xml:space="preserve">Total LUALABA COPPER </t>
  </si>
  <si>
    <t>N/c : non communiqué</t>
  </si>
  <si>
    <t>Total général des paiements sociaux obligatoires</t>
  </si>
  <si>
    <t>Coût du Projet encouru
durant l'année 2023 USD</t>
  </si>
  <si>
    <t>Activité d'échanges culturels pour la Journée internationale des droits des femmes dans les communautés</t>
  </si>
  <si>
    <t>Les femmes communautaires</t>
  </si>
  <si>
    <t>secteur luilu</t>
  </si>
  <si>
    <t>tshabula</t>
  </si>
  <si>
    <t>le 8 mars de chaque année</t>
  </si>
  <si>
    <t>Organisation du Tournoi de football dans les communautés</t>
  </si>
  <si>
    <t>Les jeunes joueurs de football des communautés</t>
  </si>
  <si>
    <t>chaque année</t>
  </si>
  <si>
    <t>Organisation de la colonie des vacances dans les communautés</t>
  </si>
  <si>
    <t>Les enfants communautaires</t>
  </si>
  <si>
    <t>Pendant les vacances de chaque année</t>
  </si>
  <si>
    <t>La dotation des kits scolaires lors de Noël de chaque année</t>
  </si>
  <si>
    <t>la fête de Noël de chaque année</t>
  </si>
  <si>
    <t>La dotation des kits scolaires lors de la journée internationale des enfants aux écoles communautaires</t>
  </si>
  <si>
    <t>la journée internationale des enfants de chaque année</t>
  </si>
  <si>
    <t>Projet de maintenance du réseau d'électricité municipal</t>
  </si>
  <si>
    <t>La population de ville Kolwezi</t>
  </si>
  <si>
    <t>Ville Kolwezi</t>
  </si>
  <si>
    <t>Travaux de maintenance du réseau d'eau potable municipal</t>
  </si>
  <si>
    <t>Installation du système d'alimentation en eau</t>
  </si>
  <si>
    <t>Aide d'urgence pour les inondations au Province du Sud-Kivu</t>
  </si>
  <si>
    <t>Les victimes du Province du Sud-Kivu</t>
  </si>
  <si>
    <t>Province du Sud-Kivu</t>
  </si>
  <si>
    <t xml:space="preserve">Mise en oeuvre des differents projets volontaires </t>
  </si>
  <si>
    <t xml:space="preserve">Les communautes impactees par les projet de Metalkol </t>
  </si>
  <si>
    <t xml:space="preserve">Territoire de Mutshatsha,/Secteur de Luilu/ Groupement Kazembe </t>
  </si>
  <si>
    <t>Entreprise Miniere</t>
  </si>
  <si>
    <t xml:space="preserve">Responsabilite Sociales </t>
  </si>
  <si>
    <t>Janvier 2024</t>
  </si>
  <si>
    <t xml:space="preserve">Decembre 2024 </t>
  </si>
  <si>
    <t>Hors période couverte</t>
  </si>
  <si>
    <t>Expertise AGRIPEL pour le remplacement de terre des champs impactés par le projet de Kakula IIB 32 PAP au total</t>
  </si>
  <si>
    <t>MUTSHATSHA/LUILU/LUFUPA</t>
  </si>
  <si>
    <t>31/01/2023</t>
  </si>
  <si>
    <t>Expertise AGRIPEL pour le remplacement de terre Kamoa camp extension lot 1</t>
  </si>
  <si>
    <t>Expertise AGRIPEL pour le remplacement de terre des champs de 11 PAP impactés par le projet centre d'excellence</t>
  </si>
  <si>
    <t>Compensation des structures de 9 PAP affectes par le projet Kamoa camp extension II</t>
  </si>
  <si>
    <t>Expertise AGRIPEL pour le remplacement de terre de 138 PAP  impactés par le projet de Kamoa I extension</t>
  </si>
  <si>
    <t>Achat de 50 couverture pour la clinique Muvunda</t>
  </si>
  <si>
    <t>MUTSHATSHA/LUILU/LUFUPA/MUVUNDA</t>
  </si>
  <si>
    <t>Frais de reinstallation d'UN pap DE Kakula Smelter</t>
  </si>
  <si>
    <t>Achat de 8 matelas et 50 oreillets pour la clinique Muvunda</t>
  </si>
  <si>
    <t>Logistique pour la reunion de GTDR des comites des P AP de Kamoa I, Kakula 21, centre d'excellence, Extension I et II</t>
  </si>
  <si>
    <t>08/02/2023</t>
  </si>
  <si>
    <t>Remplacement de terre de 54 PAP affectes par le projet Kamoa camp extension I</t>
  </si>
  <si>
    <t>Remplacement de terre de 14 PAP affectes par le projet Kamoa (construction box cut)</t>
  </si>
  <si>
    <t>21/03/2023</t>
  </si>
  <si>
    <t>Compensation des structures affectés par le projet Kakula Smelter (cas d'omission)</t>
  </si>
  <si>
    <t>19/04/2023</t>
  </si>
  <si>
    <t>Compensation des arbres fruitiers et champs de manioc  affectés par le projet Kamoa 1 ayant comme consequense un debordement de canal d'eau de TSF</t>
  </si>
  <si>
    <t>AGRIPEL expertise et DERU pour les phases de Kamoa camps extension II, relocalisation et des cas plaintes Kakula II.B, Kakula Smelter (cas d'omission)</t>
  </si>
  <si>
    <t>21/05/2023</t>
  </si>
  <si>
    <t>Enquete des champs affectes par le projet Kamoa Camp extension</t>
  </si>
  <si>
    <t>03/05/2023</t>
  </si>
  <si>
    <t>Fourniture et Fixation des plaques de signalisation de du poste de sante Mundjendje</t>
  </si>
  <si>
    <t>MUTSHATSHA/LUILU/LUFUPA/MUNDJENDJE</t>
  </si>
  <si>
    <t>11/05/2023</t>
  </si>
  <si>
    <t>Achat des instruments musicaux pour l'eglise de Ndamwina</t>
  </si>
  <si>
    <t>MUTSHATSHA/LUFUPA/NDAMINWA</t>
  </si>
  <si>
    <t>05/05/2023</t>
  </si>
  <si>
    <t>Achat de 2 tables de bureau, 8 chaises visiteur pour l'eglise de Ndamwina</t>
  </si>
  <si>
    <t>22/05/2023</t>
  </si>
  <si>
    <t>AGRIPEL Expertise pour les champs de 6 PAP affectes par les travaux de forage du cote cite Moseka</t>
  </si>
  <si>
    <t>28/06/2023</t>
  </si>
  <si>
    <t>Achat de 75 banquettes pour l'eglise de Ndamwina</t>
  </si>
  <si>
    <t>20/06/2023</t>
  </si>
  <si>
    <t>Compensation des champs et arbres fruitiers de 6 PAP affectes par les travaux de forage du cote cite Moseka</t>
  </si>
  <si>
    <t>Achat des ventilateurs pour le poste de sante Mundjendje et la clinique Muvunda</t>
  </si>
  <si>
    <t>19/06/2023</t>
  </si>
  <si>
    <t>Logistique pour le paiement des PAP de Kakula West</t>
  </si>
  <si>
    <t>15/06/2023</t>
  </si>
  <si>
    <t>Achat des fardes a suspension pour la clinique Muvunda et le poste de sante Mundjendje</t>
  </si>
  <si>
    <t>05/06/2023</t>
  </si>
  <si>
    <t xml:space="preserve">Achat des materiels pour le nettoyage des centres de sante </t>
  </si>
  <si>
    <t>13/06/2023</t>
  </si>
  <si>
    <t>Achat ambulance pour la clinique Muvunda</t>
  </si>
  <si>
    <t>Enquete des champs affectes par le projet de forage KAM 003 Borehole drilling</t>
  </si>
  <si>
    <t>11/07/2023</t>
  </si>
  <si>
    <t>Logistique pour les enquetes des champs affectes par le forage du cote cite Moseka</t>
  </si>
  <si>
    <t>19/07/2023</t>
  </si>
  <si>
    <t>Reunion d'appropriation des puits communautaires dans le groupement Mwilu et Musokatanda</t>
  </si>
  <si>
    <t>MUTSHATSHA/LUFUPA/MWILU</t>
  </si>
  <si>
    <t>25/07/2023</t>
  </si>
  <si>
    <t>Formation des artisans reparateurs par la zone de sante de Kanzenze</t>
  </si>
  <si>
    <t>MUTSHATSHA/LUILU/KANZENZE</t>
  </si>
  <si>
    <t>11/08/2023</t>
  </si>
  <si>
    <t>Contribution a l'intronisation du nouveau chef de terre Mpala</t>
  </si>
  <si>
    <t>28/08/2023</t>
  </si>
  <si>
    <t>Expertise de la zone de sante Kanzenze pour la formation des gestionnaires des puits communautaires</t>
  </si>
  <si>
    <t>31/08/2023</t>
  </si>
  <si>
    <t>Logistique pour l'inauguration de l'eglise de Ndamwina</t>
  </si>
  <si>
    <t>21/09/2023</t>
  </si>
  <si>
    <t>Achat rideaux 26 pieces pour le poste de sante Mwilu</t>
  </si>
  <si>
    <t>02/10/2023</t>
  </si>
  <si>
    <t>Sensibilisation des communautes (Entrepreneurs locaux) sur le VIH/SIDA</t>
  </si>
  <si>
    <t>Impression sur polos (Message de la JMS 2023 et boutons badges</t>
  </si>
  <si>
    <t>23/11/2023</t>
  </si>
  <si>
    <t>Contribution a l'intronisation du chef de terre Mulomba</t>
  </si>
  <si>
    <t>MUTSHATSHA/LUFUPA/MULOMBA</t>
  </si>
  <si>
    <t>17/11/2023</t>
  </si>
  <si>
    <t>Nettoyage de la cours de Muvunda Clinique avant le ceremonie d'inauguration</t>
  </si>
  <si>
    <t>MUTSHATSHA/LUFUPA/MUVUNDA</t>
  </si>
  <si>
    <t>05/12/2023</t>
  </si>
  <si>
    <t>Panier de Noel pour les chefs traditionnels (Groupement et terre ainsi que le Gouvernement Local)</t>
  </si>
  <si>
    <t>13/12/2023</t>
  </si>
  <si>
    <t>Appuie et Formation des medias /comm/Ayikuli Sammuel</t>
  </si>
  <si>
    <t xml:space="preserve">Medias </t>
  </si>
  <si>
    <t>Watsa</t>
  </si>
  <si>
    <t>Durba</t>
  </si>
  <si>
    <t>Journaliste</t>
  </si>
  <si>
    <t>Conference</t>
  </si>
  <si>
    <t>Amenagement du Terrain de Football Matoko</t>
  </si>
  <si>
    <t xml:space="preserve">Village Matoko, Secteur Mangutu. </t>
  </si>
  <si>
    <t>Watsa, Mangbutu</t>
  </si>
  <si>
    <t>Mangbutu</t>
  </si>
  <si>
    <t>8/09/2023</t>
  </si>
  <si>
    <t xml:space="preserve">Captage des sources d'eaux </t>
  </si>
  <si>
    <t>Communautes de Watsa et Faradje</t>
  </si>
  <si>
    <t>Watsa, Faradje</t>
  </si>
  <si>
    <t>Watsa/ Faradje</t>
  </si>
  <si>
    <t>Communaute</t>
  </si>
  <si>
    <t>Assistances sociaux aux diverses parties prenantes</t>
  </si>
  <si>
    <t>Femmes et personnes de 3e ages</t>
  </si>
  <si>
    <t>Demande d'assistance</t>
  </si>
  <si>
    <t>Janvier-Dec. 2023</t>
  </si>
  <si>
    <t xml:space="preserve">Construction des Fences a Yayi-Etangs piscicole </t>
  </si>
  <si>
    <t>KURD (Kokiza Uni et Renove pour le Develop)</t>
  </si>
  <si>
    <t>Watsa/ Kokiza</t>
  </si>
  <si>
    <t>Kokiza</t>
  </si>
  <si>
    <t>Association</t>
  </si>
  <si>
    <t>KURD</t>
  </si>
  <si>
    <t>15/12/2023</t>
  </si>
  <si>
    <t>Appui au Projet de Tourne sole</t>
  </si>
  <si>
    <t>Paroisse Ste Barbe - Kokiza</t>
  </si>
  <si>
    <t>Eglise</t>
  </si>
  <si>
    <t>Eglise Catholique</t>
  </si>
  <si>
    <t>30/05/2023</t>
  </si>
  <si>
    <t>Assistance aux medias locaux (de Janvier- Aout 2023)</t>
  </si>
  <si>
    <t xml:space="preserve">Medias locaux </t>
  </si>
  <si>
    <t>Watsa/Faradje</t>
  </si>
  <si>
    <t>Medias</t>
  </si>
  <si>
    <t>Protocole</t>
  </si>
  <si>
    <t>01/01/2023</t>
  </si>
  <si>
    <t>Soutien a la campagne contre la malaria</t>
  </si>
  <si>
    <t>communaute</t>
  </si>
  <si>
    <t>30/10/2023</t>
  </si>
  <si>
    <t>Rejouissance communautaire fin d'annee 2023</t>
  </si>
  <si>
    <t>01/12/2023</t>
  </si>
  <si>
    <t>Tournoi de football interquartier 2023 Watsa/Faradje</t>
  </si>
  <si>
    <t>10/12/2023</t>
  </si>
  <si>
    <t xml:space="preserve">Assistance aux orpailleur/ Journee sainte Barbara. </t>
  </si>
  <si>
    <t>Federation</t>
  </si>
  <si>
    <t xml:space="preserve">Syenergie </t>
  </si>
  <si>
    <t>14/12/2023</t>
  </si>
  <si>
    <t>Assistance sociale a l'eglise catholique de Watsa</t>
  </si>
  <si>
    <t>watsa</t>
  </si>
  <si>
    <t>ASSISTANCE SOCIALE A FC MAKORO PARTICIPATION C</t>
  </si>
  <si>
    <t>Jeunesse</t>
  </si>
  <si>
    <t>26/04/2023</t>
  </si>
  <si>
    <t>ASSISTANCE SOCIALE A L'UNIVERSITE UELE</t>
  </si>
  <si>
    <t>Isiro</t>
  </si>
  <si>
    <t>29/11/2023</t>
  </si>
  <si>
    <t>ASSISTANCE SOCIALE AU COMEDIEN VENU DE KIN</t>
  </si>
  <si>
    <t>Artiste</t>
  </si>
  <si>
    <t>ASSISTANCE SOCIALE POUR LE CAPTAGE D'UNE SOURCE D'EAU</t>
  </si>
  <si>
    <t>Assistance pour les activites du 8 mars 2023</t>
  </si>
  <si>
    <t>08/03/2023</t>
  </si>
  <si>
    <t>Assistance aux Etudiants en medecine d'Isiro</t>
  </si>
  <si>
    <t>Etudiants en Medecine d'Isiro</t>
  </si>
  <si>
    <t>Etudiants</t>
  </si>
  <si>
    <t>24/03/2023</t>
  </si>
  <si>
    <t xml:space="preserve">Assistance aux travaux de la Paroisse Catholique </t>
  </si>
  <si>
    <t>Makoro</t>
  </si>
  <si>
    <t>16/03/2023</t>
  </si>
  <si>
    <t>ASSISTANCE SOCIALE AU RESTAFARI SEMINAIRE</t>
  </si>
  <si>
    <t>ARTISTES</t>
  </si>
  <si>
    <t>10/11/2023</t>
  </si>
  <si>
    <t>ASSISTANCE SOCIALE A L'EGLISE CATHOLIQUE</t>
  </si>
  <si>
    <t>Assistance aux boxeurs</t>
  </si>
  <si>
    <t>jeunesse</t>
  </si>
  <si>
    <t>22/09/2023</t>
  </si>
  <si>
    <t>assistance a la rehabilitation du pond lowa</t>
  </si>
  <si>
    <t>Faradje, Logo Doka, Makoro</t>
  </si>
  <si>
    <t>Lono Doka</t>
  </si>
  <si>
    <t>30/12/2023</t>
  </si>
  <si>
    <t>Assistance a la croisade Evangelique</t>
  </si>
  <si>
    <t>CECA20</t>
  </si>
  <si>
    <t>31/06/2023</t>
  </si>
  <si>
    <t>Appui a la ceremonie de lancement du Projet KENG</t>
  </si>
  <si>
    <t>Communautes de Durba</t>
  </si>
  <si>
    <t>Watsa/ Durba/ Kokiza</t>
  </si>
  <si>
    <t>KENG</t>
  </si>
  <si>
    <t>Evaluation d'Impacts Environnementaux route Aru-Bholi</t>
  </si>
  <si>
    <t>ARU</t>
  </si>
  <si>
    <t>Service Technique</t>
  </si>
  <si>
    <t xml:space="preserve">Requisition </t>
  </si>
  <si>
    <t>26/03/2023</t>
  </si>
  <si>
    <t xml:space="preserve">Atelier de renforcement de capacite CPVS </t>
  </si>
  <si>
    <t>CPVS</t>
  </si>
  <si>
    <t>30/07/2023</t>
  </si>
  <si>
    <t>GARDIENNAGE DE LA POMPE D'ADDUCTION D'EAU</t>
  </si>
  <si>
    <t>ETAT DE BESOIN POUR LA FORMATION DES ANIMATEURS AXE</t>
  </si>
  <si>
    <t xml:space="preserve">Animateurs </t>
  </si>
  <si>
    <t>Chefs et leaders</t>
  </si>
  <si>
    <t>SOUTIEN A LA CEREMONIE DE L'EGLISE CCK</t>
  </si>
  <si>
    <t>Eglise CCK</t>
  </si>
  <si>
    <t>Watsa/ Durba</t>
  </si>
  <si>
    <t>Soutien aux Associations de DOKO 2.</t>
  </si>
  <si>
    <t>Associations de DOKO 2</t>
  </si>
  <si>
    <t>Watss/Faradje</t>
  </si>
  <si>
    <t xml:space="preserve">Association </t>
  </si>
  <si>
    <t xml:space="preserve">Soutiens aux activites sportives </t>
  </si>
  <si>
    <t>SOUTIEN COMPETION ART CULINAIRE AVEC LES MAMAN</t>
  </si>
  <si>
    <t>Associations des Maman</t>
  </si>
  <si>
    <t>Mamans</t>
  </si>
  <si>
    <t>SOUTIEN COMPETITION MUSICALE DES DJ</t>
  </si>
  <si>
    <t>Achat de toles galvanises aux occupants illegaux de Mege</t>
  </si>
  <si>
    <t>Occupant de la Zone B Mege</t>
  </si>
  <si>
    <t>Illegaux de Mege</t>
  </si>
  <si>
    <t>31/03/2023</t>
  </si>
  <si>
    <t>SOUTIEN ORGANISATION DE JEU NZANGO DES MAMANS</t>
  </si>
  <si>
    <t>Mamans de Durba</t>
  </si>
  <si>
    <t>Watsa/Durba</t>
  </si>
  <si>
    <t>SOUTIEN ORGANISATION FESTIVAL MUSIQUE A FARADJE</t>
  </si>
  <si>
    <t>Total KIBALI</t>
  </si>
  <si>
    <t>Assistance financiere aux enseignants</t>
  </si>
  <si>
    <t>Enseignants des ecoles de 15 communautes</t>
  </si>
  <si>
    <t>Mutshatsha/Luilu</t>
  </si>
  <si>
    <t>Les communautes autour de MUMI</t>
  </si>
  <si>
    <t>Don</t>
  </si>
  <si>
    <t>Campagne contre les pandemies et epidemies (Paludisme)</t>
  </si>
  <si>
    <t>Les habitants de 15 Communautes autour de MUMI</t>
  </si>
  <si>
    <t>Avril 2023</t>
  </si>
  <si>
    <t>Donation des 4000 sacs vides raphia aux agriculteurs</t>
  </si>
  <si>
    <t>Assistance mensuelle aux chefs coutumiers</t>
  </si>
  <si>
    <t xml:space="preserve"> Chefs coutumiers</t>
  </si>
  <si>
    <t>Commemoration du mois de la femme</t>
  </si>
  <si>
    <t>Les femmes de 15 Communautes autour de MUMI</t>
  </si>
  <si>
    <t>Mars 2023</t>
  </si>
  <si>
    <t>Assistance en nature aux enseignants</t>
  </si>
  <si>
    <t xml:space="preserve">Projet d'Evaluation de la performance des enseignants </t>
  </si>
  <si>
    <t>Projet de formation des membres de communautes en secours d'urgence</t>
  </si>
  <si>
    <t xml:space="preserve"> 75 prestataires de soins de 15 communautes</t>
  </si>
  <si>
    <t xml:space="preserve"> 75 prestataires de soins de 15 communautes autour de MUMI</t>
  </si>
  <si>
    <t>Assistance a l'hopital de Mwangeji</t>
  </si>
  <si>
    <t>Les deminues</t>
  </si>
  <si>
    <t>Exposition agricole KCC-Mumi</t>
  </si>
  <si>
    <t>Tous</t>
  </si>
  <si>
    <t>Formation des femmes de la communautes sur l'approche genre developpement-violence</t>
  </si>
  <si>
    <t>Rehabilitation de l'ecole Lwakusha</t>
  </si>
  <si>
    <t>Village Kando</t>
  </si>
  <si>
    <t>Fevrier 2024</t>
  </si>
  <si>
    <t>Rehabilitation des ecoles Samutamu et Sakanama</t>
  </si>
  <si>
    <t>Villages Kawama et Kapaso</t>
  </si>
  <si>
    <t>Avril 2024</t>
  </si>
  <si>
    <t>Rehabilitation des ecoles Ludi, Zaire et Dikapa</t>
  </si>
  <si>
    <t>Villages Kisenda, lualaba et Masumbu</t>
  </si>
  <si>
    <t>Campagne contre le VIH/Sida</t>
  </si>
  <si>
    <t>Rehabilitaion, nettoyage et desinfectation des puits communautaires</t>
  </si>
  <si>
    <t>Mechanisation agricole et demonstration des champs</t>
  </si>
  <si>
    <t>Renforcement des capacites dans la fabrication des blocs ciments</t>
  </si>
  <si>
    <t>15 Communautes</t>
  </si>
  <si>
    <t>Total KAMBOVE</t>
  </si>
  <si>
    <t>Don de 30 sacs de farine de maïs pour les membres de CLD</t>
  </si>
  <si>
    <t xml:space="preserve">contribution des matériels de vie à l'école des religieuses（bon pasteur） </t>
  </si>
  <si>
    <t>Assisstance au commissariat de police de mine pour la fête des femmes</t>
  </si>
  <si>
    <t>Commissariat de police de mine</t>
  </si>
  <si>
    <t>850 $ pour la réparation des voitures de police au poste de police de KASAPA</t>
  </si>
  <si>
    <t>police de KASAPA</t>
  </si>
  <si>
    <t xml:space="preserve">4 500 $ pour l’achat de médicaments aux résidents de la communauté KAMATETE  </t>
  </si>
  <si>
    <t>la clinique de ONG MOM  
 ONG MOM</t>
  </si>
  <si>
    <t>Financement du traitement du chef de village à la suite d'un accident de voiture</t>
  </si>
  <si>
    <t>chef de village</t>
  </si>
  <si>
    <t>8000$ pour la nourriture et du matériel pédagogique à 8 écoles</t>
  </si>
  <si>
    <t>8 écoles KAWAMA、KAMATETE、KASAPA、SHIMDAIKA</t>
  </si>
  <si>
    <t>1 000 $ pour  sponsoring de la journée de Sensibilisation des femmes et jeunes filles du Village Tumbwe et ses environs sur les cancers du sein et du col uterin</t>
  </si>
  <si>
    <t>jeunes filles du Village Tumbwe</t>
  </si>
  <si>
    <t>Don de 20 sacs de farine de maïs pour le Bureau de sécurité</t>
  </si>
  <si>
    <t>ANR</t>
  </si>
  <si>
    <t>Célébration de la journée de l'enfance par le parrainage de fournitures scolaires et alimentaires pour trois écoles de la communauté environnante et l'orphelinat de Rukuni</t>
  </si>
  <si>
    <t>trois écoles de la communauté environnante et l'orphelinat de Lukuni.</t>
  </si>
  <si>
    <t>Don d'un chargement de pierres pour le bureau de la police minière</t>
  </si>
  <si>
    <t>Police de mine</t>
  </si>
  <si>
    <t>Don de 30 sacs de farine de maïs pour le Bureau de sécurité</t>
  </si>
  <si>
    <t>Parrainage du colonel de la police des mines pour un voyage d'affaires et un rendez-vous médical en Afrique du Sud</t>
  </si>
  <si>
    <t>colonel de la police des mines</t>
  </si>
  <si>
    <t>Parrainage des célébrations de la Journée de l'Indépendance dans le 22e district militaire, le village de KAWAMA et de Kaponda.</t>
  </si>
  <si>
    <t>le 22e district militaire, le village de KAWAMA et de Kaponda</t>
  </si>
  <si>
    <t>Parrainage de 400 dollars au chef du village de Kashimbala pour un traitement médical.</t>
  </si>
  <si>
    <t>chef du village de Kashimbala</t>
  </si>
  <si>
    <t>Parrainage de l'événement inaugural de collecte de fonds du Ministère des Mines-INPP pour la construction d'une base de formation d'auto-école dans le village de KAWAMA</t>
  </si>
  <si>
    <t>INPP</t>
  </si>
  <si>
    <t>Assistance humanitaire au personnel congolais en cas de vol.</t>
  </si>
  <si>
    <t>EMPLOYEE DE CDM</t>
  </si>
  <si>
    <t>Cérémonie pour le ministère des Mines et des Hydrocarbures concernant le don de 0,3%</t>
  </si>
  <si>
    <t>le ministère des Mines et des Hydrocarbures concernant</t>
  </si>
  <si>
    <t>6000$ pour la nourriture et du matériel pédagogique à 4 écoles</t>
  </si>
  <si>
    <t>la nourriture et du matériel pédagogique à 4 écoles</t>
  </si>
  <si>
    <t>la reunion trimestrielle avec les represendants de 4 communautes pour realiser les porjets errivent dans CDC</t>
  </si>
  <si>
    <t>Parrainage de la cérémonie du séminaire Hand Mining Gold du ministère des mines</t>
  </si>
  <si>
    <t>don pour le nouveau chef du secteur de bukanda</t>
  </si>
  <si>
    <t>chef du secteur de bukanda</t>
  </si>
  <si>
    <t>Parrainage des frais médicaux du président du Comité de développement du district de Kamaete</t>
  </si>
  <si>
    <t xml:space="preserve"> Comité de développement du district de Kamaete</t>
  </si>
  <si>
    <t>Parrainez une ambulance</t>
  </si>
  <si>
    <t>Centaiteneur</t>
  </si>
  <si>
    <t>Don de 30 sacs de farine de maïs pour</t>
  </si>
  <si>
    <t>Service d'Assistance et d'Encadrement d'exploitation Minière Artisnale et à petite Echelle</t>
  </si>
  <si>
    <t>DON de 200 arbres pour la mairie de lubumbashi</t>
  </si>
  <si>
    <t>Parrainage de la Journée Internationale des Personnes Handicapées de Ligue Provinciale des personnes vivant avec handicap du Haut-Katanga</t>
  </si>
  <si>
    <t xml:space="preserve">Don de 100 sacs de riz,150 poulets et 100 bidons d'huile àANR </t>
  </si>
  <si>
    <t>Total CDM</t>
  </si>
  <si>
    <t>Construction d' une cloture parquet Ruashi</t>
  </si>
  <si>
    <t>Parquet Ruashi</t>
  </si>
  <si>
    <t>Ruashi</t>
  </si>
  <si>
    <t>Commune Ruashi</t>
  </si>
  <si>
    <t>maximum</t>
  </si>
  <si>
    <t>Nehemi</t>
  </si>
  <si>
    <t xml:space="preserve">volontaire </t>
  </si>
  <si>
    <t>janvier 2025</t>
  </si>
  <si>
    <t>juillet 2025</t>
  </si>
  <si>
    <t xml:space="preserve">Prison Ruashi </t>
  </si>
  <si>
    <t>Fevrier 2025</t>
  </si>
  <si>
    <t>juin 2025</t>
  </si>
  <si>
    <t>Cloture  Eglise Othodoxe</t>
  </si>
  <si>
    <t>Eglise   Orthodoxe  Ruashi</t>
  </si>
  <si>
    <t xml:space="preserve">NEHEMI </t>
  </si>
  <si>
    <t xml:space="preserve">Protocol d' accord </t>
  </si>
  <si>
    <t>Aout 2025</t>
  </si>
  <si>
    <t>Contribution Alliance Lowa - January 2023</t>
  </si>
  <si>
    <t>Contribution Alliance Lowa - February 2023</t>
  </si>
  <si>
    <t>Contribution Alliance Lowa - March 2023</t>
  </si>
  <si>
    <t>Contribution Alliance Lowa - April 2023</t>
  </si>
  <si>
    <t>Contribution Alliance Lowa - May 2023</t>
  </si>
  <si>
    <t>Contribution Alliance Lowa - June 2023</t>
  </si>
  <si>
    <t>Contribution Alliance Lowa - July 2023</t>
  </si>
  <si>
    <t>Contribution Alliance Lowa - August 2023</t>
  </si>
  <si>
    <t>Contribution Alliance Lowa - September 2023</t>
  </si>
  <si>
    <t>Contribution Alliance Lowa - october 2023</t>
  </si>
  <si>
    <t>Contribution Alliance Lowa - November 2023</t>
  </si>
  <si>
    <t>Contribution Alliance Lowa - December 2023</t>
  </si>
  <si>
    <t>Total ALPHAMINBISIE</t>
  </si>
  <si>
    <t>Projet de réhabilitation de la route d'accès villages Kamimbi et Samukinda</t>
  </si>
  <si>
    <t>Habitants du Village Samukinda et Kamimbi</t>
  </si>
  <si>
    <t>Sur la route Nzilo</t>
  </si>
  <si>
    <t>Projet de construction d'un centre de santé</t>
  </si>
  <si>
    <t>Entre le village Samukinda et Kamimbi sur la route Nzilo en diagonal de HMC</t>
  </si>
  <si>
    <t xml:space="preserve">Projet de construction des logements du personnel enseignant de l'école </t>
  </si>
  <si>
    <t>Total CHENGTUN CONGO</t>
  </si>
  <si>
    <t>les dons pour les élèves en félicitant la journée des enfants</t>
  </si>
  <si>
    <t>collège local à Kambove</t>
  </si>
  <si>
    <t>territoire Kambove</t>
  </si>
  <si>
    <t>Lettre de demande d'assistance</t>
  </si>
  <si>
    <t>contribuer une chaise un table un tiroir chez son bureau</t>
  </si>
  <si>
    <t>ANR de Kambove</t>
  </si>
  <si>
    <t>contribuer des aliments et une assistance financière afin de donner espoir au pauvres et jeunesse</t>
  </si>
  <si>
    <t xml:space="preserve">la territoire de KAMBOVE </t>
  </si>
  <si>
    <t>contribuer 100 sacs engrais chimique</t>
  </si>
  <si>
    <t>Village de MAPENDO, MATEMBWE et SÉRAPHIN</t>
  </si>
  <si>
    <t>Total Mikas</t>
  </si>
  <si>
    <t>SOINS Medicaux</t>
  </si>
  <si>
    <t>Total KISENDA</t>
  </si>
  <si>
    <t>出资修复KCC围墙沿线至BY-PASS公路损坏路段                                  
Financement pour les travaux de réhabilitation du tronçon de route longeant le mur de clôture de KCC en état de dégradation jusqu’à BY-PASS</t>
  </si>
  <si>
    <t>省质量监督技术局
Direction Provinciale Technique de contrôle et Qualit</t>
  </si>
  <si>
    <t>南基伍省布卡武市卡莱赫地区水灾人道主义援助物资
Financement des vivres et des non-vivres SOS pour l'inondation à Kalehe, Bukavu, Sud-Kivu</t>
  </si>
  <si>
    <t>丹妮丝•尼亚格鲁•齐塞克迪基金会
Fondation Denise Nyakcru Tshisekedi</t>
  </si>
  <si>
    <t>南基伍省
Province du Sud-Kivu</t>
  </si>
  <si>
    <t>为市政府组织的马拉松活动提供资金赞助
Contribution financière au marathon organisé par la mairie de la ville de Kolwezi</t>
  </si>
  <si>
    <t>科卢市政府
Mairie de la ville Kolwezi</t>
  </si>
  <si>
    <t>向刚果（金）驻华大使馆赞助长沙国庆活动
Un parrainage pour la fête nationale de l'Ambassade de la République Démocratique du Congo en Chine</t>
  </si>
  <si>
    <t>刚果（金）驻华大使馆
Ambassade de la République Démocratique du Congo en Chine</t>
  </si>
  <si>
    <t xml:space="preserve">向卢阿拉巴省政府捐赠五辆安保巡逻车
Un don de 5 véhicules de patrouille au Gouvernement provincial du Lualaba      </t>
  </si>
  <si>
    <t>卢阿拉巴省政府
Gouvernement provincial du Lualaba</t>
  </si>
  <si>
    <t>向共同行动协会捐赠办公家具及窗帘
Donation Des meubles de bureau et des rideaux à l'Association Tous ensemble</t>
  </si>
  <si>
    <t>共同行动协会
Association Tous ensemble</t>
  </si>
  <si>
    <t>向贡贝技术中学捐赠物资
Donation des matériels au Lycée technique de la Gombe</t>
  </si>
  <si>
    <t>贡贝技术中学
Lycée technique de la Gombe</t>
  </si>
  <si>
    <t>向国家情报局卢阿拉巴省分局捐赠石块、砂石和沙子
Donation des moellons, graviers et sables à l'Agence Nationale de Renseignements du Lualaba</t>
  </si>
  <si>
    <t>向LUKUNGA区足球队捐赠文化衫、棒球帽和足球
Donation des T-shirts, casquettes et ballons de football au équipes de football du district LUKUNGA</t>
  </si>
  <si>
    <t>LUKUNGA区足球队
équipes de football du district LUKUNGA</t>
  </si>
  <si>
    <t>为卡巴达社区维修水泵并更换接触器                                   Réparation de la pompe à eau et remplacement d'un contracteur pour le Quartier Kapata</t>
  </si>
  <si>
    <t>向国家元首民事办公厅卢省协调处捐赠集装箱
Donation de conteneur à la Coordination Provinciale du Lualaba de la Maison Civil du Chef de l’Etat</t>
  </si>
  <si>
    <t>国家元首民事办公厅卢省协调处        Coordination Provinciale du Lualaba de la Maison Civil du Chef de l’Etat</t>
  </si>
  <si>
    <t>向丹尼斯·尼亚克鲁·齐塞克迪基金会提供公益资金用于基金会的行动计划，特别是对南基伍省卡莱赫地区的人道主义紧急救援
Assistance financière à la Fondation Denise Nyakeru Tshisekedi pour financer le plan d’action de la Fondation et particuliérement l’intervention sur l’urgence humanitaire à Kalehe dans le Sud Kivu</t>
  </si>
  <si>
    <t>丹尼斯·尼亚克鲁·齐塞克迪基金会
Fondation Denise Nyakeru Tshisekedi</t>
  </si>
  <si>
    <t>为社区维修变压器而借用叉车、平板车的使用和运输费
Frais d’utilisation et de transport d'un engin élévateur et un camion empruntés pour la réparation du transformateur de la communauté</t>
  </si>
  <si>
    <t>向迪拉拉区政府捐赠建筑材料
Donation des matériaux de construction pour Commune de Dilala</t>
  </si>
  <si>
    <t>迪拉拉区政府
Commune de Dilala</t>
  </si>
  <si>
    <t>为卡巴达工业技术学校散学典礼表彰优秀学生提供物资援助
Assistance matérielle pour primer les élèves distingués à la cérémonie de fin d’année scolaire 2022-2023 de l’I.T.I.KA</t>
  </si>
  <si>
    <t>卡巴达工业技术学校
l’Institut Technique Industriel de KAPATA(I.T.I.KA)</t>
  </si>
  <si>
    <t>第一届“在全面战略合作伙伴关系框架下加强中刚文化和教育联系”大会活动资金
Financement pour la première conférence « Renforcer les liens culturels et éducatifs sino-congolais à l'aune du partenariat stratégique et global »</t>
  </si>
  <si>
    <t>"第一届“在全面战略合作伙华关系框架下加强中刚文化和教育联系”大会组委会
Comité de la première conférence « Renforcer les liens culturels et éducatifs sino-congolais à l'aune du partenariat stratégique et global »"</t>
  </si>
  <si>
    <t>为中开赛省DIMBELENGE小学提供物资援助Assistance matérielle pour l’école primaire à DIMBELENGE au Kasaï Central</t>
  </si>
  <si>
    <t>中开赛省DIMBELENGE小学
L’école primaire à DIMBELENGE au Kasaï Central</t>
  </si>
  <si>
    <t>中开赛省
Province du Kasaï Central</t>
  </si>
  <si>
    <t>向卢阿拉巴省地税局捐赠建筑材料
Donation des sable à la Direction des Recettes du Lualaba</t>
  </si>
  <si>
    <t>卢阿拉巴省地税局
Direction des Recettes du Lualaba</t>
  </si>
  <si>
    <t>向科卢韦齐市政府捐赠空桶Donation des fûts vide à la Mairie de la ville Kolwezi</t>
  </si>
  <si>
    <t>科卢韦齐市政府
Mairie de la ville Kolwezi</t>
  </si>
  <si>
    <t>为英格村迪库卢韦小学提供物资援助
Assistance matérielle pour l’école primaire à l’Ecole Dikulwe à Yenge</t>
  </si>
  <si>
    <t>英格村迪库卢韦小学
Ecole Dikulwe à Yenge</t>
  </si>
  <si>
    <t>Total SICOMINES</t>
  </si>
  <si>
    <t>L’entreprise a fait des dons à la communauté de Luisha</t>
  </si>
  <si>
    <t>01/02/2023</t>
  </si>
  <si>
    <t>L’entreprise a fait un don à la communauté le jour de l’indépendance</t>
  </si>
  <si>
    <t>30/06/2023</t>
  </si>
  <si>
    <t>24/07/2023</t>
  </si>
  <si>
    <t>27/09/2023</t>
  </si>
  <si>
    <t>L’entreprise a fait don de 200 sacs de semences de maïs améliore à la communauté</t>
  </si>
  <si>
    <t>02/11/2023</t>
  </si>
  <si>
    <t>15/11/2023</t>
  </si>
  <si>
    <t>11/12/2023</t>
  </si>
  <si>
    <t>Frais mensuels de soutien aux enseignants(12 )</t>
  </si>
  <si>
    <t>E.P.MUKAKA du village Mayeba et E.P. MUKAKA succursale du village Bwasalangana</t>
  </si>
  <si>
    <t>Village Mayeba , Village Bwasalangana</t>
  </si>
  <si>
    <t>Demande d'assistance (Prime de motivation au personnel enseignant)</t>
  </si>
  <si>
    <t>Septembre</t>
  </si>
  <si>
    <t>Aout</t>
  </si>
  <si>
    <t xml:space="preserve"> Sensibilisation au VIH/sida - 08 mars</t>
  </si>
  <si>
    <t>Bureau Administratif de la Chefferie des Bayeke à Kisanfu</t>
  </si>
  <si>
    <t>Groupement Nguba</t>
  </si>
  <si>
    <t>Demande d'assistance (Appui aux activités de la journée internationale de la Femme)</t>
  </si>
  <si>
    <t>08 mars 2023</t>
  </si>
  <si>
    <t>08 Mars</t>
  </si>
  <si>
    <t>Soutien aux festivals culturels traditionnels</t>
  </si>
  <si>
    <t>Chefferie des Bayeke , représentée par le Mwami Munongo Kaneranera Godrefroid jr et  Groupement Nguba</t>
  </si>
  <si>
    <t>Village Bunkeya ; Village Nguba</t>
  </si>
  <si>
    <t>Mwami des Beyeke et Gareganze</t>
  </si>
  <si>
    <t>Demande d'assistance (Appui aux manifestations culturelles)</t>
  </si>
  <si>
    <t>05 juillet 2023</t>
  </si>
  <si>
    <t>05 juillet</t>
  </si>
  <si>
    <t>Réparation du puits solaire de Kisanfu</t>
  </si>
  <si>
    <t>Village Kisanfu Koni</t>
  </si>
  <si>
    <t xml:space="preserve">Village Kisanfu Koni </t>
  </si>
  <si>
    <t>Dev Energie S.A.R.L.</t>
  </si>
  <si>
    <t>Demande d'assistance de la communauté du village Kisanfu Koni</t>
  </si>
  <si>
    <t>22 aout 2023</t>
  </si>
  <si>
    <t>28 aout 2023</t>
  </si>
  <si>
    <t>ASSISTANCE SOCIALE</t>
  </si>
  <si>
    <t>CHEFS COUTUMIERS</t>
  </si>
  <si>
    <t>KASAI ORIENTALE</t>
  </si>
  <si>
    <t>ENSEIGNANTS DE BOYA</t>
  </si>
  <si>
    <t>Total général des paiements sociaux volontaires</t>
  </si>
  <si>
    <t>Identité du Bénéficiaire
(Nom, fonction, nature juridique, qualité)</t>
  </si>
  <si>
    <t>ESIA Biodiversity Construction</t>
  </si>
  <si>
    <t>TRANSFIELDS SERVICES</t>
  </si>
  <si>
    <t>Territoire de Lubudi, Chefferie de Bunkeya</t>
  </si>
  <si>
    <t>EIES 2022</t>
  </si>
  <si>
    <t>Consultation environnementale sur le traitement de l'eau et des déchets.</t>
  </si>
  <si>
    <t>BUREAU D'ASSISTANCE &amp; EXPERTISE-ENVIRONNEMENTALES</t>
  </si>
  <si>
    <t>Analyse en laboratoire des échantillons de surveillance environnementale (eau et sédiments)</t>
  </si>
  <si>
    <t>ELEMENT MATERIALS TECHNOLOGY ENVIRONMENT</t>
  </si>
  <si>
    <t>Surveillance de la qualité de l’air et étalonnage des stations météorologiques environnementales</t>
  </si>
  <si>
    <t>SKYSIDE</t>
  </si>
  <si>
    <t>Plantation des especes comme paspalum, Tithonia, Flamboyants et Jacaranda pour couvrir les espaces qui autre fois etatient perturbes par nos activites.</t>
  </si>
  <si>
    <t>Mutshatsha,Luilu,Kazembe(Pierre Muteba, Tshizuka, Kapepa,Tshabula, Gecamine Musonoie,Gecamine Kolwezi, 5ans et Biashara</t>
  </si>
  <si>
    <t>Site COMMUS et Les environs du perimètre</t>
  </si>
  <si>
    <t>Titulaire du projet</t>
  </si>
  <si>
    <t>COMMUS</t>
  </si>
  <si>
    <t>Arrosage des pistes : il ya 2 systemes d'arrosage que nous appliquons le premier est celui d'une installation d'irrigation sur les espaces ayant une production de la poussiere et le deuxieme systeme est celui des camions Citernes d'eau faisant des courses regulieres pour attenuer la montee des poussieres.</t>
  </si>
  <si>
    <t>Route et Remblais de la concession COMMUS</t>
  </si>
  <si>
    <t xml:space="preserve">PAR, </t>
  </si>
  <si>
    <t>Suivi environnemental (suivis  environnemental sur le plan de la radioactivité: Surveillance des eaux, airs, sols)</t>
  </si>
  <si>
    <t xml:space="preserve">la compagnie et les communautes </t>
  </si>
  <si>
    <t>PCA</t>
  </si>
  <si>
    <t>PGES &amp; PAR</t>
  </si>
  <si>
    <t xml:space="preserve">Continuité du verdissement sur toute l'etendue des nos remblais </t>
  </si>
  <si>
    <t>Remblais de la concession COMMUS</t>
  </si>
  <si>
    <t>La radioprotection (suivis  environnemental sur le plan de la radioactivité: Surveillance des eaux , airs, sols, faunes et flores)</t>
  </si>
  <si>
    <t>COMMUS et ses environs</t>
  </si>
  <si>
    <t>EIES,PGES,AES&amp;PAR</t>
  </si>
  <si>
    <t>Assenissement des dechets domestiques</t>
  </si>
  <si>
    <t xml:space="preserve">COMMUS </t>
  </si>
  <si>
    <t>ANTW</t>
  </si>
  <si>
    <t>EIES,PGES , PAR</t>
  </si>
  <si>
    <t>La gestion de la poussiere: La mise en place à chaque point de poussière, des
dispositifs de dépoussiérage</t>
  </si>
  <si>
    <t>GREEN DRC(EMERC)</t>
  </si>
  <si>
    <t>AES, PAR et PGES</t>
  </si>
  <si>
    <t>Frais de mission des  Inspecteurs FFN</t>
  </si>
  <si>
    <t>Agent FFN</t>
  </si>
  <si>
    <t>Mutshatsha,Luilu,Kazembe</t>
  </si>
  <si>
    <t>Metalkol SA</t>
  </si>
  <si>
    <t>Service Etatique</t>
  </si>
  <si>
    <t>Service Legale</t>
  </si>
  <si>
    <t>janvier 2023</t>
  </si>
  <si>
    <t xml:space="preserve"> janvier 2023</t>
  </si>
  <si>
    <t>Taxe Remuneration annuelle</t>
  </si>
  <si>
    <t>Taxe de Pollution 2023</t>
  </si>
  <si>
    <t>Taxe sur le deboisement 2023</t>
  </si>
  <si>
    <t>FFN et DGRAD</t>
  </si>
  <si>
    <t>BON A PAYER-amendes et penalités</t>
  </si>
  <si>
    <t>Note de perception-complement TRA</t>
  </si>
  <si>
    <t>Note de perception-complement TAPO</t>
  </si>
  <si>
    <t>Note de perception-amendes et penalités</t>
  </si>
  <si>
    <t>Note de perception pour defaut de communication des rapports aout et septembre art 295 du code minier</t>
  </si>
  <si>
    <t>Note de debit 50% cadatre minier  2023 Note de debit</t>
  </si>
  <si>
    <t>Surveillence Environmental (eau de surface)</t>
  </si>
  <si>
    <t>Yanka Laboratoire</t>
  </si>
  <si>
    <t>Analise des eau de surface</t>
  </si>
  <si>
    <t>Laboratoire International</t>
  </si>
  <si>
    <t>Surveillence Environemental (eau souteraine)</t>
  </si>
  <si>
    <t>Analise des eau souteraine</t>
  </si>
  <si>
    <t>Janvier 2034</t>
  </si>
  <si>
    <t>Surveillence Environemental (eau potable)</t>
  </si>
  <si>
    <t xml:space="preserve">ROBINSON INTERNATIONAL AFRIQUE SARL </t>
  </si>
  <si>
    <t>Analise de l eau Potable</t>
  </si>
  <si>
    <t>Surveillence Environemental (gaz)</t>
  </si>
  <si>
    <t>Skide Side</t>
  </si>
  <si>
    <t>Analise des gaz</t>
  </si>
  <si>
    <t>Rapport annuel</t>
  </si>
  <si>
    <t>EMIS Congo</t>
  </si>
  <si>
    <t>Specialiste En Environement</t>
  </si>
  <si>
    <t>Societe SARL</t>
  </si>
  <si>
    <t>Arrosage (control des retombes des pousiers )</t>
  </si>
  <si>
    <t>Umoja</t>
  </si>
  <si>
    <t>Janvier 2038</t>
  </si>
  <si>
    <t>Rehabilitation Environemental</t>
  </si>
  <si>
    <t>Surete Finaciere de la rehabilitation (Metalkol)2023</t>
  </si>
  <si>
    <t>Surete Finaciere de la rehabilitation (Lusumbi)2023</t>
  </si>
  <si>
    <t>Appuyer 23 ménages affectés par la délocalisation pour restaurer leurs moyens de subsistance avec le programme d'apiculture.</t>
  </si>
  <si>
    <t>Les ménages affectés par la délocalisation et les autres reinstallees dans les 3 sites de Kaponda, Muvunda et Samukoko</t>
  </si>
  <si>
    <t xml:space="preserve">Appuyer 291 ménages affectés par la délocalisation pour restaurer leurs moyens de subsistance avec 300 hectares de la culture de maïs. </t>
  </si>
  <si>
    <t>Accompagner 181 ménages affectés par la délocalisation pour restaurer leurs moyens de subsistance dans la culture de manioc sur 271 hectares.</t>
  </si>
  <si>
    <t>Appuyer 65 ménages affectés par la délocalisation pour restaurer leurs moyens de subsistance par le programme de Vergers (32 hectares citrus)</t>
  </si>
  <si>
    <t>Appuyer 57 ménages affectés par la délocalisation pour restaurer leurs moyens de subsistance par le programme de Vergers (17,7 hectares d'ananas)</t>
  </si>
  <si>
    <t>Appuyer 20 ménages affectés par la délocalisation pour restaurer leurs moyens de subsistance par le programme de Vergers (10 hectares de bananiers)</t>
  </si>
  <si>
    <t>Appuyer20 ménages affectés par la délocalisation pour restaurer leurs moyens de subsistance par le programme de Vergers (10 hectares avocatiers)</t>
  </si>
  <si>
    <t>Appuyer 56 ménages affectés par la délocalisation pour restaurer leurs moyens de subsistance par la cultures maraichere (13,75 hectares citrus)</t>
  </si>
  <si>
    <t>Appuyer 15 ménages affectés par la délocalisation pour restaurer leurs moyens de subsistance avec 15 kits de pompes d'irrigation</t>
  </si>
  <si>
    <t>Appuyer 15 ménages affectés par la délocalisation pour restaurer leurs moyens de subsistance avec les accessoires de systeme d'irrigation des arbres fruitiers.</t>
  </si>
  <si>
    <t>Appuyer 12 ménages affectés par la délocalisation pour restaurer leurs moyens de subsistance avec 2160 Kg de fertilisants dans la culture de bananes</t>
  </si>
  <si>
    <t>Soutenir 20 ménages affectés par la délocalisation pour restaurer leurs moyens de subsistance dans le programme d'aquaculture de 100 etagns piscicoles.</t>
  </si>
  <si>
    <t>Appuyer 95 ménages affectés par la délocalisation pour restaurer leurs moyens de subsistance dans la vollaile</t>
  </si>
  <si>
    <t xml:space="preserve">Renforecer les initiatives de 31 ménages affectés par la délocalisation pour restaurer leurs moyens de subsistance avec 143 chevres de race ameliorree </t>
  </si>
  <si>
    <t>Etudes Impacts Environnementax et sociaux</t>
  </si>
  <si>
    <t>DPEM</t>
  </si>
  <si>
    <t>EMCS</t>
  </si>
  <si>
    <t>Suivi QualitE des eaux sur site</t>
  </si>
  <si>
    <t>SGS Laboratories (Mwanza)</t>
  </si>
  <si>
    <t>Tanzanie</t>
  </si>
  <si>
    <t>SGS</t>
  </si>
  <si>
    <t>Rehabilitation des sites miniers finis (14 hectares)</t>
  </si>
  <si>
    <t xml:space="preserve">Kibali </t>
  </si>
  <si>
    <t>Surveillance de la qualité de l’eau</t>
  </si>
  <si>
    <t>KINSEVERE</t>
  </si>
  <si>
    <t>EIE/ PGES</t>
  </si>
  <si>
    <t>Surveillance de la qualité de l’air</t>
  </si>
  <si>
    <t>EIES/ PGES</t>
  </si>
  <si>
    <t>Réhabilitation, stabilisation des sols contaminés</t>
  </si>
  <si>
    <t>Reboisement, corridor écologique, étude d’impact</t>
  </si>
  <si>
    <t>Traitement, tri, élimination sécurisée des déchets miniers</t>
  </si>
  <si>
    <t>Audit interne et externe, rapports de conformité</t>
  </si>
  <si>
    <t>Total MMG</t>
  </si>
  <si>
    <t xml:space="preserve">Elaboration du rapport annuel </t>
  </si>
  <si>
    <t>DRC GREEN</t>
  </si>
  <si>
    <t>Bureau d'étude</t>
  </si>
  <si>
    <t>Analyse microbiologiques  des eaux</t>
  </si>
  <si>
    <t xml:space="preserve">Université de Lubumbashi </t>
  </si>
  <si>
    <t xml:space="preserve">Haut-Katanga/Lubumbashi </t>
  </si>
  <si>
    <t>Laboratoire</t>
  </si>
  <si>
    <t>UNILU</t>
  </si>
  <si>
    <t>Analyse physico-chimique  des eaux</t>
  </si>
  <si>
    <t xml:space="preserve">Robinson International </t>
  </si>
  <si>
    <t>ROBINSON</t>
  </si>
  <si>
    <t>Analyse physico-chimique  de poussière</t>
  </si>
  <si>
    <t>Art 49,50,51 et 52 Reglement minier</t>
  </si>
  <si>
    <t xml:space="preserve">Sureté financière </t>
  </si>
  <si>
    <t>Art 459 et 473 Reglement minier</t>
  </si>
  <si>
    <t>2023年度环境恢复保证金sûreté financière de réhabilitation de l'environnement</t>
  </si>
  <si>
    <t>Diminuer ou réduire l’intensité des émissions sonores par l’entretien des engins, machines et équipements.</t>
  </si>
  <si>
    <t>12/12/2023</t>
  </si>
  <si>
    <t>Limiter la vitesse de circulation dans le site et en dehors par l’installation des panneaux de signalisation et la sensibilisation du personnel.</t>
  </si>
  <si>
    <t>06/06/2023</t>
  </si>
  <si>
    <t>07/10/2023</t>
  </si>
  <si>
    <t>Contrôles de vitesse sur les routes d’accès afin de réduire la mortalité des espèces fauniques ;</t>
  </si>
  <si>
    <t>13/10/2023</t>
  </si>
  <si>
    <t>06/11/2023</t>
  </si>
  <si>
    <t>Coût relatif à la gestion des déchets</t>
  </si>
  <si>
    <t>07/11/2023</t>
  </si>
  <si>
    <t>Équipement de protection individuelle pour les employés</t>
  </si>
  <si>
    <t>Les employés d’EM</t>
  </si>
  <si>
    <t>01/08/2023</t>
  </si>
  <si>
    <t>07/08/2023</t>
  </si>
  <si>
    <t>Frais de verdurisation</t>
  </si>
  <si>
    <t>07/04/2023</t>
  </si>
  <si>
    <t>17/12/2023</t>
  </si>
  <si>
    <t>Frais d’entretien du bassin de résidus</t>
  </si>
  <si>
    <t>16/05/2023</t>
  </si>
  <si>
    <t>Total Excellent</t>
  </si>
  <si>
    <t>Traitement des eaux usées, surveillance de la qualité de l’eau</t>
  </si>
  <si>
    <t>KFM</t>
  </si>
  <si>
    <t xml:space="preserve">Territoire de Lubudi, Groupeùent de Ngouba </t>
  </si>
  <si>
    <t>Réduction des émissions de poussières, installation de filtresCoûts de la prévention, du traitement et de la surveillance de la pollution atmosphérique (Station météorologique de surveillance de la qualité de l'air et du bruit)</t>
  </si>
  <si>
    <t xml:space="preserve">Lutte contre la malaria </t>
  </si>
  <si>
    <t>Total COMOC</t>
  </si>
  <si>
    <t>TRAVAUX DE REMBLAYAGE DE L'EROSION</t>
  </si>
  <si>
    <t>TRAVAUX DE REMBLAYAGE DE LA DIGUE</t>
  </si>
  <si>
    <t>TRAVAUX DE LA DIGUE AU WATER POMPE</t>
  </si>
  <si>
    <t>TRAVAUX DE REMBLAYAGE WATER POMPE</t>
  </si>
  <si>
    <t xml:space="preserve">INTERVENTION A NDAYA  PAR REMBLAYAGE </t>
  </si>
  <si>
    <t>NDAYA</t>
  </si>
  <si>
    <t>王森补交环境税（国库）taxe de protection de l'environnement</t>
  </si>
  <si>
    <t>tresor public</t>
  </si>
  <si>
    <t>王森补交环境税（办公室）taxe de protection de l'environnement</t>
  </si>
  <si>
    <t>夏泽红付23年环境税补交（办公室）payer une taxe environnementale</t>
  </si>
  <si>
    <t>夏泽红付23年环境税补交（国库）payer une taxe environnementale</t>
  </si>
  <si>
    <t>Total général des dépenses environmentales obligatoires</t>
  </si>
  <si>
    <t>Non Déclaré</t>
  </si>
  <si>
    <t xml:space="preserve"> ==&gt; Réponse "Oui"</t>
  </si>
  <si>
    <t xml:space="preserve"> ==&gt; Réponse "Non"</t>
  </si>
  <si>
    <t xml:space="preserve">TOTAL </t>
  </si>
  <si>
    <t>XIZANG JUNJIE INVESTMENT CO.,Ltd</t>
  </si>
  <si>
    <t>block C, yayuncub Hotel No 8 north star east road,chaoyang Room 1406 CHINE</t>
  </si>
  <si>
    <t>BOLLORE LOGISTICS SERVICES SAS</t>
  </si>
  <si>
    <t>13440,Idiofa avenue, Building INDEX,Lubumbashi, RD Congo</t>
  </si>
  <si>
    <t>PANDA INTERNATIONAL CONGO ENGINEERING</t>
  </si>
  <si>
    <t>Av Jerusalem, C/Annexe, 2100, LUBUMBASHI RD CONGO</t>
  </si>
  <si>
    <t>CARGO CONGO SUPPLY CHAIN SERVICES</t>
  </si>
  <si>
    <t>WUHUAN CONSTRUCTION ET COMMERCE RD</t>
  </si>
  <si>
    <t>Av Nyota, Quartier Golf, 91, LUBUMBASHI RD CONGO</t>
  </si>
  <si>
    <t>BKM CONSULTING &amp;SERVICES SARL</t>
  </si>
  <si>
    <t>LUBUMBASHI ,Q MAKUTANO ,AV LUBILANSHI</t>
  </si>
  <si>
    <t>HENGRUI CONSTRUCTION COMPANY SAS</t>
  </si>
  <si>
    <t>A2158541F</t>
  </si>
  <si>
    <t>531.AV.CHEMIN PUBLIC,Q/INDUSTRIEL CELLULELATIN,C/MANIKA</t>
  </si>
  <si>
    <t>LUALABA ENGINEERING CORPORATION SARL</t>
  </si>
  <si>
    <t>A2166750D</t>
  </si>
  <si>
    <t>722 AV.DABI NENGANI Q/MUTOSHI,C/MANIKA,KOLWEZI,LUALABA R.D.C</t>
  </si>
  <si>
    <t>CHUAN TIE ELECTRIC (TIANJIN) SARL</t>
  </si>
  <si>
    <t>A1508692Q</t>
  </si>
  <si>
    <t>MESSE P2,AVENUE FEMME CONGOLAISE,Q/MUTOSHI,C/MANIKA,V/KOLWEAI,P/LUALABA</t>
  </si>
  <si>
    <t>SOCIETE BAUDOUIN SARL</t>
  </si>
  <si>
    <t>A1922748Y</t>
  </si>
  <si>
    <t>17 AV.ROUTE LIKASI, Q. KAWAMA, L'SHI，HAUT-KATANGA，R.D.Congo</t>
  </si>
  <si>
    <t>SOCIETE LUALABA PROSPERE SARL</t>
  </si>
  <si>
    <t>412，AV,BOTA,QUARTIER MUTOSHI COMMUNE,MANIKA,KOLWEZI,LUALABA REP DEM CONGO</t>
  </si>
  <si>
    <t>MINING CONTRACTING SERVICE CONGO SAS</t>
  </si>
  <si>
    <t>473, Avenue Lumumba, Commune Manika, Kolwezi</t>
  </si>
  <si>
    <t>AVANT-GUARD DE DEFENSE ET DE SECURITE SARL</t>
  </si>
  <si>
    <t>A1000710J</t>
  </si>
  <si>
    <t>2548, Residence Bamone, Av. Kamanyola, Commune de Lubumbashi</t>
  </si>
  <si>
    <t>EDWALL ENTERPRISES SARL</t>
  </si>
  <si>
    <t>A140378Y</t>
  </si>
  <si>
    <t>Avenue Kigoma No 28, Lubumbashi</t>
  </si>
  <si>
    <t>TEICHMANN STRUCTURES DRC SAS</t>
  </si>
  <si>
    <t>No 473, Avenue Lumumba, Commune Manika, Kolwezi</t>
  </si>
  <si>
    <t>1927, AvnueTshuna/ Quartier Latin/ DRC</t>
  </si>
  <si>
    <t>ELECTROWINNING &amp; REFINING SARL - T/A - EWR SARL</t>
  </si>
  <si>
    <t>A2037188U</t>
  </si>
  <si>
    <t>15,Lomami Aveue,Lubumbashi</t>
  </si>
  <si>
    <t>C&amp;F ENTREPRISE SARL</t>
  </si>
  <si>
    <t>A1602725F</t>
  </si>
  <si>
    <t>12033 Route Kasenga, Lubumbashi</t>
  </si>
  <si>
    <t>JENGA NI SARL</t>
  </si>
  <si>
    <t>A1304202H</t>
  </si>
  <si>
    <t>3581A, Avenue Lumumba, Commune de Kapemba, Lubumbashi</t>
  </si>
  <si>
    <t>7767, Avenue Ruwe Golf Lido, Commune et Ville de Lubumbashi</t>
  </si>
  <si>
    <t>FRASER ALEXANDER DRC</t>
  </si>
  <si>
    <t>A1256832M</t>
  </si>
  <si>
    <t>72, Avenue Luvungi, Commune Kapemba, Ville de Lubumbashi</t>
  </si>
  <si>
    <t>26/27, Route Kambove, Commune de Panda, Likasi</t>
  </si>
  <si>
    <t>10b Avenue Kigoma, Quartier Industriel, Lubumbashi</t>
  </si>
  <si>
    <t>A1217890K</t>
  </si>
  <si>
    <t>20 Ave. Shangungu, Quartier Industriel, Commune Kampemba, Ville de Lubumbashi</t>
  </si>
  <si>
    <t>NEW RESOLVE CONSULTING SARLU</t>
  </si>
  <si>
    <t>GLOBAL MINING SERVICES SARL</t>
  </si>
  <si>
    <t>WUHUANG CONSTRUCTION ET COMMERCE RDC SAS</t>
  </si>
  <si>
    <t>KOLWEZI MINING SARL</t>
  </si>
  <si>
    <t>A1922388G</t>
  </si>
  <si>
    <t>GERMAIN PUNGWE MABWE SARL</t>
  </si>
  <si>
    <t>VASTE RESEAU DES SERVICES AU CONGO SARL</t>
  </si>
  <si>
    <t>A1410951U</t>
  </si>
  <si>
    <t>GRESWIDE SARL</t>
  </si>
  <si>
    <t>A2286115H</t>
  </si>
  <si>
    <t>JIA RUI INVESTISSEMENTS SARL</t>
  </si>
  <si>
    <t>BLUE SKY INTERNATIONAL SERVICES SARL</t>
  </si>
  <si>
    <t>A2290337S</t>
  </si>
  <si>
    <t>ANSHENG CONSTRUCTION SARL</t>
  </si>
  <si>
    <t>CONGO CHINE OPPORTUNITY SARL</t>
  </si>
  <si>
    <t>A1714272H</t>
  </si>
  <si>
    <t>SAM RICH MOUNTAIN CONGO SARLU</t>
  </si>
  <si>
    <t>A1813489H</t>
  </si>
  <si>
    <t>FURAH - J SARL</t>
  </si>
  <si>
    <t>A2305158H</t>
  </si>
  <si>
    <t>new minerals investment</t>
  </si>
  <si>
    <t>A0906593C</t>
  </si>
  <si>
    <t>AFIRICA MINING CONSTRUCTION SARL</t>
  </si>
  <si>
    <t xml:space="preserve"> CONGO DEVELOPPEMENT SOLUTIONS SARL</t>
  </si>
  <si>
    <t>A1813468K</t>
  </si>
  <si>
    <t>CONGO INTERNATIONAL CONTRUCTION S.A.S</t>
  </si>
  <si>
    <t>A2039017H</t>
  </si>
  <si>
    <t>ALDERANCE SERVICE SARL</t>
  </si>
  <si>
    <t>ORACLE INVESTIMENT</t>
  </si>
  <si>
    <t>A2201533R</t>
  </si>
  <si>
    <t>ITM, Sodeico</t>
  </si>
  <si>
    <t>GAS</t>
  </si>
  <si>
    <t>METALCO</t>
  </si>
  <si>
    <t>Bolloré Logistic, Connex</t>
  </si>
  <si>
    <t>SEP Congo, Engen</t>
  </si>
  <si>
    <t>EPIROC</t>
  </si>
  <si>
    <t>Drilling Master</t>
  </si>
  <si>
    <t>AEL, Sicodex</t>
  </si>
  <si>
    <t>Boart Long, Solution for Africa</t>
  </si>
  <si>
    <t>Bolloré L., Connex, Abari Kani</t>
  </si>
  <si>
    <t>Master Drilling</t>
  </si>
  <si>
    <t>CITIC</t>
  </si>
  <si>
    <t>GEC</t>
  </si>
  <si>
    <t>SRK, Robinson</t>
  </si>
  <si>
    <t>MoGAS</t>
  </si>
  <si>
    <t>OUTOTEC</t>
  </si>
  <si>
    <t xml:space="preserve">Kongo River, KCS, </t>
  </si>
  <si>
    <t>SRK, Stantec, HATCH</t>
  </si>
  <si>
    <t>Bush Camp</t>
  </si>
  <si>
    <t>EPIROC, Congo Equipment, Sinotruck</t>
  </si>
  <si>
    <t>Muska, CMCK</t>
  </si>
  <si>
    <t>CFAO</t>
  </si>
  <si>
    <t>MAJENGO, KKCC</t>
  </si>
  <si>
    <t>Industrial Services</t>
  </si>
  <si>
    <t>EMI</t>
  </si>
  <si>
    <t>Kongo River, KIN Béton</t>
  </si>
  <si>
    <t>Global, NAMAF</t>
  </si>
  <si>
    <t>ISA, NAMAF</t>
  </si>
  <si>
    <t>Perfect Logistic</t>
  </si>
  <si>
    <t>Kongo River, CMCK, EGMF</t>
  </si>
  <si>
    <t>EGMF</t>
  </si>
  <si>
    <t>PANACO, ABB</t>
  </si>
  <si>
    <t>SOCIETE NATIONALE D'ELECTRICITE SARL - SNEL HT</t>
  </si>
  <si>
    <t>LUBUMBASHI-DRS/DIVISION COMMERCIALES SUD,1555, Avenue KAPENDA/Q.KIWELW</t>
  </si>
  <si>
    <t>LUBUMBASHI-1230
AVENUE KIMBEMBE
QUARTIER JOLI SITE
COMMUNE ANNEXE</t>
  </si>
  <si>
    <t>HAUT-KATANGA-61 AVENUE 
JUNE QUARTER
GAMBELA 11</t>
  </si>
  <si>
    <t>LUBUMBASHI-66
ROUTE KINSEVERE 
COMMUNE ANNEXE</t>
  </si>
  <si>
    <t>LUBUMBASHI-58B
AVENUE KASAI
QUARTIER  MAKUTANO</t>
  </si>
  <si>
    <t>LUBUMBASHI-450 AVE ABBE KAHOZI
QUARTIER MAKUTANO 
PROVINCE DU HAUT KATANGA</t>
  </si>
  <si>
    <t>KINSHASA-8225
AVENUE KABASELE TSHAMALA</t>
  </si>
  <si>
    <t>SOCIETE DES SERVICES ET LOGISTIQUE SARL - SSL</t>
  </si>
  <si>
    <t>LUALABA-176 BUSANGA AVENUE
MUTOSHI QUARTER
MANIKA TOWNSHIP</t>
  </si>
  <si>
    <t>LUBUMBASHI-369B
AVENUE LD KABILA 
QUARTIER MAKOMENO
COMMUNE LUBUMBASHI</t>
  </si>
  <si>
    <t>LUBUMBASHI-33 
AVENUE KAPWASSA
C/KAMPEMBA</t>
  </si>
  <si>
    <t>LUBUMBASHI-354
AVENUE DE LA REVOLUTION
Q-BAUDOUIN 
C-LUBUMBASHI
HAUT KATANGA</t>
  </si>
  <si>
    <t>LUBUMBASHI-369B 
CHAUSSE'E E LD KABILA
QUARTIER MAKOMENO
PROVINCE HAUT-KATANGA</t>
  </si>
  <si>
    <t>0-369 BIS 
CHAUSEE LD KABILA 
AVENUE DU PARC 
QUARTIER MAKOMENO 
COMMUNE DE LUBUMBASHI</t>
  </si>
  <si>
    <t>LUBUMBASHI-126B DE L'AVENUE CHANGALELE
QUARTER GAMBELLA II</t>
  </si>
  <si>
    <t>BLUE LINE WEAR PARTS SARL</t>
  </si>
  <si>
    <t>LUBUMBASHI-98
AVENUE LULANGULA</t>
  </si>
  <si>
    <t>LIKASI-8 DES ARTISANS</t>
  </si>
  <si>
    <t>LUBUMBASHI-4
AVENUE CASCADES
QUARTIER MAKOMENO</t>
  </si>
  <si>
    <t>ETS GHAZI AUTO LUBUMBASHI -SEE VEN07812</t>
  </si>
  <si>
    <t>LUBUMBASHI-100
AVENUE KABILA 
EX MOBUTU
QUARTIER MAKUTANO
COMMUNE LUBUMBASHI</t>
  </si>
  <si>
    <t>0-58
AV LAURENT DESIRE KABILE COIN MWEPU
QUARTER MAKUTANO
LUBUMBASHI</t>
  </si>
  <si>
    <t>LUBUMBASHI-NO 6 
AVENUE LUBUNGI
QUARTIER INDUSTRIEL
COMMUNE KAMPEMBA</t>
  </si>
  <si>
    <t>KINSHASA-4885
KOLWEZI AVE 
KINSHASA 
GOMBE</t>
  </si>
  <si>
    <t>HAUT KATANGA-27 
AVENUE DU COBALT 
QUARTIER MAKOMENO 
COMMUNE LUBUMBASHI</t>
  </si>
  <si>
    <t>LUBUMBASHI-KANU EQUIPMENT DRC 
17 AVENUE MUNGUZI
Q/INDUSTRIAL
C/MAMPEMBA-RWASHI 
KATANGA</t>
  </si>
  <si>
    <t>LUBUMBASHI-43 MAISHA
Q/GOLF
KATANGA
37 AV MOERO 
Q/MAKUTANO</t>
  </si>
  <si>
    <t>LUBUMBASHI-T/A PROXIBEX SARL
3108 AVENUE POLYTECHNIQUE
QUARTIER CRAA/ROUTE LIKASI
HAUT-KATANGA</t>
  </si>
  <si>
    <t>LUBUMBASHI-1212 BOULEVARD 
LUMUMBA</t>
  </si>
  <si>
    <t>SOCIETE FINANCIERE D'ASSURANCE CONGO - SFA CONGO</t>
  </si>
  <si>
    <t>GOMBE-134 BOULEVARD 
DU 30 JUIN
KINSHASA-GOMBE</t>
  </si>
  <si>
    <t>UNION AFRICAINE DU COMMERCE SARL - T/A UAC SARL</t>
  </si>
  <si>
    <t>LUBUMBASHI-T/A UAC SARL 
17 
AV 
MOERO
HAUT KATANGA</t>
  </si>
  <si>
    <t>LIKASI-18185/B
AV MAMA YEMO 
Q/MAKUTANO 
C/L'ISHI 
REF DERRIERE CAA</t>
  </si>
  <si>
    <t>LUBUMBASHI-506
AVENUE KASAVUBU
QUARTIER MAKUTANO
HAUT-KATANGA</t>
  </si>
  <si>
    <t>KOLWEZI-PC1024
ROUTE LIKASI
QUARTIER MUSOMPO
COMMUNE MANIKA</t>
  </si>
  <si>
    <t>LUBUMBASHI-12 
SAKANIA ROUTE</t>
  </si>
  <si>
    <t>PSAUME 113 ETS</t>
  </si>
  <si>
    <t>LUBUMBASHI-45 
AV MUTAKWA 
SAKANIA
HAUT KATANGA</t>
  </si>
  <si>
    <t>BIA RDC SA</t>
  </si>
  <si>
    <t>LUBUMBASHI-17
AVENUE HEWA BORA
COMMUNE DE KAMPEMBA
LUBUMBASHI 
HAUT-KATANGA
RD CONGO</t>
  </si>
  <si>
    <t>LUBUMBASHI-LUANO INTERNATIONAL AIRPORT
HAUT KATANGA</t>
  </si>
  <si>
    <t>LUBUMBASHI-26 - 27 
ROUTE KAMBOVE
COMMUNE DE PANDA 
LIKASI
PROVINCE DU KATANGA</t>
  </si>
  <si>
    <t>LUBUMBASHI-115
AVENUE KAPENDA</t>
  </si>
  <si>
    <t>KOLWEZI-1222 ROUTE LIKASI
Q MUSOMPO 
MUTSHARSHA
LUALABA</t>
  </si>
  <si>
    <t>LUBUMBASHI-10
AVENUE ANKORO</t>
  </si>
  <si>
    <t>LUBUMBASHI-170 AVENUE JAMENA COMMUNE DE LUBUMBASHI VILLE</t>
  </si>
  <si>
    <t>KOLWEZI-303
 AV KANANGA 
Q/BIASHARA
C/DILALA</t>
  </si>
  <si>
    <t>KATANGA-17 
AVENUE MUNGUZI Q/INDUSTRIEL
C/KAMPEMBA-RWASHI</t>
  </si>
  <si>
    <t>CONGOLESE ANALYTICAL LABORATORY SARL - T/A COAL SARL</t>
  </si>
  <si>
    <t>LUBUMBASHI-58 
AVENUE RVA 
QUARTIER LUANO 
COMMUNE RUASHI</t>
  </si>
  <si>
    <t>ETABLISSEMENTS BTS PROJECTS</t>
  </si>
  <si>
    <t>LUBUMBASHI-99 
AVENUE KASAI
COMMUNE DE LUBUMBASHI
HAUT KATANGA</t>
  </si>
  <si>
    <t>LUBUMBASHI-BCBD BUILDING
SECOND FLOOR 
DOOR 14
LUBUMBASHI TOWN</t>
  </si>
  <si>
    <t>LUBUMBASHI-60 AV MANEEMA</t>
  </si>
  <si>
    <t>LUBUMBASHI-999 ROUTE
LIKASI</t>
  </si>
  <si>
    <t>LUBUMBASHI-2804-A
ROUTE LIKASI
COMMUNE DE LUBUMBASHI
HAUT-KATANGA</t>
  </si>
  <si>
    <t>KINSHASA-AFRITECH BUSINESS SOLUTIONS SARL
T/A ABS SARL
8 
AV/MPOLO MAURICE
BETWEEN SEBENA KINCONFORT 
GOMBE</t>
  </si>
  <si>
    <t>METSERV DRC SARL</t>
  </si>
  <si>
    <t>LUBUMBASHI-GOD AVENUE
Q GOLF TERMINUS</t>
  </si>
  <si>
    <t>KATANGA-PL 4754
ROUTE KASENGA 
Q/JOLI SITE
C/ANNEXE
LUBUMBASHI</t>
  </si>
  <si>
    <t>LUBUMBASHI-843 AVENUE DILOLO QUARTIER KALUBWE
COMMUNE DE LUBUMBASHI
VILLE DE LUBUMBASHI 
HAUT KATANGA</t>
  </si>
  <si>
    <t>MAKE EASY BUSINESS SARL</t>
  </si>
  <si>
    <t>LUBUMBASHI-23
KISULA
QUARTIER PLATEAU KARAVIA</t>
  </si>
  <si>
    <t>LUBUMBASHI-84
SAKANIA 
AV KABUNDA 
HAUT KATANGA</t>
  </si>
  <si>
    <t>Democratic Republic Congo-T/A SMT
2841 
ROUTE LIKASI
LUBUMBASHI</t>
  </si>
  <si>
    <t>LUBUMBASHI-11 AVENUE SHANGUNGU
COMMUNE DE KAMPEMBA 
HAUT KATANGA</t>
  </si>
  <si>
    <t>LUBUMBASHI-3BIS
AVENUE BIAYI
QUARTIER LUMUMBA
COMMUNE ET VILLE</t>
  </si>
  <si>
    <t>INTEGRATED ENGINEERING SERVICES SARL (IES)</t>
  </si>
  <si>
    <t>LUBUMBASHI-34
ROUTE KINSEVERE</t>
  </si>
  <si>
    <t>LUBUMBASHI-NO 1049 
AVENUE DES EMETTEURS 
QUARTIER GOLF
MUNA COMMUNE ET VILLE DE L'SHI</t>
  </si>
  <si>
    <t>VODACOM - CONGO</t>
  </si>
  <si>
    <t>KINSHASA-3157 BOULEVARD 
DU 30 JUIN 
COMMUNE DE LA GOMBE</t>
  </si>
  <si>
    <t>LUBUMBASHI-164 ROUTE KIPISHI
KALULAMESHI</t>
  </si>
  <si>
    <t>SAKANIA-ROUTE LUKANGABA
QUARTIER DOUANE</t>
  </si>
  <si>
    <t>LUBUMBASHI-02 
RADIUM GCM 
MAKOMENO</t>
  </si>
  <si>
    <t>LUBUMBASHI-AVENUE SHANGUNGU NO.15
C/KAMPEMBA
LUBUMBASHI AV
 COLONEL LUKUSA
NO 3854
KINSHASA-GOMBE</t>
  </si>
  <si>
    <t>LUBUMBASHI-182 
DES ETOILES
QUARTIER KIMBWAMBWA
HAUT KATANGA</t>
  </si>
  <si>
    <t>FRALINE ENGINEERING SARL</t>
  </si>
  <si>
    <t>LUBUMBASHI-182
AVENUE DES ETOILES
KIMBWAMBWA</t>
  </si>
  <si>
    <t>LUBUMBASHI-T/A RIA SARL 
8083 AVENUE DITTU</t>
  </si>
  <si>
    <t>MAAMOA SARL</t>
  </si>
  <si>
    <t>LUBUMBASHI-137
BIAYIAVENUE
KALUBWE QUARTER
HAUT-KATANGA</t>
  </si>
  <si>
    <t>MAYAS ENGINEERING &amp; CONSULTING</t>
  </si>
  <si>
    <t>LUBUMBASHI-5 
AVENUE LUBUMBASHI QUARTIER MAKOMENO COMMUNE LUBUMBASHI</t>
  </si>
  <si>
    <t>LUBUMBASHI-29 KATONTOKA 
QUARTIER CAMP MARAMBA</t>
  </si>
  <si>
    <t>LUBUMBASHI-13440 
AVENUE IDIOFA 
QUARTIER KWELE IMMEUBLE 
INDEX 7
HAUT KATANGA</t>
  </si>
  <si>
    <t>KATANGA-CAMP CHANTIER
COMMUNE SAKANIA</t>
  </si>
  <si>
    <t>0-CALLE INICIATIVA 2
P.I LOS OLIVOS
28906 GETAFE
SPAIN</t>
  </si>
  <si>
    <t>TRACTAFRIC EQUIPMENT RDC</t>
  </si>
  <si>
    <t>KINSHASA-2798
BOULEVARD DU 30 JUIN
GOMBE</t>
  </si>
  <si>
    <t>KATANGA-423 
AV CHAUSSE DE KASENGA Q/LUWOWOSHI 
C/KAMPEMBA 
VILLE DE LUBUMBASHI HAUT KATANGA</t>
  </si>
  <si>
    <t>LUBUMBASHI-999
AVENUE KANZENZE
KOLWEZI
LUALABA</t>
  </si>
  <si>
    <t>LUBUMBASHI-2845
AVENUE M'SIRI
COMMUNE LUBUMBASHI</t>
  </si>
  <si>
    <t>LUBUMBASHI-60 
AVENUE MANIEMA
COMMUNE LUBUMBASHI</t>
  </si>
  <si>
    <t>LUBUMBASH-AVENUE CHEMIN PUBLIC
NUMERO 1 
LOTISSEMENT JOLI SITE
COMMUNE ANNEXE
VILLA DE LUBUMBASH</t>
  </si>
  <si>
    <t>LUBUMBASHI-407B AVENUE
LUBILANSHI</t>
  </si>
  <si>
    <t>KINSHASA-AVENUE COLONEL EBEYA 
NBR 1517 
C/GOMBE</t>
  </si>
  <si>
    <t>NAHIYA SARL</t>
  </si>
  <si>
    <t>LUBUMBASHI-8 
KIPULUKA MICHEL
Q/GOLF LES BATTANTS</t>
  </si>
  <si>
    <t>DUPLICATE - UNION AFRICAINE DE COMMERCE SARL - T/A UAC SARL</t>
  </si>
  <si>
    <t>AFRICA BUSINESS SERVICES</t>
  </si>
  <si>
    <t>LUBUMBASHI-504
AVENUE KASA-VUBU
COMMUNE LUBUMBASHI</t>
  </si>
  <si>
    <t>LUBUMBASHI-57 
MOERO
Q/MAKUTANO</t>
  </si>
  <si>
    <t>LUBUMBASHI-12 RADIUM
MAKUNTO</t>
  </si>
  <si>
    <t>OFFICE CONGOLAIS DE CONTROLE - OCC</t>
  </si>
  <si>
    <t>KINSHASA-SIEGE SOCIAL ET ADM
KINSHASA-BLDG
KINSHASA
REPUBLIQUE DEMOCRATIQUE DU CONGO</t>
  </si>
  <si>
    <t>LUBUMBASHI-231 AVENUE KAPENDA
QUARTIER MAKUTANA COMMUNE HAUT KATANGA</t>
  </si>
  <si>
    <t>HAUT KATANGA-194 
AVENUE MOERO 
COMMUNE ET VILLE DE LUBUMBASHI</t>
  </si>
  <si>
    <t>LUBUMBASHI-3888
AV DE L'EGLISE
KASANGULU
C-ANNEXE
P-KATANGA</t>
  </si>
  <si>
    <t>HAUT-KATANGA-26-27
POTEAU ROUGE
ROUTE KAMBOVE
COMMUNE DE PANDA
VILLE DE LIKASI</t>
  </si>
  <si>
    <t>LUBUMBASHI-616A 
AVENUE ILUNGA
QUARTIER GOLF MUNUA 
C-ANNEXE-LUBUMBASHI
HAUT KATANGA</t>
  </si>
  <si>
    <t>KKS ENTREPRISE SARL</t>
  </si>
  <si>
    <t>LUBUMBASHI-43 
AVENUE MAISHA
QUARTIER GOLF KABULAMESHI</t>
  </si>
  <si>
    <t>LUBUMBASHI-41 AVENUE KAYUMBA
QUARTIER LIDO GOLF
COMMUNE LUBUMBASHI
LUBUMBASHI/RDC
REP DEM CONGO</t>
  </si>
  <si>
    <t>LEMBA-57B
BIANGALA
SALONGO</t>
  </si>
  <si>
    <t>OVK LAW FIRM</t>
  </si>
  <si>
    <t>KINSHASA-3 BISMARK 
GOMBE</t>
  </si>
  <si>
    <t>3D ENGINEERING MULTIS-SERVICES SARL</t>
  </si>
  <si>
    <t>KOLWEZI-2343
CHURCH STREET
BIASHARA DISTRICT</t>
  </si>
  <si>
    <t>HAUT-KATANGA-27 AVENUE DU COBALT
Q/MAKOMENO 
C/LUBUMBASHI 
VILLE DE LUBUMBASHI</t>
  </si>
  <si>
    <t>LUBUMBASHI-2924
AVENUE RUWE
COMMUNE DE LUBUMBASHI</t>
  </si>
  <si>
    <t>PRUDENCIA SARL</t>
  </si>
  <si>
    <t>Lumbumbashi-63
RUE SHILATEMBO
Q/LUALABA
C/KENYA</t>
  </si>
  <si>
    <t>PLANET PHARMA SARL</t>
  </si>
  <si>
    <t>KATANGA-NO17 AV LOMAMI
LUBUMBASHI
HAUT-KATANGA</t>
  </si>
  <si>
    <t>LUBUMBASHI-2628 
BOULEVARD KANANYOLA</t>
  </si>
  <si>
    <t>BUILDER MINING &amp; SERVICES SARL</t>
  </si>
  <si>
    <t>LUBUMBASHI-60 MAMAN ROSETTE STREET</t>
  </si>
  <si>
    <t>KINSHASA-15 - 17 AVENUE COLONEL EBEYA
GOMBE</t>
  </si>
  <si>
    <t>LUBUMBASHI-02 AVENUE KIGOMA
Q INDUSTRIAL 
C/KAMPEMBA</t>
  </si>
  <si>
    <t>0-2189 AVENUE MAMA YEMO
LE WORKSPACE
COMMUNE DE LUBUMBASHI
LUBUMBASHI</t>
  </si>
  <si>
    <t>LUBUMBASHI-LUBUMBASHI</t>
  </si>
  <si>
    <t>0-20 AVENUE SHANGUNGU
QUARTIER INDUSTRIAL 
COMMUNE KAMPEMBA 
VILLE DE LUBUMBASHI 
PROVINCE OF HAUT-KATANGA</t>
  </si>
  <si>
    <t>LUBUMBASHI-6070 ROUTE KASENGA
COMMUNE KAMPEMBA</t>
  </si>
  <si>
    <t>OLGA MULTI WAYS SARL</t>
  </si>
  <si>
    <t>LUBUMBASHI-37
AVENUE DES SAVONNIERS
COMMUNE KAMPEMBA VILLE DE LUBUMBASHI
HAUT KATANGA</t>
  </si>
  <si>
    <t>LUBUMBASHI-45 AV
MUTAKWA SITE
SAKANIA
LUBUMBASHI</t>
  </si>
  <si>
    <t>SKY PHARMA SARL</t>
  </si>
  <si>
    <t>KINSHASA-3
AVENUE ACTION
COMMUNE GOMBE</t>
  </si>
  <si>
    <t>Kolwezi-311
AVENUE KUTU
COMMUNE DE MANIKA
QUARTIER MUTOSHI
VILLE DE KOLWEZI
PROVINCE DU LUALABA</t>
  </si>
  <si>
    <t>LUBUMBASHI-07 CASCADES AVENUE
ANNEX 256 
DAVID MWILA</t>
  </si>
  <si>
    <t>LUBUMBASHI-031 AV TINANGWA Q KILOBELOBE C
ANNEXE 
VILLE DE LUBUMBASHI
PROVINCE DU HAUT KATANGA</t>
  </si>
  <si>
    <t>COMITE NATIONAL DE PROTECTION CONTRE RAYONNEMENTS LONISANT - CNPRI</t>
  </si>
  <si>
    <t>0-SITE DE I'UNIVERSITE DE KINSHASA
KINSHASA</t>
  </si>
  <si>
    <t>LUBUMBASHI-1645 KAPENDA AVE
MUKUTANO QUARTER
LUBUMBASHI COMMUNE
HAUT-KATANGA PROVINCE</t>
  </si>
  <si>
    <t>KINSHASA-15-17 COLONEL EBEYA
KINSHASHA ROAD</t>
  </si>
  <si>
    <t>LUALABA-EKMM
HEADQUATER 
1927 AVENUE TSHUNA
KOLWEZI</t>
  </si>
  <si>
    <t>LUBUMBASHI-7770 AVENUE KILWA
QUARTIER LIDO GOLF
COMMUNE ANNEXE</t>
  </si>
  <si>
    <t>FEDERATION DES ENTREPRISES DU CONGO - FEC</t>
  </si>
  <si>
    <t>LUBUMBASHI-550 AVENUE TABORA
COMMUNE DE LUBUMBASHI</t>
  </si>
  <si>
    <t>COMMISSARIATE GENERALE A L'ENERGIE ATOMIQUE</t>
  </si>
  <si>
    <t>KINSHASA-H8J5+XQW
UNNAMED ROAD</t>
  </si>
  <si>
    <t>LUBUMBASHI-33529
ROUTE LUKANGABA
COMMUNE ET TERRITOIRE SAKANYA
PROVINCE DU HAUTE KATANGA</t>
  </si>
  <si>
    <t>SOCIETE NATIONALE D'ASSURANCE - SONAS</t>
  </si>
  <si>
    <t>KINSHASA-COMMUNE DE GOMBE
VILLE DE KINSHASA</t>
  </si>
  <si>
    <t>INNOVATIVE AFRICA SOLUTIONS SARL</t>
  </si>
  <si>
    <t>LUBUMBASHI-3881
AVENUE DE L'EGLISE
QUARTIER GAMBELA</t>
  </si>
  <si>
    <t>HAUT KATANGA-1157 
AV MAMA YEMO
O/MAKUTANO
C/LUBUMBASHI</t>
  </si>
  <si>
    <t>FACULTE DES SCIENCES AGRONOMIQUES DE I'UNIVERSITE DE LUBUMBASHI</t>
  </si>
  <si>
    <t>LUBUMBASHI-ROUTE KASAPA
CAMPUS UNISERSITAIRE DE LA KASAPA 
UNIVERSITE DE LUBUMBASHI</t>
  </si>
  <si>
    <t>DUPLICATE - BAHATI MEDICAL</t>
  </si>
  <si>
    <t>LUBUMBASHI-MAMA YEMO AVENUE NO.28
COMMUNE DE LIKASI
LIKASI</t>
  </si>
  <si>
    <t>TRUST COMPANY AFRICA SARL</t>
  </si>
  <si>
    <t>LUBUMBASHI-971
AVENUE LUMUMBA
QUARTIER INDUSTRIEL
COMMUNE KAMPEMBA</t>
  </si>
  <si>
    <t>MEDICAL PHARMA TECHNIQUE SARL</t>
  </si>
  <si>
    <t>0-AVENUE ABBE 
KAOZE 301
PROVINCE DU HAUT KATANGA
LUBUMBASHI</t>
  </si>
  <si>
    <t>LUBUMBASHI-695/11 MUSWIL
QUARTIER MALELA
COMMUNE ET VILLE DE LUBUMBASHI</t>
  </si>
  <si>
    <t xml:space="preserve"> CrEng (Pty) Ltd</t>
  </si>
  <si>
    <t xml:space="preserve"> D J Volschenk Consulting Services</t>
  </si>
  <si>
    <t xml:space="preserve"> Dassault Systemes South Africa (Pty</t>
  </si>
  <si>
    <t xml:space="preserve"> Global Laboratories (Pty) Ltd</t>
  </si>
  <si>
    <t xml:space="preserve"> GROUPE TBO SERVICES SARL</t>
  </si>
  <si>
    <t xml:space="preserve"> Maelgwyn South Africa (Pty) Ltd</t>
  </si>
  <si>
    <t xml:space="preserve"> METSO MINERALS SA (PTY) LTD</t>
  </si>
  <si>
    <t xml:space="preserve"> Mineware Africa (Pty) Ltd</t>
  </si>
  <si>
    <t xml:space="preserve"> RANDGOLD RESOURCES</t>
  </si>
  <si>
    <t xml:space="preserve"> Seswike Personnel Outsourcing &amp;</t>
  </si>
  <si>
    <t xml:space="preserve"> SMTS Zambia Limited</t>
  </si>
  <si>
    <t xml:space="preserve"> STEVEN L. KRAMER</t>
  </si>
  <si>
    <t xml:space="preserve"> Tetra Tech Inc</t>
  </si>
  <si>
    <t xml:space="preserve"> Tsangya Vision Solutions</t>
  </si>
  <si>
    <t xml:space="preserve"> WD POWER (PTY) LTD</t>
  </si>
  <si>
    <t>ABB SOUTH AFRICA (PTY) LT</t>
  </si>
  <si>
    <t>ABOARD GROUP CC</t>
  </si>
  <si>
    <t>ACCORD SERVICES SARL</t>
  </si>
  <si>
    <t>A1807801A</t>
  </si>
  <si>
    <t>ACTION B</t>
  </si>
  <si>
    <t>ADN DRILLING SOLUTIONS RD</t>
  </si>
  <si>
    <t>ADN TRADING</t>
  </si>
  <si>
    <t>Advanced Mineral Technolo</t>
  </si>
  <si>
    <t>AERONAUTIC CONSULTING AND</t>
  </si>
  <si>
    <t>AFIA SANTE</t>
  </si>
  <si>
    <t>Africa Business Company S</t>
  </si>
  <si>
    <t>AFRICA MINING ENGINEERING</t>
  </si>
  <si>
    <t>Africa Power Services Sas</t>
  </si>
  <si>
    <t>AFRICAN ASSAY LABORATORIE</t>
  </si>
  <si>
    <t>AFRICAN PARKS NETWORK</t>
  </si>
  <si>
    <t>AFRICAN REPTILES AND VENO</t>
  </si>
  <si>
    <t>Agence Des Batisseurs Du</t>
  </si>
  <si>
    <t>AIR LIQUIDE RDC SA</t>
  </si>
  <si>
    <t>AKILI CONSULTING SARL</t>
  </si>
  <si>
    <t>ALDI TRADING SARL</t>
  </si>
  <si>
    <t>ALIDA SARLU</t>
  </si>
  <si>
    <t>ALIMICS SPRL</t>
  </si>
  <si>
    <t>A1716424X</t>
  </si>
  <si>
    <t>AL-JAARIYAT GENERAL SERVI</t>
  </si>
  <si>
    <t>ALPHA BUSINESS CONSULTING</t>
  </si>
  <si>
    <t>A1615974G</t>
  </si>
  <si>
    <t>ALS CHEMEX SOUTH AFRICA (</t>
  </si>
  <si>
    <t>ALTEK SOLUTIONS</t>
  </si>
  <si>
    <t>ALUBE BUSINESS TRADING SA</t>
  </si>
  <si>
    <t>ALUZA SERVICES SARL</t>
  </si>
  <si>
    <t>AMAL COMPANY</t>
  </si>
  <si>
    <t>AMAZONE SERVICES SARL</t>
  </si>
  <si>
    <t>ANDREA GLOBAL SERVICES</t>
  </si>
  <si>
    <t>APPLIED HEAT PTY LTD</t>
  </si>
  <si>
    <t>ASSOCITION DES MAMANS MAL</t>
  </si>
  <si>
    <t>ASTEC INDUSTRIES AFRICA M</t>
  </si>
  <si>
    <t>AUSSPEC INTERNATIONAL LIM</t>
  </si>
  <si>
    <t>AUTOREDO</t>
  </si>
  <si>
    <t>AUTORITE DE L'AVIATION CI</t>
  </si>
  <si>
    <t>AVENIR CONGO MEILLEUR SAR</t>
  </si>
  <si>
    <t>AXESS NETWORKS SOLUTIONS</t>
  </si>
  <si>
    <t>Azmet Technology &amp; Projec</t>
  </si>
  <si>
    <t>Bamida Company Sarl</t>
  </si>
  <si>
    <t>BARAK ALLAH CONSTRUCTION</t>
  </si>
  <si>
    <t>BARIC GENERAL SERVICES SA</t>
  </si>
  <si>
    <t>BBE CONSULTING</t>
  </si>
  <si>
    <t>BCS RSA (PTY) LTD</t>
  </si>
  <si>
    <t>BECK ENGINEERING PTY LTD</t>
  </si>
  <si>
    <t>BENTLEY SYSTEMS INTERNATI</t>
  </si>
  <si>
    <t>BETHEL COMPAGNY SARL</t>
  </si>
  <si>
    <t>BIRCHMAN SOLUTIONS LIMITE</t>
  </si>
  <si>
    <t>BLUESP (PTY) LTD</t>
  </si>
  <si>
    <t>BOART LONGYEAR DRC SPRL</t>
  </si>
  <si>
    <t>BOZOGO ET FILS</t>
  </si>
  <si>
    <t>BRIGHT FUTURE BUSINESS CO</t>
  </si>
  <si>
    <t>BTC MININGS AND SERVICES</t>
  </si>
  <si>
    <t>BUILDING MAINTENANCE TRAD</t>
  </si>
  <si>
    <t>BUILDING MODELING OFFICE</t>
  </si>
  <si>
    <t>BUSINESS AND GENERAL SERV</t>
  </si>
  <si>
    <t>BUSINESS NEGOCE AND PARTN</t>
  </si>
  <si>
    <t>CARGO TRANS SARL</t>
  </si>
  <si>
    <t>CASH COST TO BE JUSTIFIED</t>
  </si>
  <si>
    <t>CENTRE D'EXPERTISE, D'EVA</t>
  </si>
  <si>
    <t>CENTRE HOSPITALIER KIBALI</t>
  </si>
  <si>
    <t>CENTRE MÉDICAL DE KINSHAS</t>
  </si>
  <si>
    <t>COMITU SARL</t>
  </si>
  <si>
    <t>COMMISSARIAT GENERAL A L'</t>
  </si>
  <si>
    <t>COMPAGNIE DE LOGISTIQUE E</t>
  </si>
  <si>
    <t>COMPAGNIE IKAMVA RANGBARA</t>
  </si>
  <si>
    <t>COMPAGNIE MULTIMODALE D'I</t>
  </si>
  <si>
    <t>COMPANY LA  FORTUNE D'AVE</t>
  </si>
  <si>
    <t>COMPLETE ENTERPRISE SOLUT</t>
  </si>
  <si>
    <t>CONGO CONSTRUCTION &amp; TRAN</t>
  </si>
  <si>
    <t>CONGO EXPRESS AIRLINES  U</t>
  </si>
  <si>
    <t>Congo Fleuve Compagny</t>
  </si>
  <si>
    <t>CONGO IMAGE</t>
  </si>
  <si>
    <t>Congo Logistic Trading</t>
  </si>
  <si>
    <t>CONGO POWER SERVICES SARL</t>
  </si>
  <si>
    <t>CONSTRUCTION ET MAINTENAN</t>
  </si>
  <si>
    <t>CONTRACT MINING &amp; CONSTRU</t>
  </si>
  <si>
    <t>CONVERGEONE INC.</t>
  </si>
  <si>
    <t>CRANE LOAD TECHNOLOGY</t>
  </si>
  <si>
    <t>D J VOLSCHENK CONSULTING</t>
  </si>
  <si>
    <t>DANIEL MUKEBA SERVICES SA</t>
  </si>
  <si>
    <t>A1402301S</t>
  </si>
  <si>
    <t>DAV TRADING CONSULTING SA</t>
  </si>
  <si>
    <t>DCMS GLOBAL SARL</t>
  </si>
  <si>
    <t>DECISION SUPPORT IN EDUCA</t>
  </si>
  <si>
    <t>DELTA SERVICES RDC</t>
  </si>
  <si>
    <t>DESWIK MINING CONSULTANTS</t>
  </si>
  <si>
    <t xml:space="preserve">DEVELOPPEMENT IMMOBILIER AU CONGO </t>
  </si>
  <si>
    <t>DHL EXPRESS KIN</t>
  </si>
  <si>
    <t>A0701137U</t>
  </si>
  <si>
    <t>DIGBY WELLS ENVIRONMENTAL (JER</t>
  </si>
  <si>
    <t>DIGNET IT SERVICES (U) LI</t>
  </si>
  <si>
    <t>DILCOM IT SOLUTIONS (U) L</t>
  </si>
  <si>
    <t>Diverse Corporate Trainin</t>
  </si>
  <si>
    <t>Doherty Associates</t>
  </si>
  <si>
    <t>DORSEY &amp; WHITNEY LLP</t>
  </si>
  <si>
    <t>Doxa Technologies Limited</t>
  </si>
  <si>
    <t>Dra Projects (Pty) Ltd</t>
  </si>
  <si>
    <t>DRA PROJECTS SA (PTY) LTD</t>
  </si>
  <si>
    <t>DUPE LEBABAKWA SERVICES S</t>
  </si>
  <si>
    <t>DURBA DEVELOPMENT SERVICE</t>
  </si>
  <si>
    <t>DWYKA MINING SERVICES (PT</t>
  </si>
  <si>
    <t>DWYKA PROJECT MANAGEMENT</t>
  </si>
  <si>
    <t>Dynamique Pour Un Congo M</t>
  </si>
  <si>
    <t>EAGLE ENGINEERING SERVICE</t>
  </si>
  <si>
    <t>EAGLE VISION BUSINESS</t>
  </si>
  <si>
    <t>ECHOTEL PROPRIETARY UGAND</t>
  </si>
  <si>
    <t>EDEN BUSINESS COMPANY SAR</t>
  </si>
  <si>
    <t>ELECTRONIC SOLUTION SARLU</t>
  </si>
  <si>
    <t>ELITE LOGISTIC SERVICES</t>
  </si>
  <si>
    <t>EMERSON FZE</t>
  </si>
  <si>
    <t>Emiafrica Sarl</t>
  </si>
  <si>
    <t>ENERGOLD DRILING (EMEA) L</t>
  </si>
  <si>
    <t>Engie Impact Australia Pty Ltd</t>
  </si>
  <si>
    <t>Engineering Geology Ltd</t>
  </si>
  <si>
    <t>ESOLM COMPANY SARL</t>
  </si>
  <si>
    <t>ETS BAZAMBE &amp; FILS</t>
  </si>
  <si>
    <t>Ets Bokanga Multiservice</t>
  </si>
  <si>
    <t>A1609970F</t>
  </si>
  <si>
    <t>ETS BOZOGO ET FILS</t>
  </si>
  <si>
    <t>ETS BTS PROJECTS</t>
  </si>
  <si>
    <t>ETS KABAMBA ET FILS</t>
  </si>
  <si>
    <t>ETS LE FANAZI DR CONGO</t>
  </si>
  <si>
    <t>ETS MUNGU NI MWEMA</t>
  </si>
  <si>
    <t>ETS. ALIDA NAYALITE</t>
  </si>
  <si>
    <t>Everlasting Sarl</t>
  </si>
  <si>
    <t>EYANO SERVICES SARL</t>
  </si>
  <si>
    <t>FAMPROP CC T/A FAMSYSTEM</t>
  </si>
  <si>
    <t>FANTASTIC BUSINESS COMAPN</t>
  </si>
  <si>
    <t>FAS! CONNECT &amp; TRANSLATIO</t>
  </si>
  <si>
    <t>FIRM MINING SERVICES SARL</t>
  </si>
  <si>
    <t>Flender Graffenstaden</t>
  </si>
  <si>
    <t>FROMBLE CORP PTY LTD</t>
  </si>
  <si>
    <t>Galaxie Victoire Sarl</t>
  </si>
  <si>
    <t>A2207379W</t>
  </si>
  <si>
    <t>GALAXY SERVICES SARL</t>
  </si>
  <si>
    <t>GAMBALI BUSINESS COMPANY</t>
  </si>
  <si>
    <t>GARAMBA GROUP SARL</t>
  </si>
  <si>
    <t>GEKKO SYSTEMS PTY LTD</t>
  </si>
  <si>
    <t>Gene R Tortelli Llc</t>
  </si>
  <si>
    <t>GENERAL BUSINESS SERVICES</t>
  </si>
  <si>
    <t>GENERAL ENGINEERING CORPO</t>
  </si>
  <si>
    <t>GEOISSA ENGINEERS LIMITED</t>
  </si>
  <si>
    <t>Geolabs Global (Pty) Ltd</t>
  </si>
  <si>
    <t>Geophex Surveys Limited</t>
  </si>
  <si>
    <t>Geopolis Magazine</t>
  </si>
  <si>
    <t>Gkd Africa (Pty) Ltd</t>
  </si>
  <si>
    <t>GLOBAL LABORATORIES (PTY)</t>
  </si>
  <si>
    <t>GLOBAL TRUCK LOGISTICS SA</t>
  </si>
  <si>
    <t>A1510069M</t>
  </si>
  <si>
    <t>GLORIA TRADING SARL</t>
  </si>
  <si>
    <t>A2201415N</t>
  </si>
  <si>
    <t>God Great Company</t>
  </si>
  <si>
    <t>GOLDEN CAMP SOLUTIONS</t>
  </si>
  <si>
    <t>GRACIA PSYCHOLOGICAL CENT</t>
  </si>
  <si>
    <t>GRACIEL GLORIEUSE INVEST</t>
  </si>
  <si>
    <t>GROUP AMUTA ADROLE MAYUYU</t>
  </si>
  <si>
    <t>GROUP FIVE SERVICES SARL</t>
  </si>
  <si>
    <t>Group Kaloma &amp; Associes G</t>
  </si>
  <si>
    <t>GROUP KALOMA &amp; ASSOCIES GDK  USD</t>
  </si>
  <si>
    <t>GROUPE AMA BUSINESS SERVI</t>
  </si>
  <si>
    <t>GROUPE ATAFO SERVICES GAS</t>
  </si>
  <si>
    <t>GROUPE COMMUNAUTAIRE KALI</t>
  </si>
  <si>
    <t>GROUPE ENGINEERING LOGIST</t>
  </si>
  <si>
    <t>GROUPE MULTI SERVICE SARL</t>
  </si>
  <si>
    <t>GROUPE TBO SERVICES SARL</t>
  </si>
  <si>
    <t>GROUPE UTUTU &amp; BASELE SER</t>
  </si>
  <si>
    <t>GRYPHON RESCUE SERVICES C</t>
  </si>
  <si>
    <t>GURUNGBA VILLAGE COMPANY</t>
  </si>
  <si>
    <t>High Technologies Detecti</t>
  </si>
  <si>
    <t>Hole Tech (Pty) Ltd</t>
  </si>
  <si>
    <t>HOPE LOGISTIC COMPANY</t>
  </si>
  <si>
    <t>HOPE TRADING BUSINESS</t>
  </si>
  <si>
    <t>HOPE TRADING COMPANY SARL</t>
  </si>
  <si>
    <t>Horts Geo Solutions (Pty)</t>
  </si>
  <si>
    <t>Hydrex (Pty) Ltd</t>
  </si>
  <si>
    <t>HYDRO - GEO SERVICES</t>
  </si>
  <si>
    <t>HYSPEC MINING SERVICES CO</t>
  </si>
  <si>
    <t>Ihobe International Drc</t>
  </si>
  <si>
    <t>IMDEX GLOBAL B.V. (DMCC B</t>
  </si>
  <si>
    <t>INNOVATIONS FULL SARL</t>
  </si>
  <si>
    <t>Insight Edge (Pty) Ltd</t>
  </si>
  <si>
    <t>INSTITUTE OF MINE SEISMOL</t>
  </si>
  <si>
    <t>INTER ORIENTAL BUILDERS SPRL</t>
  </si>
  <si>
    <t>Internet Solutions Tanzan</t>
  </si>
  <si>
    <t>I-SERVICES CONSULTING SAR</t>
  </si>
  <si>
    <t>A1510525H</t>
  </si>
  <si>
    <t>J&amp;H INTERNATIONALS GROUP</t>
  </si>
  <si>
    <t>J&amp;H Internationals Group Limited</t>
  </si>
  <si>
    <t>J4L COMPANY</t>
  </si>
  <si>
    <t>JENA TRADING SARL</t>
  </si>
  <si>
    <t>JERUSALEM GENERAL SERVICE</t>
  </si>
  <si>
    <t>JEUNESSE POUR LE DEVELOPE</t>
  </si>
  <si>
    <t>JOY BUSINESS DEBS SARLU</t>
  </si>
  <si>
    <t>JOZI GENSETS LIMITED</t>
  </si>
  <si>
    <t>JURA LOGISTICS SERVICES</t>
  </si>
  <si>
    <t>KABUYA COMPAGNIES BUSINES</t>
  </si>
  <si>
    <t>KALDOREI AFRICA CC</t>
  </si>
  <si>
    <t>KAMARA MPAKA  K.M-SARL</t>
  </si>
  <si>
    <t>Karavia Electric Sarl</t>
  </si>
  <si>
    <t>KEDJOS SARLU</t>
  </si>
  <si>
    <t>KIBALI MINING SERVICES (K</t>
  </si>
  <si>
    <t>Kimbercross Pty Ltd</t>
  </si>
  <si>
    <t>Kingdom Sarl</t>
  </si>
  <si>
    <t>KOKIZA UNI ET RENOVE POUR</t>
  </si>
  <si>
    <t>KONGBOKORO SARL</t>
  </si>
  <si>
    <t>KONGO RIVER SAS</t>
  </si>
  <si>
    <t>Kpm</t>
  </si>
  <si>
    <t>KSCA GEOMECHANICS PTY LTD</t>
  </si>
  <si>
    <t>LA CONSTRUCTION ET SES IN</t>
  </si>
  <si>
    <t>LA GENERALE DE SERVICE CO</t>
  </si>
  <si>
    <t>La Societe De Fourniture</t>
  </si>
  <si>
    <t>LABORATOIRE RODOLPHE MERIEUX I</t>
  </si>
  <si>
    <t>LADIES FOR BUILDING AND C</t>
  </si>
  <si>
    <t>Lane Associates Limited</t>
  </si>
  <si>
    <t>LAPSON VISION SARL</t>
  </si>
  <si>
    <t>LE MERIDALL</t>
  </si>
  <si>
    <t>LEADING INNOVATION IN DRC</t>
  </si>
  <si>
    <t>LEICA GEOSYSTEMS (PTY) LT</t>
  </si>
  <si>
    <t>LIFE IS WORK SARL</t>
  </si>
  <si>
    <t>LIHOPE</t>
  </si>
  <si>
    <t>LILANGA BUILDING BUSINESS</t>
  </si>
  <si>
    <t>LLOYDS BRITISH UGANDA</t>
  </si>
  <si>
    <t>LOOK SERVICES SARL</t>
  </si>
  <si>
    <t>LORGE CONSULTING (PTY) LT</t>
  </si>
  <si>
    <t>LUTTE POUR UN AVENIR MEIL</t>
  </si>
  <si>
    <t>LUTULA TRADING COMPANY</t>
  </si>
  <si>
    <t>MABADILIKO SOCIAL PERFORM</t>
  </si>
  <si>
    <t>MACLEAN ENGINEERING &amp; MAR</t>
  </si>
  <si>
    <t>MAELGWYN MINERAL SERVICES</t>
  </si>
  <si>
    <t>MAELGWYN SOUTH AFRICA (PT</t>
  </si>
  <si>
    <t>MAGIC SOLUTION GLOBAL</t>
  </si>
  <si>
    <t>MAHABA COMPAGNIE SERVICES</t>
  </si>
  <si>
    <t>MAHANAIM COMPANY MC</t>
  </si>
  <si>
    <t>Maisha Construction</t>
  </si>
  <si>
    <t>Majengo Mapya Sarl</t>
  </si>
  <si>
    <t>MALTEXX LTD</t>
  </si>
  <si>
    <t>MANUGUY BUSINESS SARL</t>
  </si>
  <si>
    <t>MAPTEK LTD</t>
  </si>
  <si>
    <t>MAPTEK SOUTHERN AFRICA (P</t>
  </si>
  <si>
    <t>Marc Corporation Service</t>
  </si>
  <si>
    <t>MASLOW SKYE INDUSTRIAL</t>
  </si>
  <si>
    <t>MASTER DRILLING RDC SARL</t>
  </si>
  <si>
    <t>Maxwell Geological Servic</t>
  </si>
  <si>
    <t>MAYUMBU TRADING</t>
  </si>
  <si>
    <t>MERCY TRADING AFRICA SARL</t>
  </si>
  <si>
    <t>MERUS POWER DYNAMICS OY</t>
  </si>
  <si>
    <t>METCOM TECHNOLOGIES, INC.</t>
  </si>
  <si>
    <t>MICA FOURNIS SERVICES</t>
  </si>
  <si>
    <t>Miel Trading Company</t>
  </si>
  <si>
    <t>MINE TECHNOLOGY SERVICES</t>
  </si>
  <si>
    <t>Mine Ventilation Australi</t>
  </si>
  <si>
    <t>MineARC Africa (Pty) Ltd</t>
  </si>
  <si>
    <t>Mineraid S.A.R.L</t>
  </si>
  <si>
    <t>MINING ENGINEERING SERVIC</t>
  </si>
  <si>
    <t>MINING EQUIPMENT SUPPLIER</t>
  </si>
  <si>
    <t>Mining3</t>
  </si>
  <si>
    <t>MKG BUSINESS COMPANY SARL</t>
  </si>
  <si>
    <t>ML SERVICES</t>
  </si>
  <si>
    <t>MOYI MOBIMBA LOGISTICS SA</t>
  </si>
  <si>
    <t>MSE DE CLERCQ T/A</t>
  </si>
  <si>
    <t>MULTI BUSINESS COMPANY SA</t>
  </si>
  <si>
    <t>MURAILLE D'ISRAEL COMPANY</t>
  </si>
  <si>
    <t>MURRAY &amp; ROBERTS CEMENTAT</t>
  </si>
  <si>
    <t>MUTUAL SAFE &amp; SECURITY (P</t>
  </si>
  <si>
    <t>MWANA UELE FULL SERVICES</t>
  </si>
  <si>
    <t>MWIMBA TRADING COMPANY SA</t>
  </si>
  <si>
    <t>NANOTECH WATER SOLUTIONS</t>
  </si>
  <si>
    <t>NATIONAL QUALITY ASSURANC</t>
  </si>
  <si>
    <t>NDIDI SERVICES SARLU</t>
  </si>
  <si>
    <t>NEOEDGE PTE LTD.</t>
  </si>
  <si>
    <t>NESCH MINTECH TANZANIA LI</t>
  </si>
  <si>
    <t>NEW OGS EXPERTISE SARLU</t>
  </si>
  <si>
    <t>NEWTRAX TECHNOLOGIES INC</t>
  </si>
  <si>
    <t>NORTH MARA GOLD MINE LTD</t>
  </si>
  <si>
    <t>Nos Vie En Partage</t>
  </si>
  <si>
    <t>Nouvelle Alliance Du Cong</t>
  </si>
  <si>
    <t>NOVEXA</t>
  </si>
  <si>
    <t>N'SANGE PROSPERITY BUSINE</t>
  </si>
  <si>
    <t>NZELA CONSTRUCTION GENIE</t>
  </si>
  <si>
    <t>OC SERVICES SARL</t>
  </si>
  <si>
    <t>OFFICE CONGOLAIS DE CONTR</t>
  </si>
  <si>
    <t>OGK CONSTRUCTIONS SARLU</t>
  </si>
  <si>
    <t>OLIVE GROUP COMPANY</t>
  </si>
  <si>
    <t>OM COMPANY</t>
  </si>
  <si>
    <t>OPEN HOUSE MANAGEMENT SOL</t>
  </si>
  <si>
    <t>ORE RESOURCE CONSULTANTS</t>
  </si>
  <si>
    <t>A1405783C</t>
  </si>
  <si>
    <t>ORFAP WORLD WIDE</t>
  </si>
  <si>
    <t>Orica Drc Sarlu</t>
  </si>
  <si>
    <t>ORICA ZAMBIA LIMITED</t>
  </si>
  <si>
    <t>ORIENTAL ROAD AND CONSTRU</t>
  </si>
  <si>
    <t>Ovono Electromeca</t>
  </si>
  <si>
    <t>Ozvent Consulting Pty Ltd</t>
  </si>
  <si>
    <t>P S ANALYTICAL LTD</t>
  </si>
  <si>
    <t>Pal Solutions Internation</t>
  </si>
  <si>
    <t>PANGEA MINERALS (T) LIMIT</t>
  </si>
  <si>
    <t>PARAGON TAILINGS DRC SARL</t>
  </si>
  <si>
    <t>PARTICLE SEPARATION SYSTE</t>
  </si>
  <si>
    <t>PEARL LOGISTICS &amp; ENGINEE</t>
  </si>
  <si>
    <t>Perpendicular Trading (Pt</t>
  </si>
  <si>
    <t>Pilot Crushtec Int (Pty)</t>
  </si>
  <si>
    <t>PRIMEFUELS LUBRICANTS LTD</t>
  </si>
  <si>
    <t>PROCET MINING SUPPORT LOG</t>
  </si>
  <si>
    <t>Procomp Computer Services</t>
  </si>
  <si>
    <t>PROFITEK INDUSTRIAL COMMU</t>
  </si>
  <si>
    <t>PROFPLUS AUTOMATED SYSTEM</t>
  </si>
  <si>
    <t>PUTZMEISTER SA (PTY) LTD</t>
  </si>
  <si>
    <t>RAMJACK TECHNOLOGY SOLUTI</t>
  </si>
  <si>
    <t>RAWSUR ASSURANCES</t>
  </si>
  <si>
    <t>A0603093F</t>
  </si>
  <si>
    <t>Rayon Service Sarl</t>
  </si>
  <si>
    <t>REBIKKA PLASS ENGINEERING</t>
  </si>
  <si>
    <t>Rehoboth Trading Sarl</t>
  </si>
  <si>
    <t>RENOVATION SERVICE SARLU</t>
  </si>
  <si>
    <t>Resultant Consulting Engi</t>
  </si>
  <si>
    <t>RHINOCORP SARL</t>
  </si>
  <si>
    <t>RICHADI MINING SERVICE SA</t>
  </si>
  <si>
    <t>RIEN N'EST TARD DAND LA V</t>
  </si>
  <si>
    <t>RITESTAND (PTY) LTD</t>
  </si>
  <si>
    <t>Rocketmine Limited</t>
  </si>
  <si>
    <t>ROCKLAB</t>
  </si>
  <si>
    <t>ROCSCIENCE INC.</t>
  </si>
  <si>
    <t>ROYAL LUXURY LOGISTICS</t>
  </si>
  <si>
    <t>SAFARI GROUP SERVICES SAR</t>
  </si>
  <si>
    <t>SAFETYCULTURE PTY LTD</t>
  </si>
  <si>
    <t>Salvo Global Pte Ltd</t>
  </si>
  <si>
    <t>Sami Sarl</t>
  </si>
  <si>
    <t>SANDVIK MINING &amp; CONSTRUC</t>
  </si>
  <si>
    <t>Sas Hydro Power Plant</t>
  </si>
  <si>
    <t>SAVE MINING ENVIRONMENT S</t>
  </si>
  <si>
    <t>SCOT-BRAD ENGINEERING (PT</t>
  </si>
  <si>
    <t>SCOVIA &amp; FIFI TOTAL SERVICES</t>
  </si>
  <si>
    <t>SERVICE DES HYDROCARBURES</t>
  </si>
  <si>
    <t>SESWIKE PERSONNEL OUTSOUR</t>
  </si>
  <si>
    <t>SHALOM INTERNATIONAL RDC</t>
  </si>
  <si>
    <t>SHAMMAH SARL</t>
  </si>
  <si>
    <t>SHEKINAH BUSINESS SERVICE</t>
  </si>
  <si>
    <t>SINAI FREIGHT SERVICE</t>
  </si>
  <si>
    <t>Skygeo Netherlands B.V.</t>
  </si>
  <si>
    <t>SOCIATE NATIONALE D'ASSUR</t>
  </si>
  <si>
    <t>SOCIETE COMMERCIALE &amp; AGR</t>
  </si>
  <si>
    <t>SOCIETE FINANCIERE D'ASSU</t>
  </si>
  <si>
    <t>SOCIETE GENERALE DE CONST</t>
  </si>
  <si>
    <t>SOCIETE IMMOBILIERE ET DE</t>
  </si>
  <si>
    <t>SOCIETE KANGOUROU GROUP</t>
  </si>
  <si>
    <t>SOCIETE LA MODERNITE</t>
  </si>
  <si>
    <t>SOCIETE LIGUES DES JEUNES</t>
  </si>
  <si>
    <t>SOCIETE MODERNITE SARLU</t>
  </si>
  <si>
    <t>SOCIETE OLADA INNOVATIONS</t>
  </si>
  <si>
    <t>SOCIETE TOMATISA MBOKA SE</t>
  </si>
  <si>
    <t>Societe Ulgb Sarl</t>
  </si>
  <si>
    <t>SOCIETE UNION DES COURAGE</t>
  </si>
  <si>
    <t>SOCIETE UNION POUR LE DEV</t>
  </si>
  <si>
    <t>Societe Wasomi Ulinzi Ser</t>
  </si>
  <si>
    <t>SOFT SERVICES AND ENGINEERING</t>
  </si>
  <si>
    <t>Softcat Limited</t>
  </si>
  <si>
    <t>SPINELLI &amp; BLAKE, LLC</t>
  </si>
  <si>
    <t>SPIRO SURVEY SERVICES</t>
  </si>
  <si>
    <t>SPRUCELAND TECHNOLOGIES G</t>
  </si>
  <si>
    <t>Srk Consulting (Uk) Ltd</t>
  </si>
  <si>
    <t>STAME SARL</t>
  </si>
  <si>
    <t>STANTEC CONSULTING LTD  SCL</t>
  </si>
  <si>
    <t>STAR BUILDING COMPANY</t>
  </si>
  <si>
    <t>STAR CONSTRUCTION &amp; LOGIS</t>
  </si>
  <si>
    <t>STAR LOGISTICS SERVICE</t>
  </si>
  <si>
    <t>STAR TRADINGS SARL</t>
  </si>
  <si>
    <t>STE COOPERATIVE JOLIE JOL</t>
  </si>
  <si>
    <t>STE GROUP ONZE SARL</t>
  </si>
  <si>
    <t>STRATEGIC ENVIRONMENTAL C</t>
  </si>
  <si>
    <t>SURUR BUSINESS SERVICE</t>
  </si>
  <si>
    <t>Sybyl Limited</t>
  </si>
  <si>
    <t>SYNERGIE DES GENIES BUSIN</t>
  </si>
  <si>
    <t>TECHNICAL AUDITING SERVIC</t>
  </si>
  <si>
    <t>Teleeye (South Africa) (P</t>
  </si>
  <si>
    <t>TETRA TECH INC</t>
  </si>
  <si>
    <t>THE ARK COMPUTER PROGRAME</t>
  </si>
  <si>
    <t>THE DHARAMSI MORARJI CHEM</t>
  </si>
  <si>
    <t>THE EXPORTER CC</t>
  </si>
  <si>
    <t>THINK-CELL SALES GMBH &amp; C</t>
  </si>
  <si>
    <t>Tim Business Services</t>
  </si>
  <si>
    <t>TOGETHER AS ONE SERVICES</t>
  </si>
  <si>
    <t>TOP ENGINEERING SERVICES</t>
  </si>
  <si>
    <t>TOP TECHNOLOGIE CONSTRUCT</t>
  </si>
  <si>
    <t>TOUT EST GRACE SARLU</t>
  </si>
  <si>
    <t>TOWER CRANE SERVICES CC</t>
  </si>
  <si>
    <t>TRACTAFRIC EQUIPMENT INTERNATI</t>
  </si>
  <si>
    <t xml:space="preserve">TRADECORP FREIGHT FORWARDERS </t>
  </si>
  <si>
    <t>TRADECORP LOGISTICS DMCC</t>
  </si>
  <si>
    <t>TRADECORP LOGISTICS LIMIT</t>
  </si>
  <si>
    <t>TRANSCOM SERVICES (PTY) L</t>
  </si>
  <si>
    <t>TRE ALTAMIRA SRL</t>
  </si>
  <si>
    <t>TRINITY SERVICES SARL</t>
  </si>
  <si>
    <t>TSANGYA VISION SOLUTIONS</t>
  </si>
  <si>
    <t>UMOJA NI NGUVU</t>
  </si>
  <si>
    <t>UNION DE DEVELOPPEMENT DE</t>
  </si>
  <si>
    <t>UNION INTERNATIONALE LOGI</t>
  </si>
  <si>
    <t>UNION KING SERVICES SARL</t>
  </si>
  <si>
    <t>Union Pour L'Excellence S</t>
  </si>
  <si>
    <t>UNIVERSAL SECURITY</t>
  </si>
  <si>
    <t>Universal Top Services</t>
  </si>
  <si>
    <t>VCOMP PTY LTD</t>
  </si>
  <si>
    <t>VEGA INSTRUMENTS (PTY) LT</t>
  </si>
  <si>
    <t>VENTER CONSULTING ENGINEE</t>
  </si>
  <si>
    <t>VERTEILUNG UNTERNEHMEN MA</t>
  </si>
  <si>
    <t>VISION GREEN ENGINEERING</t>
  </si>
  <si>
    <t>VODACOM CONGO SA</t>
  </si>
  <si>
    <t>Westfill Pty Ltd</t>
  </si>
  <si>
    <t>YELLOW TECHNICAL SERVICES</t>
  </si>
  <si>
    <t>YEM CONGO LOGISTICS SARL</t>
  </si>
  <si>
    <t>YES COMPAGNIES SARL</t>
  </si>
  <si>
    <t>ZEST WEG GROUP AFRICA (PT</t>
  </si>
  <si>
    <t>Zitron South Africa (Pty)</t>
  </si>
  <si>
    <t>Hydraulic Engineering</t>
  </si>
  <si>
    <t>A2040834H</t>
  </si>
  <si>
    <t>49 Avenue Industriel</t>
  </si>
  <si>
    <t>Namaf Consulting SARL</t>
  </si>
  <si>
    <t>1645, Avenue Kapenda</t>
  </si>
  <si>
    <t>Perfect Logistics SARL</t>
  </si>
  <si>
    <t>1053, Avenue Mama Yemo</t>
  </si>
  <si>
    <t>13Motapa Multiservices Sarl</t>
  </si>
  <si>
    <t>1290 Gazumbu</t>
  </si>
  <si>
    <t>Africa Engineering Congo Sarl</t>
  </si>
  <si>
    <t>195 Avenue du Cadastre</t>
  </si>
  <si>
    <t>Africa Global Logistics RDC</t>
  </si>
  <si>
    <t>13440 Avenue Idiofa Immeuble Index</t>
  </si>
  <si>
    <t>Africa Technologies Corporatio</t>
  </si>
  <si>
    <t>A1803157C</t>
  </si>
  <si>
    <t>African Group Lubricants DRC S</t>
  </si>
  <si>
    <t>A1509119E</t>
  </si>
  <si>
    <t>Africapital Consultng RDC</t>
  </si>
  <si>
    <t>112 Av Nioki</t>
  </si>
  <si>
    <t>Afridex</t>
  </si>
  <si>
    <t>Katanga</t>
  </si>
  <si>
    <t>Agrovetmega SARL</t>
  </si>
  <si>
    <t>52 Ave Okito</t>
  </si>
  <si>
    <t>Airtel DRC SA</t>
  </si>
  <si>
    <t>278 Ave De LEquateur</t>
  </si>
  <si>
    <t>Akili Consulting Sarl</t>
  </si>
  <si>
    <t>1875 Av Lac Kipopo</t>
  </si>
  <si>
    <t>Allez Les Femmes</t>
  </si>
  <si>
    <t>2082 Av.MangiQ/Moise Tshombe C/ Man</t>
  </si>
  <si>
    <t>Alternatives For Actions</t>
  </si>
  <si>
    <t>13 Avenue Joseph Kabila</t>
  </si>
  <si>
    <t>Ansultech Fire Systems SARL</t>
  </si>
  <si>
    <t>A1300181M</t>
  </si>
  <si>
    <t>1105 Ave Kapenda</t>
  </si>
  <si>
    <t>Anthpak Groupe Sarl</t>
  </si>
  <si>
    <t>617 Avenue Kamina</t>
  </si>
  <si>
    <t>Ark Mining Services Sarl</t>
  </si>
  <si>
    <t>11965 Avenue Eugene Kabanga, Q/Joli</t>
  </si>
  <si>
    <t>Association Congolaise des</t>
  </si>
  <si>
    <t>8 Rue Chemin Des</t>
  </si>
  <si>
    <t>Atlantis Sarl</t>
  </si>
  <si>
    <t>17 Laurent Kabila Avenue</t>
  </si>
  <si>
    <t>Auto Lubumbashi</t>
  </si>
  <si>
    <t>100 Boulevard Ldk</t>
  </si>
  <si>
    <t>Axis Mining Congo Sarl</t>
  </si>
  <si>
    <t>66 Avenue Industrielle</t>
  </si>
  <si>
    <t>Baba Drilling DRC Sarl</t>
  </si>
  <si>
    <t>85 Avenue Maniema</t>
  </si>
  <si>
    <t>Bags &amp; Sacks Katanga SARL</t>
  </si>
  <si>
    <t>1088 Ruwe Avenue</t>
  </si>
  <si>
    <t>Bearing Man Group Congo SARL</t>
  </si>
  <si>
    <t>6 Avenue Luvungi</t>
  </si>
  <si>
    <t>Beket Holding Sarl</t>
  </si>
  <si>
    <t>Ilunga</t>
  </si>
  <si>
    <t>Bethel Trading Solutions Sarl</t>
  </si>
  <si>
    <t>A1723257Z</t>
  </si>
  <si>
    <t>278 Boulevrd Msiri</t>
  </si>
  <si>
    <t>17 Avenue Hewa Bora</t>
  </si>
  <si>
    <t>Bik Trading Service Sarl</t>
  </si>
  <si>
    <t>A2206595T</t>
  </si>
  <si>
    <t>45 Route Du Golf</t>
  </si>
  <si>
    <t>BTS Projects</t>
  </si>
  <si>
    <t>A1218580K</t>
  </si>
  <si>
    <t>94 Ave Kasai</t>
  </si>
  <si>
    <t>Burotop Iris SARL</t>
  </si>
  <si>
    <t>24 Avenue Colonel</t>
  </si>
  <si>
    <t>Cabinet Pierre Kasongo Makanda</t>
  </si>
  <si>
    <t>85 Av Maniema</t>
  </si>
  <si>
    <t>Caplaine Consulting Sarl*</t>
  </si>
  <si>
    <t>1811 Lac Kipopo</t>
  </si>
  <si>
    <t>Cfao Rdc Sarl</t>
  </si>
  <si>
    <t>999 Likasi Road</t>
  </si>
  <si>
    <t>Chemical Solutions DRC</t>
  </si>
  <si>
    <t>54 Biayi</t>
  </si>
  <si>
    <t>Compass Green Worldwide SARL</t>
  </si>
  <si>
    <t>103 Avenue Abbe Kahozi</t>
  </si>
  <si>
    <t>Confiance SARL</t>
  </si>
  <si>
    <t>Corner Avenue Lumumba and Saio</t>
  </si>
  <si>
    <t>Conforta Sarl</t>
  </si>
  <si>
    <t>117 LAC KIPOPO</t>
  </si>
  <si>
    <t>Congo Equipment SARL*</t>
  </si>
  <si>
    <t>66 Route Kinsevere , C/ Annexe</t>
  </si>
  <si>
    <t>Congo Motors SARL</t>
  </si>
  <si>
    <t>169/A 30 Juin</t>
  </si>
  <si>
    <t>Congo Online Solutions Sarl</t>
  </si>
  <si>
    <t>618 Av Du 30 Juin,</t>
  </si>
  <si>
    <t>Congo Remanufacturing Center S</t>
  </si>
  <si>
    <t>Congo Services Techniques SARL</t>
  </si>
  <si>
    <t>A1714805M</t>
  </si>
  <si>
    <t>ConnexAfrica  RDC SARL*</t>
  </si>
  <si>
    <t>15-17 Avenue Colonel Ebeya</t>
  </si>
  <si>
    <t>Crown Tec Entreprises Sarl</t>
  </si>
  <si>
    <t>2 Avenue de la revolution</t>
  </si>
  <si>
    <t>DAP Investment</t>
  </si>
  <si>
    <t>7 Isangila</t>
  </si>
  <si>
    <t>Deltech Sarl</t>
  </si>
  <si>
    <t>A0811069R</t>
  </si>
  <si>
    <t>54 Moero</t>
  </si>
  <si>
    <t>DHL International Congo SARL</t>
  </si>
  <si>
    <t>180 Avenue Du Marche</t>
  </si>
  <si>
    <t>DN Enterprises DRC SARL</t>
  </si>
  <si>
    <t>297 Lumumba Road</t>
  </si>
  <si>
    <t>Dorime Radiators</t>
  </si>
  <si>
    <t>2359 Avenue Lumumba</t>
  </si>
  <si>
    <t>Dot Mutanda Mining</t>
  </si>
  <si>
    <t>57 avenue Lusanga</t>
  </si>
  <si>
    <t>Douane Express Customs SARL</t>
  </si>
  <si>
    <t>2573 Av Lumumba</t>
  </si>
  <si>
    <t>Doxa Services SARL</t>
  </si>
  <si>
    <t>259 Chemin Public</t>
  </si>
  <si>
    <t>Dr Simbi Ngoy Bulunga</t>
  </si>
  <si>
    <t>0000 0000</t>
  </si>
  <si>
    <t>Dreyer Risk Solutions Sarl</t>
  </si>
  <si>
    <t>13 Prof Mbayo</t>
  </si>
  <si>
    <t>Dynamique des Femmes pour le</t>
  </si>
  <si>
    <t>1575 Av MamaYemo</t>
  </si>
  <si>
    <t>E Logic Sarl</t>
  </si>
  <si>
    <t>A2024628S</t>
  </si>
  <si>
    <t>1F08 Avenue Maman Yemo</t>
  </si>
  <si>
    <t>EKM Labo Business Sarl</t>
  </si>
  <si>
    <t>A1914218B</t>
  </si>
  <si>
    <t>27 Du Cobalt</t>
  </si>
  <si>
    <t>Elephant Trade Sarl</t>
  </si>
  <si>
    <t>77 Kongolo</t>
  </si>
  <si>
    <t>Eminos SAS</t>
  </si>
  <si>
    <t>A2160200J</t>
  </si>
  <si>
    <t>4106 Avenue Colonel Mondjiba</t>
  </si>
  <si>
    <t>Engelec RDC Sarl</t>
  </si>
  <si>
    <t>06 Avenue De La Victoire</t>
  </si>
  <si>
    <t>Enterprise de Fourniture et</t>
  </si>
  <si>
    <t>89 Av Dilolo</t>
  </si>
  <si>
    <t>Environmental and Mining Servi</t>
  </si>
  <si>
    <t>Epiroc DRC SARL</t>
  </si>
  <si>
    <t>A0907231W</t>
  </si>
  <si>
    <t>23 Av Lac Kipopo</t>
  </si>
  <si>
    <t>Epoch DRC</t>
  </si>
  <si>
    <t>215 Avenue des Usines</t>
  </si>
  <si>
    <t>Ets Aaron</t>
  </si>
  <si>
    <t>100 Av Sendwe</t>
  </si>
  <si>
    <t>ETS Agence Hope</t>
  </si>
  <si>
    <t>Tombalbaye</t>
  </si>
  <si>
    <t>Ets Alpha Jms</t>
  </si>
  <si>
    <t>14513 ALLIANCE</t>
  </si>
  <si>
    <t>Ets Aval</t>
  </si>
  <si>
    <t>No.2 Battiment Toughness</t>
  </si>
  <si>
    <t>Ets Best Solutions</t>
  </si>
  <si>
    <t>2063 Avenue Lumumba</t>
  </si>
  <si>
    <t>Ets Franco</t>
  </si>
  <si>
    <t>125 Avenue des manguiers</t>
  </si>
  <si>
    <t>Ets Global Vision</t>
  </si>
  <si>
    <t>1781 KAPENDA</t>
  </si>
  <si>
    <t>Ets Gmt</t>
  </si>
  <si>
    <t>A1208467S</t>
  </si>
  <si>
    <t>71 AV DES MANGUIERS</t>
  </si>
  <si>
    <t>ETS JM Corp</t>
  </si>
  <si>
    <t>15 Yanonge</t>
  </si>
  <si>
    <t>ETS Maison Rek</t>
  </si>
  <si>
    <t>74 Moero Street</t>
  </si>
  <si>
    <t>Ets Usafi Bora</t>
  </si>
  <si>
    <t>16986 Av Biayi</t>
  </si>
  <si>
    <t>Express Oil Company</t>
  </si>
  <si>
    <t>1185 Lumumba</t>
  </si>
  <si>
    <t>Fast Service Company SARL</t>
  </si>
  <si>
    <t>71 71 Av du Manguier</t>
  </si>
  <si>
    <t>Fiduciaire Alice Services</t>
  </si>
  <si>
    <t>12 AV des Cypres</t>
  </si>
  <si>
    <t>For Global Resource Ecology</t>
  </si>
  <si>
    <t>1 Av Mununga Padri coin Pasteur Kap</t>
  </si>
  <si>
    <t>Fortitude Services SARLU</t>
  </si>
  <si>
    <t>1587 Kasavubu</t>
  </si>
  <si>
    <t>Fraser Alexander DRC SAS</t>
  </si>
  <si>
    <t>73 Avenue Luvungi</t>
  </si>
  <si>
    <t>General Engineering Dealers</t>
  </si>
  <si>
    <t>279 Boulevard Laurent Desire Kabila</t>
  </si>
  <si>
    <t>Gocongo Enterprises Sarl</t>
  </si>
  <si>
    <t>Route Kasenga</t>
  </si>
  <si>
    <t>Golf Club De Lubumbashi</t>
  </si>
  <si>
    <t>31 Route du Golf</t>
  </si>
  <si>
    <t>Grand B Techniques Internation</t>
  </si>
  <si>
    <t>A2178167N</t>
  </si>
  <si>
    <t>Gribini Sarl</t>
  </si>
  <si>
    <t>689 Avenue Lac-Kipopo</t>
  </si>
  <si>
    <t>Group Stephane Irung Lubuli Sa</t>
  </si>
  <si>
    <t>A1212252G</t>
  </si>
  <si>
    <t>Groupe Muema Business SARL</t>
  </si>
  <si>
    <t>144 Av Kalima</t>
  </si>
  <si>
    <t>Human resource For You</t>
  </si>
  <si>
    <t>36 Benamukwela</t>
  </si>
  <si>
    <t>Institut Nuru</t>
  </si>
  <si>
    <t>02 Des Ecoles , Kitumaini</t>
  </si>
  <si>
    <t>International Collective Ventu</t>
  </si>
  <si>
    <t>A1209123F</t>
  </si>
  <si>
    <t>ISA SAS</t>
  </si>
  <si>
    <t>115 Avenue Kigoma</t>
  </si>
  <si>
    <t>J R  Societe dAvocats Sc</t>
  </si>
  <si>
    <t>A1203364W</t>
  </si>
  <si>
    <t>158B Ave Kasai</t>
  </si>
  <si>
    <t>Japan Motors Africa Sprl</t>
  </si>
  <si>
    <t>19 Munguzi,Industrial, C/Kampemba</t>
  </si>
  <si>
    <t>John Tshikulu Tshilombo Sarl</t>
  </si>
  <si>
    <t>27 Avenue Du Cobalt</t>
  </si>
  <si>
    <t>Kampi Ya Boma</t>
  </si>
  <si>
    <t>815 Av Imina Lufupa</t>
  </si>
  <si>
    <t>Kanu Equipment Drc SASU</t>
  </si>
  <si>
    <t>A1818943L</t>
  </si>
  <si>
    <t>17 Av Munguzi</t>
  </si>
  <si>
    <t>Kany Consulting Group Sarl</t>
  </si>
  <si>
    <t>13 Mponga avenue</t>
  </si>
  <si>
    <t>Katanga Contracting Services S</t>
  </si>
  <si>
    <t>A1308662F</t>
  </si>
  <si>
    <t>Katembo Kabamba</t>
  </si>
  <si>
    <t>2628 Bd Kamanyola</t>
  </si>
  <si>
    <t>Ken Services Sarlu</t>
  </si>
  <si>
    <t>A2307086D</t>
  </si>
  <si>
    <t>04 Tshimanga</t>
  </si>
  <si>
    <t>Kevtex Computing Sarl</t>
  </si>
  <si>
    <t>A2174590A</t>
  </si>
  <si>
    <t>6 MWELA</t>
  </si>
  <si>
    <t>Khanafar Mazen</t>
  </si>
  <si>
    <t>A1406362G</t>
  </si>
  <si>
    <t>1083 Ave Munongo</t>
  </si>
  <si>
    <t>Kilele Sarl</t>
  </si>
  <si>
    <t>A1609967C</t>
  </si>
  <si>
    <t>21 de lavenue Nyanza</t>
  </si>
  <si>
    <t>Kongo Mines Sarl</t>
  </si>
  <si>
    <t>70 Avenue Molima Sebo Mont Ngafula</t>
  </si>
  <si>
    <t>La Generale De Forage</t>
  </si>
  <si>
    <t>563 Avenue Lufira</t>
  </si>
  <si>
    <t>Liberty SARL</t>
  </si>
  <si>
    <t>A0701396B</t>
  </si>
  <si>
    <t>44 Ave Sendwe</t>
  </si>
  <si>
    <t>Limo Investment SARL</t>
  </si>
  <si>
    <t>11652B Ave Kabalo</t>
  </si>
  <si>
    <t>Liquid Rock Sarl</t>
  </si>
  <si>
    <t>A1513819N</t>
  </si>
  <si>
    <t>369B Chausse e LD Kabila</t>
  </si>
  <si>
    <t>Lualaba Copper Smelter SAS</t>
  </si>
  <si>
    <t>Avenue Laurent Desire Kabila</t>
  </si>
  <si>
    <t>Lufira Management and Services</t>
  </si>
  <si>
    <t>Maison Bundula</t>
  </si>
  <si>
    <t>533 Route Likasi</t>
  </si>
  <si>
    <t>Makasha Sarl</t>
  </si>
  <si>
    <t>8002 Kapolowe</t>
  </si>
  <si>
    <t>Makonga Investments Sarl</t>
  </si>
  <si>
    <t>3343 KAKANDA</t>
  </si>
  <si>
    <t>Malabar Business Travel SARL</t>
  </si>
  <si>
    <t>0000 Luano International Airport</t>
  </si>
  <si>
    <t>Marca Sarlu</t>
  </si>
  <si>
    <t>5 Des Roches</t>
  </si>
  <si>
    <t>Margueritte Orlencia Company</t>
  </si>
  <si>
    <t>203 Bukanda Arret Kibati</t>
  </si>
  <si>
    <t>MEDIACONGO SARL</t>
  </si>
  <si>
    <t>56/4 AVENUE COLONEL EBEYA</t>
  </si>
  <si>
    <t>Merdi Business Sarl</t>
  </si>
  <si>
    <t>228 Avenue Chemin Public</t>
  </si>
  <si>
    <t>238 RouteLikasi</t>
  </si>
  <si>
    <t>Microcom SARL</t>
  </si>
  <si>
    <t>258 Avenue Adoula</t>
  </si>
  <si>
    <t>Microlog Consulting SARL</t>
  </si>
  <si>
    <t>17 Mai Ndombe</t>
  </si>
  <si>
    <t>Mining Chemical Suppliers SARL</t>
  </si>
  <si>
    <t>7721 Av Kisambi</t>
  </si>
  <si>
    <t>Mining Chemical Suppliers SAS</t>
  </si>
  <si>
    <t>524 Av Industrielle</t>
  </si>
  <si>
    <t>Mining Safety Equipment SARL</t>
  </si>
  <si>
    <t>Ministry Of Portfolio</t>
  </si>
  <si>
    <t>707 Ave Wagenia</t>
  </si>
  <si>
    <t>Modern Auto Company SARL</t>
  </si>
  <si>
    <t>1201 Route Likasi</t>
  </si>
  <si>
    <t>Musal Sarlu</t>
  </si>
  <si>
    <t>A1508240Z</t>
  </si>
  <si>
    <t>84 AVENUE SENDWE</t>
  </si>
  <si>
    <t>Museba Company Sasu</t>
  </si>
  <si>
    <t>121 Avenue Lubudi</t>
  </si>
  <si>
    <t>Mutanda Mining SARL</t>
  </si>
  <si>
    <t>57 Avenue Lusanga, Quartier Biashar</t>
  </si>
  <si>
    <t>Muzuri Sana SA</t>
  </si>
  <si>
    <t>5615 Route Kinsevere</t>
  </si>
  <si>
    <t>Nemchem International SARL</t>
  </si>
  <si>
    <t>464 Baobab Avenue</t>
  </si>
  <si>
    <t>New Business Light Sarl</t>
  </si>
  <si>
    <t>A1722793U</t>
  </si>
  <si>
    <t>06 Avenue Radium</t>
  </si>
  <si>
    <t>New Mercury Garage</t>
  </si>
  <si>
    <t>412 Avenue Mbota Avenue</t>
  </si>
  <si>
    <t>NTN and Partners SCRL</t>
  </si>
  <si>
    <t>37 Av Kalemie</t>
  </si>
  <si>
    <t>Number One Procurement Group</t>
  </si>
  <si>
    <t>1012 Avenue Des Forces Armees</t>
  </si>
  <si>
    <t>Pan African Company SARL</t>
  </si>
  <si>
    <t>46 Avenue Lomami</t>
  </si>
  <si>
    <t>Polytra Congo SA</t>
  </si>
  <si>
    <t>A0704855L</t>
  </si>
  <si>
    <t>1 Avenue Luvua</t>
  </si>
  <si>
    <t>Primefuels RD Congo</t>
  </si>
  <si>
    <t>Avenue de l'Aéroport</t>
  </si>
  <si>
    <t>Prosperity Business Consulting</t>
  </si>
  <si>
    <t>A2216503N</t>
  </si>
  <si>
    <t>17 Kilwa</t>
  </si>
  <si>
    <t>ProSteel Sarl</t>
  </si>
  <si>
    <t>2 Ave Kigoma</t>
  </si>
  <si>
    <t>Puretrans SARL</t>
  </si>
  <si>
    <t>A1818008U</t>
  </si>
  <si>
    <t>109 AVENUE ROUTE KARAVIA</t>
  </si>
  <si>
    <t>Rawsur SA</t>
  </si>
  <si>
    <t>90 Boulevard Du 30 Juin</t>
  </si>
  <si>
    <t>Rayon Services Sarl</t>
  </si>
  <si>
    <t>A2179853W</t>
  </si>
  <si>
    <t>125 Route Karavia</t>
  </si>
  <si>
    <t>Regie Des Voies Aeriennes</t>
  </si>
  <si>
    <t>Rema Tip Top Services DRC Sarl</t>
  </si>
  <si>
    <t>A2027721E</t>
  </si>
  <si>
    <t>12 Av Kaponda</t>
  </si>
  <si>
    <t>ROCK MAKINA ENGINEERING SARL</t>
  </si>
  <si>
    <t>13 CROSSROAD MWENGE MAFUTA  ET MPON</t>
  </si>
  <si>
    <t>Roma Business Company SARL</t>
  </si>
  <si>
    <t>A1715235E</t>
  </si>
  <si>
    <t>3693 Amunazo</t>
  </si>
  <si>
    <t>Rubamin SARL</t>
  </si>
  <si>
    <t>26-27 Poteau Rouge</t>
  </si>
  <si>
    <t>Rubatek Sarl</t>
  </si>
  <si>
    <t>26 27 Route Kambove</t>
  </si>
  <si>
    <t>Salma Services SARL</t>
  </si>
  <si>
    <t>354 Kasapa Street</t>
  </si>
  <si>
    <t>Scotte Eng Automation Sarl</t>
  </si>
  <si>
    <t>A2165167H</t>
  </si>
  <si>
    <t>817 Avenue Kiboko Golf Les Battants</t>
  </si>
  <si>
    <t>SD Geomatique SARL</t>
  </si>
  <si>
    <t>21 Avenue Lubumbashi</t>
  </si>
  <si>
    <t>Seralime SARL Ste Service</t>
  </si>
  <si>
    <t>36 Av Lomami</t>
  </si>
  <si>
    <t>Sifa Sarl</t>
  </si>
  <si>
    <t>4 Av Lomami</t>
  </si>
  <si>
    <t>Sion Investment</t>
  </si>
  <si>
    <t>18 Lu Cobalt</t>
  </si>
  <si>
    <t>Sisi Na Mulimaji Sarl</t>
  </si>
  <si>
    <t>30 Boullevard M'Siri</t>
  </si>
  <si>
    <t>Sita Sarl</t>
  </si>
  <si>
    <t>616 ILUNGA</t>
  </si>
  <si>
    <t>Smart Rafiki Sarl</t>
  </si>
  <si>
    <t>1304 Avenue du 30 Juin</t>
  </si>
  <si>
    <t>Snel Basse Tension</t>
  </si>
  <si>
    <t>2831 Av. De La Justice</t>
  </si>
  <si>
    <t>Societe Blu Rock Sarl</t>
  </si>
  <si>
    <t>407B Lubilanshi Prolongee</t>
  </si>
  <si>
    <t>Societe Bras Security et Servi</t>
  </si>
  <si>
    <t>Societe De Distribution</t>
  </si>
  <si>
    <t>220 Av des Vaines</t>
  </si>
  <si>
    <t>Societe Generale De Service et</t>
  </si>
  <si>
    <t>1168 Lumumba</t>
  </si>
  <si>
    <t>Societe Ideal Consulting Sarl</t>
  </si>
  <si>
    <t>A2038592W</t>
  </si>
  <si>
    <t>872 Kasa Vubu</t>
  </si>
  <si>
    <t>Societe Nationale Electricite</t>
  </si>
  <si>
    <t>Societe Triple E Consult Sarl</t>
  </si>
  <si>
    <t>8 Av Malachite</t>
  </si>
  <si>
    <t>2056 Avenue Lukonzolwa</t>
  </si>
  <si>
    <t>Stella Construction and Servic</t>
  </si>
  <si>
    <t>Sylvano Consulting</t>
  </si>
  <si>
    <t>34 Lufira</t>
  </si>
  <si>
    <t>Synergy DRC</t>
  </si>
  <si>
    <t>384 Avenue Kabalo</t>
  </si>
  <si>
    <t>T3 Projects DRC</t>
  </si>
  <si>
    <t>Croisement Avenue Lumumba et Saio</t>
  </si>
  <si>
    <t>Team System Intergrator Sarlu</t>
  </si>
  <si>
    <t>A2169766G</t>
  </si>
  <si>
    <t>13 Eme Rue Poids Lours</t>
  </si>
  <si>
    <t>Thiermar Company SARL*</t>
  </si>
  <si>
    <t>266 Av Maduda</t>
  </si>
  <si>
    <t>TMW SARLU</t>
  </si>
  <si>
    <t>1754 Avenue Kasavubu</t>
  </si>
  <si>
    <t>Tractafric Equipment</t>
  </si>
  <si>
    <t>A0700495X</t>
  </si>
  <si>
    <t>BOULEVARD DU 30 JUIN</t>
  </si>
  <si>
    <t>Transfields Services  DRC Sarl</t>
  </si>
  <si>
    <t>3 Avenue Lusiku Augustin Q</t>
  </si>
  <si>
    <t>Tri Pump Drc SARL</t>
  </si>
  <si>
    <t>A1613014P</t>
  </si>
  <si>
    <t>8083 Avenue Ditu</t>
  </si>
  <si>
    <t>Tri Pump SARL</t>
  </si>
  <si>
    <t>8 de Artisan Road</t>
  </si>
  <si>
    <t>Tshikwat Engineering and Multi</t>
  </si>
  <si>
    <t>779 Avenue Kasavubu</t>
  </si>
  <si>
    <t>Union Africaine du Commerce SA</t>
  </si>
  <si>
    <t>A0700202D</t>
  </si>
  <si>
    <t>United State Contracting and T</t>
  </si>
  <si>
    <t>A0700951S</t>
  </si>
  <si>
    <t>Ushindi Oil</t>
  </si>
  <si>
    <t>530 Route Kipopo</t>
  </si>
  <si>
    <t>Vefotech Sarl</t>
  </si>
  <si>
    <t>15 Tabora</t>
  </si>
  <si>
    <t>Vodacom Congo RDC SA</t>
  </si>
  <si>
    <t>292 Av de la Justice</t>
  </si>
  <si>
    <t>Volcat Transmissions SARL</t>
  </si>
  <si>
    <t>A2177582C</t>
  </si>
  <si>
    <t>3344 Avenue Katembe</t>
  </si>
  <si>
    <t>Young Tech Solutions Sarl</t>
  </si>
  <si>
    <t>A2033816E</t>
  </si>
  <si>
    <t>710 Munua, Golf Faustin</t>
  </si>
  <si>
    <t>Talana Limited</t>
  </si>
  <si>
    <t>C2-502, 5th Floor Office, Block C,</t>
  </si>
  <si>
    <t>ACTRUA PERFORMANCE CULTURE</t>
  </si>
  <si>
    <t>Level 3, 243 Edward Street</t>
  </si>
  <si>
    <t>Adaptive Dynamics Pty Ltd</t>
  </si>
  <si>
    <t>1 Ruby Close</t>
  </si>
  <si>
    <t>AGL Zambia Limited</t>
  </si>
  <si>
    <t>Malambo Road</t>
  </si>
  <si>
    <t>AKS Lining Systems Pty Ltd</t>
  </si>
  <si>
    <t>12 - 16 Silver Street</t>
  </si>
  <si>
    <t>AMC Consultants UK Limited</t>
  </si>
  <si>
    <t>Level 7 Nicholson House</t>
  </si>
  <si>
    <t>Anatech Instruments PTY Ltd</t>
  </si>
  <si>
    <t>0000 Jacaranda Ave</t>
  </si>
  <si>
    <t>Aojin Mining Equipment Limited</t>
  </si>
  <si>
    <t>79 Independence Avenue</t>
  </si>
  <si>
    <t>Approver Travel Pty Ltd</t>
  </si>
  <si>
    <t>61 Bosbok Road</t>
  </si>
  <si>
    <t>Aptronics Pty Ltd</t>
  </si>
  <si>
    <t>288 Main Avenue</t>
  </si>
  <si>
    <t>Arrow Bearings Limited</t>
  </si>
  <si>
    <t>3666 Nyerere Road</t>
  </si>
  <si>
    <t>Ausenco Services Pty Ltd</t>
  </si>
  <si>
    <t>189 Grey Street</t>
  </si>
  <si>
    <t>Axis House Group Pty Ltd</t>
  </si>
  <si>
    <t>114 West Street</t>
  </si>
  <si>
    <t>Axis House Pty Ltd</t>
  </si>
  <si>
    <t>Ballestra SpA</t>
  </si>
  <si>
    <t>Via Piero Portaluppi 17</t>
  </si>
  <si>
    <t>Bartrac Equipment</t>
  </si>
  <si>
    <t>19 Cybercity</t>
  </si>
  <si>
    <t>BASF SE</t>
  </si>
  <si>
    <t>Carl-Bosch Stasse 38</t>
  </si>
  <si>
    <t>BDO Business Services Pty Ltd</t>
  </si>
  <si>
    <t>52 Corlett Drive</t>
  </si>
  <si>
    <t>Beyond Ambit</t>
  </si>
  <si>
    <t>Bidvest Commercial Products</t>
  </si>
  <si>
    <t>12 Renaissance Drive</t>
  </si>
  <si>
    <t>Bray Controls Africa Pty Ltd</t>
  </si>
  <si>
    <t>11 ABC Business Park</t>
  </si>
  <si>
    <t>Center for Leader Intelligence</t>
  </si>
  <si>
    <t>10 Bach Street</t>
  </si>
  <si>
    <t>CompAir SA Pty Ltd</t>
  </si>
  <si>
    <t>21 Innes Road</t>
  </si>
  <si>
    <t>Container World Pty Ltd</t>
  </si>
  <si>
    <t>16 Director Rd</t>
  </si>
  <si>
    <t>Control Risks Group Limited*</t>
  </si>
  <si>
    <t>33 King William Street</t>
  </si>
  <si>
    <t>Createk Systems</t>
  </si>
  <si>
    <t>25 De Havilland Crescent</t>
  </si>
  <si>
    <t>CT Lab PTY Ltd</t>
  </si>
  <si>
    <t>15 Termo Lane</t>
  </si>
  <si>
    <t>Datamine Africa Pty Ltd</t>
  </si>
  <si>
    <t>27 Fricker Road</t>
  </si>
  <si>
    <t>Dickinson Kalis Zambia Ltd</t>
  </si>
  <si>
    <t>2394 Freedom Way</t>
  </si>
  <si>
    <t>DieselElectric Industrial PTY</t>
  </si>
  <si>
    <t>87 Fourth Avenue</t>
  </si>
  <si>
    <t>Dimension Quest Consulting LLC</t>
  </si>
  <si>
    <t>5007 Tribecca Street</t>
  </si>
  <si>
    <t>DWF France AARPI</t>
  </si>
  <si>
    <t>15 Avenue d'iéna</t>
  </si>
  <si>
    <t>E Awadh and Co Limited</t>
  </si>
  <si>
    <t>39 D Chuma Road</t>
  </si>
  <si>
    <t>Earth Networks Inc</t>
  </si>
  <si>
    <t>12410 Milestone Center Dr</t>
  </si>
  <si>
    <t>ECS Crane Services PTY Ltd</t>
  </si>
  <si>
    <t>47 Apex Road</t>
  </si>
  <si>
    <t>ELS Belgium NV</t>
  </si>
  <si>
    <t>Boulevard Baudouin 1er 25 0000</t>
  </si>
  <si>
    <t>Engineering Top Tech Pty Ltd</t>
  </si>
  <si>
    <t>6 Brass Link</t>
  </si>
  <si>
    <t>Epi Use Africa Pty Ltd</t>
  </si>
  <si>
    <t>46 Ingersol Street</t>
  </si>
  <si>
    <t>Epoch Resources PTY Ltd</t>
  </si>
  <si>
    <t>22A Woodlands Drive</t>
  </si>
  <si>
    <t>Euro Steel Services Pty Ltd</t>
  </si>
  <si>
    <t>331 Dame Street</t>
  </si>
  <si>
    <t>Extractive Search Limited</t>
  </si>
  <si>
    <t>35 Berkeley Suite</t>
  </si>
  <si>
    <t>Famari Investments T Limited</t>
  </si>
  <si>
    <t>Mandela Road</t>
  </si>
  <si>
    <t>Faraday Engineering Limited</t>
  </si>
  <si>
    <t>Plot MC24 Napsa Complex</t>
  </si>
  <si>
    <t>FH Bertling Logistics Pty Ltd</t>
  </si>
  <si>
    <t>38 5th Avenue</t>
  </si>
  <si>
    <t>Fortra, LLC</t>
  </si>
  <si>
    <t>11095 Viking Drive, Suite 100</t>
  </si>
  <si>
    <t>FS Systems International Ltd</t>
  </si>
  <si>
    <t>0000 Suite 420, 4th Floor Barkly Wh</t>
  </si>
  <si>
    <t>GKD Buismet PTY Ltd</t>
  </si>
  <si>
    <t>18 Fiat Street</t>
  </si>
  <si>
    <t>Glencore International AG</t>
  </si>
  <si>
    <t>Baarermattstrasse 3</t>
  </si>
  <si>
    <t>HBC Radiomatic SA PTY Ltd</t>
  </si>
  <si>
    <t>0000 Mainreef Road and Beryl Street</t>
  </si>
  <si>
    <t>Heavy Duty Industrial Pty Ltd</t>
  </si>
  <si>
    <t>229 Albert Amon Road</t>
  </si>
  <si>
    <t>High Voltage Strategies and</t>
  </si>
  <si>
    <t>19A Boland Way</t>
  </si>
  <si>
    <t>Hortech Resources Pty Ltd</t>
  </si>
  <si>
    <t>17 Bina Street</t>
  </si>
  <si>
    <t>Horthons Enteprises Limited</t>
  </si>
  <si>
    <t>Plot 2047B Fyalipwa Close</t>
  </si>
  <si>
    <t>Iceburg Trading 728 PTY Ltd</t>
  </si>
  <si>
    <t>98 Geoges Str</t>
  </si>
  <si>
    <t>Improchem Pty Ltd</t>
  </si>
  <si>
    <t>01 Maxwell Drive</t>
  </si>
  <si>
    <t>Intacomp cc</t>
  </si>
  <si>
    <t>0000 Shetland Road</t>
  </si>
  <si>
    <t>Investmech Pty Ltd</t>
  </si>
  <si>
    <t>8 Topaz Ave, Lytterlton</t>
  </si>
  <si>
    <t>Jetin cc</t>
  </si>
  <si>
    <t>1 Tomango Road</t>
  </si>
  <si>
    <t>JKTECH PTY LTD</t>
  </si>
  <si>
    <t>40  ISLES ROAD, INDOOROOPILLY</t>
  </si>
  <si>
    <t>Kany Consulting Group Limited</t>
  </si>
  <si>
    <t>Plot N 572 Mutentemuko Road</t>
  </si>
  <si>
    <t>Kelvion Services PTY Ltd</t>
  </si>
  <si>
    <t>0000 Aberdein Street</t>
  </si>
  <si>
    <t>Kemira Oyj</t>
  </si>
  <si>
    <t>Porkkalankatu 3</t>
  </si>
  <si>
    <t>Koenig Solutions Pvt Ltd</t>
  </si>
  <si>
    <t>B39 Shivaji Marg</t>
  </si>
  <si>
    <t>Konecranes and Demag Pty LTD</t>
  </si>
  <si>
    <t>60 Atlas Road</t>
  </si>
  <si>
    <t>Kryo Afrika Pty Ltd</t>
  </si>
  <si>
    <t>4 Disa Avenue</t>
  </si>
  <si>
    <t>KSB Zambia Ltd</t>
  </si>
  <si>
    <t>Musapa Business Park Sub C</t>
  </si>
  <si>
    <t>Labchem PTY Ltd</t>
  </si>
  <si>
    <t>6 Wakefield Road</t>
  </si>
  <si>
    <t>Labrite cc</t>
  </si>
  <si>
    <t>21 Adela Street</t>
  </si>
  <si>
    <t>Lamco Engineering cc</t>
  </si>
  <si>
    <t>12 Klein Street</t>
  </si>
  <si>
    <t>Leica Geosystems Pty Ltd</t>
  </si>
  <si>
    <t>400 16th Road</t>
  </si>
  <si>
    <t>Limstrics</t>
  </si>
  <si>
    <t>21 Jagluiperd Street</t>
  </si>
  <si>
    <t>Linklaters LLP</t>
  </si>
  <si>
    <t>One Silk Street</t>
  </si>
  <si>
    <t>Liquid Rock Process Solutions</t>
  </si>
  <si>
    <t>3755-56 Kariba Road</t>
  </si>
  <si>
    <t>Live Line Technolology Pty Ltd</t>
  </si>
  <si>
    <t>72 Flora avenue</t>
  </si>
  <si>
    <t>Marlink SAS</t>
  </si>
  <si>
    <t>137 Rue de Faubourg</t>
  </si>
  <si>
    <t>McCann and Braham LLP</t>
  </si>
  <si>
    <t>43 Harwood Road</t>
  </si>
  <si>
    <t>Mega Magic cc</t>
  </si>
  <si>
    <t>62 Director Road</t>
  </si>
  <si>
    <t>Metso South Africa Pty Ltd</t>
  </si>
  <si>
    <t>Cnr Jean and Olievenhoutbosch Road</t>
  </si>
  <si>
    <t>Microsep Pty Ltd</t>
  </si>
  <si>
    <t>2 Saturn Crescent</t>
  </si>
  <si>
    <t>MINERALIS CONSULTANTS PTY LTD</t>
  </si>
  <si>
    <t>Unit 2 Level 1/42 Morrow St</t>
  </si>
  <si>
    <t>MINETEK PTY LTD T/A FANQUIP</t>
  </si>
  <si>
    <t>1 Civic Avenue</t>
  </si>
  <si>
    <t>Mining One Pty Ltd</t>
  </si>
  <si>
    <t>50 Market Street</t>
  </si>
  <si>
    <t>MMS Mobile Cranes cc</t>
  </si>
  <si>
    <t>16 Dusseldorf Street</t>
  </si>
  <si>
    <t>Modular Mining Systems Africa</t>
  </si>
  <si>
    <t>48 Grosvenor Rd</t>
  </si>
  <si>
    <t>Moore Process Controls Pty Ltd</t>
  </si>
  <si>
    <t>6-8 Monza Close</t>
  </si>
  <si>
    <t>Muchina Engineering Cc</t>
  </si>
  <si>
    <t>12 Marco Polo</t>
  </si>
  <si>
    <t>Multotec Manufacturing Pty Ltd</t>
  </si>
  <si>
    <t>28 Forge Road</t>
  </si>
  <si>
    <t>Neelkanth Lime Limited</t>
  </si>
  <si>
    <t>6 Plot</t>
  </si>
  <si>
    <t>Netcloud AG</t>
  </si>
  <si>
    <t>Schlachthofstrasse 19</t>
  </si>
  <si>
    <t>New Concept Projects Pty Ltd</t>
  </si>
  <si>
    <t>12 Kingfisher Crescent</t>
  </si>
  <si>
    <t>Nica Pump and Electric Works</t>
  </si>
  <si>
    <t>8 Greenstone Place Stoneridge Drive</t>
  </si>
  <si>
    <t>Nitro Software Inc</t>
  </si>
  <si>
    <t>225 Bush Street</t>
  </si>
  <si>
    <t>North West University</t>
  </si>
  <si>
    <t>0000 Cnr Hoffman &amp; Borherd Street</t>
  </si>
  <si>
    <t>Online Intelligence Pty Ltd*</t>
  </si>
  <si>
    <t>Cnr Nentabos &amp; Botterklapper Street</t>
  </si>
  <si>
    <t>Peter Van Schalkwyk PTY Ltd</t>
  </si>
  <si>
    <t>13 3rd Road</t>
  </si>
  <si>
    <t>Plastiweld cc</t>
  </si>
  <si>
    <t>45 Golden Drive</t>
  </si>
  <si>
    <t>POLYCORP LTD.</t>
  </si>
  <si>
    <t>33 YORK STREET WEST</t>
  </si>
  <si>
    <t>Professional Cost Consultants</t>
  </si>
  <si>
    <t>76 Jan Smuts Avenue</t>
  </si>
  <si>
    <t>Pure Trade Africa Pty Ltd</t>
  </si>
  <si>
    <t>53 Richefond Circle</t>
  </si>
  <si>
    <t>Q and E Industrial Supplies*</t>
  </si>
  <si>
    <t>13A Rietfontein  Road</t>
  </si>
  <si>
    <t>Qotho Minerals Pty Ltd</t>
  </si>
  <si>
    <t>36 Pelindaba Road</t>
  </si>
  <si>
    <t>QPS Ltd</t>
  </si>
  <si>
    <t>1056 Light Industrial Area</t>
  </si>
  <si>
    <t>R.S.T. Instruments Ltd</t>
  </si>
  <si>
    <t>11545</t>
  </si>
  <si>
    <t>Rayobe Business Enterprises cc</t>
  </si>
  <si>
    <t>138 Setter Road</t>
  </si>
  <si>
    <t>Red Ember Technology</t>
  </si>
  <si>
    <t>32 Kloof Street 17 Workshop</t>
  </si>
  <si>
    <t>Remius Projects Pty Ltd</t>
  </si>
  <si>
    <t>20 Clarette</t>
  </si>
  <si>
    <t>Rms Conveyors Pty Ltd</t>
  </si>
  <si>
    <t>M57 Old Kempton Road</t>
  </si>
  <si>
    <t>RPM Global Africa Pty Ltd</t>
  </si>
  <si>
    <t>Cnr John Voster &amp; Nellmapius Drive</t>
  </si>
  <si>
    <t>SADC Accreditation Service</t>
  </si>
  <si>
    <t>50669 Plot</t>
  </si>
  <si>
    <t>Saftronics Pty Ltd</t>
  </si>
  <si>
    <t>27 Heronmere Rd</t>
  </si>
  <si>
    <t>Sage SA Pty Ltd</t>
  </si>
  <si>
    <t>22 Magwa Crescent</t>
  </si>
  <si>
    <t>SAM Engineering Pty Ltd</t>
  </si>
  <si>
    <t>24 Duncan Road</t>
  </si>
  <si>
    <t>12 Olympia Street</t>
  </si>
  <si>
    <t>Skyside South Africa Pty Ltd</t>
  </si>
  <si>
    <t>2 Samantha</t>
  </si>
  <si>
    <t>SLS Trading Limited</t>
  </si>
  <si>
    <t>Labourdonais Village</t>
  </si>
  <si>
    <t>Soillab Pty Ltd</t>
  </si>
  <si>
    <t>230 Albertus Street</t>
  </si>
  <si>
    <t>Spectra Oil Corporation Ltd</t>
  </si>
  <si>
    <t>1691 Lumumba Road</t>
  </si>
  <si>
    <t>Spintelligent Pty Ltd</t>
  </si>
  <si>
    <t>240 Main Road</t>
  </si>
  <si>
    <t>Stargate Trading 124 cc</t>
  </si>
  <si>
    <t>3 Christiaan De Wet Road</t>
  </si>
  <si>
    <t>Starlabs Limited</t>
  </si>
  <si>
    <t>33 Joseph Mwilwa Road</t>
  </si>
  <si>
    <t>Strika Entertainment Pty Ltd</t>
  </si>
  <si>
    <t>176 Sir Lowry Road</t>
  </si>
  <si>
    <t>Sunwest Africa Limited</t>
  </si>
  <si>
    <t>2514 Plot</t>
  </si>
  <si>
    <t>Sure Seal SA Pty Ltd</t>
  </si>
  <si>
    <t>78 Kelly Road</t>
  </si>
  <si>
    <t>Tecmo Automation PTY Ltd</t>
  </si>
  <si>
    <t>Cnr Frikkie Meyer &amp; Kelvin Boulevar</t>
  </si>
  <si>
    <t>Tect Geological Consulting</t>
  </si>
  <si>
    <t>20 Gardner Williams Avenue</t>
  </si>
  <si>
    <t>The Particle Group Pty Ltd</t>
  </si>
  <si>
    <t>11 Avalon</t>
  </si>
  <si>
    <t>Transcom Services Pty Ltd*</t>
  </si>
  <si>
    <t>143 143 Houtbaai Street Culverwell</t>
  </si>
  <si>
    <t>Transvaal Rubber Company</t>
  </si>
  <si>
    <t>20 Lepus Road</t>
  </si>
  <si>
    <t>Ukwazi Site Services Pty Ltd</t>
  </si>
  <si>
    <t>4B Witch Hazel  Avenue</t>
  </si>
  <si>
    <t>University of Cape Town</t>
  </si>
  <si>
    <t>0000 Lovers Walk</t>
  </si>
  <si>
    <t>Verbena Trading SA</t>
  </si>
  <si>
    <t>Baarerstrasse 11</t>
  </si>
  <si>
    <t>VescoPlastics Sales Pty Ltd</t>
  </si>
  <si>
    <t>77 Mimetes Road</t>
  </si>
  <si>
    <t>Vueterra Pty Ltd</t>
  </si>
  <si>
    <t>75 Whites Road</t>
  </si>
  <si>
    <t>Watercare Innovations LLC</t>
  </si>
  <si>
    <t>24604 Deer Trace Drive</t>
  </si>
  <si>
    <t>Weir Minerals Africa Pty Ltd</t>
  </si>
  <si>
    <t>5 Clarke Street</t>
  </si>
  <si>
    <t>Wika Instruments Pty Ltd</t>
  </si>
  <si>
    <t>1 Chilvers Street</t>
  </si>
  <si>
    <t>WSP Group Africa Pty Ltd</t>
  </si>
  <si>
    <t>33 Sloane Street</t>
  </si>
  <si>
    <t>Xenco Pty Ltd</t>
  </si>
  <si>
    <t>243 Edward Street</t>
  </si>
  <si>
    <t>XOX Nut and Bolt Pty Ltd</t>
  </si>
  <si>
    <t>25 Fransen Street</t>
  </si>
  <si>
    <t>XPS EXPERT PROCESS SOLUTIONS*</t>
  </si>
  <si>
    <t>6 EDISON ROAD</t>
  </si>
  <si>
    <t>Zamland Logistics Limited</t>
  </si>
  <si>
    <t>3723B Industrial area</t>
  </si>
  <si>
    <t>ZLT Tower Cranes PTY Ltd</t>
  </si>
  <si>
    <t>92 Pretorius Road, Midrand</t>
  </si>
  <si>
    <t>Zoe Management Consultants</t>
  </si>
  <si>
    <t>Al Abraj Street</t>
  </si>
  <si>
    <t>COIN ROUTE KINSEVERE ET LIKASI - LUBUMBASHI</t>
  </si>
  <si>
    <t>NO 2 AVENUE SQUARE, GEORGE FORREST - LUBUMBASHI</t>
  </si>
  <si>
    <t>PANDA INTERNATIONAL CONGO</t>
  </si>
  <si>
    <t>2100, Avenue Jérusalem, Q/Joli Site, C/Annexe, V/LUBUMBASHI, P/HAUT-KATANGA - LUBUMBASHI</t>
  </si>
  <si>
    <t>GOLDEN STONE ENGINEERING TECHNOLOGY</t>
  </si>
  <si>
    <t>A2206556B</t>
  </si>
  <si>
    <t>12686 AV MUNUA, Q/GOLF METEO, C/ ET V/LUBUMBASHI, P/HAUT-KATANGA - LUBUMBASHI</t>
  </si>
  <si>
    <t>32 AVENUE DES ROCHES - LUBUMBASHI</t>
  </si>
  <si>
    <t>NO 91 NYOTA STREET - LUBUMBASHI</t>
  </si>
  <si>
    <t>MINING COMPANY RENTAL SARL</t>
  </si>
  <si>
    <t>A2210311H</t>
  </si>
  <si>
    <t>2355, AV. DE LA VIGNE, Q/ GAMBELA, C/ LUBUMBASHI, P/ HAUT-KATANGA - LUBUMBASHI</t>
  </si>
  <si>
    <t>KUNMING PROSPECTING DESIGN</t>
  </si>
  <si>
    <t>A1921619W</t>
  </si>
  <si>
    <t>766, AV. BLVD M.SIRI, C/ KAMPEMBA, V/ LUBUMBASHI, P/ HAUT-KATANGA - LUBUMBASHI</t>
  </si>
  <si>
    <t>98 AVENUE KASAI - LUBUMBASHI</t>
  </si>
  <si>
    <t>48 AVENUE DU ROI BAUDOUIN - GOMBE</t>
  </si>
  <si>
    <t>AV LA REVOLUTION NO 95 - LUBUMBASHI</t>
  </si>
  <si>
    <t>79 AVENUE KASAI - LUBUMBASHI</t>
  </si>
  <si>
    <t>675 AVE VICTIMES DE LA REBELLION - LUBUMBASHI</t>
  </si>
  <si>
    <t>AGORA METALS SARL</t>
  </si>
  <si>
    <t>A1610628W</t>
  </si>
  <si>
    <t>675, Av. DE LA METALLURGIE, C/ ET V/ LUBUMBASHI, P/HAUT-KATANGA - LUBUMBASHI</t>
  </si>
  <si>
    <t>1927 AVENUE TSHUNA - KOLWEZI</t>
  </si>
  <si>
    <t>13 AVENUE KATONTWE - LIKASI</t>
  </si>
  <si>
    <t>01 AVENUE DE L EGLISE, C DILALA - KOLWEZI</t>
  </si>
  <si>
    <t>MEDPARK CLINIC</t>
  </si>
  <si>
    <t>A1615395C</t>
  </si>
  <si>
    <t>1263, AV. KABULO CHEMIN PUBLIC, Q/ KALUBWE, C/ et V/ LUBUMBASHI, P/ HAUT KATANGA - LUBUMBASHI</t>
  </si>
  <si>
    <t>KNIGHT PIESOLD CONSULTING DRC</t>
  </si>
  <si>
    <t>A1510686H</t>
  </si>
  <si>
    <t>8083,Av.Ditu, Q/Golf Kabulameshi, V/Lubumbashi, P/Haut-Katanga - LUBUMBASHI</t>
  </si>
  <si>
    <t>EM GROUP SARL</t>
  </si>
  <si>
    <t>10 AVENUE KALENGA - LUBUMBASHI</t>
  </si>
  <si>
    <t>46 AVENUE LOMAMI, LUBUMBASHI - LUBUMBASHI</t>
  </si>
  <si>
    <t>5859 AVE LUKONZOLWA - LUBUMBASHI</t>
  </si>
  <si>
    <t>111 AV ANDRE LUMBU - LUBUMBASHI</t>
  </si>
  <si>
    <t>BARAKA HOUSE CONSTRUCTION</t>
  </si>
  <si>
    <t>A2167242N</t>
  </si>
  <si>
    <t>50, AVENUE TABAKU, Q/KARAVIA, C/ANNEXE, V/LUBUMBASHI, P/HAUT-KATANGA - LUBUMBASHI</t>
  </si>
  <si>
    <t>AV SAINT MAGLOIRE REFERENCE PEAGE - LUBUMBASHI</t>
  </si>
  <si>
    <t>1645, Avenue Kapenda, Q/Makutano, C/et V/Lubumbashi, P/Haut-Katanga - LUBUMBASHI</t>
  </si>
  <si>
    <t>NO 4 AVENUE MUNGUZI - LUBUMBASHI</t>
  </si>
  <si>
    <t>7648 AV KATO - LUBUMBASHI</t>
  </si>
  <si>
    <t>SEPT CONGO SARLU</t>
  </si>
  <si>
    <t>A2158149E</t>
  </si>
  <si>
    <t>69, Av. Mweta, Q/Golf Plateau, C/Annexe, V/LUBUMBASHI, P/HAUT-KATANGA - LUBUMBASHI</t>
  </si>
  <si>
    <t>CROISEMENT DES AVENUE LUMUMBA - LUBUMBASHI</t>
  </si>
  <si>
    <t>A1713192J</t>
  </si>
  <si>
    <t>1328 KASA VUBU AVENUE - LUBUMBASHI</t>
  </si>
  <si>
    <t>1891 AVENUE M SIRI - LUBUMBASHI</t>
  </si>
  <si>
    <t>1862 AVENUE DE LA REVOLUTION - LUBUMBASHI</t>
  </si>
  <si>
    <t>ETS SMP</t>
  </si>
  <si>
    <t>A1408510R</t>
  </si>
  <si>
    <t>96 A AVENUE LUKUNKI - LUBUMBASHI</t>
  </si>
  <si>
    <t>AVENUE DU 30 JUIN 760 435 - LUBUMBASHI</t>
  </si>
  <si>
    <t>AV INDUSTRIELLE NO 37 - LUBUMBASHI</t>
  </si>
  <si>
    <t>146 AV INMAZAZ Q GOLF MALELA - LUBUMBASHI</t>
  </si>
  <si>
    <t>54 AV MOERO QUARTIER MAKUTANO - LUBUMBASHI</t>
  </si>
  <si>
    <t>781 AVENUE KASHOBWE - LUBUMBASHI</t>
  </si>
  <si>
    <t>17, ROUTE LIKASI, Q/KAWAMA, C/ANNEXE - LUBUMBASHI</t>
  </si>
  <si>
    <t>75B MPOLO AVENUE - LUBUMBASHI</t>
  </si>
  <si>
    <t>400 BAKWAKALONJI - LUBUMBASHI</t>
  </si>
  <si>
    <t>TECHNOLOGIES FOR MINING SARL</t>
  </si>
  <si>
    <t>A2161092D</t>
  </si>
  <si>
    <t>20B, AV. MAMA FAILA, Q/ GOLF METEO, C/ ET V/ LUBUMBASHI, P/ HAUT KATANGA - LUBUMBASHI</t>
  </si>
  <si>
    <t>IDEAL INDUSTRIES SARL</t>
  </si>
  <si>
    <t>A2181488Y</t>
  </si>
  <si>
    <t>8420, Avenue du Lac, Quartier Baudouin, Lubumbashi - LUBUMBASHI</t>
  </si>
  <si>
    <t>MADINO ENGINEERING AND CONSTRUCTION</t>
  </si>
  <si>
    <t>A1907389D</t>
  </si>
  <si>
    <t>747, AV. GEOMETRE, Q/ CRAA, C/ et V/ LUBUMBASHI, P/ HAUT KATANGA - LUBUMBASHI</t>
  </si>
  <si>
    <t>1213 AVENUE CHEMEIN PUBLIC - LUBUMBASHI</t>
  </si>
  <si>
    <t>UNITED MINERALS EXPLOITATION</t>
  </si>
  <si>
    <t>A2043193X</t>
  </si>
  <si>
    <t>1074, Av. Kilelabalanda, C/et V/LUBUMBASHI, P/HAUT-KATANGA - LUBUMBASHI</t>
  </si>
  <si>
    <t>12 AVENUE DE LIBERATION - KINSHASA</t>
  </si>
  <si>
    <t>BCDC TOWER - LUBUMBUSHI</t>
  </si>
  <si>
    <t>NO 13 972 AVENUE LIKASI - LUBUMBASHI</t>
  </si>
  <si>
    <t>1340 AVENUE CHEMIN PUBLIC - LUBUMBASHI</t>
  </si>
  <si>
    <t>68 AVENUE BIAYI - LUBUMBASHI</t>
  </si>
  <si>
    <t>100 AVENUE NKULU MAJIBA - KOLWEZI</t>
  </si>
  <si>
    <t>76 AVENUE DU 30 JUIN - KOLWEZI</t>
  </si>
  <si>
    <t>66 ROUTE KINSEVERE - LUBUMBASHI</t>
  </si>
  <si>
    <t>5 AVENUE DES CASSITERITES - LUBUMBASHI</t>
  </si>
  <si>
    <t>AV MWELA MONGAKA COIN KIBETI - LUBUMBASHI</t>
  </si>
  <si>
    <t>3 LUAPULA COIN 30 JUIN - LUBUMBASHI</t>
  </si>
  <si>
    <t>74 AV NYEMBO - LUBUMBASHI</t>
  </si>
  <si>
    <t>BLESSING MINING CONSTRUCTION AND SERVICES</t>
  </si>
  <si>
    <t>A1804723E</t>
  </si>
  <si>
    <t>7, Av. Mudubengi, Q/Hewa bora, C/ Annexe, V/lubumbashi, P/HAUT-KATANGA - LUBUMBASHI</t>
  </si>
  <si>
    <t>2056 AVE LUKONZOLWA - LUBUMBASHI</t>
  </si>
  <si>
    <t>RHP SAS</t>
  </si>
  <si>
    <t>A1714087G</t>
  </si>
  <si>
    <t>8083, Av. Ditu, Q/GOLF, V/LUBUMBASHI, P/HAUT-KATANGA - LUBUMBASHI</t>
  </si>
  <si>
    <t>EDGE SERVICES SARL</t>
  </si>
  <si>
    <t>A2157011S</t>
  </si>
  <si>
    <t>7386, AV. BIAYI PROLONGEE, Q/ KAMISEPE, C/ ANNEXE, V/ LUBUMBASHI, P/ HAUT-KATANGA - LUBUMBASHI</t>
  </si>
  <si>
    <t>221 ROUTE KIPUSHI - LUBUMBASHI</t>
  </si>
  <si>
    <t>CONGO SUPPLY AND SERVICE SARL</t>
  </si>
  <si>
    <t>A2210855Z</t>
  </si>
  <si>
    <t>826, AV.MAMAN YEMO, C/LUBUMBASHI, V/LUBUMBASHI, P/HAUT-KATANGA - LUBUMBASHI</t>
  </si>
  <si>
    <t>07 AV HEWA BORA - LUBUMBASHI</t>
  </si>
  <si>
    <t>NO 03 AVENUE LUSIKU AUGUSTIN - LUBUMBASHI</t>
  </si>
  <si>
    <t>LINLI DEVELOPMENT SARL</t>
  </si>
  <si>
    <t>A1202968Q</t>
  </si>
  <si>
    <t>1630,AV/CHEMIN PUBLIC,Q/JOLI CITE,C/ANNEXE,V/LUBUMBASHI,P/HAUT-KATANGA - LUBUMBASHI</t>
  </si>
  <si>
    <t>198 BIAYI COIN DE L EGLISE KALUBWE - LUBUMBASHI</t>
  </si>
  <si>
    <t>831 AVENUE DE LA RIBAMBALLE - LUBUMBASHI</t>
  </si>
  <si>
    <t>1750, Avenue kapenda,Q/Makutano, C/ et V/LUBUMBASHI, P/HAUT-KATANGA - LUBUMBASHI</t>
  </si>
  <si>
    <t>A1418000G</t>
  </si>
  <si>
    <t>36 AVENUE LOMAMI, LUBUMBASHI - LUBUMBASHI</t>
  </si>
  <si>
    <t>13 AVENUE PROF MBAYO - LUBUMBASHI</t>
  </si>
  <si>
    <t>NEOTEC SAS</t>
  </si>
  <si>
    <t>A2204557D</t>
  </si>
  <si>
    <t>03, AV.NYANZA, Q/ INDUSTRIEL, C/KAMPEMBA, V/ LUBUMBASHI,P/ HAUT-KATANGA - LUBUMBASHI</t>
  </si>
  <si>
    <t>GLOBAL VISION OF SERVICES</t>
  </si>
  <si>
    <t>A1811452T</t>
  </si>
  <si>
    <t>61A, AV. DU LIVRE, KINSHASA/GOMBE - KINSHASA</t>
  </si>
  <si>
    <t>6402 AV MPOLO - LUBUMBASHI</t>
  </si>
  <si>
    <t>AFTRADE GROUP SARL</t>
  </si>
  <si>
    <t>A2175775N</t>
  </si>
  <si>
    <t>1587, AV. KASAVUBU, C/ ET V/ LUBUMBASHI, P/ HAUT KATANGA - LUBUMBASHI</t>
  </si>
  <si>
    <t>45 CONCESSION SAFRICAS, NGALIEMA - KINSHASA</t>
  </si>
  <si>
    <t>35 ROUTE KAFUBU - LUBUMBASHI</t>
  </si>
  <si>
    <t>939B KAPENDA AVENUE - LUBUMBASHI</t>
  </si>
  <si>
    <t>132 AVENUE SINGA GOLF - LUBUMBASHI</t>
  </si>
  <si>
    <t>LE BAMBOU</t>
  </si>
  <si>
    <t>A1406419T</t>
  </si>
  <si>
    <t>79, AVENUE TSHINYAMA, Q/GOLF, C/ et V/LUBUMBASHI, P/HAUT-KATANGA - LUBUMBASHI</t>
  </si>
  <si>
    <t>NEMCHEM INTERNATIONAL SARL</t>
  </si>
  <si>
    <t>A1310470W</t>
  </si>
  <si>
    <t>464 BAOBAB AVE - LUBUMBASHI</t>
  </si>
  <si>
    <t>A1911867W</t>
  </si>
  <si>
    <t>29 AVENUE LUMPUNGU - LUBUMBASHI</t>
  </si>
  <si>
    <t>3106 AV DE LA LOI, QUATIER GOLF - LUBUMBASHI</t>
  </si>
  <si>
    <t>5, Avenue Kibati, Q/INDUSTRIEL, C/KAPEMBA, V/LUBUMBASHI, P/HAUT-KATANGA - LUBUMBASHI</t>
  </si>
  <si>
    <t>MALIAS TECNOLOGY SARLU</t>
  </si>
  <si>
    <t>A2033654D</t>
  </si>
  <si>
    <t>AV. SENDWE, Q/ KANINA, C/ DILALA, V/ KOLWEZI, P/ LUALABA - KOLWEZI</t>
  </si>
  <si>
    <t>101 ROUTE MUNAMA Q/NJANJA - LUBUMBASHI</t>
  </si>
  <si>
    <t>56 AVENUE CHUMA QUARTIER CRAA - LUBUMBASHI</t>
  </si>
  <si>
    <t>ULTIMATE INDUSTRIALS SPRL</t>
  </si>
  <si>
    <t>6A, Av. LUVUNGI, Q/Industriel, C/KAPEMBA, V/LUBUMBASHI, P/HAUT-KATANGA - LUBUMBASHI</t>
  </si>
  <si>
    <t>OXYGEN INVESTMENT SARL</t>
  </si>
  <si>
    <t>A2156241F</t>
  </si>
  <si>
    <t>10 AV. LIKASI, C/ANNEXE, V/LUBUMBASHI, P/HAUT-KATANGA - LUBUMBASHI</t>
  </si>
  <si>
    <t>SISIMIZI SARL</t>
  </si>
  <si>
    <t>A1908155L</t>
  </si>
  <si>
    <t>171, av. kasavubu, Q/makutano, C/ et V/lubumbashi, P/Haut-Katanga - LUBUMBASHI</t>
  </si>
  <si>
    <t>NUMERO 04 AV CHEMIN PUBLIC - LUBUMBASHI</t>
  </si>
  <si>
    <t>CENTRE MEDICAL DU CENTRE VILLE</t>
  </si>
  <si>
    <t>A1005020T</t>
  </si>
  <si>
    <t>285, avenue Mwepu, Q/Makutano, C/ et V/Lubumbashi, P/HAUT-KATANGA - LUBUMBASHI</t>
  </si>
  <si>
    <t>même données 2022</t>
  </si>
  <si>
    <t>ALL FOR ENGINEERING SERVICES</t>
  </si>
  <si>
    <t>A1910764X</t>
  </si>
  <si>
    <t>HAMMERSLEY TECHNOLOGY SARL</t>
  </si>
  <si>
    <t>A2207586W</t>
  </si>
  <si>
    <t>KATANGA GLOBAL INVESTMENT BUSINESS</t>
  </si>
  <si>
    <t>A1924392K</t>
  </si>
  <si>
    <t>KATANGA MINING PROFESSIONNALS</t>
  </si>
  <si>
    <t>KAYANDA LOGISTICS SARL</t>
  </si>
  <si>
    <t>A2150414X</t>
  </si>
  <si>
    <t>Malabar rdc sarl</t>
  </si>
  <si>
    <t>MAMBA SECURITY SYSTEMS</t>
  </si>
  <si>
    <t>A1217271M</t>
  </si>
  <si>
    <t>OUTSTANDING SUCCESS DRC INVESTMENT SARL</t>
  </si>
  <si>
    <t>A2029518H</t>
  </si>
  <si>
    <t>PIN SEC SARL</t>
  </si>
  <si>
    <t>A1606021N</t>
  </si>
  <si>
    <t>SOCIEIE MACHINE CONGO SARL</t>
  </si>
  <si>
    <t>A2155539S</t>
  </si>
  <si>
    <t>SOCIETE ZHENGWEI TECHNIQUE COOPERAT SARL</t>
  </si>
  <si>
    <t>A0807284C</t>
  </si>
  <si>
    <t>SPARKS INDUSTRIES AND SERVICES SARL</t>
  </si>
  <si>
    <t>A2155868A</t>
  </si>
  <si>
    <t>United Trillion Congo SARL</t>
  </si>
  <si>
    <t>A1507790K</t>
  </si>
  <si>
    <t>USAFI BORA SARL</t>
  </si>
  <si>
    <t>A2039061F</t>
  </si>
  <si>
    <t>VELOCITY SECURITY SARLU</t>
  </si>
  <si>
    <t>A2162587D</t>
  </si>
  <si>
    <t>LA SOCIETE DE GARDIENNAGE SECURITE INDUSTRIELLE ET DE SERVICES SARL</t>
  </si>
  <si>
    <t>A0700448W</t>
  </si>
  <si>
    <t xml:space="preserve">Triplen seven </t>
  </si>
  <si>
    <t>A2039596M</t>
  </si>
  <si>
    <t>GROUKAH MULTI SERVICES SARL</t>
  </si>
  <si>
    <t>A1621683M</t>
  </si>
  <si>
    <t xml:space="preserve">Maamoa </t>
  </si>
  <si>
    <t>AECI</t>
  </si>
  <si>
    <t>aéroport luano, lubumbashi</t>
  </si>
  <si>
    <t>Bras Security</t>
  </si>
  <si>
    <t>6-7, Djamena et du 30 juin, lubumbashi</t>
  </si>
  <si>
    <t>1511, Northmead, afrique du sud</t>
  </si>
  <si>
    <t>ITM</t>
  </si>
  <si>
    <t>A1215051Z</t>
  </si>
  <si>
    <t>775,av kasavubu, lubumbashi</t>
  </si>
  <si>
    <t>Robinson</t>
  </si>
  <si>
    <t>8083,Av ditu, lubumbashi</t>
  </si>
  <si>
    <t>Grand Ciel Service</t>
  </si>
  <si>
    <t>A1909572B</t>
  </si>
  <si>
    <t>724, av balala,lubumbashi</t>
  </si>
  <si>
    <t>Golden Peach</t>
  </si>
  <si>
    <t>A1910022Q</t>
  </si>
  <si>
    <t>37, av argent, Likasi</t>
  </si>
  <si>
    <t>Jin Gang</t>
  </si>
  <si>
    <t>1133,av lukonzolwa,lubumbashi.</t>
  </si>
  <si>
    <t xml:space="preserve">ALPHAMINBISIE MINING SA  </t>
  </si>
  <si>
    <t>AFRIK INTERIM HR SERVICES SARL</t>
  </si>
  <si>
    <t>A1621767D</t>
  </si>
  <si>
    <t>ALLTERRAIN SERVICES AND TSEBO SOLUTION</t>
  </si>
  <si>
    <t>A1000954Z</t>
  </si>
  <si>
    <t>COMICO SARL</t>
  </si>
  <si>
    <t>EMCS SARL</t>
  </si>
  <si>
    <t>A0801744F</t>
  </si>
  <si>
    <t>EXPAT MANAGEMENT SARLU</t>
  </si>
  <si>
    <t>A2212734R</t>
  </si>
  <si>
    <t>KARIBU TRUST GROUP SARLU</t>
  </si>
  <si>
    <t>A2149925Q</t>
  </si>
  <si>
    <t>KONGO RIVER SA</t>
  </si>
  <si>
    <t>LATLONG INTERNATIONAL</t>
  </si>
  <si>
    <t>A1304323P</t>
  </si>
  <si>
    <t>MIDAS CONGO SARL</t>
  </si>
  <si>
    <t>A170660R</t>
  </si>
  <si>
    <t>RELIANT CONGO SARL</t>
  </si>
  <si>
    <t>A1101717E</t>
  </si>
  <si>
    <t>TMK</t>
  </si>
  <si>
    <t>A0705933H</t>
  </si>
  <si>
    <t>KAI PENG MINING</t>
  </si>
  <si>
    <t>GRAIN SARL</t>
  </si>
  <si>
    <t>A1008286T</t>
  </si>
  <si>
    <t>CHINA OVERSEAS ENGINEERING GROUP SARL</t>
  </si>
  <si>
    <t>MALABAR CLEARING AGENCY SARL</t>
  </si>
  <si>
    <t>CARGO CONGO SUPPLY CHAINS SERVICE</t>
  </si>
  <si>
    <t>A0905349M</t>
  </si>
  <si>
    <t>POLYTRA CONGO SA</t>
  </si>
  <si>
    <t>05-H4901-N67065A</t>
  </si>
  <si>
    <t>13440 AVENUE IDIOFA, IMMEUBLE INDEX,LUBUMBASHI -R.D CONGO</t>
  </si>
  <si>
    <t>BRAS SECURITY ET SERVICES SARL</t>
  </si>
  <si>
    <t>05-H5300-N82948X</t>
  </si>
  <si>
    <t>Siège Social sis Avenue Djamena - 30 juinn° 6-7, Quartier , Commune de Lubumbashi</t>
  </si>
  <si>
    <t>KILAKITU SARL</t>
  </si>
  <si>
    <t>05-H5300-N83911W</t>
  </si>
  <si>
    <t>1A avenue Cosmas Shungu, GolfmétéoVille de Lubumbashi, RD Congo</t>
  </si>
  <si>
    <t>HASS PETROLEUM CONGO</t>
  </si>
  <si>
    <t>6-118-N70405T</t>
  </si>
  <si>
    <t>7840 BLOC B, RTE DE L`AEROPORT, LUANO CITY COMMUNE ANNEXE,LUBUMBASHI, DR.CONGO</t>
  </si>
  <si>
    <t>6-129-N60336Y</t>
  </si>
  <si>
    <t>13,ROUTE KAKONTWE,Q/PANDA C/LIKASI KATANGA</t>
  </si>
  <si>
    <t>GRISI DISTRIBUTION SAS</t>
  </si>
  <si>
    <t>6-910-N13026Y</t>
  </si>
  <si>
    <t>Route de Likasi/ Village Makolongulu, Lubumbashi</t>
  </si>
  <si>
    <t>FORET VERTE SARL</t>
  </si>
  <si>
    <t>6-118-N36670E</t>
  </si>
  <si>
    <t>30, Avenue Des Ecoles, Quartier Golfpiateau, Commune Annexe, ville de Lubumbashi</t>
  </si>
  <si>
    <t xml:space="preserve">6-450-N34175E </t>
  </si>
  <si>
    <t>N"9537,AVENUE LAC KIPOPO,QUARTIER BAUDOUIN DE LUBUMBASHL,PROVINCE DU HAUT KATANGAENREPUBLIQUE DEMOCRATIQUE DUCONGO.</t>
  </si>
  <si>
    <t>COMPASS GREEN WORLDWIDE</t>
  </si>
  <si>
    <t>6-83-N91865C</t>
  </si>
  <si>
    <t>103b, Avenue Abbé Kahozi,Commune de Lubumbashi Quartier Makutano, Ville de Lubumbashi</t>
  </si>
  <si>
    <t>DATA LINK SERVICE SARL</t>
  </si>
  <si>
    <t>05-B0500-N70405T</t>
  </si>
  <si>
    <t>BLOCK B,LUANO CITY,ROUTE DE L'AEROPORT,COMMUNE ANNEXE,LUBUMBASHI HAUT KATANGA,RDC</t>
  </si>
  <si>
    <t>CHIBEAU TUTOSHENI SARL</t>
  </si>
  <si>
    <t>6-261-N45213F</t>
  </si>
  <si>
    <t>RDC/l,shi/AVNyanza,numer20,Q/Industriel</t>
  </si>
  <si>
    <t>ISA SARL</t>
  </si>
  <si>
    <t>01-F4300-N89662D</t>
  </si>
  <si>
    <t>115,AVENUE KIGOMA, Q/INDUSTRIALCOMMUNE KAMPEMBA，LUBUMBASHI</t>
  </si>
  <si>
    <t>01-83-N22552R</t>
  </si>
  <si>
    <t>10,AV.chaussee de kasenga,C/Kapemba,lubumbashi</t>
  </si>
  <si>
    <t>NTITA KASHALA/ETS N.T.K</t>
  </si>
  <si>
    <t>01-610-N57669N</t>
  </si>
  <si>
    <t>Boule voir M'siri, Commune Lubumbashi, R.D.Congo</t>
  </si>
  <si>
    <t>05-M6901-N84603X</t>
  </si>
  <si>
    <t>N°1024,Avenue kabalo, Commune de Lubumbashi,Ville de Lubumbashi, Province du Haut-Katanga</t>
  </si>
  <si>
    <t>LIGHTS ROBOTS ENTERPRISE SARL</t>
  </si>
  <si>
    <t>05-H5300-N01078B</t>
  </si>
  <si>
    <t>05 Avenue Kibati</t>
  </si>
  <si>
    <t>HOPE LAND DEVELOPMENT SARL</t>
  </si>
  <si>
    <t>A2171737Z</t>
  </si>
  <si>
    <t>PLANET DRC CORPORATION SARL</t>
  </si>
  <si>
    <t>A2180571B</t>
  </si>
  <si>
    <t>STE FLYING HORSE SARL</t>
  </si>
  <si>
    <t>A2157078Q</t>
  </si>
  <si>
    <t>UNITED TRILLION CONGO SARL</t>
  </si>
  <si>
    <t>675, AVENUE VICTIMES DE LA REBELLION, LUBUMBASHI, RDC.</t>
  </si>
  <si>
    <t>18901, AVENUE CLUB NAUTIQUE, QUARTIER GOLF, LUBUMBASHI, DRC</t>
  </si>
  <si>
    <t>CONGO LEGEND SARL</t>
  </si>
  <si>
    <t>A2290508D</t>
  </si>
  <si>
    <t>1781, avenue kapenda Q/ Makomeno commune et ville de Lubumbashi</t>
  </si>
  <si>
    <t xml:space="preserve">AEROPORT INTERNATIONAL LUANO, LUBUMBASHI, KATANGA, </t>
  </si>
  <si>
    <t xml:space="preserve">830, AVENUE DES CIMETIERES, COMMUNE DE KAMPEMBA, VILLE DE LUBUMBASHI, </t>
  </si>
  <si>
    <t xml:space="preserve">2237, AVENUE KAPENDA, COMMUNE DE LUBUMBASHI, </t>
  </si>
  <si>
    <t>13, ROUTE KAKONTWE, QUARTIER PANDA MAKOMENO, LIKASI, R.D.CONGO</t>
  </si>
  <si>
    <t>BRAS SECURITY &amp; SERVICES</t>
  </si>
  <si>
    <t>6-7 AVENUE DJAMENA-30 JUIN, QUARTIER LUMUMBA, COMMUNE DE LUBUMBASHI, RDC</t>
  </si>
  <si>
    <t>CONCREASE DRC SA</t>
  </si>
  <si>
    <t>A2159097K</t>
  </si>
  <si>
    <t>2, AVENUE VOIX FIXES/ Q GECAMINES, PROVINCE DE LUALABA, KOLWEZI</t>
  </si>
  <si>
    <t>COMPAGNIE AFRICAINE DE CONSTRUCTIONC.A.C 公司</t>
  </si>
  <si>
    <t>A2164397W</t>
  </si>
  <si>
    <t>n°157b, Avenue du Livre, C/Gombe , V/Kinshasa en République Démocratique du Congo</t>
  </si>
  <si>
    <t>AFRICA MEICHENG CONSTRUCTION SARL
AMC公司</t>
  </si>
  <si>
    <t>A2207990K</t>
  </si>
  <si>
    <t>177, Avenue Manika, Quartier Latin, Commune Manika, Ville de Kolwezi, Province du Lualaba, en République Démocratique du Congo</t>
  </si>
  <si>
    <t>SOCIETE DES SERVICES TECHNIQUES ET DU COMMERCE
SOSTEC有限责任公司</t>
  </si>
  <si>
    <t>A1416557N</t>
  </si>
  <si>
    <t>n°1124, Avenue Lumumba, Quatier Mutoshi, Commune de Manika, Ville de Kolwezi, Province du Lualaba en République Démocratique du Congo</t>
  </si>
  <si>
    <t>AECI MINING EXPLOSIVES DRC SARL
AECI矿业炸药刚果（金）有限责任公司</t>
  </si>
  <si>
    <t>A0905310Y</t>
  </si>
  <si>
    <t>Route de L'Aeroport,Luano city,Avenue le Baobab d'Afrique,Bloc C,Lubumbashi,Haut Katanga RDC</t>
  </si>
  <si>
    <t>SINO-CONGOLAISE D’ EXPLOITATION S.A.
中刚开发股份有 限公司</t>
  </si>
  <si>
    <t>A1706921s</t>
  </si>
  <si>
    <t>No.2,Avenue du Charbon,Quartier PANDA,LIKAsI,Province du
Haut-K.ATANGA cn RD CONGO</t>
  </si>
  <si>
    <t>THOMAS MINING SARL</t>
  </si>
  <si>
    <t>PC139,AVENUE CHEMIN PUBLIC,VILLE KOLWEZI RDC</t>
  </si>
  <si>
    <t>MINING CHEMICAL SUPPLIERS SAS
MCS公司</t>
  </si>
  <si>
    <t>524, Avenue Industrielle, Commune de Manika, Ville de Kolwezi, Province du Lualaba en République Démocratique du Congo</t>
  </si>
  <si>
    <t>NISAN CORPORATION SARL
NISAN CORPORATION公司</t>
  </si>
  <si>
    <t>l,Rte Lubun1bashi/Av.I)u Foot,Ville de Likasi,Province du I.1aut Katanga en RDC,</t>
  </si>
  <si>
    <t>GRACE TELECOM MULTISERVICES SARL</t>
  </si>
  <si>
    <t>A2155210K</t>
  </si>
  <si>
    <t>27, av. SENDWE, Q/MAKUTANO, C/Lubumbashi, V/Lubumbashi, P/Katanga en République Démocratique du Congo</t>
  </si>
  <si>
    <t>PAN AFRICAN COMPANY S.A.R.L.
PANACO公司</t>
  </si>
  <si>
    <t>2845 boulevard M’SIRI, Commune et Ville de Lubumbashi, Province du Haut-Katanga, RDC.</t>
  </si>
  <si>
    <t>AXE 7 SERVICES Etablissement</t>
  </si>
  <si>
    <t>A2041261X</t>
  </si>
  <si>
    <t>50BIS,av,BOBOLIKo,Q/Mama~Yemo (Mont-Ngamla), c/M。ntˉNgafula, V/Kinshasa, P/Kinshasa,Ropublique Do1mocratique du Con</t>
  </si>
  <si>
    <t>STE AFRICA TRADING MINING RDC SARL  ATM公司</t>
  </si>
  <si>
    <t>A1907883Q</t>
  </si>
  <si>
    <t>Bureau 1A de 1'immeuble Aimée Tower situé au numéro 60 de L'avenue Uvira dans la Commune de la Gombe à Kinshasa. (République Démocratique du Congo).</t>
  </si>
  <si>
    <t>STE BAUDOUIN SARL 博顿有限责任公司</t>
  </si>
  <si>
    <t xml:space="preserve"> A1922748Y</t>
  </si>
  <si>
    <t xml:space="preserve"> N°17, Avenue Likasi , Quartier de Kawama, Lubumbashi, Province du Katanga, en République Démocratique du Congo</t>
  </si>
  <si>
    <t>TIANRUN CHEMICAL ENGENEERING ENVIRONMENTAL PROTECTION EQUIPMENT COMPANY SARL
田润化工环保设备工程有限公司</t>
  </si>
  <si>
    <t>A1907927N</t>
  </si>
  <si>
    <t>N° 66，BOULEVARD M’SIRI, QUARTIER KABWE SESE, COMMUNE ANNEXE,VILLE DE LUBUMBASHI,PROVINCE DU HAUT-KATAGA EN REPU BLIQUE DEMOCRATIQUE DU CONGO</t>
  </si>
  <si>
    <t>SI TONG INTERNATIONAL SARLU四通国际有限公司</t>
  </si>
  <si>
    <t>27 Avenue LUANO, Quartier JOLI SITE, Ville de Lubumbashi, Province du Haut-Katanga en RDC</t>
  </si>
  <si>
    <t>ARK MINING SERVICES S.A.R.L.
ARK矿业服务有限责任公司</t>
  </si>
  <si>
    <t>A2028104W</t>
  </si>
  <si>
    <t>11965, av. EUGENE KABANGA,Q/JOLI SITE, C/ANNEXE, V/LUBUMBASHI, P/HAUT-KATANGA, République Démocratique du Congo</t>
  </si>
  <si>
    <t>DA TANG INTERNATIONAL TRADING COMPANY SARL 大唐国际贸易有限公司</t>
  </si>
  <si>
    <t>12, Boulevard KARAVIA, Q/GOLF HIPPIQUE, C/Annexe, V/Lubumbashi, P/Katanga en République Démocratique du Congo</t>
  </si>
  <si>
    <t>GROUP SIL SARL</t>
  </si>
  <si>
    <t>N°9537,AVENUE LAC KIPOPO,QUARTIER BAUDOUIN DE LUBUMBASHI,PROVINCE DU HAUT KATANGAENREPUBLIQUE</t>
  </si>
  <si>
    <t>DEMOCRATIQUE DUCONGO.</t>
  </si>
  <si>
    <t>N°9537,AVENUE LAC KIPOPO,QUARTIER BAUDOUIN DE LUBUMBASHI,PROVINCE DU HAUT KATANGAENREPUBLIQUE
DEMOCRATIQUE DUCONGO.</t>
  </si>
  <si>
    <t>n°43 avenue des Gisements, dans la Commune de Kampemba</t>
  </si>
  <si>
    <t>COMPASS GREEN WORLDWIDE SARL</t>
  </si>
  <si>
    <t>A1301940Z</t>
  </si>
  <si>
    <t>Avenu abbé KAHOZI, dans le commune et ville de Lubumbashi</t>
  </si>
  <si>
    <t>No. 1587, Avenue Kasavubu, Batiment Toughness, Commune &amp; Ville de Lubumbashi, Haut Katanga</t>
  </si>
  <si>
    <t>STEEL LUBUMBASHI</t>
  </si>
  <si>
    <t>A1704904A</t>
  </si>
  <si>
    <t>02, Avenue Kigoma Q/Industriel, C/Kampemba Lubumnbashi, D.R.C Congo</t>
  </si>
  <si>
    <t>A1403778Y</t>
  </si>
  <si>
    <t>N. 28 Kigoma AvenueLubumbashi-Republic Democratic of Congo</t>
  </si>
  <si>
    <t>AV FEMME CONGOLAISE MESS P2 Q/ MUTOSHI  C/ MANIKA  VILLE DE KOLWEZI</t>
  </si>
  <si>
    <t>FRONTIER SERVICES GROUP SECURITE SARL</t>
  </si>
  <si>
    <t>SOCIETE DE DEVELOPPEMENT DE COMMERCE ET DE CONSTRUCTION</t>
  </si>
  <si>
    <t>SI TONG INTERNATIONAL SARL</t>
  </si>
  <si>
    <t>ECONERGY SARL</t>
  </si>
  <si>
    <t>A1500189Y</t>
  </si>
  <si>
    <t>AV. MARINEL N°1 C/GOMBE</t>
  </si>
  <si>
    <t>AV. KASAI N° 98 Q/MAKOMENO C/LUBUMBASHI</t>
  </si>
  <si>
    <t>AFRICA SHIZHENG CONSTRUCTION ENGINEERING COMPANY SARL</t>
  </si>
  <si>
    <t>A2155529G</t>
  </si>
  <si>
    <t>ROUTE LIKASI N°165 Q/MUSOMPO C/MANIKA</t>
  </si>
  <si>
    <t>SOCOL CONGO SARL</t>
  </si>
  <si>
    <t>A2219347E</t>
  </si>
  <si>
    <t>AV KAPONDA Q/ MALELA C/LUBUMBASHI</t>
  </si>
  <si>
    <t>HUNAN TIANYU CONSTRUCTION GROUP SARL</t>
  </si>
  <si>
    <t>AV NYOTA Q/GOLF C/LUBUMBASHI</t>
  </si>
  <si>
    <t>SOCIETE XIN TIME SARL</t>
  </si>
  <si>
    <t>A2288561M</t>
  </si>
  <si>
    <t>08 AVENUE KILWA, QUARTIER LIDO GOLF</t>
  </si>
  <si>
    <t>A1907487K</t>
  </si>
  <si>
    <t>03 AV KILIMANDJARO Q/ KALUBWE C/ LUBUMBASHI C/ANNEXE</t>
  </si>
  <si>
    <t>17 AV.ROUTE LIKASI Q/KAWAMA ,L'SHI HK</t>
  </si>
  <si>
    <t>VEFFA ARCHIMST INTERNATIONAL SARL</t>
  </si>
  <si>
    <t>AI80589IX</t>
  </si>
  <si>
    <t xml:space="preserve">AV. SENDWE N°43, IMM. CADECO C/LUBUMBASHI </t>
  </si>
  <si>
    <t xml:space="preserve">YELLOW RIVER MINING SARL   </t>
  </si>
  <si>
    <t>A2155592A</t>
  </si>
  <si>
    <t>No.2223, Av Mama Yemo, V/Lubumbashi</t>
  </si>
  <si>
    <t>GLY CONGO MINING COMPANY LIMITED SARL</t>
  </si>
  <si>
    <t>A1600164X</t>
  </si>
  <si>
    <t>SINO AFRICA INTERNATIONAL MINING</t>
  </si>
  <si>
    <t>A1919887X</t>
  </si>
  <si>
    <t>A1301538M</t>
  </si>
  <si>
    <t>A1602553T</t>
  </si>
  <si>
    <t>A0906659Z</t>
  </si>
  <si>
    <t>ALDERENCES SERVICES</t>
  </si>
  <si>
    <t>A2163085U</t>
  </si>
  <si>
    <t>FLYING HORSE SARL</t>
  </si>
  <si>
    <t>VIABLE INTERNATIONAL SOLUTION SARL</t>
  </si>
  <si>
    <t>A2315909T</t>
  </si>
  <si>
    <t>MSL Congo SAS</t>
  </si>
  <si>
    <t>A2176150W</t>
  </si>
  <si>
    <t>【客商：GROUPE FAMUK SARL/POLYCLINIQUE MANASSE】</t>
  </si>
  <si>
    <t>【客商：CHIBEAU TUTOSHENI S.A.R.L】</t>
  </si>
  <si>
    <t>【客商：ANVIL MINING CONGO SA】</t>
  </si>
  <si>
    <t>【客商：UNITED TRILLION CONGO SARL】</t>
  </si>
  <si>
    <t>【客商：SGS MINERALS RDC SARL】</t>
  </si>
  <si>
    <t>【客商：ORANGE RDC SA】</t>
  </si>
  <si>
    <t>【客商：CONNEXAFRICA RDC SARL】</t>
  </si>
  <si>
    <t>【客商：DIVINE LAND MINING SARL】</t>
  </si>
  <si>
    <t>【客商：BROTHER TRANSPORT CONGO SARL】</t>
  </si>
  <si>
    <t>【客商：LADHA HOSPITALITY VENTURES】</t>
  </si>
  <si>
    <t>【客商：M &amp; D SERVICE SARL】</t>
  </si>
  <si>
    <t>【客商：UMOJA SERVICE COMPANY】</t>
  </si>
  <si>
    <t>【客商：VIABLE INTERNATIONAL SOLUTION SARL】</t>
  </si>
  <si>
    <t>【客商：LUALABA ENGINEERING CORPORATION SARL】</t>
  </si>
  <si>
    <t>【客商：Anda Logistique International RDC】</t>
  </si>
  <si>
    <t>【客商：FLYING HORSE SARL】</t>
  </si>
  <si>
    <t>【客商：OMG MACHINE AND TRADING KOLWEZI SARL】</t>
  </si>
  <si>
    <t>【客商：WIDEWAY INTERNATIONAL INVESTMENT DRC SARL】</t>
  </si>
  <si>
    <t>【客商：YUSUN LOGISTICS SARL(YUSUN)】</t>
  </si>
  <si>
    <t>【客商：UNITED TRILLION  LIMITED(盛伦）】</t>
  </si>
  <si>
    <t>【客商：JIA RUI INVESTISSEMENTS SARLU】</t>
  </si>
  <si>
    <t>【客商：TKLJ INVESTMENTS】</t>
  </si>
  <si>
    <t>【客商：Bolloré Logistics Services RDC SAS】</t>
  </si>
  <si>
    <t>【客商：BOLLORE TRANSPORT &amp; LOGISTICS RDC】</t>
  </si>
  <si>
    <t>【客商：AUTO lubumbashi】</t>
  </si>
  <si>
    <t>【客商：SOCIETE NATIONALE D'ELECTRICITE S.A】</t>
  </si>
  <si>
    <t>【客商：CONGO CHINE OPPORTUNITY SARL】</t>
  </si>
  <si>
    <t>【客商：MOERO LOGISTIQUE SARL】</t>
  </si>
  <si>
    <t>【客商：CHAMPION CONSTRUCTION COMPANY SARL(九斤ARSP)】</t>
  </si>
  <si>
    <t>【客商：Malabar RDC SARL】</t>
  </si>
  <si>
    <t>【客商：FAST LINK SARL】</t>
  </si>
  <si>
    <t>【客商：DOUANE EXPRESS CUSTOMS SARL】</t>
  </si>
  <si>
    <t>103B Avenue abbe kahozi commune de lubumbashi drc</t>
  </si>
  <si>
    <t>GOLDEN MULTI-SERVICE S.A.R.L</t>
  </si>
  <si>
    <t>A2036434A</t>
  </si>
  <si>
    <t>44Av,Bunkeya kolwezi lualaba DRC</t>
  </si>
  <si>
    <t>BUNKER SECURITE SARL 43 av des Gisements Q/Cadastre Commune Kampemba Lubumbashi</t>
  </si>
  <si>
    <t>A 2180571B</t>
  </si>
  <si>
    <t>64B Avenue Tshangalele Quartier Mission Commune likasi RDC</t>
  </si>
  <si>
    <r>
      <t xml:space="preserve">Sous-traitants </t>
    </r>
    <r>
      <rPr>
        <b/>
        <sz val="8"/>
        <color theme="1"/>
        <rFont val="Trebuchet MS"/>
        <family val="2"/>
      </rPr>
      <t>locaux</t>
    </r>
    <r>
      <rPr>
        <sz val="8"/>
        <color theme="1"/>
        <rFont val="Trebuchet MS"/>
        <family val="2"/>
      </rPr>
      <t xml:space="preserve"> </t>
    </r>
  </si>
  <si>
    <r>
      <t xml:space="preserve">Sous-traitants </t>
    </r>
    <r>
      <rPr>
        <b/>
        <sz val="8"/>
        <color theme="1"/>
        <rFont val="Trebuchet MS"/>
        <family val="2"/>
      </rPr>
      <t>étrangers</t>
    </r>
    <r>
      <rPr>
        <sz val="8"/>
        <color theme="1"/>
        <rFont val="Trebuchet MS"/>
        <family val="2"/>
      </rPr>
      <t xml:space="preserve"> </t>
    </r>
  </si>
  <si>
    <t>9 sociétés nous ont communiqué uniquement l’effectif, sans fournir la masse salariale.</t>
  </si>
  <si>
    <t xml:space="preserve">FRONTIER SA </t>
  </si>
  <si>
    <t xml:space="preserve">EXCELLEN MINERALS </t>
  </si>
  <si>
    <t>sans détail</t>
  </si>
  <si>
    <t>Les Entreprises Miniéres:</t>
  </si>
  <si>
    <t>Les Entreprises Pétroliéres :</t>
  </si>
  <si>
    <t>dont 2 sociétés n'ont pas nous communiqué la masse salariale.</t>
  </si>
  <si>
    <t>1 822 202 025 USD</t>
  </si>
  <si>
    <t>3 252 005 489 USD</t>
  </si>
  <si>
    <t>Manika</t>
  </si>
  <si>
    <t>785 713 055,6 USD</t>
  </si>
  <si>
    <t>Donatien DYKASSADYBY M</t>
  </si>
  <si>
    <t>248 520 438,52 USD</t>
  </si>
  <si>
    <t>1 487 543 598 USD</t>
  </si>
  <si>
    <t>244 178 264 USD</t>
  </si>
  <si>
    <t>389 389 884 USD</t>
  </si>
  <si>
    <t>DELOITE &amp; TOUCH</t>
  </si>
  <si>
    <t>432 930 955 USD</t>
  </si>
  <si>
    <t>354 913 891,09 USD</t>
  </si>
  <si>
    <t>433 500 043,74 USD</t>
  </si>
  <si>
    <t>184 081 372 USD</t>
  </si>
  <si>
    <t>258 544 048 USD</t>
  </si>
  <si>
    <t>NORD-KIVU</t>
  </si>
  <si>
    <t>302 227 370,39 USD</t>
  </si>
  <si>
    <t>255 279 308,67 USD</t>
  </si>
  <si>
    <t>216 401 981 USD</t>
  </si>
  <si>
    <t>1 958 235 103 USD</t>
  </si>
  <si>
    <t>DYKASSADYBY MOUENALONG</t>
  </si>
  <si>
    <t>280 167 857 USD</t>
  </si>
  <si>
    <t>ND JIKE SUMBA Alain</t>
  </si>
  <si>
    <t>270 784 575,11 USD</t>
  </si>
  <si>
    <t>CAAF</t>
  </si>
  <si>
    <t>1 104 852 863,01 USD</t>
  </si>
  <si>
    <t>DELOITTE</t>
  </si>
  <si>
    <t>457 088 916,79 USD</t>
  </si>
  <si>
    <t>KALENGA KASOKATA</t>
  </si>
  <si>
    <t>344 473 740 CDF</t>
  </si>
  <si>
    <t>KITENGE KASONGO KOMPANI FIDELE</t>
  </si>
  <si>
    <t>731 444 998 USD</t>
  </si>
  <si>
    <t>MANIKA</t>
  </si>
  <si>
    <t>406 333 844,61 USD</t>
  </si>
  <si>
    <t>23 699 496 USD</t>
  </si>
  <si>
    <t>3 520 200 USD</t>
  </si>
  <si>
    <t>173 861 USD</t>
  </si>
  <si>
    <t>Monsieur BASSA NEMBASI ET MADAME GARUKU BUKARA</t>
  </si>
  <si>
    <t>2 894 842,5 USD</t>
  </si>
  <si>
    <t>2 697 417,43 USD</t>
  </si>
  <si>
    <t>Les entreprises Miniéres :</t>
  </si>
  <si>
    <t>177 269 349 USD</t>
  </si>
  <si>
    <t>110 605 415 USD</t>
  </si>
  <si>
    <t>59 942 813 USD</t>
  </si>
  <si>
    <t>128 289 750 USD</t>
  </si>
  <si>
    <t>106 267 247 USD</t>
  </si>
  <si>
    <t>108 213 675 345 CDF</t>
  </si>
  <si>
    <t>Les entreprises Pétroliéres :</t>
  </si>
  <si>
    <t>NC : non communiqué</t>
  </si>
  <si>
    <t>SOCIETE MINIERE INTERNATIONALE SARL</t>
  </si>
  <si>
    <t>OKL MINING SARL</t>
  </si>
  <si>
    <t>DIAGONALE MINING</t>
  </si>
  <si>
    <t>COMPAGNIE MINIERE DE KAMBOVE SAS</t>
  </si>
  <si>
    <t>KAPONDA MINING RESOURCES SAS</t>
  </si>
  <si>
    <t>KUBOL MINING SARL</t>
  </si>
  <si>
    <t>SAF MINERALS SARL</t>
  </si>
  <si>
    <t>SOCIETE COOPERATIVE MINIERE BONHEUR POUR TOUS S.A.S</t>
  </si>
  <si>
    <t>PALMERES SARL</t>
  </si>
  <si>
    <t>FRAMKA SARLU</t>
  </si>
  <si>
    <t>KAKI -PLUS MINERAL</t>
  </si>
  <si>
    <t>LUROMIMA MINING SARL</t>
  </si>
  <si>
    <t>Z K MULTI SERVICES SARL</t>
  </si>
  <si>
    <t>ALNA MINING SARLU</t>
  </si>
  <si>
    <t>SOCIETE KABONGO NGOY SARL</t>
  </si>
  <si>
    <t>RDC BAOXING SARLU</t>
  </si>
  <si>
    <t>EMERAUDE MINING SARL</t>
  </si>
  <si>
    <t>CONGO CANADIAN MINING SARL</t>
  </si>
  <si>
    <t>SERVICE LOCAL DE CARRIERE SARL</t>
  </si>
  <si>
    <t>SOCIETE MUSHIMA MINING SARL</t>
  </si>
  <si>
    <t>CONGO GREEN METALS SARL</t>
  </si>
  <si>
    <t>GOTRAYS TRADE LIMITED SARL</t>
  </si>
  <si>
    <t>KIMBERLY GROUP SARL</t>
  </si>
  <si>
    <t>BVK INDUSTRIALS SARL</t>
  </si>
  <si>
    <t>ZIBO MINING SARL</t>
  </si>
  <si>
    <t>RDC PRINTEMPS SARL</t>
  </si>
  <si>
    <t>BENEFONE MINING SAS</t>
  </si>
  <si>
    <t>OVK MINING SARL</t>
  </si>
  <si>
    <t>MNB MINING SARL</t>
  </si>
  <si>
    <t>COMPAGNIE MINIERE ORIENT INDUSTRIELLE SARL</t>
  </si>
  <si>
    <t>SOCIETE MINIERE DE L' EST DU CONGO</t>
  </si>
  <si>
    <t>BOSWA INVESTMENT GROUP SARL</t>
  </si>
  <si>
    <t>PAMOJA SARL</t>
  </si>
  <si>
    <t>ACCN MINING CORPORATION SARL</t>
  </si>
  <si>
    <t>MWANGAZA SARL</t>
  </si>
  <si>
    <t>SOCIETE MINIERE BAMBI ET FILS</t>
  </si>
  <si>
    <t>KGO RESSOURCES SARL</t>
  </si>
  <si>
    <t>COOPERATIVE MINIERE UMOJA</t>
  </si>
  <si>
    <t>JIT MINING SARLU</t>
  </si>
  <si>
    <t>SOCIETE MINIERE POUR LE DEVELOPPEMENT DE LWEMBA ITURI SARL</t>
  </si>
  <si>
    <t>LA MINIERE DU CONGO_MINICO</t>
  </si>
  <si>
    <t>SOCIETE MINIERE DE BAKWANGA</t>
  </si>
  <si>
    <t>LUSHIKA MINING SARLU</t>
  </si>
  <si>
    <t>LIVE IN GROUP SARLU</t>
  </si>
  <si>
    <t>PANDA RESOURCES SARL</t>
  </si>
  <si>
    <t>LUALABA RESOURCES SARL</t>
  </si>
  <si>
    <t>TSHIWISH ENTREPRISE MULTI SERVICE SARL</t>
  </si>
  <si>
    <t>BM METAL CORPORATION SARL</t>
  </si>
  <si>
    <t>JIN XUN CONGO MINING SARL</t>
  </si>
  <si>
    <t>TEMBO MINING AND SERVICES SARL</t>
  </si>
  <si>
    <t>CONGO MINING DEVELOPMENT SARL</t>
  </si>
  <si>
    <t>NEEMA TRADING SARL</t>
  </si>
  <si>
    <t>SS MM AWM LIMITED BVI</t>
  </si>
  <si>
    <t>MUKEVERWA METAL SARL</t>
  </si>
  <si>
    <t>WALI MINING INVESTMENT SARL</t>
  </si>
  <si>
    <t>COMPAGNIE MINIERE DU KIVU SARL</t>
  </si>
  <si>
    <t>KIVU RAHA GOLD MINING S.A</t>
  </si>
  <si>
    <t>CHARLIZE RESSOURCES SAS</t>
  </si>
  <si>
    <t>MINING ENTREPRISE KATANGA SARLU</t>
  </si>
  <si>
    <t>GUILGAL SARL</t>
  </si>
  <si>
    <t>CONGO EXCELLEN RESSOURCES</t>
  </si>
  <si>
    <t>PHAEPON INTERNATIONAL RESOURCES SARL</t>
  </si>
  <si>
    <t>SOCIETE BRIDGE MINING SARL</t>
  </si>
  <si>
    <t>SOCIETE COOPERATIVE MINIERE POUR L'EXPLOITATION ARTISANALE SARL</t>
  </si>
  <si>
    <t>MANONO LITHIUM</t>
  </si>
  <si>
    <t>14211</t>
  </si>
  <si>
    <t>14212</t>
  </si>
  <si>
    <t>15497</t>
  </si>
  <si>
    <t>15527</t>
  </si>
  <si>
    <t>15528</t>
  </si>
  <si>
    <t>15579</t>
  </si>
  <si>
    <t>101</t>
  </si>
  <si>
    <t>330</t>
  </si>
  <si>
    <t>577</t>
  </si>
  <si>
    <t>578</t>
  </si>
  <si>
    <t>606</t>
  </si>
  <si>
    <t>740</t>
  </si>
  <si>
    <t>741</t>
  </si>
  <si>
    <t>754</t>
  </si>
  <si>
    <t>755</t>
  </si>
  <si>
    <t>805</t>
  </si>
  <si>
    <t>806</t>
  </si>
  <si>
    <t>809</t>
  </si>
  <si>
    <t>811</t>
  </si>
  <si>
    <t>1050</t>
  </si>
  <si>
    <t>1052</t>
  </si>
  <si>
    <t>1054</t>
  </si>
  <si>
    <t>1059</t>
  </si>
  <si>
    <t>1060</t>
  </si>
  <si>
    <t>1063</t>
  </si>
  <si>
    <t>1065</t>
  </si>
  <si>
    <t>1066</t>
  </si>
  <si>
    <t>1072</t>
  </si>
  <si>
    <t>1078</t>
  </si>
  <si>
    <t>1411</t>
  </si>
  <si>
    <t>1538</t>
  </si>
  <si>
    <t>1785</t>
  </si>
  <si>
    <t>2129</t>
  </si>
  <si>
    <t>2214</t>
  </si>
  <si>
    <t>2347</t>
  </si>
  <si>
    <t>2351</t>
  </si>
  <si>
    <t>2353</t>
  </si>
  <si>
    <t>2354</t>
  </si>
  <si>
    <t>2355</t>
  </si>
  <si>
    <t>2356</t>
  </si>
  <si>
    <t>2357</t>
  </si>
  <si>
    <t>2358</t>
  </si>
  <si>
    <t>2359</t>
  </si>
  <si>
    <t>2360</t>
  </si>
  <si>
    <t>2752</t>
  </si>
  <si>
    <t>2808</t>
  </si>
  <si>
    <t>2809</t>
  </si>
  <si>
    <t>2810</t>
  </si>
  <si>
    <t>2811</t>
  </si>
  <si>
    <t>4018</t>
  </si>
  <si>
    <t>4019</t>
  </si>
  <si>
    <t>4135</t>
  </si>
  <si>
    <t>4696</t>
  </si>
  <si>
    <t>4725</t>
  </si>
  <si>
    <t>4881</t>
  </si>
  <si>
    <t>4884</t>
  </si>
  <si>
    <t>4981</t>
  </si>
  <si>
    <t>5148</t>
  </si>
  <si>
    <t>5152</t>
  </si>
  <si>
    <t>5154</t>
  </si>
  <si>
    <t>5276</t>
  </si>
  <si>
    <t>5278</t>
  </si>
  <si>
    <t>5480</t>
  </si>
  <si>
    <t>7571</t>
  </si>
  <si>
    <t>8209</t>
  </si>
  <si>
    <t>9469</t>
  </si>
  <si>
    <t>9827</t>
  </si>
  <si>
    <t>10385</t>
  </si>
  <si>
    <t>10387</t>
  </si>
  <si>
    <t>10388</t>
  </si>
  <si>
    <t>10389</t>
  </si>
  <si>
    <t>10715</t>
  </si>
  <si>
    <t>11367</t>
  </si>
  <si>
    <t>11382</t>
  </si>
  <si>
    <t>11383</t>
  </si>
  <si>
    <t>11384</t>
  </si>
  <si>
    <t>11385</t>
  </si>
  <si>
    <t>11386</t>
  </si>
  <si>
    <t>11387</t>
  </si>
  <si>
    <t>11516</t>
  </si>
  <si>
    <t>11517</t>
  </si>
  <si>
    <t>11751</t>
  </si>
  <si>
    <t>12113</t>
  </si>
  <si>
    <t>12114</t>
  </si>
  <si>
    <t>12117</t>
  </si>
  <si>
    <t>12264</t>
  </si>
  <si>
    <t>12347</t>
  </si>
  <si>
    <t>12457</t>
  </si>
  <si>
    <t>12469</t>
  </si>
  <si>
    <t>12517</t>
  </si>
  <si>
    <t>12548</t>
  </si>
  <si>
    <t>12688</t>
  </si>
  <si>
    <t>12689</t>
  </si>
  <si>
    <t>12850</t>
  </si>
  <si>
    <t>12851</t>
  </si>
  <si>
    <t>13080</t>
  </si>
  <si>
    <t>13085</t>
  </si>
  <si>
    <t>13093</t>
  </si>
  <si>
    <t>13099</t>
  </si>
  <si>
    <t>13102</t>
  </si>
  <si>
    <t>13119</t>
  </si>
  <si>
    <t>13120</t>
  </si>
  <si>
    <t>13121</t>
  </si>
  <si>
    <t>13157</t>
  </si>
  <si>
    <t>13158</t>
  </si>
  <si>
    <t>13159</t>
  </si>
  <si>
    <t>13160</t>
  </si>
  <si>
    <t>13237</t>
  </si>
  <si>
    <t>13255</t>
  </si>
  <si>
    <t>13259</t>
  </si>
  <si>
    <t>13260</t>
  </si>
  <si>
    <t>13353</t>
  </si>
  <si>
    <t>13407</t>
  </si>
  <si>
    <t>13433</t>
  </si>
  <si>
    <t>13831</t>
  </si>
  <si>
    <t>13832</t>
  </si>
  <si>
    <t>13914</t>
  </si>
  <si>
    <t>14052</t>
  </si>
  <si>
    <t>14053</t>
  </si>
  <si>
    <t>14131</t>
  </si>
  <si>
    <t>14168</t>
  </si>
  <si>
    <t>14189</t>
  </si>
  <si>
    <t>14199</t>
  </si>
  <si>
    <t>14231</t>
  </si>
  <si>
    <t>14232</t>
  </si>
  <si>
    <t>14238</t>
  </si>
  <si>
    <t>14252</t>
  </si>
  <si>
    <t>14253</t>
  </si>
  <si>
    <t>14257</t>
  </si>
  <si>
    <t>14258</t>
  </si>
  <si>
    <t>14264</t>
  </si>
  <si>
    <t>14266</t>
  </si>
  <si>
    <t>14269</t>
  </si>
  <si>
    <t>14272</t>
  </si>
  <si>
    <t>14278</t>
  </si>
  <si>
    <t>14295</t>
  </si>
  <si>
    <t>14296</t>
  </si>
  <si>
    <t>14300</t>
  </si>
  <si>
    <t>14315</t>
  </si>
  <si>
    <t>14324</t>
  </si>
  <si>
    <t>14331</t>
  </si>
  <si>
    <t>14332</t>
  </si>
  <si>
    <t>14333</t>
  </si>
  <si>
    <t>14334</t>
  </si>
  <si>
    <t>14335</t>
  </si>
  <si>
    <t>14337</t>
  </si>
  <si>
    <t>14340</t>
  </si>
  <si>
    <t>14341</t>
  </si>
  <si>
    <t>14343</t>
  </si>
  <si>
    <t>14372</t>
  </si>
  <si>
    <t>14373</t>
  </si>
  <si>
    <t>14386</t>
  </si>
  <si>
    <t>14401</t>
  </si>
  <si>
    <t>14404</t>
  </si>
  <si>
    <t>14405</t>
  </si>
  <si>
    <t>14420</t>
  </si>
  <si>
    <t>14439</t>
  </si>
  <si>
    <t>14440</t>
  </si>
  <si>
    <t>14445</t>
  </si>
  <si>
    <t>14452</t>
  </si>
  <si>
    <t>14456</t>
  </si>
  <si>
    <t>14468</t>
  </si>
  <si>
    <t>14469</t>
  </si>
  <si>
    <t>14470</t>
  </si>
  <si>
    <t>14471</t>
  </si>
  <si>
    <t>14472</t>
  </si>
  <si>
    <t>14473</t>
  </si>
  <si>
    <t>14474</t>
  </si>
  <si>
    <t>14484</t>
  </si>
  <si>
    <t>14490</t>
  </si>
  <si>
    <t>14492</t>
  </si>
  <si>
    <t>14521</t>
  </si>
  <si>
    <t>14530</t>
  </si>
  <si>
    <t>14542</t>
  </si>
  <si>
    <t>14551</t>
  </si>
  <si>
    <t>14553</t>
  </si>
  <si>
    <t>14565</t>
  </si>
  <si>
    <t>14607</t>
  </si>
  <si>
    <t>14608</t>
  </si>
  <si>
    <t>14609</t>
  </si>
  <si>
    <t>14631</t>
  </si>
  <si>
    <t>14638</t>
  </si>
  <si>
    <t>14639</t>
  </si>
  <si>
    <t>14640</t>
  </si>
  <si>
    <t>14641</t>
  </si>
  <si>
    <t>14642</t>
  </si>
  <si>
    <t>14643</t>
  </si>
  <si>
    <t>14687</t>
  </si>
  <si>
    <t>14697</t>
  </si>
  <si>
    <t>14699</t>
  </si>
  <si>
    <t>14728</t>
  </si>
  <si>
    <t>14752</t>
  </si>
  <si>
    <t>14772</t>
  </si>
  <si>
    <t>14777</t>
  </si>
  <si>
    <t>14784</t>
  </si>
  <si>
    <t>14814</t>
  </si>
  <si>
    <t>14820</t>
  </si>
  <si>
    <t>14821</t>
  </si>
  <si>
    <t>14822</t>
  </si>
  <si>
    <t>14823</t>
  </si>
  <si>
    <t>14832</t>
  </si>
  <si>
    <t>14838</t>
  </si>
  <si>
    <t>14916</t>
  </si>
  <si>
    <t>14927</t>
  </si>
  <si>
    <t>14929</t>
  </si>
  <si>
    <t>14933</t>
  </si>
  <si>
    <t>14934</t>
  </si>
  <si>
    <t>14935</t>
  </si>
  <si>
    <t>14945</t>
  </si>
  <si>
    <t>14952</t>
  </si>
  <si>
    <t>14961</t>
  </si>
  <si>
    <t>14965</t>
  </si>
  <si>
    <t>14966</t>
  </si>
  <si>
    <t>14968</t>
  </si>
  <si>
    <t>14974</t>
  </si>
  <si>
    <t>14990</t>
  </si>
  <si>
    <t>15008</t>
  </si>
  <si>
    <t>15012</t>
  </si>
  <si>
    <t>15019</t>
  </si>
  <si>
    <t>15026</t>
  </si>
  <si>
    <t>15027</t>
  </si>
  <si>
    <t>15032</t>
  </si>
  <si>
    <t>15034</t>
  </si>
  <si>
    <t>15037</t>
  </si>
  <si>
    <t>15047</t>
  </si>
  <si>
    <t>15049</t>
  </si>
  <si>
    <t>15094</t>
  </si>
  <si>
    <t>15102</t>
  </si>
  <si>
    <t>15103</t>
  </si>
  <si>
    <t>15124</t>
  </si>
  <si>
    <t>15164</t>
  </si>
  <si>
    <t>15165</t>
  </si>
  <si>
    <t>15166</t>
  </si>
  <si>
    <t>15177</t>
  </si>
  <si>
    <t>15200</t>
  </si>
  <si>
    <t>15201</t>
  </si>
  <si>
    <t>15243</t>
  </si>
  <si>
    <t>15244</t>
  </si>
  <si>
    <t>15263</t>
  </si>
  <si>
    <t>15264</t>
  </si>
  <si>
    <t>15265</t>
  </si>
  <si>
    <t>15266</t>
  </si>
  <si>
    <t>15272</t>
  </si>
  <si>
    <t>15273</t>
  </si>
  <si>
    <t>15274</t>
  </si>
  <si>
    <t>15281</t>
  </si>
  <si>
    <t>15290</t>
  </si>
  <si>
    <t>15291</t>
  </si>
  <si>
    <t>15292</t>
  </si>
  <si>
    <t>15293</t>
  </si>
  <si>
    <t>15294</t>
  </si>
  <si>
    <t>15295</t>
  </si>
  <si>
    <t>15315</t>
  </si>
  <si>
    <t>15316</t>
  </si>
  <si>
    <t>15317</t>
  </si>
  <si>
    <t>15320</t>
  </si>
  <si>
    <t>15342</t>
  </si>
  <si>
    <t>15355</t>
  </si>
  <si>
    <t>15356</t>
  </si>
  <si>
    <t>15357</t>
  </si>
  <si>
    <t>15358</t>
  </si>
  <si>
    <t>15384</t>
  </si>
  <si>
    <t>15385</t>
  </si>
  <si>
    <t>15389</t>
  </si>
  <si>
    <t>15392</t>
  </si>
  <si>
    <t>15393</t>
  </si>
  <si>
    <t>15408</t>
  </si>
  <si>
    <t>15412</t>
  </si>
  <si>
    <t>15414</t>
  </si>
  <si>
    <t>15415</t>
  </si>
  <si>
    <t>15416</t>
  </si>
  <si>
    <t>15433</t>
  </si>
  <si>
    <t>15434</t>
  </si>
  <si>
    <t>15439</t>
  </si>
  <si>
    <t>15440</t>
  </si>
  <si>
    <t>15452</t>
  </si>
  <si>
    <t>15453</t>
  </si>
  <si>
    <t>15466</t>
  </si>
  <si>
    <t>15473</t>
  </si>
  <si>
    <t>15474</t>
  </si>
  <si>
    <t>15475</t>
  </si>
  <si>
    <t>15496</t>
  </si>
  <si>
    <t>15506</t>
  </si>
  <si>
    <t>15511</t>
  </si>
  <si>
    <t>15515</t>
  </si>
  <si>
    <t>15516</t>
  </si>
  <si>
    <t>15522</t>
  </si>
  <si>
    <t>15529</t>
  </si>
  <si>
    <t>15531</t>
  </si>
  <si>
    <t>15536</t>
  </si>
  <si>
    <t>15537</t>
  </si>
  <si>
    <t>15544</t>
  </si>
  <si>
    <t>15556</t>
  </si>
  <si>
    <t>15561</t>
  </si>
  <si>
    <t>15562</t>
  </si>
  <si>
    <t>15576</t>
  </si>
  <si>
    <t>15582</t>
  </si>
  <si>
    <t>15583</t>
  </si>
  <si>
    <t>15586</t>
  </si>
  <si>
    <t>15594</t>
  </si>
  <si>
    <t>15615</t>
  </si>
  <si>
    <t>15625</t>
  </si>
  <si>
    <t>15626</t>
  </si>
  <si>
    <t>15645</t>
  </si>
  <si>
    <t>15654</t>
  </si>
  <si>
    <t>15655</t>
  </si>
  <si>
    <t>15656</t>
  </si>
  <si>
    <t>15657</t>
  </si>
  <si>
    <t>15658</t>
  </si>
  <si>
    <t>15659</t>
  </si>
  <si>
    <t>15660</t>
  </si>
  <si>
    <t>15661</t>
  </si>
  <si>
    <t>15662</t>
  </si>
  <si>
    <t>15664</t>
  </si>
  <si>
    <t>15715</t>
  </si>
  <si>
    <t>15732</t>
  </si>
  <si>
    <t>15733</t>
  </si>
  <si>
    <t>118</t>
  </si>
  <si>
    <t>119</t>
  </si>
  <si>
    <t>1084</t>
  </si>
  <si>
    <t>1088</t>
  </si>
  <si>
    <t>1089</t>
  </si>
  <si>
    <t>1090</t>
  </si>
  <si>
    <t>1776</t>
  </si>
  <si>
    <t>2349</t>
  </si>
  <si>
    <t>2362</t>
  </si>
  <si>
    <t>2775</t>
  </si>
  <si>
    <t>4295</t>
  </si>
  <si>
    <t>12447</t>
  </si>
  <si>
    <t>12450</t>
  </si>
  <si>
    <t>12458</t>
  </si>
  <si>
    <t>13065</t>
  </si>
  <si>
    <t>13081</t>
  </si>
  <si>
    <t>13082</t>
  </si>
  <si>
    <t>13097</t>
  </si>
  <si>
    <t>13098</t>
  </si>
  <si>
    <t>14073</t>
  </si>
  <si>
    <t>14154</t>
  </si>
  <si>
    <t>14454</t>
  </si>
  <si>
    <t>14493</t>
  </si>
  <si>
    <t>14499</t>
  </si>
  <si>
    <t>14500</t>
  </si>
  <si>
    <t>14518</t>
  </si>
  <si>
    <t>14636</t>
  </si>
  <si>
    <t>14652</t>
  </si>
  <si>
    <t>14665</t>
  </si>
  <si>
    <t>14714</t>
  </si>
  <si>
    <t>14730</t>
  </si>
  <si>
    <t>14768</t>
  </si>
  <si>
    <t>14773</t>
  </si>
  <si>
    <t>14834</t>
  </si>
  <si>
    <t>14922</t>
  </si>
  <si>
    <t>14969</t>
  </si>
  <si>
    <t>15036</t>
  </si>
  <si>
    <t>15278</t>
  </si>
  <si>
    <t>15325</t>
  </si>
  <si>
    <t>15330</t>
  </si>
  <si>
    <t>15391</t>
  </si>
  <si>
    <t>15394</t>
  </si>
  <si>
    <t>15438</t>
  </si>
  <si>
    <t>15445</t>
  </si>
  <si>
    <t>15465</t>
  </si>
  <si>
    <t>15476</t>
  </si>
  <si>
    <t>15521</t>
  </si>
  <si>
    <t>15587</t>
  </si>
  <si>
    <t>15611</t>
  </si>
  <si>
    <t>15616</t>
  </si>
  <si>
    <t>15617</t>
  </si>
  <si>
    <t>15620</t>
  </si>
  <si>
    <t>15634</t>
  </si>
  <si>
    <t>15670</t>
  </si>
  <si>
    <t>15672</t>
  </si>
  <si>
    <t>15688</t>
  </si>
  <si>
    <t>15700</t>
  </si>
  <si>
    <t>5046</t>
  </si>
  <si>
    <t>5049</t>
  </si>
  <si>
    <t>5052</t>
  </si>
  <si>
    <t>5073</t>
  </si>
  <si>
    <t>5088</t>
  </si>
  <si>
    <t>9692</t>
  </si>
  <si>
    <t>11447</t>
  </si>
  <si>
    <t>11467</t>
  </si>
  <si>
    <t>11468</t>
  </si>
  <si>
    <t>11469</t>
  </si>
  <si>
    <t>11470</t>
  </si>
  <si>
    <t>11471</t>
  </si>
  <si>
    <t>11472</t>
  </si>
  <si>
    <t>13176</t>
  </si>
  <si>
    <t>14403</t>
  </si>
  <si>
    <t>14655</t>
  </si>
  <si>
    <t>14668</t>
  </si>
  <si>
    <t>14780</t>
  </si>
  <si>
    <t>14853</t>
  </si>
  <si>
    <t>14854</t>
  </si>
  <si>
    <t>14987</t>
  </si>
  <si>
    <t>15104</t>
  </si>
  <si>
    <t>15105</t>
  </si>
  <si>
    <t>15106</t>
  </si>
  <si>
    <t>15107</t>
  </si>
  <si>
    <t>15146</t>
  </si>
  <si>
    <t>15175</t>
  </si>
  <si>
    <t>15192</t>
  </si>
  <si>
    <t>15193</t>
  </si>
  <si>
    <t>15194</t>
  </si>
  <si>
    <t>15222</t>
  </si>
  <si>
    <t>15246</t>
  </si>
  <si>
    <t>15247</t>
  </si>
  <si>
    <t>15280</t>
  </si>
  <si>
    <t>15313</t>
  </si>
  <si>
    <t>15421</t>
  </si>
  <si>
    <t>15422</t>
  </si>
  <si>
    <t>15447</t>
  </si>
  <si>
    <t>15449</t>
  </si>
  <si>
    <t>15469</t>
  </si>
  <si>
    <t>15495</t>
  </si>
  <si>
    <t>15500</t>
  </si>
  <si>
    <t>15532</t>
  </si>
  <si>
    <t>15555</t>
  </si>
  <si>
    <t>15563</t>
  </si>
  <si>
    <t>15590</t>
  </si>
  <si>
    <t>15606</t>
  </si>
  <si>
    <t>15607</t>
  </si>
  <si>
    <t>15627</t>
  </si>
  <si>
    <t>5078</t>
  </si>
  <si>
    <t>5079</t>
  </si>
  <si>
    <t>5081</t>
  </si>
  <si>
    <t>7651</t>
  </si>
  <si>
    <t>7657</t>
  </si>
  <si>
    <t>8348</t>
  </si>
  <si>
    <t>8350</t>
  </si>
  <si>
    <t>9691</t>
  </si>
  <si>
    <t>9695</t>
  </si>
  <si>
    <t>14223</t>
  </si>
  <si>
    <t>14234</t>
  </si>
  <si>
    <t>14322</t>
  </si>
  <si>
    <t>14623</t>
  </si>
  <si>
    <t>14624</t>
  </si>
  <si>
    <t>14625</t>
  </si>
  <si>
    <t>14669</t>
  </si>
  <si>
    <t>14671</t>
  </si>
  <si>
    <t>14675</t>
  </si>
  <si>
    <t>14717</t>
  </si>
  <si>
    <t>14718</t>
  </si>
  <si>
    <t>14719</t>
  </si>
  <si>
    <t>14720</t>
  </si>
  <si>
    <t>14723</t>
  </si>
  <si>
    <t>14724</t>
  </si>
  <si>
    <t>14725</t>
  </si>
  <si>
    <t>14726</t>
  </si>
  <si>
    <t>14727</t>
  </si>
  <si>
    <t>14729</t>
  </si>
  <si>
    <t>14815</t>
  </si>
  <si>
    <t>14846</t>
  </si>
  <si>
    <t>14847</t>
  </si>
  <si>
    <t>14880</t>
  </si>
  <si>
    <t>14881</t>
  </si>
  <si>
    <t>14883</t>
  </si>
  <si>
    <t>14986</t>
  </si>
  <si>
    <t>14988</t>
  </si>
  <si>
    <t>15042</t>
  </si>
  <si>
    <t>15058</t>
  </si>
  <si>
    <t>15118</t>
  </si>
  <si>
    <t>15120</t>
  </si>
  <si>
    <t>15121</t>
  </si>
  <si>
    <t>15122</t>
  </si>
  <si>
    <t>15174</t>
  </si>
  <si>
    <t>15212</t>
  </si>
  <si>
    <t>15213</t>
  </si>
  <si>
    <t>15296</t>
  </si>
  <si>
    <t>15297</t>
  </si>
  <si>
    <t>15298</t>
  </si>
  <si>
    <t>15299</t>
  </si>
  <si>
    <t>15300</t>
  </si>
  <si>
    <t>15302</t>
  </si>
  <si>
    <t>15303</t>
  </si>
  <si>
    <t>15304</t>
  </si>
  <si>
    <t>15338</t>
  </si>
  <si>
    <t>15339</t>
  </si>
  <si>
    <t>15340</t>
  </si>
  <si>
    <t>15405</t>
  </si>
  <si>
    <t>15406</t>
  </si>
  <si>
    <t>15407</t>
  </si>
  <si>
    <t>15426</t>
  </si>
  <si>
    <t>15450</t>
  </si>
  <si>
    <t>15485</t>
  </si>
  <si>
    <t>15499</t>
  </si>
  <si>
    <t>15505</t>
  </si>
  <si>
    <t>15525</t>
  </si>
  <si>
    <t>15543</t>
  </si>
  <si>
    <t>15564</t>
  </si>
  <si>
    <t>15580</t>
  </si>
  <si>
    <t>15601</t>
  </si>
  <si>
    <t>15628</t>
  </si>
  <si>
    <t>15726</t>
  </si>
  <si>
    <t>241</t>
  </si>
  <si>
    <t>312</t>
  </si>
  <si>
    <t>625</t>
  </si>
  <si>
    <t>1496</t>
  </si>
  <si>
    <t>2639</t>
  </si>
  <si>
    <t>14222</t>
  </si>
  <si>
    <t>14782</t>
  </si>
  <si>
    <t>15081</t>
  </si>
  <si>
    <t>15484</t>
  </si>
  <si>
    <t>11877</t>
  </si>
  <si>
    <t>11878</t>
  </si>
  <si>
    <t>11879</t>
  </si>
  <si>
    <t>11880</t>
  </si>
  <si>
    <t>11881</t>
  </si>
  <si>
    <t>12085</t>
  </si>
  <si>
    <t>14781</t>
  </si>
  <si>
    <t>15252</t>
  </si>
  <si>
    <t>15253</t>
  </si>
  <si>
    <t>15332</t>
  </si>
  <si>
    <t>15333</t>
  </si>
  <si>
    <t>382</t>
  </si>
  <si>
    <t>389</t>
  </si>
  <si>
    <t>395</t>
  </si>
  <si>
    <t>397</t>
  </si>
  <si>
    <t>398</t>
  </si>
  <si>
    <t>399</t>
  </si>
  <si>
    <t>402</t>
  </si>
  <si>
    <t>407</t>
  </si>
  <si>
    <t>408</t>
  </si>
  <si>
    <t>410</t>
  </si>
  <si>
    <t>11861</t>
  </si>
  <si>
    <t>11923</t>
  </si>
  <si>
    <t>11924</t>
  </si>
  <si>
    <t>14196</t>
  </si>
  <si>
    <t>14197</t>
  </si>
  <si>
    <t>14273</t>
  </si>
  <si>
    <t>14291</t>
  </si>
  <si>
    <t>15334</t>
  </si>
  <si>
    <t>15335</t>
  </si>
  <si>
    <t>15336</t>
  </si>
  <si>
    <t>15234</t>
  </si>
  <si>
    <t>15751</t>
  </si>
  <si>
    <t>15752</t>
  </si>
  <si>
    <t>15761</t>
  </si>
  <si>
    <t>15764</t>
  </si>
  <si>
    <t>1297</t>
  </si>
  <si>
    <t>12659</t>
  </si>
  <si>
    <t>12660</t>
  </si>
  <si>
    <t>12662</t>
  </si>
  <si>
    <t>12663</t>
  </si>
  <si>
    <t>12664</t>
  </si>
  <si>
    <t>12665</t>
  </si>
  <si>
    <t>13253</t>
  </si>
  <si>
    <t>13860</t>
  </si>
  <si>
    <t>13888</t>
  </si>
  <si>
    <t>14509</t>
  </si>
  <si>
    <t>14510</t>
  </si>
  <si>
    <t>14511</t>
  </si>
  <si>
    <t>14512</t>
  </si>
  <si>
    <t>14532</t>
  </si>
  <si>
    <t>14533</t>
  </si>
  <si>
    <t>14534</t>
  </si>
  <si>
    <t>14919</t>
  </si>
  <si>
    <t>14948</t>
  </si>
  <si>
    <t>14949</t>
  </si>
  <si>
    <t>14950</t>
  </si>
  <si>
    <t>14992</t>
  </si>
  <si>
    <t>14993</t>
  </si>
  <si>
    <t>15328</t>
  </si>
  <si>
    <t>15329</t>
  </si>
  <si>
    <t>15542</t>
  </si>
  <si>
    <t>14357</t>
  </si>
  <si>
    <t>14399</t>
  </si>
  <si>
    <t>14963</t>
  </si>
  <si>
    <t>14972</t>
  </si>
  <si>
    <t>123</t>
  </si>
  <si>
    <t>159</t>
  </si>
  <si>
    <t>643</t>
  </si>
  <si>
    <t>652</t>
  </si>
  <si>
    <t>658</t>
  </si>
  <si>
    <t>661</t>
  </si>
  <si>
    <t>662</t>
  </si>
  <si>
    <t>687</t>
  </si>
  <si>
    <t>688</t>
  </si>
  <si>
    <t>689</t>
  </si>
  <si>
    <t>690</t>
  </si>
  <si>
    <t>702</t>
  </si>
  <si>
    <t>704</t>
  </si>
  <si>
    <t>706</t>
  </si>
  <si>
    <t>707</t>
  </si>
  <si>
    <t>708</t>
  </si>
  <si>
    <t>714</t>
  </si>
  <si>
    <t>803</t>
  </si>
  <si>
    <t>804</t>
  </si>
  <si>
    <t>815</t>
  </si>
  <si>
    <t>1074</t>
  </si>
  <si>
    <t>1075</t>
  </si>
  <si>
    <t>1076</t>
  </si>
  <si>
    <t>1079</t>
  </si>
  <si>
    <t>1086</t>
  </si>
  <si>
    <t>1283</t>
  </si>
  <si>
    <t>1430</t>
  </si>
  <si>
    <t>1431</t>
  </si>
  <si>
    <t>1432</t>
  </si>
  <si>
    <t>1434</t>
  </si>
  <si>
    <t>1435</t>
  </si>
  <si>
    <t>1447</t>
  </si>
  <si>
    <t>1524</t>
  </si>
  <si>
    <t>1526</t>
  </si>
  <si>
    <t>1891</t>
  </si>
  <si>
    <t>1962</t>
  </si>
  <si>
    <t>2115</t>
  </si>
  <si>
    <t>2116</t>
  </si>
  <si>
    <t>2275</t>
  </si>
  <si>
    <t>2315</t>
  </si>
  <si>
    <t>2342</t>
  </si>
  <si>
    <t>2348</t>
  </si>
  <si>
    <t>2350</t>
  </si>
  <si>
    <t>2352</t>
  </si>
  <si>
    <t>2361</t>
  </si>
  <si>
    <t>2506</t>
  </si>
  <si>
    <t>2589</t>
  </si>
  <si>
    <t>2756</t>
  </si>
  <si>
    <t>2760</t>
  </si>
  <si>
    <t>2769</t>
  </si>
  <si>
    <t>2774</t>
  </si>
  <si>
    <t>2778</t>
  </si>
  <si>
    <t>4191</t>
  </si>
  <si>
    <t>4613</t>
  </si>
  <si>
    <t>4690</t>
  </si>
  <si>
    <t>4728</t>
  </si>
  <si>
    <t>4729</t>
  </si>
  <si>
    <t>4959</t>
  </si>
  <si>
    <t>4960</t>
  </si>
  <si>
    <t>4963</t>
  </si>
  <si>
    <t>9090</t>
  </si>
  <si>
    <t>9468</t>
  </si>
  <si>
    <t>9707</t>
  </si>
  <si>
    <t>9708</t>
  </si>
  <si>
    <t>10384</t>
  </si>
  <si>
    <t>11557</t>
  </si>
  <si>
    <t>12112</t>
  </si>
  <si>
    <t>12115</t>
  </si>
  <si>
    <t>12123</t>
  </si>
  <si>
    <t>12198</t>
  </si>
  <si>
    <t>12336</t>
  </si>
  <si>
    <t>12337</t>
  </si>
  <si>
    <t>12423</t>
  </si>
  <si>
    <t>12489</t>
  </si>
  <si>
    <t>12518</t>
  </si>
  <si>
    <t>12519</t>
  </si>
  <si>
    <t>12520</t>
  </si>
  <si>
    <t>12522</t>
  </si>
  <si>
    <t>12623</t>
  </si>
  <si>
    <t>12717</t>
  </si>
  <si>
    <t>12873</t>
  </si>
  <si>
    <t>13025</t>
  </si>
  <si>
    <t>13026</t>
  </si>
  <si>
    <t>13114</t>
  </si>
  <si>
    <t>13257</t>
  </si>
  <si>
    <t>13544</t>
  </si>
  <si>
    <t>13813</t>
  </si>
  <si>
    <t>14044</t>
  </si>
  <si>
    <t>14050</t>
  </si>
  <si>
    <t>14074</t>
  </si>
  <si>
    <t>14167</t>
  </si>
  <si>
    <t>14198</t>
  </si>
  <si>
    <t>14247</t>
  </si>
  <si>
    <t>14251</t>
  </si>
  <si>
    <t>14254</t>
  </si>
  <si>
    <t>14265</t>
  </si>
  <si>
    <t>14267</t>
  </si>
  <si>
    <t>14268</t>
  </si>
  <si>
    <t>14275</t>
  </si>
  <si>
    <t>14280</t>
  </si>
  <si>
    <t>14306</t>
  </si>
  <si>
    <t>14313</t>
  </si>
  <si>
    <t>14314</t>
  </si>
  <si>
    <t>14336</t>
  </si>
  <si>
    <t>14338</t>
  </si>
  <si>
    <t>14339</t>
  </si>
  <si>
    <t>14355</t>
  </si>
  <si>
    <t>14356</t>
  </si>
  <si>
    <t>14367</t>
  </si>
  <si>
    <t>14368</t>
  </si>
  <si>
    <t>14369</t>
  </si>
  <si>
    <t>14370</t>
  </si>
  <si>
    <t>14371</t>
  </si>
  <si>
    <t>14374</t>
  </si>
  <si>
    <t>14375</t>
  </si>
  <si>
    <t>14382</t>
  </si>
  <si>
    <t>14383</t>
  </si>
  <si>
    <t>14400</t>
  </si>
  <si>
    <t>14418</t>
  </si>
  <si>
    <t>14419</t>
  </si>
  <si>
    <t>14436</t>
  </si>
  <si>
    <t>14475</t>
  </si>
  <si>
    <t>14482</t>
  </si>
  <si>
    <t>14483</t>
  </si>
  <si>
    <t>14486</t>
  </si>
  <si>
    <t>14494</t>
  </si>
  <si>
    <t>14496</t>
  </si>
  <si>
    <t>14497</t>
  </si>
  <si>
    <t>14498</t>
  </si>
  <si>
    <t>14502</t>
  </si>
  <si>
    <t>14514</t>
  </si>
  <si>
    <t>14515</t>
  </si>
  <si>
    <t>14516</t>
  </si>
  <si>
    <t>14517</t>
  </si>
  <si>
    <t>14522</t>
  </si>
  <si>
    <t>14523</t>
  </si>
  <si>
    <t>14527</t>
  </si>
  <si>
    <t>14528</t>
  </si>
  <si>
    <t>14543</t>
  </si>
  <si>
    <t>14544</t>
  </si>
  <si>
    <t>14545</t>
  </si>
  <si>
    <t>14546</t>
  </si>
  <si>
    <t>14547</t>
  </si>
  <si>
    <t>14548</t>
  </si>
  <si>
    <t>14549</t>
  </si>
  <si>
    <t>14550</t>
  </si>
  <si>
    <t>14557</t>
  </si>
  <si>
    <t>14604</t>
  </si>
  <si>
    <t>14610</t>
  </si>
  <si>
    <t>14614</t>
  </si>
  <si>
    <t>14626</t>
  </si>
  <si>
    <t>14627</t>
  </si>
  <si>
    <t>14670</t>
  </si>
  <si>
    <t>14674</t>
  </si>
  <si>
    <t>14692</t>
  </si>
  <si>
    <t>14698</t>
  </si>
  <si>
    <t>14700</t>
  </si>
  <si>
    <t>14701</t>
  </si>
  <si>
    <t>14702</t>
  </si>
  <si>
    <t>14703</t>
  </si>
  <si>
    <t>14704</t>
  </si>
  <si>
    <t>14705</t>
  </si>
  <si>
    <t>14740</t>
  </si>
  <si>
    <t>14742</t>
  </si>
  <si>
    <t>14743</t>
  </si>
  <si>
    <t>14744</t>
  </si>
  <si>
    <t>14769</t>
  </si>
  <si>
    <t>14770</t>
  </si>
  <si>
    <t>14778</t>
  </si>
  <si>
    <t>14797</t>
  </si>
  <si>
    <t>14839</t>
  </si>
  <si>
    <t>14841</t>
  </si>
  <si>
    <t>14842</t>
  </si>
  <si>
    <t>14843</t>
  </si>
  <si>
    <t>14844</t>
  </si>
  <si>
    <t>14845</t>
  </si>
  <si>
    <t>14856</t>
  </si>
  <si>
    <t>14899</t>
  </si>
  <si>
    <t>14900</t>
  </si>
  <si>
    <t>14905</t>
  </si>
  <si>
    <t>14906</t>
  </si>
  <si>
    <t>14936</t>
  </si>
  <si>
    <t>14944</t>
  </si>
  <si>
    <t>14964</t>
  </si>
  <si>
    <t>14967</t>
  </si>
  <si>
    <t>14971</t>
  </si>
  <si>
    <t>14973</t>
  </si>
  <si>
    <t>14985</t>
  </si>
  <si>
    <t>14997</t>
  </si>
  <si>
    <t>15005</t>
  </si>
  <si>
    <t>15010</t>
  </si>
  <si>
    <t>15011</t>
  </si>
  <si>
    <t>15013</t>
  </si>
  <si>
    <t>15014</t>
  </si>
  <si>
    <t>15017</t>
  </si>
  <si>
    <t>15029</t>
  </si>
  <si>
    <t>15043</t>
  </si>
  <si>
    <t>15046</t>
  </si>
  <si>
    <t>15062</t>
  </si>
  <si>
    <t>15063</t>
  </si>
  <si>
    <t>15064</t>
  </si>
  <si>
    <t>15065</t>
  </si>
  <si>
    <t>15069</t>
  </si>
  <si>
    <t>15108</t>
  </si>
  <si>
    <t>15111</t>
  </si>
  <si>
    <t>15112</t>
  </si>
  <si>
    <t>15113</t>
  </si>
  <si>
    <t>15129</t>
  </si>
  <si>
    <t>15149</t>
  </si>
  <si>
    <t>15150</t>
  </si>
  <si>
    <t>15163</t>
  </si>
  <si>
    <t>15226</t>
  </si>
  <si>
    <t>15227</t>
  </si>
  <si>
    <t>15228</t>
  </si>
  <si>
    <t>15230</t>
  </si>
  <si>
    <t>15231</t>
  </si>
  <si>
    <t>15242</t>
  </si>
  <si>
    <t>15271</t>
  </si>
  <si>
    <t>15283</t>
  </si>
  <si>
    <t>15318</t>
  </si>
  <si>
    <t>15341</t>
  </si>
  <si>
    <t>15366</t>
  </si>
  <si>
    <t>15367</t>
  </si>
  <si>
    <t>15368</t>
  </si>
  <si>
    <t>15369</t>
  </si>
  <si>
    <t>15370</t>
  </si>
  <si>
    <t>15371</t>
  </si>
  <si>
    <t>15372</t>
  </si>
  <si>
    <t>15373</t>
  </si>
  <si>
    <t>15374</t>
  </si>
  <si>
    <t>15375</t>
  </si>
  <si>
    <t>15376</t>
  </si>
  <si>
    <t>15377</t>
  </si>
  <si>
    <t>15378</t>
  </si>
  <si>
    <t>15379</t>
  </si>
  <si>
    <t>15380</t>
  </si>
  <si>
    <t>15381</t>
  </si>
  <si>
    <t>15382</t>
  </si>
  <si>
    <t>15403</t>
  </si>
  <si>
    <t>15404</t>
  </si>
  <si>
    <t>15420</t>
  </si>
  <si>
    <t>15428</t>
  </si>
  <si>
    <t>15429</t>
  </si>
  <si>
    <t>15430</t>
  </si>
  <si>
    <t>15436</t>
  </si>
  <si>
    <t>15437</t>
  </si>
  <si>
    <t>15441</t>
  </si>
  <si>
    <t>15494</t>
  </si>
  <si>
    <t>15512</t>
  </si>
  <si>
    <t>15517</t>
  </si>
  <si>
    <t>15597</t>
  </si>
  <si>
    <t>15598</t>
  </si>
  <si>
    <t>15599</t>
  </si>
  <si>
    <t>15604</t>
  </si>
  <si>
    <t>15605</t>
  </si>
  <si>
    <t>15652</t>
  </si>
  <si>
    <t>15653</t>
  </si>
  <si>
    <t>15677</t>
  </si>
  <si>
    <t>15678</t>
  </si>
  <si>
    <t>15679</t>
  </si>
  <si>
    <t>15683</t>
  </si>
  <si>
    <t>15710</t>
  </si>
  <si>
    <t>15717</t>
  </si>
  <si>
    <t>15753</t>
  </si>
  <si>
    <t>15754</t>
  </si>
  <si>
    <t>15755</t>
  </si>
  <si>
    <t>15756</t>
  </si>
  <si>
    <t>15758</t>
  </si>
  <si>
    <t>15759</t>
  </si>
  <si>
    <t>15760</t>
  </si>
  <si>
    <t>15769</t>
  </si>
  <si>
    <t>17</t>
  </si>
  <si>
    <t>18</t>
  </si>
  <si>
    <t>21</t>
  </si>
  <si>
    <t>180</t>
  </si>
  <si>
    <t>2592</t>
  </si>
  <si>
    <t>2594</t>
  </si>
  <si>
    <t>2595</t>
  </si>
  <si>
    <t>3279</t>
  </si>
  <si>
    <t>5696</t>
  </si>
  <si>
    <t>5699</t>
  </si>
  <si>
    <t>7121</t>
  </si>
  <si>
    <t>13537</t>
  </si>
  <si>
    <t>14190</t>
  </si>
  <si>
    <t>14191</t>
  </si>
  <si>
    <t>14192</t>
  </si>
  <si>
    <t>14485</t>
  </si>
  <si>
    <t>14555</t>
  </si>
  <si>
    <t>14635</t>
  </si>
  <si>
    <t>14808</t>
  </si>
  <si>
    <t>14958</t>
  </si>
  <si>
    <t>15001</t>
  </si>
  <si>
    <t>15015</t>
  </si>
  <si>
    <t>15158</t>
  </si>
  <si>
    <t>15159</t>
  </si>
  <si>
    <t>15229</t>
  </si>
  <si>
    <t>15259</t>
  </si>
  <si>
    <t>15276</t>
  </si>
  <si>
    <t>15279</t>
  </si>
  <si>
    <t>15301</t>
  </si>
  <si>
    <t>15307</t>
  </si>
  <si>
    <t>15308</t>
  </si>
  <si>
    <t>15397</t>
  </si>
  <si>
    <t>15398</t>
  </si>
  <si>
    <t>15399</t>
  </si>
  <si>
    <t>15400</t>
  </si>
  <si>
    <t>15454</t>
  </si>
  <si>
    <t>15504</t>
  </si>
  <si>
    <t>15507</t>
  </si>
  <si>
    <t>15509</t>
  </si>
  <si>
    <t>15510</t>
  </si>
  <si>
    <t>15549</t>
  </si>
  <si>
    <t>15595</t>
  </si>
  <si>
    <t>15697</t>
  </si>
  <si>
    <t>15698</t>
  </si>
  <si>
    <t>15699</t>
  </si>
  <si>
    <t>15763</t>
  </si>
  <si>
    <t>15470</t>
  </si>
  <si>
    <t>Mongala</t>
  </si>
  <si>
    <t>15471</t>
  </si>
  <si>
    <t>76</t>
  </si>
  <si>
    <t>8667</t>
  </si>
  <si>
    <t>13155</t>
  </si>
  <si>
    <t>13720</t>
  </si>
  <si>
    <t>14082</t>
  </si>
  <si>
    <t>14092</t>
  </si>
  <si>
    <t>14312</t>
  </si>
  <si>
    <t>14446</t>
  </si>
  <si>
    <t>14447</t>
  </si>
  <si>
    <t>14488</t>
  </si>
  <si>
    <t>14489</t>
  </si>
  <si>
    <t>14567</t>
  </si>
  <si>
    <t>14767</t>
  </si>
  <si>
    <t>14786</t>
  </si>
  <si>
    <t>14804</t>
  </si>
  <si>
    <t>14884</t>
  </si>
  <si>
    <t>14885</t>
  </si>
  <si>
    <t>14886</t>
  </si>
  <si>
    <t>14923</t>
  </si>
  <si>
    <t>15002</t>
  </si>
  <si>
    <t>15021</t>
  </si>
  <si>
    <t>15022</t>
  </si>
  <si>
    <t>15023</t>
  </si>
  <si>
    <t>15024</t>
  </si>
  <si>
    <t>15025</t>
  </si>
  <si>
    <t>15359</t>
  </si>
  <si>
    <t>15360</t>
  </si>
  <si>
    <t>15361</t>
  </si>
  <si>
    <t>15362</t>
  </si>
  <si>
    <t>15363</t>
  </si>
  <si>
    <t>15364</t>
  </si>
  <si>
    <t>15443</t>
  </si>
  <si>
    <t>15460</t>
  </si>
  <si>
    <t>15461</t>
  </si>
  <si>
    <t>15503</t>
  </si>
  <si>
    <t>14796</t>
  </si>
  <si>
    <t>15327</t>
  </si>
  <si>
    <t>366</t>
  </si>
  <si>
    <t>14783</t>
  </si>
  <si>
    <t>15172</t>
  </si>
  <si>
    <t>36</t>
  </si>
  <si>
    <t>37</t>
  </si>
  <si>
    <t>38</t>
  </si>
  <si>
    <t>39</t>
  </si>
  <si>
    <t>40</t>
  </si>
  <si>
    <t>41</t>
  </si>
  <si>
    <t>42</t>
  </si>
  <si>
    <t>43</t>
  </si>
  <si>
    <t>44</t>
  </si>
  <si>
    <t>68</t>
  </si>
  <si>
    <t>2601</t>
  </si>
  <si>
    <t>5271</t>
  </si>
  <si>
    <t>6968</t>
  </si>
  <si>
    <t>6969</t>
  </si>
  <si>
    <t>6970</t>
  </si>
  <si>
    <t>7373</t>
  </si>
  <si>
    <t>13076</t>
  </si>
  <si>
    <t>13177</t>
  </si>
  <si>
    <t>13178</t>
  </si>
  <si>
    <t>13179</t>
  </si>
  <si>
    <t>14093</t>
  </si>
  <si>
    <t>14402</t>
  </si>
  <si>
    <t>14441</t>
  </si>
  <si>
    <t>14442</t>
  </si>
  <si>
    <t>14634</t>
  </si>
  <si>
    <t>14676</t>
  </si>
  <si>
    <t>14681</t>
  </si>
  <si>
    <t>14682</t>
  </si>
  <si>
    <t>14683</t>
  </si>
  <si>
    <t>14693</t>
  </si>
  <si>
    <t>14694</t>
  </si>
  <si>
    <t>14695</t>
  </si>
  <si>
    <t>14731</t>
  </si>
  <si>
    <t>14732</t>
  </si>
  <si>
    <t>14733</t>
  </si>
  <si>
    <t>14734</t>
  </si>
  <si>
    <t>14849</t>
  </si>
  <si>
    <t>14850</t>
  </si>
  <si>
    <t>14855</t>
  </si>
  <si>
    <t>14866</t>
  </si>
  <si>
    <t>14867</t>
  </si>
  <si>
    <t>14869</t>
  </si>
  <si>
    <t>14874</t>
  </si>
  <si>
    <t>14897</t>
  </si>
  <si>
    <t>14898</t>
  </si>
  <si>
    <t>14937</t>
  </si>
  <si>
    <t>14943</t>
  </si>
  <si>
    <t>14946</t>
  </si>
  <si>
    <t>14994</t>
  </si>
  <si>
    <t>15038</t>
  </si>
  <si>
    <t>15053</t>
  </si>
  <si>
    <t>15054</t>
  </si>
  <si>
    <t>15055</t>
  </si>
  <si>
    <t>15056</t>
  </si>
  <si>
    <t>15057</t>
  </si>
  <si>
    <t>15075</t>
  </si>
  <si>
    <t>15076</t>
  </si>
  <si>
    <t>15077</t>
  </si>
  <si>
    <t>15144</t>
  </si>
  <si>
    <t>15184</t>
  </si>
  <si>
    <t>15188</t>
  </si>
  <si>
    <t>15189</t>
  </si>
  <si>
    <t>15206</t>
  </si>
  <si>
    <t>15216</t>
  </si>
  <si>
    <t>15235</t>
  </si>
  <si>
    <t>15236</t>
  </si>
  <si>
    <t>15353</t>
  </si>
  <si>
    <t>15577</t>
  </si>
  <si>
    <t>15578</t>
  </si>
  <si>
    <t>15589</t>
  </si>
  <si>
    <t>15610</t>
  </si>
  <si>
    <t>15637</t>
  </si>
  <si>
    <t>15638</t>
  </si>
  <si>
    <t>14328</t>
  </si>
  <si>
    <t>14414</t>
  </si>
  <si>
    <t>14645</t>
  </si>
  <si>
    <t>14646</t>
  </si>
  <si>
    <t>14647</t>
  </si>
  <si>
    <t>14648</t>
  </si>
  <si>
    <t>14860</t>
  </si>
  <si>
    <t>14960</t>
  </si>
  <si>
    <t>15238</t>
  </si>
  <si>
    <t>15240</t>
  </si>
  <si>
    <t>15257</t>
  </si>
  <si>
    <t>15258</t>
  </si>
  <si>
    <t>4029</t>
  </si>
  <si>
    <t>4030</t>
  </si>
  <si>
    <t>12329</t>
  </si>
  <si>
    <t>12330</t>
  </si>
  <si>
    <t>12386</t>
  </si>
  <si>
    <t>12387</t>
  </si>
  <si>
    <t>12436</t>
  </si>
  <si>
    <t>12442</t>
  </si>
  <si>
    <t>12449</t>
  </si>
  <si>
    <t>12461</t>
  </si>
  <si>
    <t>12562</t>
  </si>
  <si>
    <t>12606</t>
  </si>
  <si>
    <t>12713</t>
  </si>
  <si>
    <t>13084</t>
  </si>
  <si>
    <t>13089</t>
  </si>
  <si>
    <t>13090</t>
  </si>
  <si>
    <t>13118</t>
  </si>
  <si>
    <t>13248</t>
  </si>
  <si>
    <t>13359</t>
  </si>
  <si>
    <t>13739</t>
  </si>
  <si>
    <t>13757</t>
  </si>
  <si>
    <t>14059</t>
  </si>
  <si>
    <t>14169</t>
  </si>
  <si>
    <t>14274</t>
  </si>
  <si>
    <t>14276</t>
  </si>
  <si>
    <t>14453</t>
  </si>
  <si>
    <t>14476</t>
  </si>
  <si>
    <t>14566</t>
  </si>
  <si>
    <t>14601</t>
  </si>
  <si>
    <t>14858</t>
  </si>
  <si>
    <t>14907</t>
  </si>
  <si>
    <t>14924</t>
  </si>
  <si>
    <t>15071</t>
  </si>
  <si>
    <t>15082</t>
  </si>
  <si>
    <t>15143</t>
  </si>
  <si>
    <t>15173</t>
  </si>
  <si>
    <t>15260</t>
  </si>
  <si>
    <t>15277</t>
  </si>
  <si>
    <t>15282</t>
  </si>
  <si>
    <t>15284</t>
  </si>
  <si>
    <t>15285</t>
  </si>
  <si>
    <t>15286</t>
  </si>
  <si>
    <t>15287</t>
  </si>
  <si>
    <t>15288</t>
  </si>
  <si>
    <t>15289</t>
  </si>
  <si>
    <t>15324</t>
  </si>
  <si>
    <t>15337</t>
  </si>
  <si>
    <t>15365</t>
  </si>
  <si>
    <t>15383</t>
  </si>
  <si>
    <t>15462</t>
  </si>
  <si>
    <t>15463</t>
  </si>
  <si>
    <t>15464</t>
  </si>
  <si>
    <t>15519</t>
  </si>
  <si>
    <t>15520</t>
  </si>
  <si>
    <t>15534</t>
  </si>
  <si>
    <t>15553</t>
  </si>
  <si>
    <t>15565</t>
  </si>
  <si>
    <t>15566</t>
  </si>
  <si>
    <t>15567</t>
  </si>
  <si>
    <t>15568</t>
  </si>
  <si>
    <t>15584</t>
  </si>
  <si>
    <t>15602</t>
  </si>
  <si>
    <t>15621</t>
  </si>
  <si>
    <t>15623</t>
  </si>
  <si>
    <t>15633</t>
  </si>
  <si>
    <t>15648</t>
  </si>
  <si>
    <t>15673</t>
  </si>
  <si>
    <t>15675</t>
  </si>
  <si>
    <t>15729</t>
  </si>
  <si>
    <t>15740</t>
  </si>
  <si>
    <t>15741</t>
  </si>
  <si>
    <t>15742</t>
  </si>
  <si>
    <t>15775</t>
  </si>
  <si>
    <t>14209</t>
  </si>
  <si>
    <t>14210</t>
  </si>
  <si>
    <t>14213</t>
  </si>
  <si>
    <t>14392</t>
  </si>
  <si>
    <t>14503</t>
  </si>
  <si>
    <t>14504</t>
  </si>
  <si>
    <t>14721</t>
  </si>
  <si>
    <t>14741</t>
  </si>
  <si>
    <t>14893</t>
  </si>
  <si>
    <t>14920</t>
  </si>
  <si>
    <t>14921</t>
  </si>
  <si>
    <t>14928</t>
  </si>
  <si>
    <t>14991</t>
  </si>
  <si>
    <t>15033</t>
  </si>
  <si>
    <t>15070</t>
  </si>
  <si>
    <t>15217</t>
  </si>
  <si>
    <t>15218</t>
  </si>
  <si>
    <t>15219</t>
  </si>
  <si>
    <t>15220</t>
  </si>
  <si>
    <t>15468</t>
  </si>
  <si>
    <t>15501</t>
  </si>
  <si>
    <t>15502</t>
  </si>
  <si>
    <t>15550</t>
  </si>
  <si>
    <t>Annexe 3 - Détails des droits miniers actifs en 2023</t>
  </si>
  <si>
    <t>Période couverte : 1er janvier au 31 décembre 2023</t>
  </si>
  <si>
    <t>Actif en Renouvellement</t>
  </si>
  <si>
    <t>A déchoir pour Non Paiement</t>
  </si>
  <si>
    <t>Actif en Transformation en Multiple Permis</t>
  </si>
  <si>
    <t>Actif en cours de Cession Totale</t>
  </si>
  <si>
    <t>Actif en Déchéance pour Non Paiement</t>
  </si>
  <si>
    <t>Actif en Levée de Force Majeure</t>
  </si>
  <si>
    <t>Actif en Transformation de PEPM en PE</t>
  </si>
  <si>
    <t>Droit Réclamé</t>
  </si>
  <si>
    <t>SOCIETE MINIERE DU KASAI</t>
  </si>
  <si>
    <t>Actif en Force Majeure</t>
  </si>
  <si>
    <t>Actif en Transformation de PR en PE</t>
  </si>
  <si>
    <t>MANIEKE TSHITEMBO MINING SARL</t>
  </si>
  <si>
    <t>Actif en cours de Renonciation Partielle</t>
  </si>
  <si>
    <t>Actif en cours de Renonciation Totale</t>
  </si>
  <si>
    <t>Actif en cours de Transformation Partielle</t>
  </si>
  <si>
    <t>COMPAGNIE MINIERE DE KALEHE S.A</t>
  </si>
  <si>
    <t>Actif en Transformation de PR en PEPM</t>
  </si>
  <si>
    <t>MINERAL RESSOURCES DEVELOPMENT</t>
  </si>
  <si>
    <t>Societe WANGA MINING COMPANY</t>
  </si>
  <si>
    <t>CCS CHINDA TRADE-INVESTMENT SARL</t>
  </si>
  <si>
    <t>PAMOJA MINING SARLU</t>
  </si>
  <si>
    <t>Actif en cours de Cession Partielle</t>
  </si>
  <si>
    <t>DIESEL MINING KATANGA SARL</t>
  </si>
  <si>
    <t>MINOCOM MINING SAS</t>
  </si>
  <si>
    <t>GLOBAL TRADING SERVICES ET CONSULTING SARL</t>
  </si>
  <si>
    <t>Actif en Déchéance pour Non Commencement</t>
  </si>
  <si>
    <t>FUTURE MINING COMPANY SARL</t>
  </si>
  <si>
    <t>SOCIETE WAGENYAA SARL</t>
  </si>
  <si>
    <t>GLOBAL METAL SARLU</t>
  </si>
  <si>
    <t>GROUPE CHEMICHA INTERNATIONAL SAS</t>
  </si>
  <si>
    <t>ORACLE MINING SARL</t>
  </si>
  <si>
    <t>NGANDU MINING SARLU</t>
  </si>
  <si>
    <t>KAIL MINING CORPORATION SARL</t>
  </si>
  <si>
    <t>SOCIETE D'EXPLOITATION MINIERE DU KATANGA SARL</t>
  </si>
  <si>
    <t>KEROLL NATURAL RESOURCES SAS</t>
  </si>
  <si>
    <t>SOCIETE DEVELOPPEMENT DE KALONGE</t>
  </si>
  <si>
    <t>MAGNITUDE STAR SARL</t>
  </si>
  <si>
    <t>CONGO MINERAL RESOURCES COMPANY SAS</t>
  </si>
  <si>
    <t>META METAL CONGO SARL</t>
  </si>
  <si>
    <t>DING SHENG SERVICE SARL</t>
  </si>
  <si>
    <r>
      <rPr>
        <sz val="10"/>
        <rFont val="Trebuchet MS"/>
        <family val="2"/>
      </rPr>
      <t>PR</t>
    </r>
  </si>
  <si>
    <t>9086</t>
  </si>
  <si>
    <t>14980</t>
  </si>
  <si>
    <t>15007</t>
  </si>
  <si>
    <t>15155</t>
  </si>
  <si>
    <t>15176</t>
  </si>
  <si>
    <t>15245</t>
  </si>
  <si>
    <t>15386</t>
  </si>
  <si>
    <t>15409</t>
  </si>
  <si>
    <t>15411</t>
  </si>
  <si>
    <t>15413</t>
  </si>
  <si>
    <t>15498</t>
  </si>
  <si>
    <t>15585</t>
  </si>
  <si>
    <t>15612</t>
  </si>
  <si>
    <t>15618</t>
  </si>
  <si>
    <t>15622</t>
  </si>
  <si>
    <t>15624</t>
  </si>
  <si>
    <t>15649</t>
  </si>
  <si>
    <t>15663</t>
  </si>
  <si>
    <t>15680</t>
  </si>
  <si>
    <t>15687</t>
  </si>
  <si>
    <t>15691</t>
  </si>
  <si>
    <t>15701</t>
  </si>
  <si>
    <t>15702</t>
  </si>
  <si>
    <t>15703</t>
  </si>
  <si>
    <t>15704</t>
  </si>
  <si>
    <t>15705</t>
  </si>
  <si>
    <t>15708</t>
  </si>
  <si>
    <t>15709</t>
  </si>
  <si>
    <t>15716</t>
  </si>
  <si>
    <t>15721</t>
  </si>
  <si>
    <t>15724</t>
  </si>
  <si>
    <t>15725</t>
  </si>
  <si>
    <t>15734</t>
  </si>
  <si>
    <t>15750</t>
  </si>
  <si>
    <t>15765</t>
  </si>
  <si>
    <t>15766</t>
  </si>
  <si>
    <t>15767</t>
  </si>
  <si>
    <t>15770</t>
  </si>
  <si>
    <t>13103</t>
  </si>
  <si>
    <t>La Société ENERGULF</t>
  </si>
  <si>
    <t>Compagnie minière du Congo (COMICO)</t>
  </si>
  <si>
    <t>KAMOA COPPER COMPANY SA</t>
  </si>
  <si>
    <t>COMPAGNIE MINIERE DE KAMBOVE SARL COMIKA</t>
  </si>
  <si>
    <t>ALPHAMIN BISIE MINING SA (EX MINING PROCESSING CONGO)</t>
  </si>
  <si>
    <t>SINO CONGOLAISE DES MINES SA (SICOMINES)</t>
  </si>
  <si>
    <t>KAI PENG MINING SARL KPM</t>
  </si>
  <si>
    <t>COMPAGNIE MINIERE DE LUISHA COMILU SAS</t>
  </si>
  <si>
    <t>RUASHI MINING SAS</t>
  </si>
  <si>
    <t>KAMBOVE  MINING SAS</t>
  </si>
  <si>
    <t>CHENGTUN CONGO RESSOURCES SARL (CCR)</t>
  </si>
  <si>
    <t>CONGO DONGFANG INTERNATIONAL MINING SARL (CDM)</t>
  </si>
  <si>
    <t>CHEMICAL OF AFRICA SARL (CHEMAF)</t>
  </si>
  <si>
    <t>SOCIETE D'EXPLOITATION DE KIPOI (SEK)</t>
  </si>
  <si>
    <t>TENGYUAN COBALT &amp; COPPER RESOURCES LTD.,  CO. " TCC. SARL"</t>
  </si>
  <si>
    <t>KINSENDA COPPER COMPANY SARL(ex MINIERE DE MUSOSHI &amp; KINSENDA)  KICC</t>
  </si>
  <si>
    <t>LA MINIERE DE KASOMBO SAS</t>
  </si>
  <si>
    <t xml:space="preserve">THOMAS MINING SARL THOMAS MINING SARL </t>
  </si>
  <si>
    <t>NEW MINERALS INVESTMENT SARL (NMI)</t>
  </si>
  <si>
    <t>LUALABA COPPER SMELTER SAS (LCS)</t>
  </si>
  <si>
    <t>A0707251J</t>
  </si>
  <si>
    <t>LA MINIERE DE KALUMBWE MYUNGA (MKM)</t>
  </si>
  <si>
    <t>LA GENERALE DES CARRIERES ET DES MINES (GECAMINES)</t>
  </si>
  <si>
    <t>SOCIETE ANHUI CONGO D INVESTISSEMENT MINIER SPRL  (SACIM)</t>
  </si>
  <si>
    <t>SOCIETE AURIFERE DU KIVU ET DU MANIEMA (SAKIMA SA)</t>
  </si>
  <si>
    <t>LA CONGOLAISE D EXPLOITATION MINIERE SA (COMINIERE)</t>
  </si>
  <si>
    <t>SOCIETE MINIERE DE KILO-MOTO (SOKIMO)</t>
  </si>
  <si>
    <t>SODIMICO SA</t>
  </si>
  <si>
    <t>SOCIETE COMMERCIALE LA MINIERE DE KISENGE-MANGANESE (SCMK-MN-SA )</t>
  </si>
  <si>
    <t>LA MINIERE DE BAKUANGA (MIBA)</t>
  </si>
  <si>
    <t>METAL MINES SARL</t>
  </si>
  <si>
    <t>BOSS MINING SARL</t>
  </si>
  <si>
    <t>CONGO JIN JU CHENG MINING COMPANY CJCMC</t>
  </si>
  <si>
    <t>KIPUSHI CORPORATION SA (KICO)</t>
  </si>
  <si>
    <t>GOLDEN AFRICAN RESOURCES SARL</t>
  </si>
  <si>
    <t>MACROLINK JIAYUAN MINING (MJM)</t>
  </si>
  <si>
    <t>MINING MINERAL RESOURCES Sarl (MMR)</t>
  </si>
  <si>
    <t xml:space="preserve">ZHAN FEI MINING SARL </t>
  </si>
  <si>
    <t>A2282622G</t>
  </si>
  <si>
    <t>JIN XUNCONGO MINING SARL</t>
  </si>
  <si>
    <t>A1818154D</t>
  </si>
  <si>
    <t>ANVIL MINING CONGO SARL (AMC)</t>
  </si>
  <si>
    <t>LA CONGOLAISE DES MINES ET DE DEVELOPPEMENT</t>
  </si>
  <si>
    <t>CONGO COBALT CORPORATION "CCC SARL"</t>
  </si>
  <si>
    <t>KATAMBA MINING SAS</t>
  </si>
  <si>
    <t>A2297538U</t>
  </si>
  <si>
    <t>SOCIETE SURYA MINES SARL</t>
  </si>
  <si>
    <t>COOPERATIVE DES ARTISANAUX MINIERS DU CONGO (CDMC)</t>
  </si>
  <si>
    <t>A2178791R</t>
  </si>
  <si>
    <t>SOCIETE LUALABA MINING RESOURCES SAS</t>
  </si>
  <si>
    <t>SOCIETE TWANGIZA MINING S.A.R.L</t>
  </si>
  <si>
    <t>A0815517B</t>
  </si>
  <si>
    <t xml:space="preserve">SOCIETE GENERALE DE COMMERCE SARL SOGECOM </t>
  </si>
  <si>
    <t>CONGO RESSOURCES MINING (CRM)</t>
  </si>
  <si>
    <t>GIRO GOLD</t>
  </si>
  <si>
    <t xml:space="preserve">A1216135C </t>
  </si>
  <si>
    <t xml:space="preserve">WORLD MINERALS RESOURCES </t>
  </si>
  <si>
    <t>CONGO FAIR MINING SA</t>
  </si>
  <si>
    <t>SOCIETE NBB Et FRERES</t>
  </si>
  <si>
    <t>A1506806Q</t>
  </si>
  <si>
    <t>MINING PROGRESS COMPANY SARL (M.P.C)</t>
  </si>
  <si>
    <t>TSHISANGAMA SIMEON MINING  TSM ENTREPRISE</t>
  </si>
  <si>
    <t>INTERLACS S.A.R.L</t>
  </si>
  <si>
    <t>CROWN  MINING SARL</t>
  </si>
  <si>
    <t>ADUMBI MINING SARL</t>
  </si>
  <si>
    <t>JINXIN MING S.A</t>
  </si>
  <si>
    <t>WILLEM MINERALS COMPANY "WMC"</t>
  </si>
  <si>
    <t>SOCIETE CONGOLAISE DES MINES ET DE DEVELOPPEMENT SARL</t>
  </si>
  <si>
    <t>LEREXCOM MINING SARL</t>
  </si>
  <si>
    <t>TERRA-KARA SARL</t>
  </si>
  <si>
    <t>METAL CHEMICAL CONGO (METACHEM)</t>
  </si>
  <si>
    <t>SOCIETE MINIERE DE MANIEMA</t>
  </si>
  <si>
    <t>GOLIN RESOURCES SARL</t>
  </si>
  <si>
    <t>DING SHEN</t>
  </si>
  <si>
    <t xml:space="preserve">LUALABA MINING </t>
  </si>
  <si>
    <t>SOCIETE D EXPLOITATION DE SHAMITUMBA SAS</t>
  </si>
  <si>
    <t>ORIENTALE RESSOURCES CONGO SARL</t>
  </si>
  <si>
    <t xml:space="preserve">NAMOYA MINING SARL </t>
  </si>
  <si>
    <t>TITAN MINING</t>
  </si>
  <si>
    <t>SOCIETE COPROCO GROUP SARL</t>
  </si>
  <si>
    <t>SOCIETE D'EXPLOITATION MINIERE DU HAUT-KATANGA SARL (SEMHKAT)</t>
  </si>
  <si>
    <t>A1723030C</t>
  </si>
  <si>
    <t>A0702042D</t>
  </si>
  <si>
    <t>PHAEPHON INTERNATIONAL RESSOURCES SARL</t>
  </si>
  <si>
    <t>YA FEI MINING SPRL</t>
  </si>
  <si>
    <t>SASE MINING Sprl</t>
  </si>
  <si>
    <t>COMPAGNIE MINIERE DE SAKANIA SARL (COMISA)</t>
  </si>
  <si>
    <t>A0906511N</t>
  </si>
  <si>
    <t>STE AGROPASTORALE DE LEMERA</t>
  </si>
  <si>
    <t>CDC</t>
  </si>
  <si>
    <t>Ets RICA</t>
  </si>
  <si>
    <t xml:space="preserve">TANGANYIKA MINERALS SARL </t>
  </si>
  <si>
    <t>A2153913A</t>
  </si>
  <si>
    <t>AIR MARINE AFRICA DRC SARL</t>
  </si>
  <si>
    <t>LA COMPAGNIE MINIERE DE LA LUKAYA</t>
  </si>
  <si>
    <t>G12 ENTERPRISE SARL</t>
  </si>
  <si>
    <t>A2207148U</t>
  </si>
  <si>
    <t>AFRICO SARL</t>
  </si>
  <si>
    <t>A815367A</t>
  </si>
  <si>
    <t>A2025075D</t>
  </si>
  <si>
    <t>SINO KATANGA TIN SPRL</t>
  </si>
  <si>
    <t>A1116086Y</t>
  </si>
  <si>
    <t>STE LAMILU SPRL</t>
  </si>
  <si>
    <t>SOCIETE LOTUS MINING SARL</t>
  </si>
  <si>
    <t>COOPERATIVE MINIERE DU CENTRE (COMICE)</t>
  </si>
  <si>
    <t>BDM</t>
  </si>
  <si>
    <t>GROUPE FEI MINING</t>
  </si>
  <si>
    <t>GUILCAL SARL</t>
  </si>
  <si>
    <t>SOCIETE D'EXPLOITATION MINIERE DE MUSOSHI</t>
  </si>
  <si>
    <t>A1506604W</t>
  </si>
  <si>
    <t>KUBOL MINING Sarl</t>
  </si>
  <si>
    <t>MINIERE INTERNATIONALE SPRL</t>
  </si>
  <si>
    <t>STE GOLDEN CONSTRUCTION SARL</t>
  </si>
  <si>
    <t>YAMS MINING SARL</t>
  </si>
  <si>
    <t>A2206702K</t>
  </si>
  <si>
    <t xml:space="preserve">AMICAL KAKANA MINING SPRL </t>
  </si>
  <si>
    <t>A1209093Y</t>
  </si>
  <si>
    <t>PROGRES MINING SARL</t>
  </si>
  <si>
    <t>MUYA RESSOURCES SARL</t>
  </si>
  <si>
    <t>A1622094J</t>
  </si>
  <si>
    <t>A2173920X</t>
  </si>
  <si>
    <t>BOMPANZE ENGOMBE Freddy</t>
  </si>
  <si>
    <t>ST MAZAL CORPORATION SARL</t>
  </si>
  <si>
    <t>JEHOVAH JIREH ADO Sprl</t>
  </si>
  <si>
    <t>GEOCORE Sarl</t>
  </si>
  <si>
    <t>RP</t>
  </si>
  <si>
    <t>LA JOIE DE VIVRE SARL</t>
  </si>
  <si>
    <t>APL</t>
  </si>
  <si>
    <t>HK CENTER MINING SARL</t>
  </si>
  <si>
    <t>EVOLUTION MINING SARL</t>
  </si>
  <si>
    <t>BANRO CONGO MINING</t>
  </si>
  <si>
    <t>BUKWASHI MINING</t>
  </si>
  <si>
    <t>MABENDE MINING SPRL</t>
  </si>
  <si>
    <t>PALM CONSTELATION SARL</t>
  </si>
  <si>
    <t xml:space="preserve">ETS AMUR  ETS AMUR </t>
  </si>
  <si>
    <t>A0805721D</t>
  </si>
  <si>
    <t>E29 RESSOURCES SPRL</t>
  </si>
  <si>
    <t>TODAY TOMORROW CONGO SARLU</t>
  </si>
  <si>
    <t>TSONA MINING RDC S.A.U</t>
  </si>
  <si>
    <t>A19007871C</t>
  </si>
  <si>
    <t>ALOKANI MINING &amp; INVESTMENTS Sarl</t>
  </si>
  <si>
    <t>KAMKIS MINING SPRL</t>
  </si>
  <si>
    <t>TITAN MINERALS</t>
  </si>
  <si>
    <t>GOLD MINING CORPORATION - NEPOKO SARL</t>
  </si>
  <si>
    <t>STE S A DRC MINING</t>
  </si>
  <si>
    <t>MINERAL DEVELOPMENT INVESTMENTS SARL</t>
  </si>
  <si>
    <t>CONGO INTERNATIONAL MINING CORPORATION SAS (CIMCO)</t>
  </si>
  <si>
    <t>KABONGO NGOY SARL</t>
  </si>
  <si>
    <t xml:space="preserve">JIKA MINING COMPANY </t>
  </si>
  <si>
    <t>GENERAL MINING CORPORATION</t>
  </si>
  <si>
    <t>A1204671R</t>
  </si>
  <si>
    <t>COOPERATIVE MINIERE POUR LE DEVELOPPEMENT COMMUNAUTAIRE (COMIDECO)</t>
  </si>
  <si>
    <t>SOCIETE MINIERE DE BISUNZU SMB</t>
  </si>
  <si>
    <t>KEROLL NATURAL RESSOURCES SAS</t>
  </si>
  <si>
    <t xml:space="preserve">DA FEI MINING SPRL </t>
  </si>
  <si>
    <t>KOUNTAI CONGO MINING SPRL</t>
  </si>
  <si>
    <t>GROUP OF COMPAGNIE REKOPANE RDC Sarl</t>
  </si>
  <si>
    <t>ALLAMANDA TRADING SARL</t>
  </si>
  <si>
    <t>SOLEIL MINING SARL U</t>
  </si>
  <si>
    <t>A1108382Z</t>
  </si>
  <si>
    <t xml:space="preserve">MASTERS SPRL </t>
  </si>
  <si>
    <t>A0704686C</t>
  </si>
  <si>
    <t>ROCHKAT MINING SARL</t>
  </si>
  <si>
    <t>SOCIETE DE COMMERCE INTER.&amp; DES RESS. MINING</t>
  </si>
  <si>
    <t>IMPALA TERMINALS DRC</t>
  </si>
  <si>
    <t>SOCIETE COMMERCIALE ASIE AFRIQUE MINES Sarl</t>
  </si>
  <si>
    <t>MINIERE MAPWAR FAUSTIN SARL</t>
  </si>
  <si>
    <t>A2291155T</t>
  </si>
  <si>
    <t>BRIDGE MINING Sarl</t>
  </si>
  <si>
    <t>JEPI MINING SARLU</t>
  </si>
  <si>
    <t>BOPE EXPLOITATION AND MINING COOPERATION SARL</t>
  </si>
  <si>
    <t>MOORE GOLD</t>
  </si>
  <si>
    <t>BOLFAST COMPANY</t>
  </si>
  <si>
    <t>A0704693K</t>
  </si>
  <si>
    <t>CONGO ENVIRONMENT &amp; MINING CONSULTING</t>
  </si>
  <si>
    <t>HUACHIN MINING</t>
  </si>
  <si>
    <t>KATANGA MINES CORPORATION Sarl</t>
  </si>
  <si>
    <t>MINIERE KIMBANGUISTE SARL</t>
  </si>
  <si>
    <t>AFRICA EQUITY AND INVESTMENT GROUP</t>
  </si>
  <si>
    <t>A2289510T</t>
  </si>
  <si>
    <t>SOCIETE CL ETOILE</t>
  </si>
  <si>
    <t>A1826929R</t>
  </si>
  <si>
    <t>LUFIRA MINING SARL</t>
  </si>
  <si>
    <t>KIFUMPA MINING</t>
  </si>
  <si>
    <t>WORLD MINING SARL</t>
  </si>
  <si>
    <t>SAM ET COMPAGNIE SARL</t>
  </si>
  <si>
    <t>STE AFRICA EQUITY ET INVESTMENT GROUP SARL</t>
  </si>
  <si>
    <t xml:space="preserve">BORA MINERALS SARL BM SARL </t>
  </si>
  <si>
    <t>AITEO MINING CONGO LIMITED .SAU</t>
  </si>
  <si>
    <t>DIESEL MINING &amp; CONSULTANTS SARL</t>
  </si>
  <si>
    <t>A0711784S</t>
  </si>
  <si>
    <t>TBWA/DES IDEES QUIVALENT DE L'OR/DRC</t>
  </si>
  <si>
    <t>SWAMINES</t>
  </si>
  <si>
    <t>GROUPE MWEMA BUSINESS SPRL</t>
  </si>
  <si>
    <t>GASTON MBAKA</t>
  </si>
  <si>
    <t>A2179756Q</t>
  </si>
  <si>
    <t>KWESU MINING Sarl</t>
  </si>
  <si>
    <t>GROUPE LES LEADERS SERVICES SARL</t>
  </si>
  <si>
    <t>KALINDA-LUKUNDU DEVELOPMENT MINING Sarl</t>
  </si>
  <si>
    <t>SOCIETE CONGO MOON MINING SARL</t>
  </si>
  <si>
    <t>SOCIETE BUSINESS KAMANDI MINING</t>
  </si>
  <si>
    <t>STE CONGO CONSTRUCTION INVESTMENTS SARL</t>
  </si>
  <si>
    <t>GROUP M.S.A SA</t>
  </si>
  <si>
    <t>FRETIN CONSTRUCT SPRL</t>
  </si>
  <si>
    <t>SUCCES THREE MINING SARL</t>
  </si>
  <si>
    <t>GLOBAL CONGO MINING</t>
  </si>
  <si>
    <t>GAYA MINING S.A</t>
  </si>
  <si>
    <t>AMANI SARLU</t>
  </si>
  <si>
    <t>A2029554XX</t>
  </si>
  <si>
    <t>A2169022Y</t>
  </si>
  <si>
    <t xml:space="preserve">STE KILUNGUYI SOMBE MINING SARL </t>
  </si>
  <si>
    <t>A2282808J</t>
  </si>
  <si>
    <t>MINING ENTREPRISE KATANGA</t>
  </si>
  <si>
    <t>SOCIETE YASH TRADING SARL</t>
  </si>
  <si>
    <t>CONGO GLOBAL MINING CORPORATION</t>
  </si>
  <si>
    <t>STE HOPE CONNECT MINING</t>
  </si>
  <si>
    <t>STE GICHON LUIZA SARL</t>
  </si>
  <si>
    <t>KATANGA TECHNIQUE TRADING SARL</t>
  </si>
  <si>
    <t>A22155226B</t>
  </si>
  <si>
    <t>LA COMPAGNIE MINIERE MIKUBA RESSOURCES SARL</t>
  </si>
  <si>
    <t>COMPAGNIE DE SERVICES MULTIPLES SARL</t>
  </si>
  <si>
    <t>TONGLI RESUORCES SARLU</t>
  </si>
  <si>
    <t>KAMUMER INTERNATIONAL INVESTMENTS AND CONSULTING SARL</t>
  </si>
  <si>
    <t>SOCIETE SUPER KATANGA SARLU</t>
  </si>
  <si>
    <t>PARAGON MINING</t>
  </si>
  <si>
    <t>CRM CONGO MINERALS</t>
  </si>
  <si>
    <t>LA GRACE FUJ</t>
  </si>
  <si>
    <t>A2217353M</t>
  </si>
  <si>
    <t>MIT MINERALS SARL</t>
  </si>
  <si>
    <t>A19044417</t>
  </si>
  <si>
    <t>GRANDS SERVICES SARL</t>
  </si>
  <si>
    <t>SOCIETE ODILON &amp; MANUEL SARL</t>
  </si>
  <si>
    <t>SOCIETE MINIERE BAMBI &amp; FILS</t>
  </si>
  <si>
    <t>GROUPE D.M.S BUSINESS SARLU</t>
  </si>
  <si>
    <t>STE UMOJA MINING SARL</t>
  </si>
  <si>
    <t>SOCIETE MINIERE ET AGRICOLE DU CONGO SARL</t>
  </si>
  <si>
    <t>STE AFRICAN CONGO MINING SARL</t>
  </si>
  <si>
    <t>A2032976R</t>
  </si>
  <si>
    <t>STE AFRIQUE OR MINING SARL</t>
  </si>
  <si>
    <t>A2206309H</t>
  </si>
  <si>
    <t>CHINA FORTUNE</t>
  </si>
  <si>
    <t>O.V.K MINING SARL</t>
  </si>
  <si>
    <t>H1803514Q</t>
  </si>
  <si>
    <t>CONGO PROGRESS MINING S,A</t>
  </si>
  <si>
    <t>TEMBO MINING &amp; SERVICES</t>
  </si>
  <si>
    <t>MINIERE BIALA MUKANGA SARL</t>
  </si>
  <si>
    <t>NEHEMA COPPER SARL</t>
  </si>
  <si>
    <t>KIMIA GOLIN ORIENTALE RESSOURCES Sarl</t>
  </si>
  <si>
    <t>KALORDIA MINING LOGISTICS &amp; SERVICES ENTREPRISES SARL</t>
  </si>
  <si>
    <t>JAMAA MINING Sarl</t>
  </si>
  <si>
    <t>STE MINIERE ITURIMINERALSARL</t>
  </si>
  <si>
    <t>CONGO CANADIAN MINING</t>
  </si>
  <si>
    <t>A2179732P</t>
  </si>
  <si>
    <t>PALMERES Sarl</t>
  </si>
  <si>
    <t>A1920510Q</t>
  </si>
  <si>
    <t>BOSWA INV</t>
  </si>
  <si>
    <t>A2215517R</t>
  </si>
  <si>
    <t>TSHIWISH ENTREPRISE MULTI SERVICES SARL</t>
  </si>
  <si>
    <t>KAKI PLUS MINERAL SARL</t>
  </si>
  <si>
    <t>MINIERE PR LE DVLPMT DE LWEMBA ITURI SARL</t>
  </si>
  <si>
    <t>JIT MINING</t>
  </si>
  <si>
    <t>A1827143Z</t>
  </si>
  <si>
    <t>Titres miniers de la MIBA au niveau du registre minier au 31 décembre 2023</t>
  </si>
  <si>
    <t>Titres miniers déclarés par la MIBA au niveau de sa déclaration ITIE 2023</t>
  </si>
  <si>
    <r>
      <t>Droit Réclamé :</t>
    </r>
    <r>
      <rPr>
        <b/>
        <sz val="8"/>
        <color rgb="FFFF0000"/>
        <rFont val="Aptos"/>
        <family val="2"/>
      </rPr>
      <t xml:space="preserve"> PR non reporté par la société "MIBA"</t>
    </r>
  </si>
  <si>
    <t xml:space="preserve">7 : KAMOA COPPER, METALKOL SA, MKM, COMMUS SAS, SICOMINES S.A, SOMIDEZ SAS, LUALABA COPPER SMELTER </t>
  </si>
  <si>
    <t xml:space="preserve">16 : RUASHI MINING, SOMIKA, SOCIETE DE TRAITEMENT DU TERRIL DE LUBUMBASHI, MMG KINSEVERE, EXCELLENT MINING MINERALS, FRONTIER, RUBAMIN, ANVIL MINING CONGO, KISENDA COPPER COMPANY, COMILU, SABWE MINING, KAIPENG MINING, SHAMITUMBA, DIVINE LAND MINING SARL, SOMIKA SARLU/Projet KIMPE-MABAYA, CHEMAF (PE 577)  </t>
  </si>
  <si>
    <t xml:space="preserve">12 : CMOC KINSAFU, KALONGWE MINING, KISANFU MINING, LAMIKAL, CCR, HMC, TCC, TFM, MUTANDA MINING, CARRILU, KAMOTO COPPER COMPANY et LUILU RESSOURCES </t>
  </si>
  <si>
    <t>14 : MINIERE DE KASOMBO, COMIKA, NEW MINERALS INVESTMENT, CONGO JIN JU CHENG, EVERBRIGHT MINING, METAL MINES, KAMBOVE MINING, CNMC CONGO COMPAGNIE MINIERE, LUALABA MINING RESSOURCES, SHITURU MINING CORPORATION, MACROLINK JIAYUAN MINING, CONGO DONG FANG INTERNATIONAL MINING, CNMC HUACHIN METAL LEACH, CNMC HUACHIN MABENDE MINING</t>
  </si>
  <si>
    <t xml:space="preserve">2 : GRANDE CIMENTERIE DU KATANGA, CONGO INVESTMENT CORPORATION </t>
  </si>
  <si>
    <t>COMIDE</t>
  </si>
  <si>
    <t>BOSS MINING</t>
  </si>
  <si>
    <t xml:space="preserve">6 : OM METAL RESSOURCES, GOLDEN AFRICA RESSOURCES, MINIERE DE KASONTA, FMR DEVELOPEMENT, MINING PROGRESS COMPANY, ENTREPRISE GENERALE MALTA FOREST </t>
  </si>
  <si>
    <t xml:space="preserve">Normes audit </t>
  </si>
  <si>
    <t xml:space="preserve">Annexe 1 - Politique de lutte contre la corruption </t>
  </si>
  <si>
    <t>Annexe 2 - La situation des droits miniers amodiés, des contrats d’options enregistrés et des cessions réalisées en 2023</t>
  </si>
  <si>
    <t>Annexe 4 - Registre des droits minier au 31 décembre 2023</t>
  </si>
  <si>
    <t>Annexe 6 - Droits miniers en statut actif dont la date d'expiration est antérieure à 2023</t>
  </si>
  <si>
    <t>Annexe 7 - Liste des Titres miniers avec le statut actif dont la date d'octroi est en 2024</t>
  </si>
  <si>
    <t xml:space="preserve">Annexe 9 - Discordance entre les titres miniers au niveau du CAMI et de la déclaration de la MIBA </t>
  </si>
  <si>
    <t xml:space="preserve">Annexe 10 - Modèle formulaire de déclaration du propriétaire effectif </t>
  </si>
  <si>
    <t>Annexe 14  – Bénéficiaire effectif</t>
  </si>
  <si>
    <t>Annexe 13  – Bénéficiaire effectif</t>
  </si>
  <si>
    <t>Annexe 11  – Structure du capital secteur minier</t>
  </si>
  <si>
    <t>Annexe 12  – Structure du capital secteur pétrolier</t>
  </si>
  <si>
    <t>Annexe 13  – Bénéficiaire effectif secteur minier</t>
  </si>
  <si>
    <t>Annexe 14  – Bénéficiaire effectif secteur pétrolier</t>
  </si>
  <si>
    <t>Annexe 16 - Soumission détails des participations publiques par les EP en 2023</t>
  </si>
  <si>
    <t>Annexe 19 - Publication des GES secteur minier</t>
  </si>
  <si>
    <t>Annexe 20 - Publication des GES secteur pétrolier</t>
  </si>
  <si>
    <t>NATURE 2021</t>
  </si>
  <si>
    <t>STATUT 2021</t>
  </si>
  <si>
    <r>
      <rPr>
        <sz val="10"/>
        <rFont val="Trebuchet MS"/>
        <family val="2"/>
      </rPr>
      <t>UNITED COMINIERE SAS</t>
    </r>
  </si>
  <si>
    <r>
      <rPr>
        <sz val="10"/>
        <rFont val="Trebuchet MS"/>
        <family val="2"/>
      </rPr>
      <t>Haut-Lomami</t>
    </r>
  </si>
  <si>
    <r>
      <rPr>
        <sz val="10"/>
        <rFont val="Trebuchet MS"/>
        <family val="2"/>
      </rPr>
      <t>Actif-En Déchéance_NonPaiement</t>
    </r>
  </si>
  <si>
    <t>Annexe 21 - Référentiel des flux</t>
  </si>
  <si>
    <t>Annexe 22 - La liste de toutes les sociétés pétrolières retenues dans la déclaration unilatérale</t>
  </si>
  <si>
    <t>Annexe 24 - La liste des sociétés minières retenues pour une déclaration unliatérale</t>
  </si>
  <si>
    <t>Annexe 23 - La liste des sociétés minières retenues dans le périmètre de conciliation</t>
  </si>
  <si>
    <t>Annexe 25 - la disponibilité et la qualité des informations fournies par chaque entreprise (Minière et pétrolière)</t>
  </si>
  <si>
    <t>Annexe 26 - Décompte des projets d'infrastructures de la SICOMINES jusqu'au juin 2025 fourni par l'APCSC</t>
  </si>
  <si>
    <t>Annexe 27 - Etat détaillé des investissements dans le projet des infrastructures de la SICOMINES de 2015 jusqu’au 11 Octobre 2025 par l'ACGT</t>
  </si>
  <si>
    <t>Annexe 37 - Répartition des cahiers de charges par province et par statut</t>
  </si>
  <si>
    <t>Annexe 39  – Dépenses sociales volontaires secteur minier</t>
  </si>
  <si>
    <t>Annexe 38  – Dépenses sociales obligatoires secteur minier</t>
  </si>
  <si>
    <t>Annexe 40  – Dépenses sociales obligatoires secteur pétrolier</t>
  </si>
  <si>
    <t>Annexe 41  – Dépenses environmentales obligatoires secteur minier</t>
  </si>
  <si>
    <t>Annexe 42 - Statistiques emploi déclarés par les sociétés</t>
  </si>
  <si>
    <t>Annexe  43 – Sous-traitants</t>
  </si>
  <si>
    <t>Annexe 45 - Politique Environnementale, sociale et genre -secteur pétrolier</t>
  </si>
  <si>
    <t>Annexe 44 - Politique Environnementale, sociale et genre -secteur minier</t>
  </si>
  <si>
    <t>NOM DE LA SOCIETE</t>
  </si>
  <si>
    <t>N° TITRE</t>
  </si>
  <si>
    <t>TERRITOIRE</t>
  </si>
  <si>
    <t>N° AVIS DPEM</t>
  </si>
  <si>
    <t>OBJET</t>
  </si>
  <si>
    <r>
      <t xml:space="preserve">ALPHA </t>
    </r>
    <r>
      <rPr>
        <sz val="9"/>
        <color rgb="FF494D4D"/>
        <rFont val="Trebuchet MS"/>
        <family val="2"/>
      </rPr>
      <t xml:space="preserve">MINING </t>
    </r>
    <r>
      <rPr>
        <sz val="9"/>
        <color rgb="FF343638"/>
        <rFont val="Trebuchet MS"/>
        <family val="2"/>
      </rPr>
      <t>SARL</t>
    </r>
  </si>
  <si>
    <t>PE13155</t>
  </si>
  <si>
    <r>
      <t>CPE</t>
    </r>
    <r>
      <rPr>
        <sz val="9"/>
        <color rgb="FF606262"/>
        <rFont val="Trebuchet MS"/>
        <family val="2"/>
      </rPr>
      <t>/</t>
    </r>
    <r>
      <rPr>
        <sz val="9"/>
        <color rgb="FF343638"/>
        <rFont val="Trebuchet MS"/>
        <family val="2"/>
      </rPr>
      <t>001</t>
    </r>
    <r>
      <rPr>
        <sz val="9"/>
        <color rgb="FF606262"/>
        <rFont val="Trebuchet MS"/>
        <family val="2"/>
      </rPr>
      <t>/</t>
    </r>
    <r>
      <rPr>
        <sz val="9"/>
        <color rgb="FF343638"/>
        <rFont val="Trebuchet MS"/>
        <family val="2"/>
      </rPr>
      <t>E</t>
    </r>
    <r>
      <rPr>
        <sz val="9"/>
        <color rgb="FF606262"/>
        <rFont val="Trebuchet MS"/>
        <family val="2"/>
      </rPr>
      <t>-</t>
    </r>
    <r>
      <rPr>
        <sz val="9"/>
        <color rgb="FF343638"/>
        <rFont val="Trebuchet MS"/>
        <family val="2"/>
      </rPr>
      <t>ND.N/2023</t>
    </r>
  </si>
  <si>
    <t>REVISION</t>
  </si>
  <si>
    <r>
      <t xml:space="preserve">INTERLACS </t>
    </r>
    <r>
      <rPr>
        <sz val="9"/>
        <color rgb="FF212326"/>
        <rFont val="Trebuchet MS"/>
        <family val="2"/>
      </rPr>
      <t>SA</t>
    </r>
  </si>
  <si>
    <t>ARPC 15067</t>
  </si>
  <si>
    <t>KABARE</t>
  </si>
  <si>
    <t>CPE/002/ E-ND. N/2023</t>
  </si>
  <si>
    <t>TRANSFORMATION</t>
  </si>
  <si>
    <r>
      <t xml:space="preserve">SABWE </t>
    </r>
    <r>
      <rPr>
        <sz val="9"/>
        <color rgb="FF343638"/>
        <rFont val="Trebuchet MS"/>
        <family val="2"/>
      </rPr>
      <t xml:space="preserve">MINING </t>
    </r>
    <r>
      <rPr>
        <sz val="9"/>
        <color rgb="FF212326"/>
        <rFont val="Trebuchet MS"/>
        <family val="2"/>
      </rPr>
      <t>SARL</t>
    </r>
  </si>
  <si>
    <t>PE 13093</t>
  </si>
  <si>
    <t>CPE/003/ E-ND. N/2023</t>
  </si>
  <si>
    <r>
      <t xml:space="preserve">DRC </t>
    </r>
    <r>
      <rPr>
        <sz val="9"/>
        <color rgb="FF343638"/>
        <rFont val="Trebuchet MS"/>
        <family val="2"/>
      </rPr>
      <t>MINING EXPLORATION MANAGEMENT AND FACILI1Y</t>
    </r>
    <r>
      <rPr>
        <sz val="9"/>
        <color rgb="FF212326"/>
        <rFont val="Trebuchet MS"/>
        <family val="2"/>
      </rPr>
      <t xml:space="preserve"> SARL</t>
    </r>
  </si>
  <si>
    <t>ARPC 14170</t>
  </si>
  <si>
    <t>KI PUSHI</t>
  </si>
  <si>
    <r>
      <t>CPE/007/ E-ND</t>
    </r>
    <r>
      <rPr>
        <sz val="9"/>
        <color rgb="FF606262"/>
        <rFont val="Trebuchet MS"/>
        <family val="2"/>
      </rPr>
      <t xml:space="preserve">. </t>
    </r>
    <r>
      <rPr>
        <sz val="9"/>
        <color rgb="FF343638"/>
        <rFont val="Trebuchet MS"/>
        <family val="2"/>
      </rPr>
      <t>N/2023</t>
    </r>
  </si>
  <si>
    <r>
      <t>TRANSFORMATIO</t>
    </r>
    <r>
      <rPr>
        <sz val="9"/>
        <color rgb="FF494D4D"/>
        <rFont val="Trebuchet MS"/>
        <family val="2"/>
      </rPr>
      <t>N</t>
    </r>
  </si>
  <si>
    <r>
      <t xml:space="preserve">GOLDEN CONSTRUCTIO </t>
    </r>
    <r>
      <rPr>
        <sz val="9"/>
        <color rgb="FF212326"/>
        <rFont val="Trebuchet MS"/>
        <family val="2"/>
      </rPr>
      <t xml:space="preserve">N </t>
    </r>
    <r>
      <rPr>
        <sz val="9"/>
        <color rgb="FF343638"/>
        <rFont val="Trebuchet MS"/>
        <family val="2"/>
      </rPr>
      <t>SARL</t>
    </r>
  </si>
  <si>
    <t>ARPC 41792</t>
  </si>
  <si>
    <t>MUTSHATHSA</t>
  </si>
  <si>
    <t>CPE/008/ E-ND. N/2023</t>
  </si>
  <si>
    <t>PE 14366</t>
  </si>
  <si>
    <t>CPE/017/ E-ND. N/2023</t>
  </si>
  <si>
    <t>GOLDEN AFRICAN RESSOURCES SARL</t>
  </si>
  <si>
    <r>
      <t xml:space="preserve">PE </t>
    </r>
    <r>
      <rPr>
        <sz val="9"/>
        <color rgb="FF343638"/>
        <rFont val="Trebuchet MS"/>
        <family val="2"/>
      </rPr>
      <t>1063</t>
    </r>
  </si>
  <si>
    <r>
      <t xml:space="preserve">CPE/018/ </t>
    </r>
    <r>
      <rPr>
        <sz val="9"/>
        <color rgb="FF212326"/>
        <rFont val="Trebuchet MS"/>
        <family val="2"/>
      </rPr>
      <t>E-</t>
    </r>
    <r>
      <rPr>
        <sz val="9"/>
        <color rgb="FF343638"/>
        <rFont val="Trebuchet MS"/>
        <family val="2"/>
      </rPr>
      <t>ND. N/2023</t>
    </r>
  </si>
  <si>
    <r>
      <t xml:space="preserve">CHEMICAL OF AFRICA </t>
    </r>
    <r>
      <rPr>
        <sz val="9"/>
        <color rgb="FF212326"/>
        <rFont val="Trebuchet MS"/>
        <family val="2"/>
      </rPr>
      <t>SA</t>
    </r>
  </si>
  <si>
    <r>
      <t xml:space="preserve">PE </t>
    </r>
    <r>
      <rPr>
        <sz val="9"/>
        <color rgb="FF343638"/>
        <rFont val="Trebuchet MS"/>
        <family val="2"/>
      </rPr>
      <t>12113</t>
    </r>
  </si>
  <si>
    <t>KIPUSHI</t>
  </si>
  <si>
    <t>CPE/019/ E-ND. N/2023</t>
  </si>
  <si>
    <r>
      <t xml:space="preserve">MIS à </t>
    </r>
    <r>
      <rPr>
        <sz val="9"/>
        <color rgb="FF212326"/>
        <rFont val="Trebuchet MS"/>
        <family val="2"/>
      </rPr>
      <t>JOUR</t>
    </r>
  </si>
  <si>
    <r>
      <t xml:space="preserve">PE </t>
    </r>
    <r>
      <rPr>
        <sz val="9"/>
        <color rgb="FF343638"/>
        <rFont val="Trebuchet MS"/>
        <family val="2"/>
      </rPr>
      <t>2756</t>
    </r>
  </si>
  <si>
    <r>
      <t xml:space="preserve">CPE/020/ </t>
    </r>
    <r>
      <rPr>
        <sz val="9"/>
        <color rgb="FF212326"/>
        <rFont val="Trebuchet MS"/>
        <family val="2"/>
      </rPr>
      <t>E-</t>
    </r>
    <r>
      <rPr>
        <sz val="9"/>
        <color rgb="FF343638"/>
        <rFont val="Trebuchet MS"/>
        <family val="2"/>
      </rPr>
      <t>ND. N/2023</t>
    </r>
  </si>
  <si>
    <t>PR 13881</t>
  </si>
  <si>
    <t>MAMBASA</t>
  </si>
  <si>
    <t>CPE/021/ E-ND. N/2023</t>
  </si>
  <si>
    <r>
      <t xml:space="preserve">PE </t>
    </r>
    <r>
      <rPr>
        <sz val="9"/>
        <color rgb="FF343638"/>
        <rFont val="Trebuchet MS"/>
        <family val="2"/>
      </rPr>
      <t>14050</t>
    </r>
  </si>
  <si>
    <r>
      <t xml:space="preserve">CPE/021 </t>
    </r>
    <r>
      <rPr>
        <sz val="9"/>
        <color rgb="FF212326"/>
        <rFont val="Trebuchet MS"/>
        <family val="2"/>
      </rPr>
      <t xml:space="preserve">bis/ </t>
    </r>
    <r>
      <rPr>
        <sz val="9"/>
        <color rgb="FF343638"/>
        <rFont val="Trebuchet MS"/>
        <family val="2"/>
      </rPr>
      <t>E-ND. N/2023</t>
    </r>
  </si>
  <si>
    <t>MIS à JOUR</t>
  </si>
  <si>
    <r>
      <t xml:space="preserve">MINIERE </t>
    </r>
    <r>
      <rPr>
        <sz val="9"/>
        <color rgb="FF212326"/>
        <rFont val="Trebuchet MS"/>
        <family val="2"/>
      </rPr>
      <t xml:space="preserve">DE </t>
    </r>
    <r>
      <rPr>
        <sz val="9"/>
        <color rgb="FF343638"/>
        <rFont val="Trebuchet MS"/>
        <family val="2"/>
      </rPr>
      <t>NOUBA</t>
    </r>
  </si>
  <si>
    <t>PR 13887</t>
  </si>
  <si>
    <r>
      <t xml:space="preserve">SEKE </t>
    </r>
    <r>
      <rPr>
        <sz val="9"/>
        <color rgb="FF343638"/>
        <rFont val="Trebuchet MS"/>
        <family val="2"/>
      </rPr>
      <t>BANZE</t>
    </r>
  </si>
  <si>
    <t>CPE/022/ E-ND. N/2023</t>
  </si>
  <si>
    <r>
      <t>GOLDI</t>
    </r>
    <r>
      <rPr>
        <sz val="9"/>
        <color rgb="FF414444"/>
        <rFont val="Trebuchet MS"/>
        <family val="2"/>
      </rPr>
      <t xml:space="preserve">X </t>
    </r>
    <r>
      <rPr>
        <sz val="9"/>
        <color rgb="FF161818"/>
        <rFont val="Trebuchet MS"/>
        <family val="2"/>
      </rPr>
      <t xml:space="preserve">TRADE </t>
    </r>
    <r>
      <rPr>
        <sz val="9"/>
        <color rgb="FF282A2D"/>
        <rFont val="Trebuchet MS"/>
        <family val="2"/>
      </rPr>
      <t>COMPANY MINING</t>
    </r>
  </si>
  <si>
    <r>
      <t xml:space="preserve">PR </t>
    </r>
    <r>
      <rPr>
        <sz val="9"/>
        <color rgb="FF161818"/>
        <rFont val="Trebuchet MS"/>
        <family val="2"/>
      </rPr>
      <t>15115</t>
    </r>
  </si>
  <si>
    <r>
      <t>MA</t>
    </r>
    <r>
      <rPr>
        <sz val="9"/>
        <color rgb="FF414444"/>
        <rFont val="Trebuchet MS"/>
        <family val="2"/>
      </rPr>
      <t>M</t>
    </r>
    <r>
      <rPr>
        <sz val="9"/>
        <color rgb="FF282A2D"/>
        <rFont val="Trebuchet MS"/>
        <family val="2"/>
      </rPr>
      <t>BASA</t>
    </r>
  </si>
  <si>
    <r>
      <t>CPE</t>
    </r>
    <r>
      <rPr>
        <sz val="9"/>
        <color rgb="FF414444"/>
        <rFont val="Trebuchet MS"/>
        <family val="2"/>
      </rPr>
      <t>/</t>
    </r>
    <r>
      <rPr>
        <sz val="9"/>
        <color rgb="FF282A2D"/>
        <rFont val="Trebuchet MS"/>
        <family val="2"/>
      </rPr>
      <t>023</t>
    </r>
    <r>
      <rPr>
        <sz val="9"/>
        <color rgb="FF414444"/>
        <rFont val="Trebuchet MS"/>
        <family val="2"/>
      </rPr>
      <t xml:space="preserve">/ </t>
    </r>
    <r>
      <rPr>
        <sz val="9"/>
        <color rgb="FF282A2D"/>
        <rFont val="Trebuchet MS"/>
        <family val="2"/>
      </rPr>
      <t>E</t>
    </r>
    <r>
      <rPr>
        <sz val="9"/>
        <color rgb="FF414444"/>
        <rFont val="Trebuchet MS"/>
        <family val="2"/>
      </rPr>
      <t>-</t>
    </r>
    <r>
      <rPr>
        <sz val="9"/>
        <color rgb="FF282A2D"/>
        <rFont val="Trebuchet MS"/>
        <family val="2"/>
      </rPr>
      <t>ND. N</t>
    </r>
    <r>
      <rPr>
        <sz val="9"/>
        <color rgb="FF414444"/>
        <rFont val="Trebuchet MS"/>
        <family val="2"/>
      </rPr>
      <t>/</t>
    </r>
    <r>
      <rPr>
        <sz val="9"/>
        <color rgb="FF282A2D"/>
        <rFont val="Trebuchet MS"/>
        <family val="2"/>
      </rPr>
      <t>2023</t>
    </r>
  </si>
  <si>
    <r>
      <t>TRANSFORMATIO</t>
    </r>
    <r>
      <rPr>
        <sz val="9"/>
        <color rgb="FF414444"/>
        <rFont val="Trebuchet MS"/>
        <family val="2"/>
      </rPr>
      <t>N</t>
    </r>
  </si>
  <si>
    <r>
      <t>GECA</t>
    </r>
    <r>
      <rPr>
        <sz val="9"/>
        <color rgb="FF414444"/>
        <rFont val="Trebuchet MS"/>
        <family val="2"/>
      </rPr>
      <t>M</t>
    </r>
    <r>
      <rPr>
        <sz val="9"/>
        <color rgb="FF282A2D"/>
        <rFont val="Trebuchet MS"/>
        <family val="2"/>
      </rPr>
      <t>I</t>
    </r>
    <r>
      <rPr>
        <sz val="9"/>
        <color rgb="FF414444"/>
        <rFont val="Trebuchet MS"/>
        <family val="2"/>
      </rPr>
      <t>N</t>
    </r>
    <r>
      <rPr>
        <sz val="9"/>
        <color rgb="FF282A2D"/>
        <rFont val="Trebuchet MS"/>
        <family val="2"/>
      </rPr>
      <t>ES SA</t>
    </r>
  </si>
  <si>
    <r>
      <t>PE 54</t>
    </r>
    <r>
      <rPr>
        <sz val="9"/>
        <color rgb="FF414444"/>
        <rFont val="Trebuchet MS"/>
        <family val="2"/>
      </rPr>
      <t>4</t>
    </r>
  </si>
  <si>
    <r>
      <t>B</t>
    </r>
    <r>
      <rPr>
        <sz val="9"/>
        <color rgb="FF414444"/>
        <rFont val="Trebuchet MS"/>
        <family val="2"/>
      </rPr>
      <t>UKIM</t>
    </r>
    <r>
      <rPr>
        <sz val="9"/>
        <color rgb="FF282A2D"/>
        <rFont val="Trebuchet MS"/>
        <family val="2"/>
      </rPr>
      <t>A</t>
    </r>
  </si>
  <si>
    <r>
      <t>C</t>
    </r>
    <r>
      <rPr>
        <sz val="9"/>
        <color rgb="FF282A2D"/>
        <rFont val="Trebuchet MS"/>
        <family val="2"/>
      </rPr>
      <t>PE</t>
    </r>
    <r>
      <rPr>
        <sz val="9"/>
        <color rgb="FF414444"/>
        <rFont val="Trebuchet MS"/>
        <family val="2"/>
      </rPr>
      <t>/</t>
    </r>
    <r>
      <rPr>
        <sz val="9"/>
        <color rgb="FF282A2D"/>
        <rFont val="Trebuchet MS"/>
        <family val="2"/>
      </rPr>
      <t xml:space="preserve">023 </t>
    </r>
    <r>
      <rPr>
        <sz val="9"/>
        <color rgb="FF414444"/>
        <rFont val="Trebuchet MS"/>
        <family val="2"/>
      </rPr>
      <t>b</t>
    </r>
    <r>
      <rPr>
        <sz val="9"/>
        <color rgb="FF282A2D"/>
        <rFont val="Trebuchet MS"/>
        <family val="2"/>
      </rPr>
      <t>is</t>
    </r>
    <r>
      <rPr>
        <sz val="9"/>
        <color rgb="FF414444"/>
        <rFont val="Trebuchet MS"/>
        <family val="2"/>
      </rPr>
      <t xml:space="preserve">/ </t>
    </r>
    <r>
      <rPr>
        <sz val="9"/>
        <color rgb="FF282A2D"/>
        <rFont val="Trebuchet MS"/>
        <family val="2"/>
      </rPr>
      <t>E</t>
    </r>
    <r>
      <rPr>
        <sz val="9"/>
        <color rgb="FF414444"/>
        <rFont val="Trebuchet MS"/>
        <family val="2"/>
      </rPr>
      <t>-N</t>
    </r>
    <r>
      <rPr>
        <sz val="9"/>
        <color rgb="FF282A2D"/>
        <rFont val="Trebuchet MS"/>
        <family val="2"/>
      </rPr>
      <t>D. N</t>
    </r>
    <r>
      <rPr>
        <sz val="9"/>
        <color rgb="FF414444"/>
        <rFont val="Trebuchet MS"/>
        <family val="2"/>
      </rPr>
      <t>/2</t>
    </r>
    <r>
      <rPr>
        <sz val="9"/>
        <color rgb="FF282A2D"/>
        <rFont val="Trebuchet MS"/>
        <family val="2"/>
      </rPr>
      <t>02</t>
    </r>
    <r>
      <rPr>
        <sz val="9"/>
        <color rgb="FF414444"/>
        <rFont val="Trebuchet MS"/>
        <family val="2"/>
      </rPr>
      <t>3</t>
    </r>
  </si>
  <si>
    <r>
      <t>REVISIO</t>
    </r>
    <r>
      <rPr>
        <sz val="9"/>
        <color rgb="FF414444"/>
        <rFont val="Trebuchet MS"/>
        <family val="2"/>
      </rPr>
      <t>N</t>
    </r>
  </si>
  <si>
    <t>CARRIERE DE LUALABA SAS</t>
  </si>
  <si>
    <r>
      <t>AECP 11</t>
    </r>
    <r>
      <rPr>
        <sz val="9"/>
        <color rgb="FF414444"/>
        <rFont val="Trebuchet MS"/>
        <family val="2"/>
      </rPr>
      <t>7</t>
    </r>
    <r>
      <rPr>
        <sz val="9"/>
        <color rgb="FF282A2D"/>
        <rFont val="Trebuchet MS"/>
        <family val="2"/>
      </rPr>
      <t>65</t>
    </r>
    <r>
      <rPr>
        <sz val="9"/>
        <color rgb="FF414444"/>
        <rFont val="Trebuchet MS"/>
        <family val="2"/>
      </rPr>
      <t>,</t>
    </r>
    <r>
      <rPr>
        <sz val="9"/>
        <color rgb="FF282A2D"/>
        <rFont val="Trebuchet MS"/>
        <family val="2"/>
      </rPr>
      <t>11766,11767,11769</t>
    </r>
  </si>
  <si>
    <r>
      <t>M</t>
    </r>
    <r>
      <rPr>
        <sz val="9"/>
        <color rgb="FF282A2D"/>
        <rFont val="Trebuchet MS"/>
        <family val="2"/>
      </rPr>
      <t>UTSHA</t>
    </r>
    <r>
      <rPr>
        <sz val="9"/>
        <color rgb="FF414444"/>
        <rFont val="Trebuchet MS"/>
        <family val="2"/>
      </rPr>
      <t>T</t>
    </r>
    <r>
      <rPr>
        <sz val="9"/>
        <color rgb="FF282A2D"/>
        <rFont val="Trebuchet MS"/>
        <family val="2"/>
      </rPr>
      <t>HSA</t>
    </r>
  </si>
  <si>
    <r>
      <t>CPE</t>
    </r>
    <r>
      <rPr>
        <sz val="9"/>
        <color rgb="FF414444"/>
        <rFont val="Trebuchet MS"/>
        <family val="2"/>
      </rPr>
      <t>/</t>
    </r>
    <r>
      <rPr>
        <sz val="9"/>
        <color rgb="FF282A2D"/>
        <rFont val="Trebuchet MS"/>
        <family val="2"/>
      </rPr>
      <t>024</t>
    </r>
    <r>
      <rPr>
        <sz val="9"/>
        <color rgb="FF414444"/>
        <rFont val="Trebuchet MS"/>
        <family val="2"/>
      </rPr>
      <t xml:space="preserve">/ </t>
    </r>
    <r>
      <rPr>
        <sz val="9"/>
        <color rgb="FF282A2D"/>
        <rFont val="Trebuchet MS"/>
        <family val="2"/>
      </rPr>
      <t>E</t>
    </r>
    <r>
      <rPr>
        <sz val="9"/>
        <color rgb="FF5D5E60"/>
        <rFont val="Trebuchet MS"/>
        <family val="2"/>
      </rPr>
      <t>-</t>
    </r>
    <r>
      <rPr>
        <sz val="9"/>
        <color rgb="FF414444"/>
        <rFont val="Trebuchet MS"/>
        <family val="2"/>
      </rPr>
      <t>N</t>
    </r>
    <r>
      <rPr>
        <sz val="9"/>
        <color rgb="FF282A2D"/>
        <rFont val="Trebuchet MS"/>
        <family val="2"/>
      </rPr>
      <t>D</t>
    </r>
    <r>
      <rPr>
        <sz val="9"/>
        <color rgb="FF414444"/>
        <rFont val="Trebuchet MS"/>
        <family val="2"/>
      </rPr>
      <t>. N/</t>
    </r>
    <r>
      <rPr>
        <sz val="9"/>
        <color rgb="FF282A2D"/>
        <rFont val="Trebuchet MS"/>
        <family val="2"/>
      </rPr>
      <t>2</t>
    </r>
    <r>
      <rPr>
        <sz val="9"/>
        <color rgb="FF414444"/>
        <rFont val="Trebuchet MS"/>
        <family val="2"/>
      </rPr>
      <t>023</t>
    </r>
  </si>
  <si>
    <r>
      <t>M</t>
    </r>
    <r>
      <rPr>
        <sz val="9"/>
        <color rgb="FF282A2D"/>
        <rFont val="Trebuchet MS"/>
        <family val="2"/>
      </rPr>
      <t>IS à JO</t>
    </r>
    <r>
      <rPr>
        <sz val="9"/>
        <color rgb="FF414444"/>
        <rFont val="Trebuchet MS"/>
        <family val="2"/>
      </rPr>
      <t>UR</t>
    </r>
  </si>
  <si>
    <r>
      <t>GECA</t>
    </r>
    <r>
      <rPr>
        <sz val="9"/>
        <color rgb="FF414444"/>
        <rFont val="Trebuchet MS"/>
        <family val="2"/>
      </rPr>
      <t>M</t>
    </r>
    <r>
      <rPr>
        <sz val="9"/>
        <color rgb="FF282A2D"/>
        <rFont val="Trebuchet MS"/>
        <family val="2"/>
      </rPr>
      <t>I</t>
    </r>
    <r>
      <rPr>
        <sz val="9"/>
        <color rgb="FF414444"/>
        <rFont val="Trebuchet MS"/>
        <family val="2"/>
      </rPr>
      <t>NE</t>
    </r>
    <r>
      <rPr>
        <sz val="9"/>
        <color rgb="FF282A2D"/>
        <rFont val="Trebuchet MS"/>
        <family val="2"/>
      </rPr>
      <t>S SA</t>
    </r>
  </si>
  <si>
    <t>AECP 10777 10778</t>
  </si>
  <si>
    <r>
      <t>L</t>
    </r>
    <r>
      <rPr>
        <sz val="9"/>
        <color rgb="FF414444"/>
        <rFont val="Trebuchet MS"/>
        <family val="2"/>
      </rPr>
      <t>U</t>
    </r>
    <r>
      <rPr>
        <sz val="9"/>
        <color rgb="FF282A2D"/>
        <rFont val="Trebuchet MS"/>
        <family val="2"/>
      </rPr>
      <t>BUDI</t>
    </r>
  </si>
  <si>
    <r>
      <t>CPE</t>
    </r>
    <r>
      <rPr>
        <sz val="9"/>
        <color rgb="FF414444"/>
        <rFont val="Trebuchet MS"/>
        <family val="2"/>
      </rPr>
      <t>/</t>
    </r>
    <r>
      <rPr>
        <sz val="9"/>
        <color rgb="FF282A2D"/>
        <rFont val="Trebuchet MS"/>
        <family val="2"/>
      </rPr>
      <t>026</t>
    </r>
    <r>
      <rPr>
        <sz val="9"/>
        <color rgb="FF414444"/>
        <rFont val="Trebuchet MS"/>
        <family val="2"/>
      </rPr>
      <t xml:space="preserve">/ </t>
    </r>
    <r>
      <rPr>
        <sz val="9"/>
        <color rgb="FF282A2D"/>
        <rFont val="Trebuchet MS"/>
        <family val="2"/>
      </rPr>
      <t>E</t>
    </r>
    <r>
      <rPr>
        <sz val="9"/>
        <color rgb="FF414444"/>
        <rFont val="Trebuchet MS"/>
        <family val="2"/>
      </rPr>
      <t>-</t>
    </r>
    <r>
      <rPr>
        <sz val="9"/>
        <color rgb="FF282A2D"/>
        <rFont val="Trebuchet MS"/>
        <family val="2"/>
      </rPr>
      <t>ND. N/2023</t>
    </r>
  </si>
  <si>
    <r>
      <t>PE 36</t>
    </r>
    <r>
      <rPr>
        <sz val="9"/>
        <color rgb="FF414444"/>
        <rFont val="Trebuchet MS"/>
        <family val="2"/>
      </rPr>
      <t>0</t>
    </r>
    <r>
      <rPr>
        <sz val="9"/>
        <color rgb="FF282A2D"/>
        <rFont val="Trebuchet MS"/>
        <family val="2"/>
      </rPr>
      <t xml:space="preserve"> et 466</t>
    </r>
  </si>
  <si>
    <r>
      <t>BU</t>
    </r>
    <r>
      <rPr>
        <sz val="9"/>
        <color rgb="FF414444"/>
        <rFont val="Trebuchet MS"/>
        <family val="2"/>
      </rPr>
      <t>KAMA</t>
    </r>
  </si>
  <si>
    <r>
      <t>CPE</t>
    </r>
    <r>
      <rPr>
        <sz val="9"/>
        <color rgb="FF414444"/>
        <rFont val="Trebuchet MS"/>
        <family val="2"/>
      </rPr>
      <t>/0</t>
    </r>
    <r>
      <rPr>
        <sz val="9"/>
        <color rgb="FF282A2D"/>
        <rFont val="Trebuchet MS"/>
        <family val="2"/>
      </rPr>
      <t>27</t>
    </r>
    <r>
      <rPr>
        <sz val="9"/>
        <color rgb="FF5D5E60"/>
        <rFont val="Trebuchet MS"/>
        <family val="2"/>
      </rPr>
      <t xml:space="preserve">/ </t>
    </r>
    <r>
      <rPr>
        <sz val="9"/>
        <color rgb="FF282A2D"/>
        <rFont val="Trebuchet MS"/>
        <family val="2"/>
      </rPr>
      <t>E-ND. N/2023</t>
    </r>
  </si>
  <si>
    <t>PR13492</t>
  </si>
  <si>
    <r>
      <t>PU</t>
    </r>
    <r>
      <rPr>
        <sz val="9"/>
        <color rgb="FF414444"/>
        <rFont val="Trebuchet MS"/>
        <family val="2"/>
      </rPr>
      <t>N</t>
    </r>
    <r>
      <rPr>
        <sz val="9"/>
        <color rgb="FF282A2D"/>
        <rFont val="Trebuchet MS"/>
        <family val="2"/>
      </rPr>
      <t>I</t>
    </r>
    <r>
      <rPr>
        <sz val="9"/>
        <color rgb="FF414444"/>
        <rFont val="Trebuchet MS"/>
        <family val="2"/>
      </rPr>
      <t>A et KI</t>
    </r>
    <r>
      <rPr>
        <sz val="9"/>
        <color rgb="FF282A2D"/>
        <rFont val="Trebuchet MS"/>
        <family val="2"/>
      </rPr>
      <t>AILO</t>
    </r>
  </si>
  <si>
    <r>
      <t>CPE</t>
    </r>
    <r>
      <rPr>
        <sz val="9"/>
        <color rgb="FF414444"/>
        <rFont val="Trebuchet MS"/>
        <family val="2"/>
      </rPr>
      <t>/</t>
    </r>
    <r>
      <rPr>
        <sz val="9"/>
        <color rgb="FF282A2D"/>
        <rFont val="Trebuchet MS"/>
        <family val="2"/>
      </rPr>
      <t>02</t>
    </r>
    <r>
      <rPr>
        <sz val="9"/>
        <color rgb="FF414444"/>
        <rFont val="Trebuchet MS"/>
        <family val="2"/>
      </rPr>
      <t xml:space="preserve">8/ </t>
    </r>
    <r>
      <rPr>
        <sz val="9"/>
        <color rgb="FF282A2D"/>
        <rFont val="Trebuchet MS"/>
        <family val="2"/>
      </rPr>
      <t>E</t>
    </r>
    <r>
      <rPr>
        <sz val="9"/>
        <color rgb="FF414444"/>
        <rFont val="Trebuchet MS"/>
        <family val="2"/>
      </rPr>
      <t>-</t>
    </r>
    <r>
      <rPr>
        <sz val="9"/>
        <color rgb="FF282A2D"/>
        <rFont val="Trebuchet MS"/>
        <family val="2"/>
      </rPr>
      <t>ND. N/2023</t>
    </r>
  </si>
  <si>
    <r>
      <t>TRA</t>
    </r>
    <r>
      <rPr>
        <sz val="9"/>
        <color rgb="FF414444"/>
        <rFont val="Trebuchet MS"/>
        <family val="2"/>
      </rPr>
      <t>N</t>
    </r>
    <r>
      <rPr>
        <sz val="9"/>
        <color rgb="FF161818"/>
        <rFont val="Trebuchet MS"/>
        <family val="2"/>
      </rPr>
      <t>SFOR</t>
    </r>
    <r>
      <rPr>
        <sz val="9"/>
        <color rgb="FF414444"/>
        <rFont val="Trebuchet MS"/>
        <family val="2"/>
      </rPr>
      <t>M</t>
    </r>
    <r>
      <rPr>
        <sz val="9"/>
        <color rgb="FF282A2D"/>
        <rFont val="Trebuchet MS"/>
        <family val="2"/>
      </rPr>
      <t>ATIO</t>
    </r>
    <r>
      <rPr>
        <sz val="9"/>
        <color rgb="FF414444"/>
        <rFont val="Trebuchet MS"/>
        <family val="2"/>
      </rPr>
      <t>N</t>
    </r>
  </si>
  <si>
    <r>
      <t>BU</t>
    </r>
    <r>
      <rPr>
        <sz val="9"/>
        <color rgb="FF414444"/>
        <rFont val="Trebuchet MS"/>
        <family val="2"/>
      </rPr>
      <t>TA SAR</t>
    </r>
    <r>
      <rPr>
        <sz val="9"/>
        <color rgb="FF282A2D"/>
        <rFont val="Trebuchet MS"/>
        <family val="2"/>
      </rPr>
      <t>L</t>
    </r>
  </si>
  <si>
    <r>
      <t>P</t>
    </r>
    <r>
      <rPr>
        <sz val="9"/>
        <color rgb="FF414444"/>
        <rFont val="Trebuchet MS"/>
        <family val="2"/>
      </rPr>
      <t xml:space="preserve">R </t>
    </r>
    <r>
      <rPr>
        <sz val="9"/>
        <color rgb="FF282A2D"/>
        <rFont val="Trebuchet MS"/>
        <family val="2"/>
      </rPr>
      <t>1</t>
    </r>
    <r>
      <rPr>
        <sz val="9"/>
        <color rgb="FF414444"/>
        <rFont val="Trebuchet MS"/>
        <family val="2"/>
      </rPr>
      <t>4</t>
    </r>
    <r>
      <rPr>
        <sz val="9"/>
        <color rgb="FF282A2D"/>
        <rFont val="Trebuchet MS"/>
        <family val="2"/>
      </rPr>
      <t>5</t>
    </r>
    <r>
      <rPr>
        <sz val="9"/>
        <color rgb="FF414444"/>
        <rFont val="Trebuchet MS"/>
        <family val="2"/>
      </rPr>
      <t>74,</t>
    </r>
    <r>
      <rPr>
        <sz val="9"/>
        <color rgb="FF282A2D"/>
        <rFont val="Trebuchet MS"/>
        <family val="2"/>
      </rPr>
      <t>14582,14594,14598,14599 et14600</t>
    </r>
  </si>
  <si>
    <r>
      <t>PW</t>
    </r>
    <r>
      <rPr>
        <sz val="9"/>
        <color rgb="FF282A2D"/>
        <rFont val="Trebuchet MS"/>
        <family val="2"/>
      </rPr>
      <t>ET</t>
    </r>
    <r>
      <rPr>
        <sz val="9"/>
        <color rgb="FF414444"/>
        <rFont val="Trebuchet MS"/>
        <family val="2"/>
      </rPr>
      <t>O</t>
    </r>
  </si>
  <si>
    <r>
      <t>CP</t>
    </r>
    <r>
      <rPr>
        <sz val="9"/>
        <color rgb="FF282A2D"/>
        <rFont val="Trebuchet MS"/>
        <family val="2"/>
      </rPr>
      <t>E</t>
    </r>
    <r>
      <rPr>
        <sz val="9"/>
        <color rgb="FF414444"/>
        <rFont val="Trebuchet MS"/>
        <family val="2"/>
      </rPr>
      <t>/0</t>
    </r>
    <r>
      <rPr>
        <sz val="9"/>
        <color rgb="FF282A2D"/>
        <rFont val="Trebuchet MS"/>
        <family val="2"/>
      </rPr>
      <t>3</t>
    </r>
    <r>
      <rPr>
        <sz val="9"/>
        <color rgb="FF414444"/>
        <rFont val="Trebuchet MS"/>
        <family val="2"/>
      </rPr>
      <t>1</t>
    </r>
    <r>
      <rPr>
        <sz val="9"/>
        <color rgb="FF5D5E60"/>
        <rFont val="Trebuchet MS"/>
        <family val="2"/>
      </rPr>
      <t xml:space="preserve">/ </t>
    </r>
    <r>
      <rPr>
        <sz val="9"/>
        <color rgb="FF282A2D"/>
        <rFont val="Trebuchet MS"/>
        <family val="2"/>
      </rPr>
      <t>E</t>
    </r>
    <r>
      <rPr>
        <sz val="9"/>
        <color rgb="FF5D5E60"/>
        <rFont val="Trebuchet MS"/>
        <family val="2"/>
      </rPr>
      <t>-</t>
    </r>
    <r>
      <rPr>
        <sz val="9"/>
        <color rgb="FF414444"/>
        <rFont val="Trebuchet MS"/>
        <family val="2"/>
      </rPr>
      <t>ND</t>
    </r>
    <r>
      <rPr>
        <sz val="9"/>
        <color rgb="FF5D5E60"/>
        <rFont val="Trebuchet MS"/>
        <family val="2"/>
      </rPr>
      <t xml:space="preserve">. </t>
    </r>
    <r>
      <rPr>
        <sz val="9"/>
        <color rgb="FF414444"/>
        <rFont val="Trebuchet MS"/>
        <family val="2"/>
      </rPr>
      <t>N</t>
    </r>
    <r>
      <rPr>
        <sz val="9"/>
        <color rgb="FF5D5E60"/>
        <rFont val="Trebuchet MS"/>
        <family val="2"/>
      </rPr>
      <t>/</t>
    </r>
    <r>
      <rPr>
        <sz val="9"/>
        <color rgb="FF414444"/>
        <rFont val="Trebuchet MS"/>
        <family val="2"/>
      </rPr>
      <t>2</t>
    </r>
    <r>
      <rPr>
        <sz val="9"/>
        <color rgb="FF282A2D"/>
        <rFont val="Trebuchet MS"/>
        <family val="2"/>
      </rPr>
      <t>0</t>
    </r>
    <r>
      <rPr>
        <sz val="9"/>
        <color rgb="FF414444"/>
        <rFont val="Trebuchet MS"/>
        <family val="2"/>
      </rPr>
      <t>23</t>
    </r>
  </si>
  <si>
    <r>
      <t>T</t>
    </r>
    <r>
      <rPr>
        <sz val="9"/>
        <color rgb="FF414444"/>
        <rFont val="Trebuchet MS"/>
        <family val="2"/>
      </rPr>
      <t>RAN</t>
    </r>
    <r>
      <rPr>
        <sz val="9"/>
        <color rgb="FF282A2D"/>
        <rFont val="Trebuchet MS"/>
        <family val="2"/>
      </rPr>
      <t>S</t>
    </r>
    <r>
      <rPr>
        <sz val="9"/>
        <color rgb="FF414444"/>
        <rFont val="Trebuchet MS"/>
        <family val="2"/>
      </rPr>
      <t>F</t>
    </r>
    <r>
      <rPr>
        <sz val="9"/>
        <color rgb="FF282A2D"/>
        <rFont val="Trebuchet MS"/>
        <family val="2"/>
      </rPr>
      <t>O</t>
    </r>
    <r>
      <rPr>
        <sz val="9"/>
        <color rgb="FF414444"/>
        <rFont val="Trebuchet MS"/>
        <family val="2"/>
      </rPr>
      <t>RMA</t>
    </r>
    <r>
      <rPr>
        <sz val="9"/>
        <color rgb="FF282A2D"/>
        <rFont val="Trebuchet MS"/>
        <family val="2"/>
      </rPr>
      <t>T</t>
    </r>
    <r>
      <rPr>
        <sz val="9"/>
        <color rgb="FF414444"/>
        <rFont val="Trebuchet MS"/>
        <family val="2"/>
      </rPr>
      <t>ION</t>
    </r>
  </si>
  <si>
    <r>
      <t>BUTA SAR</t>
    </r>
    <r>
      <rPr>
        <sz val="9"/>
        <color rgb="FF414444"/>
        <rFont val="Trebuchet MS"/>
        <family val="2"/>
      </rPr>
      <t>L</t>
    </r>
  </si>
  <si>
    <r>
      <t>PR 1</t>
    </r>
    <r>
      <rPr>
        <sz val="9"/>
        <color rgb="FF414444"/>
        <rFont val="Trebuchet MS"/>
        <family val="2"/>
      </rPr>
      <t>4</t>
    </r>
    <r>
      <rPr>
        <sz val="9"/>
        <color rgb="FF282A2D"/>
        <rFont val="Trebuchet MS"/>
        <family val="2"/>
      </rPr>
      <t>590</t>
    </r>
  </si>
  <si>
    <r>
      <t>M</t>
    </r>
    <r>
      <rPr>
        <sz val="9"/>
        <color rgb="FF282A2D"/>
        <rFont val="Trebuchet MS"/>
        <family val="2"/>
      </rPr>
      <t>ALE</t>
    </r>
    <r>
      <rPr>
        <sz val="9"/>
        <color rgb="FF414444"/>
        <rFont val="Trebuchet MS"/>
        <family val="2"/>
      </rPr>
      <t>M</t>
    </r>
    <r>
      <rPr>
        <sz val="9"/>
        <color rgb="FF282A2D"/>
        <rFont val="Trebuchet MS"/>
        <family val="2"/>
      </rPr>
      <t>BA-</t>
    </r>
    <r>
      <rPr>
        <sz val="9"/>
        <color rgb="FF414444"/>
        <rFont val="Trebuchet MS"/>
        <family val="2"/>
      </rPr>
      <t>NK</t>
    </r>
    <r>
      <rPr>
        <sz val="9"/>
        <color rgb="FF282A2D"/>
        <rFont val="Trebuchet MS"/>
        <family val="2"/>
      </rPr>
      <t>ULU</t>
    </r>
  </si>
  <si>
    <r>
      <t>CPE</t>
    </r>
    <r>
      <rPr>
        <sz val="9"/>
        <color rgb="FF414444"/>
        <rFont val="Trebuchet MS"/>
        <family val="2"/>
      </rPr>
      <t>/</t>
    </r>
    <r>
      <rPr>
        <sz val="9"/>
        <color rgb="FF282A2D"/>
        <rFont val="Trebuchet MS"/>
        <family val="2"/>
      </rPr>
      <t>032</t>
    </r>
    <r>
      <rPr>
        <sz val="9"/>
        <color rgb="FF414444"/>
        <rFont val="Trebuchet MS"/>
        <family val="2"/>
      </rPr>
      <t xml:space="preserve">/ </t>
    </r>
    <r>
      <rPr>
        <sz val="9"/>
        <color rgb="FF282A2D"/>
        <rFont val="Trebuchet MS"/>
        <family val="2"/>
      </rPr>
      <t>E</t>
    </r>
    <r>
      <rPr>
        <sz val="9"/>
        <color rgb="FF414444"/>
        <rFont val="Trebuchet MS"/>
        <family val="2"/>
      </rPr>
      <t>-N</t>
    </r>
    <r>
      <rPr>
        <sz val="9"/>
        <color rgb="FF282A2D"/>
        <rFont val="Trebuchet MS"/>
        <family val="2"/>
      </rPr>
      <t xml:space="preserve">D. </t>
    </r>
    <r>
      <rPr>
        <sz val="9"/>
        <color rgb="FF414444"/>
        <rFont val="Trebuchet MS"/>
        <family val="2"/>
      </rPr>
      <t>N/</t>
    </r>
    <r>
      <rPr>
        <sz val="9"/>
        <color rgb="FF282A2D"/>
        <rFont val="Trebuchet MS"/>
        <family val="2"/>
      </rPr>
      <t>2</t>
    </r>
    <r>
      <rPr>
        <sz val="9"/>
        <color rgb="FF414444"/>
        <rFont val="Trebuchet MS"/>
        <family val="2"/>
      </rPr>
      <t>0</t>
    </r>
    <r>
      <rPr>
        <sz val="9"/>
        <color rgb="FF282A2D"/>
        <rFont val="Trebuchet MS"/>
        <family val="2"/>
      </rPr>
      <t>2</t>
    </r>
    <r>
      <rPr>
        <sz val="9"/>
        <color rgb="FF414444"/>
        <rFont val="Trebuchet MS"/>
        <family val="2"/>
      </rPr>
      <t>3</t>
    </r>
  </si>
  <si>
    <r>
      <t>TRA</t>
    </r>
    <r>
      <rPr>
        <sz val="9"/>
        <color rgb="FF414444"/>
        <rFont val="Trebuchet MS"/>
        <family val="2"/>
      </rPr>
      <t>N</t>
    </r>
    <r>
      <rPr>
        <sz val="9"/>
        <color rgb="FF282A2D"/>
        <rFont val="Trebuchet MS"/>
        <family val="2"/>
      </rPr>
      <t>SFOR</t>
    </r>
    <r>
      <rPr>
        <sz val="9"/>
        <color rgb="FF414444"/>
        <rFont val="Trebuchet MS"/>
        <family val="2"/>
      </rPr>
      <t>M</t>
    </r>
    <r>
      <rPr>
        <sz val="9"/>
        <color rgb="FF282A2D"/>
        <rFont val="Trebuchet MS"/>
        <family val="2"/>
      </rPr>
      <t>ATIO</t>
    </r>
    <r>
      <rPr>
        <sz val="9"/>
        <color rgb="FF414444"/>
        <rFont val="Trebuchet MS"/>
        <family val="2"/>
      </rPr>
      <t>N</t>
    </r>
  </si>
  <si>
    <r>
      <t xml:space="preserve">PR </t>
    </r>
    <r>
      <rPr>
        <sz val="9"/>
        <color rgb="FF161818"/>
        <rFont val="Trebuchet MS"/>
        <family val="2"/>
      </rPr>
      <t>14591</t>
    </r>
  </si>
  <si>
    <r>
      <t>CPE</t>
    </r>
    <r>
      <rPr>
        <sz val="9"/>
        <color rgb="FF414444"/>
        <rFont val="Trebuchet MS"/>
        <family val="2"/>
      </rPr>
      <t>/</t>
    </r>
    <r>
      <rPr>
        <sz val="9"/>
        <color rgb="FF282A2D"/>
        <rFont val="Trebuchet MS"/>
        <family val="2"/>
      </rPr>
      <t>03</t>
    </r>
    <r>
      <rPr>
        <sz val="9"/>
        <color rgb="FF414444"/>
        <rFont val="Trebuchet MS"/>
        <family val="2"/>
      </rPr>
      <t xml:space="preserve">3/ </t>
    </r>
    <r>
      <rPr>
        <sz val="9"/>
        <color rgb="FF282A2D"/>
        <rFont val="Trebuchet MS"/>
        <family val="2"/>
      </rPr>
      <t>E</t>
    </r>
    <r>
      <rPr>
        <sz val="9"/>
        <color rgb="FF414444"/>
        <rFont val="Trebuchet MS"/>
        <family val="2"/>
      </rPr>
      <t>-</t>
    </r>
    <r>
      <rPr>
        <sz val="9"/>
        <color rgb="FF282A2D"/>
        <rFont val="Trebuchet MS"/>
        <family val="2"/>
      </rPr>
      <t>ND</t>
    </r>
    <r>
      <rPr>
        <sz val="9"/>
        <color rgb="FF414444"/>
        <rFont val="Trebuchet MS"/>
        <family val="2"/>
      </rPr>
      <t xml:space="preserve">. </t>
    </r>
    <r>
      <rPr>
        <sz val="9"/>
        <color rgb="FF282A2D"/>
        <rFont val="Trebuchet MS"/>
        <family val="2"/>
      </rPr>
      <t>N</t>
    </r>
    <r>
      <rPr>
        <sz val="9"/>
        <color rgb="FF414444"/>
        <rFont val="Trebuchet MS"/>
        <family val="2"/>
      </rPr>
      <t>/</t>
    </r>
    <r>
      <rPr>
        <sz val="9"/>
        <color rgb="FF282A2D"/>
        <rFont val="Trebuchet MS"/>
        <family val="2"/>
      </rPr>
      <t>2023</t>
    </r>
  </si>
  <si>
    <r>
      <t>TRA</t>
    </r>
    <r>
      <rPr>
        <sz val="9"/>
        <color rgb="FF414444"/>
        <rFont val="Trebuchet MS"/>
        <family val="2"/>
      </rPr>
      <t>N</t>
    </r>
    <r>
      <rPr>
        <sz val="9"/>
        <color rgb="FF282A2D"/>
        <rFont val="Trebuchet MS"/>
        <family val="2"/>
      </rPr>
      <t>SFO</t>
    </r>
    <r>
      <rPr>
        <sz val="9"/>
        <color rgb="FF414444"/>
        <rFont val="Trebuchet MS"/>
        <family val="2"/>
      </rPr>
      <t>RM</t>
    </r>
    <r>
      <rPr>
        <sz val="9"/>
        <color rgb="FF282A2D"/>
        <rFont val="Trebuchet MS"/>
        <family val="2"/>
      </rPr>
      <t>ATIO</t>
    </r>
    <r>
      <rPr>
        <sz val="9"/>
        <color rgb="FF414444"/>
        <rFont val="Trebuchet MS"/>
        <family val="2"/>
      </rPr>
      <t>N</t>
    </r>
  </si>
  <si>
    <r>
      <t>BUTA SA</t>
    </r>
    <r>
      <rPr>
        <sz val="9"/>
        <color rgb="FF414444"/>
        <rFont val="Trebuchet MS"/>
        <family val="2"/>
      </rPr>
      <t>R</t>
    </r>
    <r>
      <rPr>
        <sz val="9"/>
        <color rgb="FF282A2D"/>
        <rFont val="Trebuchet MS"/>
        <family val="2"/>
      </rPr>
      <t>L</t>
    </r>
  </si>
  <si>
    <t>PR14584</t>
  </si>
  <si>
    <r>
      <t>M</t>
    </r>
    <r>
      <rPr>
        <sz val="9"/>
        <color rgb="FF282A2D"/>
        <rFont val="Trebuchet MS"/>
        <family val="2"/>
      </rPr>
      <t>OBA</t>
    </r>
  </si>
  <si>
    <r>
      <t>C</t>
    </r>
    <r>
      <rPr>
        <sz val="9"/>
        <color rgb="FF282A2D"/>
        <rFont val="Trebuchet MS"/>
        <family val="2"/>
      </rPr>
      <t>PE</t>
    </r>
    <r>
      <rPr>
        <sz val="9"/>
        <color rgb="FF414444"/>
        <rFont val="Trebuchet MS"/>
        <family val="2"/>
      </rPr>
      <t>/</t>
    </r>
    <r>
      <rPr>
        <sz val="9"/>
        <color rgb="FF282A2D"/>
        <rFont val="Trebuchet MS"/>
        <family val="2"/>
      </rPr>
      <t>03</t>
    </r>
    <r>
      <rPr>
        <sz val="9"/>
        <color rgb="FF414444"/>
        <rFont val="Trebuchet MS"/>
        <family val="2"/>
      </rPr>
      <t xml:space="preserve">4/ </t>
    </r>
    <r>
      <rPr>
        <sz val="9"/>
        <color rgb="FF282A2D"/>
        <rFont val="Trebuchet MS"/>
        <family val="2"/>
      </rPr>
      <t>E-</t>
    </r>
    <r>
      <rPr>
        <sz val="9"/>
        <color rgb="FF414444"/>
        <rFont val="Trebuchet MS"/>
        <family val="2"/>
      </rPr>
      <t>ND. N/2023</t>
    </r>
  </si>
  <si>
    <r>
      <t>TRANSFORMA</t>
    </r>
    <r>
      <rPr>
        <sz val="9"/>
        <color rgb="FF414444"/>
        <rFont val="Trebuchet MS"/>
        <family val="2"/>
      </rPr>
      <t>T</t>
    </r>
    <r>
      <rPr>
        <sz val="9"/>
        <color rgb="FF282A2D"/>
        <rFont val="Trebuchet MS"/>
        <family val="2"/>
      </rPr>
      <t>IO</t>
    </r>
    <r>
      <rPr>
        <sz val="9"/>
        <color rgb="FF414444"/>
        <rFont val="Trebuchet MS"/>
        <family val="2"/>
      </rPr>
      <t>N</t>
    </r>
  </si>
  <si>
    <r>
      <t>PR 1457</t>
    </r>
    <r>
      <rPr>
        <sz val="9"/>
        <color rgb="FF414444"/>
        <rFont val="Trebuchet MS"/>
        <family val="2"/>
      </rPr>
      <t>8 e</t>
    </r>
    <r>
      <rPr>
        <sz val="9"/>
        <color rgb="FF282A2D"/>
        <rFont val="Trebuchet MS"/>
        <family val="2"/>
      </rPr>
      <t>t 14588</t>
    </r>
  </si>
  <si>
    <r>
      <t>MA</t>
    </r>
    <r>
      <rPr>
        <sz val="9"/>
        <color rgb="FF414444"/>
        <rFont val="Trebuchet MS"/>
        <family val="2"/>
      </rPr>
      <t>N</t>
    </r>
    <r>
      <rPr>
        <sz val="9"/>
        <color rgb="FF282A2D"/>
        <rFont val="Trebuchet MS"/>
        <family val="2"/>
      </rPr>
      <t>O</t>
    </r>
    <r>
      <rPr>
        <sz val="9"/>
        <color rgb="FF414444"/>
        <rFont val="Trebuchet MS"/>
        <family val="2"/>
      </rPr>
      <t>N</t>
    </r>
    <r>
      <rPr>
        <sz val="9"/>
        <color rgb="FF282A2D"/>
        <rFont val="Trebuchet MS"/>
        <family val="2"/>
      </rPr>
      <t>O</t>
    </r>
  </si>
  <si>
    <r>
      <t>CPE</t>
    </r>
    <r>
      <rPr>
        <sz val="9"/>
        <color rgb="FF414444"/>
        <rFont val="Trebuchet MS"/>
        <family val="2"/>
      </rPr>
      <t>/</t>
    </r>
    <r>
      <rPr>
        <sz val="9"/>
        <color rgb="FF282A2D"/>
        <rFont val="Trebuchet MS"/>
        <family val="2"/>
      </rPr>
      <t>035</t>
    </r>
    <r>
      <rPr>
        <sz val="9"/>
        <color rgb="FF414444"/>
        <rFont val="Trebuchet MS"/>
        <family val="2"/>
      </rPr>
      <t xml:space="preserve">/ </t>
    </r>
    <r>
      <rPr>
        <sz val="9"/>
        <color rgb="FF282A2D"/>
        <rFont val="Trebuchet MS"/>
        <family val="2"/>
      </rPr>
      <t>E</t>
    </r>
    <r>
      <rPr>
        <sz val="9"/>
        <color rgb="FF414444"/>
        <rFont val="Trebuchet MS"/>
        <family val="2"/>
      </rPr>
      <t>-N</t>
    </r>
    <r>
      <rPr>
        <sz val="9"/>
        <color rgb="FF282A2D"/>
        <rFont val="Trebuchet MS"/>
        <family val="2"/>
      </rPr>
      <t>D</t>
    </r>
    <r>
      <rPr>
        <sz val="9"/>
        <color rgb="FF5D5E60"/>
        <rFont val="Trebuchet MS"/>
        <family val="2"/>
      </rPr>
      <t xml:space="preserve">. </t>
    </r>
    <r>
      <rPr>
        <sz val="9"/>
        <color rgb="FF414444"/>
        <rFont val="Trebuchet MS"/>
        <family val="2"/>
      </rPr>
      <t>N/2</t>
    </r>
    <r>
      <rPr>
        <sz val="9"/>
        <color rgb="FF282A2D"/>
        <rFont val="Trebuchet MS"/>
        <family val="2"/>
      </rPr>
      <t>0</t>
    </r>
    <r>
      <rPr>
        <sz val="9"/>
        <color rgb="FF414444"/>
        <rFont val="Trebuchet MS"/>
        <family val="2"/>
      </rPr>
      <t>2</t>
    </r>
    <r>
      <rPr>
        <sz val="9"/>
        <color rgb="FF282A2D"/>
        <rFont val="Trebuchet MS"/>
        <family val="2"/>
      </rPr>
      <t>3</t>
    </r>
  </si>
  <si>
    <r>
      <t>TRA</t>
    </r>
    <r>
      <rPr>
        <sz val="9"/>
        <color rgb="FF414444"/>
        <rFont val="Trebuchet MS"/>
        <family val="2"/>
      </rPr>
      <t>N</t>
    </r>
    <r>
      <rPr>
        <sz val="9"/>
        <color rgb="FF282A2D"/>
        <rFont val="Trebuchet MS"/>
        <family val="2"/>
      </rPr>
      <t>SFO</t>
    </r>
    <r>
      <rPr>
        <sz val="9"/>
        <color rgb="FF414444"/>
        <rFont val="Trebuchet MS"/>
        <family val="2"/>
      </rPr>
      <t>RM</t>
    </r>
    <r>
      <rPr>
        <sz val="9"/>
        <color rgb="FF282A2D"/>
        <rFont val="Trebuchet MS"/>
        <family val="2"/>
      </rPr>
      <t>AT</t>
    </r>
    <r>
      <rPr>
        <sz val="9"/>
        <color rgb="FF414444"/>
        <rFont val="Trebuchet MS"/>
        <family val="2"/>
      </rPr>
      <t>ION</t>
    </r>
  </si>
  <si>
    <t>PR 14389,14579,14581,14592,14593 et 14597</t>
  </si>
  <si>
    <t>KASENGA</t>
  </si>
  <si>
    <r>
      <t>CPE</t>
    </r>
    <r>
      <rPr>
        <sz val="9"/>
        <color rgb="FF414444"/>
        <rFont val="Trebuchet MS"/>
        <family val="2"/>
      </rPr>
      <t>/0</t>
    </r>
    <r>
      <rPr>
        <sz val="9"/>
        <color rgb="FF282A2D"/>
        <rFont val="Trebuchet MS"/>
        <family val="2"/>
      </rPr>
      <t>36</t>
    </r>
    <r>
      <rPr>
        <sz val="9"/>
        <color rgb="FF414444"/>
        <rFont val="Trebuchet MS"/>
        <family val="2"/>
      </rPr>
      <t xml:space="preserve">/ </t>
    </r>
    <r>
      <rPr>
        <sz val="9"/>
        <color rgb="FF282A2D"/>
        <rFont val="Trebuchet MS"/>
        <family val="2"/>
      </rPr>
      <t>E</t>
    </r>
    <r>
      <rPr>
        <sz val="9"/>
        <color rgb="FF414444"/>
        <rFont val="Trebuchet MS"/>
        <family val="2"/>
      </rPr>
      <t>-</t>
    </r>
    <r>
      <rPr>
        <sz val="9"/>
        <color rgb="FF282A2D"/>
        <rFont val="Trebuchet MS"/>
        <family val="2"/>
      </rPr>
      <t>ND. N</t>
    </r>
    <r>
      <rPr>
        <sz val="9"/>
        <color rgb="FF414444"/>
        <rFont val="Trebuchet MS"/>
        <family val="2"/>
      </rPr>
      <t>/</t>
    </r>
    <r>
      <rPr>
        <sz val="9"/>
        <color rgb="FF282A2D"/>
        <rFont val="Trebuchet MS"/>
        <family val="2"/>
      </rPr>
      <t>202</t>
    </r>
    <r>
      <rPr>
        <sz val="9"/>
        <color rgb="FF414444"/>
        <rFont val="Trebuchet MS"/>
        <family val="2"/>
      </rPr>
      <t>3</t>
    </r>
  </si>
  <si>
    <r>
      <t>T</t>
    </r>
    <r>
      <rPr>
        <sz val="9"/>
        <color rgb="FF282A2D"/>
        <rFont val="Trebuchet MS"/>
        <family val="2"/>
      </rPr>
      <t>RANSFORMATIO</t>
    </r>
    <r>
      <rPr>
        <sz val="9"/>
        <color rgb="FF414444"/>
        <rFont val="Trebuchet MS"/>
        <family val="2"/>
      </rPr>
      <t>N</t>
    </r>
  </si>
  <si>
    <r>
      <t>CO</t>
    </r>
    <r>
      <rPr>
        <sz val="9"/>
        <color rgb="FF414444"/>
        <rFont val="Trebuchet MS"/>
        <family val="2"/>
      </rPr>
      <t>N</t>
    </r>
    <r>
      <rPr>
        <sz val="9"/>
        <color rgb="FF282A2D"/>
        <rFont val="Trebuchet MS"/>
        <family val="2"/>
      </rPr>
      <t>GO FAIR MINING SA</t>
    </r>
  </si>
  <si>
    <t>PE 76</t>
  </si>
  <si>
    <t>MASISI</t>
  </si>
  <si>
    <r>
      <t>CPE</t>
    </r>
    <r>
      <rPr>
        <sz val="9"/>
        <color rgb="FF414444"/>
        <rFont val="Trebuchet MS"/>
        <family val="2"/>
      </rPr>
      <t>/</t>
    </r>
    <r>
      <rPr>
        <sz val="9"/>
        <color rgb="FF282A2D"/>
        <rFont val="Trebuchet MS"/>
        <family val="2"/>
      </rPr>
      <t>03</t>
    </r>
    <r>
      <rPr>
        <sz val="9"/>
        <color rgb="FF414444"/>
        <rFont val="Trebuchet MS"/>
        <family val="2"/>
      </rPr>
      <t xml:space="preserve">7/ </t>
    </r>
    <r>
      <rPr>
        <sz val="9"/>
        <color rgb="FF282A2D"/>
        <rFont val="Trebuchet MS"/>
        <family val="2"/>
      </rPr>
      <t>E</t>
    </r>
    <r>
      <rPr>
        <sz val="9"/>
        <color rgb="FF414444"/>
        <rFont val="Trebuchet MS"/>
        <family val="2"/>
      </rPr>
      <t>-</t>
    </r>
    <r>
      <rPr>
        <sz val="9"/>
        <color rgb="FF282A2D"/>
        <rFont val="Trebuchet MS"/>
        <family val="2"/>
      </rPr>
      <t>ND. N/2023</t>
    </r>
  </si>
  <si>
    <r>
      <t>M</t>
    </r>
    <r>
      <rPr>
        <sz val="9"/>
        <color rgb="FF282A2D"/>
        <rFont val="Trebuchet MS"/>
        <family val="2"/>
      </rPr>
      <t>IS à JOUR</t>
    </r>
  </si>
  <si>
    <r>
      <t>PR 1</t>
    </r>
    <r>
      <rPr>
        <sz val="9"/>
        <color rgb="FF414444"/>
        <rFont val="Trebuchet MS"/>
        <family val="2"/>
      </rPr>
      <t>4982,</t>
    </r>
    <r>
      <rPr>
        <sz val="9"/>
        <color rgb="FF282A2D"/>
        <rFont val="Trebuchet MS"/>
        <family val="2"/>
      </rPr>
      <t>14572,14576,14580,14585,14586,14587 14595 et14596</t>
    </r>
  </si>
  <si>
    <t>LUBUDI</t>
  </si>
  <si>
    <r>
      <t>CPE</t>
    </r>
    <r>
      <rPr>
        <sz val="9"/>
        <color rgb="FF414444"/>
        <rFont val="Trebuchet MS"/>
        <family val="2"/>
      </rPr>
      <t>/</t>
    </r>
    <r>
      <rPr>
        <sz val="9"/>
        <color rgb="FF282A2D"/>
        <rFont val="Trebuchet MS"/>
        <family val="2"/>
      </rPr>
      <t>038/ E</t>
    </r>
    <r>
      <rPr>
        <sz val="9"/>
        <color rgb="FF414444"/>
        <rFont val="Trebuchet MS"/>
        <family val="2"/>
      </rPr>
      <t>-</t>
    </r>
    <r>
      <rPr>
        <sz val="9"/>
        <color rgb="FF282A2D"/>
        <rFont val="Trebuchet MS"/>
        <family val="2"/>
      </rPr>
      <t>ND</t>
    </r>
    <r>
      <rPr>
        <sz val="9"/>
        <color rgb="FF414444"/>
        <rFont val="Trebuchet MS"/>
        <family val="2"/>
      </rPr>
      <t>. N/</t>
    </r>
    <r>
      <rPr>
        <sz val="9"/>
        <color rgb="FF282A2D"/>
        <rFont val="Trebuchet MS"/>
        <family val="2"/>
      </rPr>
      <t>2</t>
    </r>
    <r>
      <rPr>
        <sz val="9"/>
        <color rgb="FF414444"/>
        <rFont val="Trebuchet MS"/>
        <family val="2"/>
      </rPr>
      <t>0</t>
    </r>
    <r>
      <rPr>
        <sz val="9"/>
        <color rgb="FF282A2D"/>
        <rFont val="Trebuchet MS"/>
        <family val="2"/>
      </rPr>
      <t>23</t>
    </r>
  </si>
  <si>
    <r>
      <t>TRANSFOR</t>
    </r>
    <r>
      <rPr>
        <sz val="9"/>
        <color rgb="FF414444"/>
        <rFont val="Trebuchet MS"/>
        <family val="2"/>
      </rPr>
      <t>M</t>
    </r>
    <r>
      <rPr>
        <sz val="9"/>
        <color rgb="FF282A2D"/>
        <rFont val="Trebuchet MS"/>
        <family val="2"/>
      </rPr>
      <t>ATION</t>
    </r>
  </si>
  <si>
    <t>PE 17</t>
  </si>
  <si>
    <t>KAILO</t>
  </si>
  <si>
    <r>
      <t>CPE</t>
    </r>
    <r>
      <rPr>
        <sz val="9"/>
        <color rgb="FF494B4D"/>
        <rFont val="Trebuchet MS"/>
        <family val="2"/>
      </rPr>
      <t>/</t>
    </r>
    <r>
      <rPr>
        <sz val="9"/>
        <color rgb="FF2D2F31"/>
        <rFont val="Trebuchet MS"/>
        <family val="2"/>
      </rPr>
      <t>039</t>
    </r>
    <r>
      <rPr>
        <sz val="9"/>
        <color rgb="FF494B4D"/>
        <rFont val="Trebuchet MS"/>
        <family val="2"/>
      </rPr>
      <t xml:space="preserve">/ </t>
    </r>
    <r>
      <rPr>
        <sz val="9"/>
        <color rgb="FF2D2F31"/>
        <rFont val="Trebuchet MS"/>
        <family val="2"/>
      </rPr>
      <t>E-ND</t>
    </r>
    <r>
      <rPr>
        <sz val="9"/>
        <color rgb="FF494B4D"/>
        <rFont val="Trebuchet MS"/>
        <family val="2"/>
      </rPr>
      <t>. N/</t>
    </r>
    <r>
      <rPr>
        <sz val="9"/>
        <color rgb="FF2D2F31"/>
        <rFont val="Trebuchet MS"/>
        <family val="2"/>
      </rPr>
      <t>2023</t>
    </r>
  </si>
  <si>
    <r>
      <t>MIS à JO</t>
    </r>
    <r>
      <rPr>
        <sz val="9"/>
        <color rgb="FF494B4D"/>
        <rFont val="Trebuchet MS"/>
        <family val="2"/>
      </rPr>
      <t>U</t>
    </r>
    <r>
      <rPr>
        <sz val="9"/>
        <color rgb="FF2D2F31"/>
        <rFont val="Trebuchet MS"/>
        <family val="2"/>
      </rPr>
      <t>R</t>
    </r>
  </si>
  <si>
    <t>PR 14583</t>
  </si>
  <si>
    <r>
      <t>N</t>
    </r>
    <r>
      <rPr>
        <sz val="9"/>
        <color rgb="FF2D2F31"/>
        <rFont val="Trebuchet MS"/>
        <family val="2"/>
      </rPr>
      <t>YU</t>
    </r>
    <r>
      <rPr>
        <sz val="9"/>
        <color rgb="FF494B4D"/>
        <rFont val="Trebuchet MS"/>
        <family val="2"/>
      </rPr>
      <t>N</t>
    </r>
    <r>
      <rPr>
        <sz val="9"/>
        <color rgb="FF2D2F31"/>
        <rFont val="Trebuchet MS"/>
        <family val="2"/>
      </rPr>
      <t>ZU</t>
    </r>
  </si>
  <si>
    <r>
      <t>CPE/040</t>
    </r>
    <r>
      <rPr>
        <sz val="9"/>
        <color rgb="FF494B4D"/>
        <rFont val="Trebuchet MS"/>
        <family val="2"/>
      </rPr>
      <t xml:space="preserve">/ </t>
    </r>
    <r>
      <rPr>
        <sz val="9"/>
        <color rgb="FF2D2F31"/>
        <rFont val="Trebuchet MS"/>
        <family val="2"/>
      </rPr>
      <t>E-</t>
    </r>
    <r>
      <rPr>
        <sz val="9"/>
        <color rgb="FF494B4D"/>
        <rFont val="Trebuchet MS"/>
        <family val="2"/>
      </rPr>
      <t>N</t>
    </r>
    <r>
      <rPr>
        <sz val="9"/>
        <color rgb="FF2D2F31"/>
        <rFont val="Trebuchet MS"/>
        <family val="2"/>
      </rPr>
      <t>D</t>
    </r>
    <r>
      <rPr>
        <sz val="9"/>
        <color rgb="FF646466"/>
        <rFont val="Trebuchet MS"/>
        <family val="2"/>
      </rPr>
      <t xml:space="preserve">. </t>
    </r>
    <r>
      <rPr>
        <sz val="9"/>
        <color rgb="FF494B4D"/>
        <rFont val="Trebuchet MS"/>
        <family val="2"/>
      </rPr>
      <t>N</t>
    </r>
    <r>
      <rPr>
        <sz val="9"/>
        <color rgb="FF2D2F31"/>
        <rFont val="Trebuchet MS"/>
        <family val="2"/>
      </rPr>
      <t>/2023</t>
    </r>
  </si>
  <si>
    <r>
      <t>TRANSFORMATIO</t>
    </r>
    <r>
      <rPr>
        <sz val="9"/>
        <color rgb="FF494B4D"/>
        <rFont val="Trebuchet MS"/>
        <family val="2"/>
      </rPr>
      <t>N</t>
    </r>
  </si>
  <si>
    <t>PR 14388</t>
  </si>
  <si>
    <r>
      <t>K</t>
    </r>
    <r>
      <rPr>
        <sz val="9"/>
        <color rgb="FF2D2F31"/>
        <rFont val="Trebuchet MS"/>
        <family val="2"/>
      </rPr>
      <t>IPUSHI</t>
    </r>
  </si>
  <si>
    <r>
      <t>CPE</t>
    </r>
    <r>
      <rPr>
        <sz val="9"/>
        <color rgb="FF494B4D"/>
        <rFont val="Trebuchet MS"/>
        <family val="2"/>
      </rPr>
      <t>/</t>
    </r>
    <r>
      <rPr>
        <sz val="9"/>
        <color rgb="FF2D2F31"/>
        <rFont val="Trebuchet MS"/>
        <family val="2"/>
      </rPr>
      <t>041</t>
    </r>
    <r>
      <rPr>
        <sz val="9"/>
        <color rgb="FF494B4D"/>
        <rFont val="Trebuchet MS"/>
        <family val="2"/>
      </rPr>
      <t xml:space="preserve">/ </t>
    </r>
    <r>
      <rPr>
        <sz val="9"/>
        <color rgb="FF2D2F31"/>
        <rFont val="Trebuchet MS"/>
        <family val="2"/>
      </rPr>
      <t xml:space="preserve">E-ND. </t>
    </r>
    <r>
      <rPr>
        <sz val="9"/>
        <color rgb="FF494B4D"/>
        <rFont val="Trebuchet MS"/>
        <family val="2"/>
      </rPr>
      <t>N/</t>
    </r>
    <r>
      <rPr>
        <sz val="9"/>
        <color rgb="FF2D2F31"/>
        <rFont val="Trebuchet MS"/>
        <family val="2"/>
      </rPr>
      <t>2023</t>
    </r>
  </si>
  <si>
    <r>
      <t>TRANSFOR</t>
    </r>
    <r>
      <rPr>
        <sz val="9"/>
        <color rgb="FF494B4D"/>
        <rFont val="Trebuchet MS"/>
        <family val="2"/>
      </rPr>
      <t>M</t>
    </r>
    <r>
      <rPr>
        <sz val="9"/>
        <color rgb="FF2D2F31"/>
        <rFont val="Trebuchet MS"/>
        <family val="2"/>
      </rPr>
      <t>ATIO</t>
    </r>
    <r>
      <rPr>
        <sz val="9"/>
        <color rgb="FF494B4D"/>
        <rFont val="Trebuchet MS"/>
        <family val="2"/>
      </rPr>
      <t>N</t>
    </r>
  </si>
  <si>
    <r>
      <t>BUTA SAR</t>
    </r>
    <r>
      <rPr>
        <sz val="9"/>
        <color rgb="FF111316"/>
        <rFont val="Trebuchet MS"/>
        <family val="2"/>
      </rPr>
      <t>L</t>
    </r>
  </si>
  <si>
    <t>PR 14573 et 14575</t>
  </si>
  <si>
    <r>
      <t>KA</t>
    </r>
    <r>
      <rPr>
        <sz val="9"/>
        <color rgb="FF494B4D"/>
        <rFont val="Trebuchet MS"/>
        <family val="2"/>
      </rPr>
      <t>M</t>
    </r>
    <r>
      <rPr>
        <sz val="9"/>
        <color rgb="FF2D2F31"/>
        <rFont val="Trebuchet MS"/>
        <family val="2"/>
      </rPr>
      <t>BOVE et LUBUDI</t>
    </r>
  </si>
  <si>
    <r>
      <t>CPE</t>
    </r>
    <r>
      <rPr>
        <sz val="9"/>
        <color rgb="FF494B4D"/>
        <rFont val="Trebuchet MS"/>
        <family val="2"/>
      </rPr>
      <t>/</t>
    </r>
    <r>
      <rPr>
        <sz val="9"/>
        <color rgb="FF2D2F31"/>
        <rFont val="Trebuchet MS"/>
        <family val="2"/>
      </rPr>
      <t>042</t>
    </r>
    <r>
      <rPr>
        <sz val="9"/>
        <color rgb="FF494B4D"/>
        <rFont val="Trebuchet MS"/>
        <family val="2"/>
      </rPr>
      <t xml:space="preserve">/ </t>
    </r>
    <r>
      <rPr>
        <sz val="9"/>
        <color rgb="FF2D2F31"/>
        <rFont val="Trebuchet MS"/>
        <family val="2"/>
      </rPr>
      <t>E-ND</t>
    </r>
    <r>
      <rPr>
        <sz val="9"/>
        <color rgb="FF494B4D"/>
        <rFont val="Trebuchet MS"/>
        <family val="2"/>
      </rPr>
      <t xml:space="preserve">. </t>
    </r>
    <r>
      <rPr>
        <sz val="9"/>
        <color rgb="FF2D2F31"/>
        <rFont val="Trebuchet MS"/>
        <family val="2"/>
      </rPr>
      <t>N</t>
    </r>
    <r>
      <rPr>
        <sz val="9"/>
        <color rgb="FF494B4D"/>
        <rFont val="Trebuchet MS"/>
        <family val="2"/>
      </rPr>
      <t>/</t>
    </r>
    <r>
      <rPr>
        <sz val="9"/>
        <color rgb="FF2D2F31"/>
        <rFont val="Trebuchet MS"/>
        <family val="2"/>
      </rPr>
      <t>2023</t>
    </r>
  </si>
  <si>
    <t>PR 14584</t>
  </si>
  <si>
    <r>
      <t>M</t>
    </r>
    <r>
      <rPr>
        <sz val="9"/>
        <color rgb="FF2D2F31"/>
        <rFont val="Trebuchet MS"/>
        <family val="2"/>
      </rPr>
      <t>OBA</t>
    </r>
  </si>
  <si>
    <r>
      <t>CPE</t>
    </r>
    <r>
      <rPr>
        <sz val="9"/>
        <color rgb="FF494B4D"/>
        <rFont val="Trebuchet MS"/>
        <family val="2"/>
      </rPr>
      <t>/</t>
    </r>
    <r>
      <rPr>
        <sz val="9"/>
        <color rgb="FF2D2F31"/>
        <rFont val="Trebuchet MS"/>
        <family val="2"/>
      </rPr>
      <t>043</t>
    </r>
    <r>
      <rPr>
        <sz val="9"/>
        <color rgb="FF494B4D"/>
        <rFont val="Trebuchet MS"/>
        <family val="2"/>
      </rPr>
      <t xml:space="preserve">/ </t>
    </r>
    <r>
      <rPr>
        <sz val="9"/>
        <color rgb="FF2D2F31"/>
        <rFont val="Trebuchet MS"/>
        <family val="2"/>
      </rPr>
      <t>E</t>
    </r>
    <r>
      <rPr>
        <sz val="9"/>
        <color rgb="FF494B4D"/>
        <rFont val="Trebuchet MS"/>
        <family val="2"/>
      </rPr>
      <t>-</t>
    </r>
    <r>
      <rPr>
        <sz val="9"/>
        <color rgb="FF2D2F31"/>
        <rFont val="Trebuchet MS"/>
        <family val="2"/>
      </rPr>
      <t>ND. N/2023</t>
    </r>
  </si>
  <si>
    <r>
      <t>PR 145</t>
    </r>
    <r>
      <rPr>
        <sz val="9"/>
        <color rgb="FF494B4D"/>
        <rFont val="Trebuchet MS"/>
        <family val="2"/>
      </rPr>
      <t xml:space="preserve">77 </t>
    </r>
    <r>
      <rPr>
        <sz val="9"/>
        <color rgb="FF2D2F31"/>
        <rFont val="Trebuchet MS"/>
        <family val="2"/>
      </rPr>
      <t>et 14589</t>
    </r>
  </si>
  <si>
    <r>
      <t>P</t>
    </r>
    <r>
      <rPr>
        <sz val="9"/>
        <color rgb="FF494B4D"/>
        <rFont val="Trebuchet MS"/>
        <family val="2"/>
      </rPr>
      <t>W</t>
    </r>
    <r>
      <rPr>
        <sz val="9"/>
        <color rgb="FF2D2F31"/>
        <rFont val="Trebuchet MS"/>
        <family val="2"/>
      </rPr>
      <t>ETO e</t>
    </r>
    <r>
      <rPr>
        <sz val="9"/>
        <color rgb="FF494B4D"/>
        <rFont val="Trebuchet MS"/>
        <family val="2"/>
      </rPr>
      <t>t M</t>
    </r>
    <r>
      <rPr>
        <sz val="9"/>
        <color rgb="FF2D2F31"/>
        <rFont val="Trebuchet MS"/>
        <family val="2"/>
      </rPr>
      <t>OBA</t>
    </r>
  </si>
  <si>
    <r>
      <t>CPE</t>
    </r>
    <r>
      <rPr>
        <sz val="9"/>
        <color rgb="FF494B4D"/>
        <rFont val="Trebuchet MS"/>
        <family val="2"/>
      </rPr>
      <t>/0</t>
    </r>
    <r>
      <rPr>
        <sz val="9"/>
        <color rgb="FF2D2F31"/>
        <rFont val="Trebuchet MS"/>
        <family val="2"/>
      </rPr>
      <t>44</t>
    </r>
    <r>
      <rPr>
        <sz val="9"/>
        <color rgb="FF494B4D"/>
        <rFont val="Trebuchet MS"/>
        <family val="2"/>
      </rPr>
      <t xml:space="preserve">/ </t>
    </r>
    <r>
      <rPr>
        <sz val="9"/>
        <color rgb="FF2D2F31"/>
        <rFont val="Trebuchet MS"/>
        <family val="2"/>
      </rPr>
      <t>E-ND</t>
    </r>
    <r>
      <rPr>
        <sz val="9"/>
        <color rgb="FF494B4D"/>
        <rFont val="Trebuchet MS"/>
        <family val="2"/>
      </rPr>
      <t xml:space="preserve">. </t>
    </r>
    <r>
      <rPr>
        <sz val="9"/>
        <color rgb="FF2D2F31"/>
        <rFont val="Trebuchet MS"/>
        <family val="2"/>
      </rPr>
      <t>N</t>
    </r>
    <r>
      <rPr>
        <sz val="9"/>
        <color rgb="FF494B4D"/>
        <rFont val="Trebuchet MS"/>
        <family val="2"/>
      </rPr>
      <t>/</t>
    </r>
    <r>
      <rPr>
        <sz val="9"/>
        <color rgb="FF2D2F31"/>
        <rFont val="Trebuchet MS"/>
        <family val="2"/>
      </rPr>
      <t>20</t>
    </r>
    <r>
      <rPr>
        <sz val="9"/>
        <color rgb="FF494B4D"/>
        <rFont val="Trebuchet MS"/>
        <family val="2"/>
      </rPr>
      <t>2</t>
    </r>
    <r>
      <rPr>
        <sz val="9"/>
        <color rgb="FF2D2F31"/>
        <rFont val="Trebuchet MS"/>
        <family val="2"/>
      </rPr>
      <t>3</t>
    </r>
  </si>
  <si>
    <r>
      <t>TRA</t>
    </r>
    <r>
      <rPr>
        <sz val="9"/>
        <color rgb="FF494B4D"/>
        <rFont val="Trebuchet MS"/>
        <family val="2"/>
      </rPr>
      <t>N</t>
    </r>
    <r>
      <rPr>
        <sz val="9"/>
        <color rgb="FF2D2F31"/>
        <rFont val="Trebuchet MS"/>
        <family val="2"/>
      </rPr>
      <t>SFOR</t>
    </r>
    <r>
      <rPr>
        <sz val="9"/>
        <color rgb="FF494B4D"/>
        <rFont val="Trebuchet MS"/>
        <family val="2"/>
      </rPr>
      <t>M</t>
    </r>
    <r>
      <rPr>
        <sz val="9"/>
        <color rgb="FF2D2F31"/>
        <rFont val="Trebuchet MS"/>
        <family val="2"/>
      </rPr>
      <t>ATIO</t>
    </r>
    <r>
      <rPr>
        <sz val="9"/>
        <color rgb="FF494B4D"/>
        <rFont val="Trebuchet MS"/>
        <family val="2"/>
      </rPr>
      <t>N</t>
    </r>
  </si>
  <si>
    <r>
      <t>COM</t>
    </r>
    <r>
      <rPr>
        <sz val="9"/>
        <color rgb="FF494B4D"/>
        <rFont val="Trebuchet MS"/>
        <family val="2"/>
      </rPr>
      <t>M</t>
    </r>
    <r>
      <rPr>
        <sz val="9"/>
        <color rgb="FF2D2F31"/>
        <rFont val="Trebuchet MS"/>
        <family val="2"/>
      </rPr>
      <t>US SAS</t>
    </r>
  </si>
  <si>
    <t>PE 12092 et 12093</t>
  </si>
  <si>
    <r>
      <t>M</t>
    </r>
    <r>
      <rPr>
        <sz val="9"/>
        <color rgb="FF2D2F31"/>
        <rFont val="Trebuchet MS"/>
        <family val="2"/>
      </rPr>
      <t>UTSHATHSA</t>
    </r>
  </si>
  <si>
    <r>
      <t>CPE</t>
    </r>
    <r>
      <rPr>
        <sz val="9"/>
        <color rgb="FF494B4D"/>
        <rFont val="Trebuchet MS"/>
        <family val="2"/>
      </rPr>
      <t>/</t>
    </r>
    <r>
      <rPr>
        <sz val="9"/>
        <color rgb="FF2D2F31"/>
        <rFont val="Trebuchet MS"/>
        <family val="2"/>
      </rPr>
      <t>04</t>
    </r>
    <r>
      <rPr>
        <sz val="9"/>
        <color rgb="FF494B4D"/>
        <rFont val="Trebuchet MS"/>
        <family val="2"/>
      </rPr>
      <t xml:space="preserve">7/ </t>
    </r>
    <r>
      <rPr>
        <sz val="9"/>
        <color rgb="FF2D2F31"/>
        <rFont val="Trebuchet MS"/>
        <family val="2"/>
      </rPr>
      <t>E-</t>
    </r>
    <r>
      <rPr>
        <sz val="9"/>
        <color rgb="FF494B4D"/>
        <rFont val="Trebuchet MS"/>
        <family val="2"/>
      </rPr>
      <t>N</t>
    </r>
    <r>
      <rPr>
        <sz val="9"/>
        <color rgb="FF2D2F31"/>
        <rFont val="Trebuchet MS"/>
        <family val="2"/>
      </rPr>
      <t>D</t>
    </r>
    <r>
      <rPr>
        <sz val="9"/>
        <color rgb="FF494B4D"/>
        <rFont val="Trebuchet MS"/>
        <family val="2"/>
      </rPr>
      <t>. N/</t>
    </r>
    <r>
      <rPr>
        <sz val="9"/>
        <color rgb="FF2D2F31"/>
        <rFont val="Trebuchet MS"/>
        <family val="2"/>
      </rPr>
      <t>2</t>
    </r>
    <r>
      <rPr>
        <sz val="9"/>
        <color rgb="FF494B4D"/>
        <rFont val="Trebuchet MS"/>
        <family val="2"/>
      </rPr>
      <t>0</t>
    </r>
    <r>
      <rPr>
        <sz val="9"/>
        <color rgb="FF2D2F31"/>
        <rFont val="Trebuchet MS"/>
        <family val="2"/>
      </rPr>
      <t>2</t>
    </r>
    <r>
      <rPr>
        <sz val="9"/>
        <color rgb="FF494B4D"/>
        <rFont val="Trebuchet MS"/>
        <family val="2"/>
      </rPr>
      <t>3</t>
    </r>
  </si>
  <si>
    <r>
      <t>M</t>
    </r>
    <r>
      <rPr>
        <sz val="9"/>
        <color rgb="FF2D2F31"/>
        <rFont val="Trebuchet MS"/>
        <family val="2"/>
      </rPr>
      <t xml:space="preserve">IS </t>
    </r>
    <r>
      <rPr>
        <sz val="9"/>
        <color rgb="FF494B4D"/>
        <rFont val="Trebuchet MS"/>
        <family val="2"/>
      </rPr>
      <t xml:space="preserve">à </t>
    </r>
    <r>
      <rPr>
        <sz val="9"/>
        <color rgb="FF2D2F31"/>
        <rFont val="Trebuchet MS"/>
        <family val="2"/>
      </rPr>
      <t>JOUR</t>
    </r>
  </si>
  <si>
    <r>
      <t>M</t>
    </r>
    <r>
      <rPr>
        <sz val="9"/>
        <color rgb="FF494B4D"/>
        <rFont val="Trebuchet MS"/>
        <family val="2"/>
      </rPr>
      <t>N</t>
    </r>
    <r>
      <rPr>
        <sz val="9"/>
        <color rgb="FF2D2F31"/>
        <rFont val="Trebuchet MS"/>
        <family val="2"/>
      </rPr>
      <t>A</t>
    </r>
    <r>
      <rPr>
        <sz val="9"/>
        <color rgb="FF494B4D"/>
        <rFont val="Trebuchet MS"/>
        <family val="2"/>
      </rPr>
      <t>Z</t>
    </r>
    <r>
      <rPr>
        <sz val="9"/>
        <color rgb="FF2D2F31"/>
        <rFont val="Trebuchet MS"/>
        <family val="2"/>
      </rPr>
      <t>I TRAD</t>
    </r>
    <r>
      <rPr>
        <sz val="9"/>
        <color rgb="FF494B4D"/>
        <rFont val="Trebuchet MS"/>
        <family val="2"/>
      </rPr>
      <t>IN</t>
    </r>
    <r>
      <rPr>
        <sz val="9"/>
        <color rgb="FF2D2F31"/>
        <rFont val="Trebuchet MS"/>
        <family val="2"/>
      </rPr>
      <t>G SARL</t>
    </r>
  </si>
  <si>
    <t>PR 13833</t>
  </si>
  <si>
    <r>
      <t>M</t>
    </r>
    <r>
      <rPr>
        <sz val="9"/>
        <color rgb="FF2D2F31"/>
        <rFont val="Trebuchet MS"/>
        <family val="2"/>
      </rPr>
      <t>U</t>
    </r>
    <r>
      <rPr>
        <sz val="9"/>
        <color rgb="FF494B4D"/>
        <rFont val="Trebuchet MS"/>
        <family val="2"/>
      </rPr>
      <t>T</t>
    </r>
    <r>
      <rPr>
        <sz val="9"/>
        <color rgb="FF2D2F31"/>
        <rFont val="Trebuchet MS"/>
        <family val="2"/>
      </rPr>
      <t>SHATHSA</t>
    </r>
  </si>
  <si>
    <r>
      <t>CPE</t>
    </r>
    <r>
      <rPr>
        <sz val="9"/>
        <color rgb="FF494B4D"/>
        <rFont val="Trebuchet MS"/>
        <family val="2"/>
      </rPr>
      <t>/</t>
    </r>
    <r>
      <rPr>
        <sz val="9"/>
        <color rgb="FF2D2F31"/>
        <rFont val="Trebuchet MS"/>
        <family val="2"/>
      </rPr>
      <t>0</t>
    </r>
    <r>
      <rPr>
        <sz val="9"/>
        <color rgb="FF494B4D"/>
        <rFont val="Trebuchet MS"/>
        <family val="2"/>
      </rPr>
      <t>4</t>
    </r>
    <r>
      <rPr>
        <sz val="9"/>
        <color rgb="FF2D2F31"/>
        <rFont val="Trebuchet MS"/>
        <family val="2"/>
      </rPr>
      <t>8</t>
    </r>
    <r>
      <rPr>
        <sz val="9"/>
        <color rgb="FF494B4D"/>
        <rFont val="Trebuchet MS"/>
        <family val="2"/>
      </rPr>
      <t xml:space="preserve">/ </t>
    </r>
    <r>
      <rPr>
        <sz val="9"/>
        <color rgb="FF2D2F31"/>
        <rFont val="Trebuchet MS"/>
        <family val="2"/>
      </rPr>
      <t>E-ND</t>
    </r>
    <r>
      <rPr>
        <sz val="9"/>
        <color rgb="FF494B4D"/>
        <rFont val="Trebuchet MS"/>
        <family val="2"/>
      </rPr>
      <t xml:space="preserve">. </t>
    </r>
    <r>
      <rPr>
        <sz val="9"/>
        <color rgb="FF2D2F31"/>
        <rFont val="Trebuchet MS"/>
        <family val="2"/>
      </rPr>
      <t>N</t>
    </r>
    <r>
      <rPr>
        <sz val="9"/>
        <color rgb="FF494B4D"/>
        <rFont val="Trebuchet MS"/>
        <family val="2"/>
      </rPr>
      <t>/</t>
    </r>
    <r>
      <rPr>
        <sz val="9"/>
        <color rgb="FF2D2F31"/>
        <rFont val="Trebuchet MS"/>
        <family val="2"/>
      </rPr>
      <t>2</t>
    </r>
    <r>
      <rPr>
        <sz val="9"/>
        <color rgb="FF494B4D"/>
        <rFont val="Trebuchet MS"/>
        <family val="2"/>
      </rPr>
      <t>0</t>
    </r>
    <r>
      <rPr>
        <sz val="9"/>
        <color rgb="FF2D2F31"/>
        <rFont val="Trebuchet MS"/>
        <family val="2"/>
      </rPr>
      <t>2</t>
    </r>
    <r>
      <rPr>
        <sz val="9"/>
        <color rgb="FF494B4D"/>
        <rFont val="Trebuchet MS"/>
        <family val="2"/>
      </rPr>
      <t>3</t>
    </r>
  </si>
  <si>
    <r>
      <t>F</t>
    </r>
    <r>
      <rPr>
        <sz val="9"/>
        <color rgb="FF494B4D"/>
        <rFont val="Trebuchet MS"/>
        <family val="2"/>
      </rPr>
      <t>M</t>
    </r>
    <r>
      <rPr>
        <sz val="9"/>
        <color rgb="FF2D2F31"/>
        <rFont val="Trebuchet MS"/>
        <family val="2"/>
      </rPr>
      <t>R DEVELOP</t>
    </r>
    <r>
      <rPr>
        <sz val="9"/>
        <color rgb="FF494B4D"/>
        <rFont val="Trebuchet MS"/>
        <family val="2"/>
      </rPr>
      <t>M</t>
    </r>
    <r>
      <rPr>
        <sz val="9"/>
        <color rgb="FF2D2F31"/>
        <rFont val="Trebuchet MS"/>
        <family val="2"/>
      </rPr>
      <t>ENT SARL</t>
    </r>
  </si>
  <si>
    <r>
      <t>PEPM 516</t>
    </r>
    <r>
      <rPr>
        <sz val="9"/>
        <color rgb="FF494B4D"/>
        <rFont val="Trebuchet MS"/>
        <family val="2"/>
      </rPr>
      <t>2</t>
    </r>
  </si>
  <si>
    <r>
      <t>CPE</t>
    </r>
    <r>
      <rPr>
        <sz val="9"/>
        <color rgb="FF494B4D"/>
        <rFont val="Trebuchet MS"/>
        <family val="2"/>
      </rPr>
      <t>/</t>
    </r>
    <r>
      <rPr>
        <sz val="9"/>
        <color rgb="FF2D2F31"/>
        <rFont val="Trebuchet MS"/>
        <family val="2"/>
      </rPr>
      <t>049</t>
    </r>
    <r>
      <rPr>
        <sz val="9"/>
        <color rgb="FF494B4D"/>
        <rFont val="Trebuchet MS"/>
        <family val="2"/>
      </rPr>
      <t xml:space="preserve">/ </t>
    </r>
    <r>
      <rPr>
        <sz val="9"/>
        <color rgb="FF2D2F31"/>
        <rFont val="Trebuchet MS"/>
        <family val="2"/>
      </rPr>
      <t>E</t>
    </r>
    <r>
      <rPr>
        <sz val="9"/>
        <color rgb="FF494B4D"/>
        <rFont val="Trebuchet MS"/>
        <family val="2"/>
      </rPr>
      <t>-N</t>
    </r>
    <r>
      <rPr>
        <sz val="9"/>
        <color rgb="FF2D2F31"/>
        <rFont val="Trebuchet MS"/>
        <family val="2"/>
      </rPr>
      <t>D</t>
    </r>
    <r>
      <rPr>
        <sz val="9"/>
        <color rgb="FF494B4D"/>
        <rFont val="Trebuchet MS"/>
        <family val="2"/>
      </rPr>
      <t>. N/</t>
    </r>
    <r>
      <rPr>
        <sz val="9"/>
        <color rgb="FF2D2F31"/>
        <rFont val="Trebuchet MS"/>
        <family val="2"/>
      </rPr>
      <t>202</t>
    </r>
    <r>
      <rPr>
        <sz val="9"/>
        <color rgb="FF494B4D"/>
        <rFont val="Trebuchet MS"/>
        <family val="2"/>
      </rPr>
      <t>3</t>
    </r>
  </si>
  <si>
    <r>
      <t>PEP</t>
    </r>
    <r>
      <rPr>
        <sz val="9"/>
        <color rgb="FF494B4D"/>
        <rFont val="Trebuchet MS"/>
        <family val="2"/>
      </rPr>
      <t xml:space="preserve">M </t>
    </r>
    <r>
      <rPr>
        <sz val="9"/>
        <color rgb="FF2D2F31"/>
        <rFont val="Trebuchet MS"/>
        <family val="2"/>
      </rPr>
      <t>5</t>
    </r>
    <r>
      <rPr>
        <sz val="9"/>
        <color rgb="FF494B4D"/>
        <rFont val="Trebuchet MS"/>
        <family val="2"/>
      </rPr>
      <t>2</t>
    </r>
    <r>
      <rPr>
        <sz val="9"/>
        <color rgb="FF2D2F31"/>
        <rFont val="Trebuchet MS"/>
        <family val="2"/>
      </rPr>
      <t>7</t>
    </r>
    <r>
      <rPr>
        <sz val="9"/>
        <color rgb="FF494B4D"/>
        <rFont val="Trebuchet MS"/>
        <family val="2"/>
      </rPr>
      <t>3</t>
    </r>
  </si>
  <si>
    <r>
      <t>K</t>
    </r>
    <r>
      <rPr>
        <sz val="9"/>
        <color rgb="FF2D2F31"/>
        <rFont val="Trebuchet MS"/>
        <family val="2"/>
      </rPr>
      <t>IPUSH</t>
    </r>
    <r>
      <rPr>
        <sz val="9"/>
        <color rgb="FF494B4D"/>
        <rFont val="Trebuchet MS"/>
        <family val="2"/>
      </rPr>
      <t>I</t>
    </r>
  </si>
  <si>
    <r>
      <t>CPE</t>
    </r>
    <r>
      <rPr>
        <sz val="9"/>
        <color rgb="FF494B4D"/>
        <rFont val="Trebuchet MS"/>
        <family val="2"/>
      </rPr>
      <t>/</t>
    </r>
    <r>
      <rPr>
        <sz val="9"/>
        <color rgb="FF2D2F31"/>
        <rFont val="Trebuchet MS"/>
        <family val="2"/>
      </rPr>
      <t>05</t>
    </r>
    <r>
      <rPr>
        <sz val="9"/>
        <color rgb="FF494B4D"/>
        <rFont val="Trebuchet MS"/>
        <family val="2"/>
      </rPr>
      <t xml:space="preserve">0/ </t>
    </r>
    <r>
      <rPr>
        <sz val="9"/>
        <color rgb="FF2D2F31"/>
        <rFont val="Trebuchet MS"/>
        <family val="2"/>
      </rPr>
      <t>E-ND</t>
    </r>
    <r>
      <rPr>
        <sz val="9"/>
        <color rgb="FF494B4D"/>
        <rFont val="Trebuchet MS"/>
        <family val="2"/>
      </rPr>
      <t xml:space="preserve">. </t>
    </r>
    <r>
      <rPr>
        <sz val="9"/>
        <color rgb="FF2D2F31"/>
        <rFont val="Trebuchet MS"/>
        <family val="2"/>
      </rPr>
      <t>N</t>
    </r>
    <r>
      <rPr>
        <sz val="9"/>
        <color rgb="FF494B4D"/>
        <rFont val="Trebuchet MS"/>
        <family val="2"/>
      </rPr>
      <t>/</t>
    </r>
    <r>
      <rPr>
        <sz val="9"/>
        <color rgb="FF2D2F31"/>
        <rFont val="Trebuchet MS"/>
        <family val="2"/>
      </rPr>
      <t>2023</t>
    </r>
  </si>
  <si>
    <r>
      <t>PEP</t>
    </r>
    <r>
      <rPr>
        <sz val="9"/>
        <color rgb="FF494B4D"/>
        <rFont val="Trebuchet MS"/>
        <family val="2"/>
      </rPr>
      <t xml:space="preserve">M </t>
    </r>
    <r>
      <rPr>
        <sz val="9"/>
        <color rgb="FF2D2F31"/>
        <rFont val="Trebuchet MS"/>
        <family val="2"/>
      </rPr>
      <t>5160</t>
    </r>
  </si>
  <si>
    <r>
      <t>KA</t>
    </r>
    <r>
      <rPr>
        <sz val="9"/>
        <color rgb="FF2D2F31"/>
        <rFont val="Trebuchet MS"/>
        <family val="2"/>
      </rPr>
      <t>MBOVE</t>
    </r>
  </si>
  <si>
    <r>
      <t>CPE</t>
    </r>
    <r>
      <rPr>
        <sz val="9"/>
        <color rgb="FF494B4D"/>
        <rFont val="Trebuchet MS"/>
        <family val="2"/>
      </rPr>
      <t>/</t>
    </r>
    <r>
      <rPr>
        <sz val="9"/>
        <color rgb="FF2D2F31"/>
        <rFont val="Trebuchet MS"/>
        <family val="2"/>
      </rPr>
      <t>05</t>
    </r>
    <r>
      <rPr>
        <sz val="9"/>
        <color rgb="FF494B4D"/>
        <rFont val="Trebuchet MS"/>
        <family val="2"/>
      </rPr>
      <t xml:space="preserve">1/ </t>
    </r>
    <r>
      <rPr>
        <sz val="9"/>
        <color rgb="FF2D2F31"/>
        <rFont val="Trebuchet MS"/>
        <family val="2"/>
      </rPr>
      <t>E-</t>
    </r>
    <r>
      <rPr>
        <sz val="9"/>
        <color rgb="FF494B4D"/>
        <rFont val="Trebuchet MS"/>
        <family val="2"/>
      </rPr>
      <t>N</t>
    </r>
    <r>
      <rPr>
        <sz val="9"/>
        <color rgb="FF2D2F31"/>
        <rFont val="Trebuchet MS"/>
        <family val="2"/>
      </rPr>
      <t>D</t>
    </r>
    <r>
      <rPr>
        <sz val="9"/>
        <color rgb="FF494B4D"/>
        <rFont val="Trebuchet MS"/>
        <family val="2"/>
      </rPr>
      <t>. N/</t>
    </r>
    <r>
      <rPr>
        <sz val="9"/>
        <color rgb="FF2D2F31"/>
        <rFont val="Trebuchet MS"/>
        <family val="2"/>
      </rPr>
      <t>2023</t>
    </r>
  </si>
  <si>
    <t>PEPM 8139 et 13679</t>
  </si>
  <si>
    <r>
      <t>K</t>
    </r>
    <r>
      <rPr>
        <sz val="9"/>
        <color rgb="FF2D2F31"/>
        <rFont val="Trebuchet MS"/>
        <family val="2"/>
      </rPr>
      <t>AMBOVE</t>
    </r>
  </si>
  <si>
    <r>
      <t>CPE</t>
    </r>
    <r>
      <rPr>
        <sz val="9"/>
        <color rgb="FF494B4D"/>
        <rFont val="Trebuchet MS"/>
        <family val="2"/>
      </rPr>
      <t>/</t>
    </r>
    <r>
      <rPr>
        <sz val="9"/>
        <color rgb="FF2D2F31"/>
        <rFont val="Trebuchet MS"/>
        <family val="2"/>
      </rPr>
      <t>052</t>
    </r>
    <r>
      <rPr>
        <sz val="9"/>
        <color rgb="FF494B4D"/>
        <rFont val="Trebuchet MS"/>
        <family val="2"/>
      </rPr>
      <t xml:space="preserve">/ </t>
    </r>
    <r>
      <rPr>
        <sz val="9"/>
        <color rgb="FF2D2F31"/>
        <rFont val="Trebuchet MS"/>
        <family val="2"/>
      </rPr>
      <t>E-ND. N</t>
    </r>
    <r>
      <rPr>
        <sz val="9"/>
        <color rgb="FF494B4D"/>
        <rFont val="Trebuchet MS"/>
        <family val="2"/>
      </rPr>
      <t>/</t>
    </r>
    <r>
      <rPr>
        <sz val="9"/>
        <color rgb="FF2D2F31"/>
        <rFont val="Trebuchet MS"/>
        <family val="2"/>
      </rPr>
      <t>2023</t>
    </r>
  </si>
  <si>
    <t>RWASHI MINING SAS</t>
  </si>
  <si>
    <t>PE 13083</t>
  </si>
  <si>
    <r>
      <t>CPE</t>
    </r>
    <r>
      <rPr>
        <sz val="9"/>
        <color rgb="FF494B4D"/>
        <rFont val="Trebuchet MS"/>
        <family val="2"/>
      </rPr>
      <t>/</t>
    </r>
    <r>
      <rPr>
        <sz val="9"/>
        <color rgb="FF2D2F31"/>
        <rFont val="Trebuchet MS"/>
        <family val="2"/>
      </rPr>
      <t>053</t>
    </r>
    <r>
      <rPr>
        <sz val="9"/>
        <color rgb="FF494B4D"/>
        <rFont val="Trebuchet MS"/>
        <family val="2"/>
      </rPr>
      <t xml:space="preserve">/ </t>
    </r>
    <r>
      <rPr>
        <sz val="9"/>
        <color rgb="FF2D2F31"/>
        <rFont val="Trebuchet MS"/>
        <family val="2"/>
      </rPr>
      <t>E-</t>
    </r>
    <r>
      <rPr>
        <sz val="9"/>
        <color rgb="FF494B4D"/>
        <rFont val="Trebuchet MS"/>
        <family val="2"/>
      </rPr>
      <t>N</t>
    </r>
    <r>
      <rPr>
        <sz val="9"/>
        <color rgb="FF2D2F31"/>
        <rFont val="Trebuchet MS"/>
        <family val="2"/>
      </rPr>
      <t>D</t>
    </r>
    <r>
      <rPr>
        <sz val="9"/>
        <color rgb="FF494B4D"/>
        <rFont val="Trebuchet MS"/>
        <family val="2"/>
      </rPr>
      <t>. N/</t>
    </r>
    <r>
      <rPr>
        <sz val="9"/>
        <color rgb="FF2D2F31"/>
        <rFont val="Trebuchet MS"/>
        <family val="2"/>
      </rPr>
      <t>202</t>
    </r>
    <r>
      <rPr>
        <sz val="9"/>
        <color rgb="FF494B4D"/>
        <rFont val="Trebuchet MS"/>
        <family val="2"/>
      </rPr>
      <t>3</t>
    </r>
  </si>
  <si>
    <t>RENOUVELLEMENT</t>
  </si>
  <si>
    <r>
      <t>GECA</t>
    </r>
    <r>
      <rPr>
        <sz val="9"/>
        <color rgb="FF494B4D"/>
        <rFont val="Trebuchet MS"/>
        <family val="2"/>
      </rPr>
      <t>M</t>
    </r>
    <r>
      <rPr>
        <sz val="9"/>
        <color rgb="FF2D2F31"/>
        <rFont val="Trebuchet MS"/>
        <family val="2"/>
      </rPr>
      <t>INES SA</t>
    </r>
  </si>
  <si>
    <t>PE 663 et 7044</t>
  </si>
  <si>
    <r>
      <t>CPE</t>
    </r>
    <r>
      <rPr>
        <sz val="9"/>
        <color rgb="FF494B4D"/>
        <rFont val="Trebuchet MS"/>
        <family val="2"/>
      </rPr>
      <t>/0</t>
    </r>
    <r>
      <rPr>
        <sz val="9"/>
        <color rgb="FF2D2F31"/>
        <rFont val="Trebuchet MS"/>
        <family val="2"/>
      </rPr>
      <t>54</t>
    </r>
    <r>
      <rPr>
        <sz val="9"/>
        <color rgb="FF494B4D"/>
        <rFont val="Trebuchet MS"/>
        <family val="2"/>
      </rPr>
      <t xml:space="preserve">/ </t>
    </r>
    <r>
      <rPr>
        <sz val="9"/>
        <color rgb="FF2D2F31"/>
        <rFont val="Trebuchet MS"/>
        <family val="2"/>
      </rPr>
      <t>E-ND</t>
    </r>
    <r>
      <rPr>
        <sz val="9"/>
        <color rgb="FF494B4D"/>
        <rFont val="Trebuchet MS"/>
        <family val="2"/>
      </rPr>
      <t xml:space="preserve">. </t>
    </r>
    <r>
      <rPr>
        <sz val="9"/>
        <color rgb="FF2D2F31"/>
        <rFont val="Trebuchet MS"/>
        <family val="2"/>
      </rPr>
      <t>N</t>
    </r>
    <r>
      <rPr>
        <sz val="9"/>
        <color rgb="FF494B4D"/>
        <rFont val="Trebuchet MS"/>
        <family val="2"/>
      </rPr>
      <t>/</t>
    </r>
    <r>
      <rPr>
        <sz val="9"/>
        <color rgb="FF2D2F31"/>
        <rFont val="Trebuchet MS"/>
        <family val="2"/>
      </rPr>
      <t>2023</t>
    </r>
  </si>
  <si>
    <r>
      <t>RENOUVELLE</t>
    </r>
    <r>
      <rPr>
        <sz val="9"/>
        <color rgb="FF494B4D"/>
        <rFont val="Trebuchet MS"/>
        <family val="2"/>
      </rPr>
      <t>M</t>
    </r>
    <r>
      <rPr>
        <sz val="9"/>
        <color rgb="FF2D2F31"/>
        <rFont val="Trebuchet MS"/>
        <family val="2"/>
      </rPr>
      <t>E</t>
    </r>
    <r>
      <rPr>
        <sz val="9"/>
        <color rgb="FF494B4D"/>
        <rFont val="Trebuchet MS"/>
        <family val="2"/>
      </rPr>
      <t>N</t>
    </r>
    <r>
      <rPr>
        <sz val="9"/>
        <color rgb="FF2D2F31"/>
        <rFont val="Trebuchet MS"/>
        <family val="2"/>
      </rPr>
      <t>T</t>
    </r>
  </si>
  <si>
    <r>
      <t xml:space="preserve">PE </t>
    </r>
    <r>
      <rPr>
        <sz val="9"/>
        <color rgb="FF494B4D"/>
        <rFont val="Trebuchet MS"/>
        <family val="2"/>
      </rPr>
      <t>2</t>
    </r>
    <r>
      <rPr>
        <sz val="9"/>
        <color rgb="FF2D2F31"/>
        <rFont val="Trebuchet MS"/>
        <family val="2"/>
      </rPr>
      <t>604</t>
    </r>
  </si>
  <si>
    <r>
      <t>CPE</t>
    </r>
    <r>
      <rPr>
        <sz val="9"/>
        <color rgb="FF494B4D"/>
        <rFont val="Trebuchet MS"/>
        <family val="2"/>
      </rPr>
      <t>/</t>
    </r>
    <r>
      <rPr>
        <sz val="9"/>
        <color rgb="FF2D2F31"/>
        <rFont val="Trebuchet MS"/>
        <family val="2"/>
      </rPr>
      <t>055</t>
    </r>
    <r>
      <rPr>
        <sz val="9"/>
        <color rgb="FF494B4D"/>
        <rFont val="Trebuchet MS"/>
        <family val="2"/>
      </rPr>
      <t xml:space="preserve">/ </t>
    </r>
    <r>
      <rPr>
        <sz val="9"/>
        <color rgb="FF2D2F31"/>
        <rFont val="Trebuchet MS"/>
        <family val="2"/>
      </rPr>
      <t>E-ND</t>
    </r>
    <r>
      <rPr>
        <sz val="9"/>
        <color rgb="FF494B4D"/>
        <rFont val="Trebuchet MS"/>
        <family val="2"/>
      </rPr>
      <t xml:space="preserve">. </t>
    </r>
    <r>
      <rPr>
        <sz val="9"/>
        <color rgb="FF2D2F31"/>
        <rFont val="Trebuchet MS"/>
        <family val="2"/>
      </rPr>
      <t>N</t>
    </r>
    <r>
      <rPr>
        <sz val="9"/>
        <color rgb="FF494B4D"/>
        <rFont val="Trebuchet MS"/>
        <family val="2"/>
      </rPr>
      <t>/</t>
    </r>
    <r>
      <rPr>
        <sz val="9"/>
        <color rgb="FF2D2F31"/>
        <rFont val="Trebuchet MS"/>
        <family val="2"/>
      </rPr>
      <t>2023</t>
    </r>
  </si>
  <si>
    <r>
      <t>RENOUVE</t>
    </r>
    <r>
      <rPr>
        <sz val="9"/>
        <color rgb="FF494B4D"/>
        <rFont val="Trebuchet MS"/>
        <family val="2"/>
      </rPr>
      <t>L</t>
    </r>
    <r>
      <rPr>
        <sz val="9"/>
        <color rgb="FF2D2F31"/>
        <rFont val="Trebuchet MS"/>
        <family val="2"/>
      </rPr>
      <t>LEMENT</t>
    </r>
  </si>
  <si>
    <r>
      <t xml:space="preserve">GECAMINES </t>
    </r>
    <r>
      <rPr>
        <sz val="9"/>
        <color rgb="FF111316"/>
        <rFont val="Trebuchet MS"/>
        <family val="2"/>
      </rPr>
      <t>S</t>
    </r>
    <r>
      <rPr>
        <sz val="9"/>
        <color rgb="FF2D2F31"/>
        <rFont val="Trebuchet MS"/>
        <family val="2"/>
      </rPr>
      <t>A</t>
    </r>
  </si>
  <si>
    <r>
      <t>PEPR 9683</t>
    </r>
    <r>
      <rPr>
        <sz val="9"/>
        <color rgb="FF494B4D"/>
        <rFont val="Trebuchet MS"/>
        <family val="2"/>
      </rPr>
      <t>,</t>
    </r>
    <r>
      <rPr>
        <sz val="9"/>
        <color rgb="FF2D2F31"/>
        <rFont val="Trebuchet MS"/>
        <family val="2"/>
      </rPr>
      <t>9685,9684 et 9687</t>
    </r>
  </si>
  <si>
    <r>
      <t>CPE/056</t>
    </r>
    <r>
      <rPr>
        <sz val="9"/>
        <color rgb="FF494B4D"/>
        <rFont val="Trebuchet MS"/>
        <family val="2"/>
      </rPr>
      <t xml:space="preserve">/ </t>
    </r>
    <r>
      <rPr>
        <sz val="9"/>
        <color rgb="FF2D2F31"/>
        <rFont val="Trebuchet MS"/>
        <family val="2"/>
      </rPr>
      <t>E</t>
    </r>
    <r>
      <rPr>
        <sz val="9"/>
        <color rgb="FF494B4D"/>
        <rFont val="Trebuchet MS"/>
        <family val="2"/>
      </rPr>
      <t>-</t>
    </r>
    <r>
      <rPr>
        <sz val="9"/>
        <color rgb="FF2D2F31"/>
        <rFont val="Trebuchet MS"/>
        <family val="2"/>
      </rPr>
      <t>ND. N</t>
    </r>
    <r>
      <rPr>
        <sz val="9"/>
        <color rgb="FF494B4D"/>
        <rFont val="Trebuchet MS"/>
        <family val="2"/>
      </rPr>
      <t>/</t>
    </r>
    <r>
      <rPr>
        <sz val="9"/>
        <color rgb="FF2D2F31"/>
        <rFont val="Trebuchet MS"/>
        <family val="2"/>
      </rPr>
      <t>202</t>
    </r>
    <r>
      <rPr>
        <sz val="9"/>
        <color rgb="FF494B4D"/>
        <rFont val="Trebuchet MS"/>
        <family val="2"/>
      </rPr>
      <t>3</t>
    </r>
  </si>
  <si>
    <r>
      <t>P</t>
    </r>
    <r>
      <rPr>
        <sz val="9"/>
        <color rgb="FF494B4D"/>
        <rFont val="Trebuchet MS"/>
        <family val="2"/>
      </rPr>
      <t xml:space="preserve">E </t>
    </r>
    <r>
      <rPr>
        <sz val="9"/>
        <color rgb="FF2D2F31"/>
        <rFont val="Trebuchet MS"/>
        <family val="2"/>
      </rPr>
      <t>5</t>
    </r>
    <r>
      <rPr>
        <sz val="9"/>
        <color rgb="FF494B4D"/>
        <rFont val="Trebuchet MS"/>
        <family val="2"/>
      </rPr>
      <t>2</t>
    </r>
    <r>
      <rPr>
        <sz val="9"/>
        <color rgb="FF2D2F31"/>
        <rFont val="Trebuchet MS"/>
        <family val="2"/>
      </rPr>
      <t>9</t>
    </r>
  </si>
  <si>
    <r>
      <t>CPE</t>
    </r>
    <r>
      <rPr>
        <sz val="9"/>
        <color rgb="FF494B4D"/>
        <rFont val="Trebuchet MS"/>
        <family val="2"/>
      </rPr>
      <t>/</t>
    </r>
    <r>
      <rPr>
        <sz val="9"/>
        <color rgb="FF2D2F31"/>
        <rFont val="Trebuchet MS"/>
        <family val="2"/>
      </rPr>
      <t>05</t>
    </r>
    <r>
      <rPr>
        <sz val="9"/>
        <color rgb="FF494B4D"/>
        <rFont val="Trebuchet MS"/>
        <family val="2"/>
      </rPr>
      <t xml:space="preserve">7/ </t>
    </r>
    <r>
      <rPr>
        <sz val="9"/>
        <color rgb="FF2D2F31"/>
        <rFont val="Trebuchet MS"/>
        <family val="2"/>
      </rPr>
      <t>E</t>
    </r>
    <r>
      <rPr>
        <sz val="9"/>
        <color rgb="FF494B4D"/>
        <rFont val="Trebuchet MS"/>
        <family val="2"/>
      </rPr>
      <t>-</t>
    </r>
    <r>
      <rPr>
        <sz val="9"/>
        <color rgb="FF2D2F31"/>
        <rFont val="Trebuchet MS"/>
        <family val="2"/>
      </rPr>
      <t>ND. N</t>
    </r>
    <r>
      <rPr>
        <sz val="9"/>
        <color rgb="FF494B4D"/>
        <rFont val="Trebuchet MS"/>
        <family val="2"/>
      </rPr>
      <t>/</t>
    </r>
    <r>
      <rPr>
        <sz val="9"/>
        <color rgb="FF2D2F31"/>
        <rFont val="Trebuchet MS"/>
        <family val="2"/>
      </rPr>
      <t>2023</t>
    </r>
  </si>
  <si>
    <r>
      <t>RENOUVELL</t>
    </r>
    <r>
      <rPr>
        <sz val="9"/>
        <color rgb="FF494B4D"/>
        <rFont val="Trebuchet MS"/>
        <family val="2"/>
      </rPr>
      <t>EM</t>
    </r>
    <r>
      <rPr>
        <sz val="9"/>
        <color rgb="FF2D2F31"/>
        <rFont val="Trebuchet MS"/>
        <family val="2"/>
      </rPr>
      <t>E</t>
    </r>
    <r>
      <rPr>
        <sz val="9"/>
        <color rgb="FF494B4D"/>
        <rFont val="Trebuchet MS"/>
        <family val="2"/>
      </rPr>
      <t>NT</t>
    </r>
  </si>
  <si>
    <r>
      <t>PE</t>
    </r>
    <r>
      <rPr>
        <sz val="9"/>
        <color rgb="FF111316"/>
        <rFont val="Trebuchet MS"/>
        <family val="2"/>
      </rPr>
      <t>P</t>
    </r>
    <r>
      <rPr>
        <sz val="9"/>
        <color rgb="FF2D2F31"/>
        <rFont val="Trebuchet MS"/>
        <family val="2"/>
      </rPr>
      <t>M 1876</t>
    </r>
  </si>
  <si>
    <r>
      <t>K</t>
    </r>
    <r>
      <rPr>
        <sz val="9"/>
        <color rgb="FF2D2F31"/>
        <rFont val="Trebuchet MS"/>
        <family val="2"/>
      </rPr>
      <t>A</t>
    </r>
    <r>
      <rPr>
        <sz val="9"/>
        <color rgb="FF111316"/>
        <rFont val="Trebuchet MS"/>
        <family val="2"/>
      </rPr>
      <t>L</t>
    </r>
    <r>
      <rPr>
        <sz val="9"/>
        <color rgb="FF2D2F31"/>
        <rFont val="Trebuchet MS"/>
        <family val="2"/>
      </rPr>
      <t>EMIE</t>
    </r>
  </si>
  <si>
    <r>
      <t>CPE</t>
    </r>
    <r>
      <rPr>
        <sz val="9"/>
        <color rgb="FF494B4D"/>
        <rFont val="Trebuchet MS"/>
        <family val="2"/>
      </rPr>
      <t>/</t>
    </r>
    <r>
      <rPr>
        <sz val="9"/>
        <color rgb="FF2D2F31"/>
        <rFont val="Trebuchet MS"/>
        <family val="2"/>
      </rPr>
      <t>058</t>
    </r>
    <r>
      <rPr>
        <sz val="9"/>
        <color rgb="FF494B4D"/>
        <rFont val="Trebuchet MS"/>
        <family val="2"/>
      </rPr>
      <t xml:space="preserve">/ </t>
    </r>
    <r>
      <rPr>
        <sz val="9"/>
        <color rgb="FF2D2F31"/>
        <rFont val="Trebuchet MS"/>
        <family val="2"/>
      </rPr>
      <t>E</t>
    </r>
    <r>
      <rPr>
        <sz val="9"/>
        <color rgb="FF494B4D"/>
        <rFont val="Trebuchet MS"/>
        <family val="2"/>
      </rPr>
      <t>-</t>
    </r>
    <r>
      <rPr>
        <sz val="9"/>
        <color rgb="FF2D2F31"/>
        <rFont val="Trebuchet MS"/>
        <family val="2"/>
      </rPr>
      <t>ND</t>
    </r>
    <r>
      <rPr>
        <sz val="9"/>
        <color rgb="FF494B4D"/>
        <rFont val="Trebuchet MS"/>
        <family val="2"/>
      </rPr>
      <t xml:space="preserve">. </t>
    </r>
    <r>
      <rPr>
        <sz val="9"/>
        <color rgb="FF2D2F31"/>
        <rFont val="Trebuchet MS"/>
        <family val="2"/>
      </rPr>
      <t>N</t>
    </r>
    <r>
      <rPr>
        <sz val="9"/>
        <color rgb="FF494B4D"/>
        <rFont val="Trebuchet MS"/>
        <family val="2"/>
      </rPr>
      <t>/2</t>
    </r>
    <r>
      <rPr>
        <sz val="9"/>
        <color rgb="FF2D2F31"/>
        <rFont val="Trebuchet MS"/>
        <family val="2"/>
      </rPr>
      <t>023</t>
    </r>
  </si>
  <si>
    <r>
      <t>TRANSFOR</t>
    </r>
    <r>
      <rPr>
        <sz val="9"/>
        <color rgb="FF494B4D"/>
        <rFont val="Trebuchet MS"/>
        <family val="2"/>
      </rPr>
      <t>M</t>
    </r>
    <r>
      <rPr>
        <sz val="9"/>
        <color rgb="FF2D2F31"/>
        <rFont val="Trebuchet MS"/>
        <family val="2"/>
      </rPr>
      <t>ATION</t>
    </r>
  </si>
  <si>
    <t>BRAVURA SARL</t>
  </si>
  <si>
    <t>PR 13944</t>
  </si>
  <si>
    <r>
      <t>CPE</t>
    </r>
    <r>
      <rPr>
        <sz val="9"/>
        <color rgb="FF494B4D"/>
        <rFont val="Trebuchet MS"/>
        <family val="2"/>
      </rPr>
      <t>/</t>
    </r>
    <r>
      <rPr>
        <sz val="9"/>
        <color rgb="FF2D2F31"/>
        <rFont val="Trebuchet MS"/>
        <family val="2"/>
      </rPr>
      <t>059</t>
    </r>
    <r>
      <rPr>
        <sz val="9"/>
        <color rgb="FF494B4D"/>
        <rFont val="Trebuchet MS"/>
        <family val="2"/>
      </rPr>
      <t xml:space="preserve">/ </t>
    </r>
    <r>
      <rPr>
        <sz val="9"/>
        <color rgb="FF2D2F31"/>
        <rFont val="Trebuchet MS"/>
        <family val="2"/>
      </rPr>
      <t>E</t>
    </r>
    <r>
      <rPr>
        <sz val="9"/>
        <color rgb="FF494B4D"/>
        <rFont val="Trebuchet MS"/>
        <family val="2"/>
      </rPr>
      <t>-</t>
    </r>
    <r>
      <rPr>
        <sz val="9"/>
        <color rgb="FF2D2F31"/>
        <rFont val="Trebuchet MS"/>
        <family val="2"/>
      </rPr>
      <t>ND</t>
    </r>
    <r>
      <rPr>
        <sz val="9"/>
        <color rgb="FF494B4D"/>
        <rFont val="Trebuchet MS"/>
        <family val="2"/>
      </rPr>
      <t xml:space="preserve">. </t>
    </r>
    <r>
      <rPr>
        <sz val="9"/>
        <color rgb="FF2D2F31"/>
        <rFont val="Trebuchet MS"/>
        <family val="2"/>
      </rPr>
      <t>N</t>
    </r>
    <r>
      <rPr>
        <sz val="9"/>
        <color rgb="FF494B4D"/>
        <rFont val="Trebuchet MS"/>
        <family val="2"/>
      </rPr>
      <t>/</t>
    </r>
    <r>
      <rPr>
        <sz val="9"/>
        <color rgb="FF2D2F31"/>
        <rFont val="Trebuchet MS"/>
        <family val="2"/>
      </rPr>
      <t>2023</t>
    </r>
  </si>
  <si>
    <r>
      <t>PEPM 17</t>
    </r>
    <r>
      <rPr>
        <sz val="9"/>
        <color rgb="FF494B4D"/>
        <rFont val="Trebuchet MS"/>
        <family val="2"/>
      </rPr>
      <t>82</t>
    </r>
  </si>
  <si>
    <t>KALEMIE</t>
  </si>
  <si>
    <r>
      <t>CPE</t>
    </r>
    <r>
      <rPr>
        <sz val="9"/>
        <color rgb="FF494B4D"/>
        <rFont val="Trebuchet MS"/>
        <family val="2"/>
      </rPr>
      <t>/</t>
    </r>
    <r>
      <rPr>
        <sz val="9"/>
        <color rgb="FF2D2F31"/>
        <rFont val="Trebuchet MS"/>
        <family val="2"/>
      </rPr>
      <t>06</t>
    </r>
    <r>
      <rPr>
        <sz val="9"/>
        <color rgb="FF494B4D"/>
        <rFont val="Trebuchet MS"/>
        <family val="2"/>
      </rPr>
      <t xml:space="preserve">0/ </t>
    </r>
    <r>
      <rPr>
        <sz val="9"/>
        <color rgb="FF2D2F31"/>
        <rFont val="Trebuchet MS"/>
        <family val="2"/>
      </rPr>
      <t>E-ND. N</t>
    </r>
    <r>
      <rPr>
        <sz val="9"/>
        <color rgb="FF494B4D"/>
        <rFont val="Trebuchet MS"/>
        <family val="2"/>
      </rPr>
      <t>/2</t>
    </r>
    <r>
      <rPr>
        <sz val="9"/>
        <color rgb="FF2D2F31"/>
        <rFont val="Trebuchet MS"/>
        <family val="2"/>
      </rPr>
      <t>02</t>
    </r>
    <r>
      <rPr>
        <sz val="9"/>
        <color rgb="FF494B4D"/>
        <rFont val="Trebuchet MS"/>
        <family val="2"/>
      </rPr>
      <t>3</t>
    </r>
  </si>
  <si>
    <r>
      <t>KA</t>
    </r>
    <r>
      <rPr>
        <sz val="9"/>
        <color rgb="FF444648"/>
        <rFont val="Trebuchet MS"/>
        <family val="2"/>
      </rPr>
      <t>M</t>
    </r>
    <r>
      <rPr>
        <sz val="9"/>
        <color rgb="FF2A2D2F"/>
        <rFont val="Trebuchet MS"/>
        <family val="2"/>
      </rPr>
      <t>BOVE MINING SAS</t>
    </r>
  </si>
  <si>
    <r>
      <t>K</t>
    </r>
    <r>
      <rPr>
        <sz val="9"/>
        <color rgb="FF2A2D2F"/>
        <rFont val="Trebuchet MS"/>
        <family val="2"/>
      </rPr>
      <t>AMBOVE</t>
    </r>
  </si>
  <si>
    <r>
      <t>DPEM</t>
    </r>
    <r>
      <rPr>
        <sz val="9"/>
        <color rgb="FF444648"/>
        <rFont val="Trebuchet MS"/>
        <family val="2"/>
      </rPr>
      <t>/</t>
    </r>
    <r>
      <rPr>
        <sz val="9"/>
        <color rgb="FF2A2D2F"/>
        <rFont val="Trebuchet MS"/>
        <family val="2"/>
      </rPr>
      <t>071</t>
    </r>
    <r>
      <rPr>
        <sz val="9"/>
        <color rgb="FF444648"/>
        <rFont val="Trebuchet MS"/>
        <family val="2"/>
      </rPr>
      <t>/</t>
    </r>
    <r>
      <rPr>
        <sz val="9"/>
        <color rgb="FF2A2D2F"/>
        <rFont val="Trebuchet MS"/>
        <family val="2"/>
      </rPr>
      <t>E</t>
    </r>
    <r>
      <rPr>
        <sz val="9"/>
        <color rgb="FF444648"/>
        <rFont val="Trebuchet MS"/>
        <family val="2"/>
      </rPr>
      <t>-</t>
    </r>
    <r>
      <rPr>
        <sz val="9"/>
        <color rgb="FF2A2D2F"/>
        <rFont val="Trebuchet MS"/>
        <family val="2"/>
      </rPr>
      <t>ND</t>
    </r>
    <r>
      <rPr>
        <sz val="9"/>
        <color rgb="FF444648"/>
        <rFont val="Trebuchet MS"/>
        <family val="2"/>
      </rPr>
      <t>. N/</t>
    </r>
    <r>
      <rPr>
        <sz val="9"/>
        <color rgb="FF2A2D2F"/>
        <rFont val="Trebuchet MS"/>
        <family val="2"/>
      </rPr>
      <t>2023</t>
    </r>
  </si>
  <si>
    <r>
      <t>KAMOTO COPPER CO</t>
    </r>
    <r>
      <rPr>
        <sz val="9"/>
        <color rgb="FF444648"/>
        <rFont val="Trebuchet MS"/>
        <family val="2"/>
      </rPr>
      <t>M</t>
    </r>
    <r>
      <rPr>
        <sz val="9"/>
        <color rgb="FF2A2D2F"/>
        <rFont val="Trebuchet MS"/>
        <family val="2"/>
      </rPr>
      <t xml:space="preserve">PANY </t>
    </r>
    <r>
      <rPr>
        <sz val="9"/>
        <color rgb="FF444648"/>
        <rFont val="Trebuchet MS"/>
        <family val="2"/>
      </rPr>
      <t>"K</t>
    </r>
    <r>
      <rPr>
        <sz val="9"/>
        <color rgb="FF2A2D2F"/>
        <rFont val="Trebuchet MS"/>
        <family val="2"/>
      </rPr>
      <t>CC SA</t>
    </r>
    <r>
      <rPr>
        <sz val="9"/>
        <color rgb="FF444648"/>
        <rFont val="Trebuchet MS"/>
        <family val="2"/>
      </rPr>
      <t>"</t>
    </r>
  </si>
  <si>
    <r>
      <t xml:space="preserve">PE </t>
    </r>
    <r>
      <rPr>
        <sz val="9"/>
        <color rgb="FF2A2D2F"/>
        <rFont val="Trebuchet MS"/>
        <family val="2"/>
      </rPr>
      <t>525</t>
    </r>
    <r>
      <rPr>
        <sz val="9"/>
        <color rgb="FF444648"/>
        <rFont val="Trebuchet MS"/>
        <family val="2"/>
      </rPr>
      <t>,</t>
    </r>
    <r>
      <rPr>
        <sz val="9"/>
        <color rgb="FF16181A"/>
        <rFont val="Trebuchet MS"/>
        <family val="2"/>
      </rPr>
      <t>4961 et 11602</t>
    </r>
  </si>
  <si>
    <r>
      <t>CPE</t>
    </r>
    <r>
      <rPr>
        <sz val="9"/>
        <color rgb="FF444648"/>
        <rFont val="Trebuchet MS"/>
        <family val="2"/>
      </rPr>
      <t>/</t>
    </r>
    <r>
      <rPr>
        <sz val="9"/>
        <color rgb="FF2A2D2F"/>
        <rFont val="Trebuchet MS"/>
        <family val="2"/>
      </rPr>
      <t>072</t>
    </r>
    <r>
      <rPr>
        <sz val="9"/>
        <color rgb="FF444648"/>
        <rFont val="Trebuchet MS"/>
        <family val="2"/>
      </rPr>
      <t xml:space="preserve">/ </t>
    </r>
    <r>
      <rPr>
        <sz val="9"/>
        <color rgb="FF2A2D2F"/>
        <rFont val="Trebuchet MS"/>
        <family val="2"/>
      </rPr>
      <t>E-</t>
    </r>
    <r>
      <rPr>
        <sz val="9"/>
        <color rgb="FF444648"/>
        <rFont val="Trebuchet MS"/>
        <family val="2"/>
      </rPr>
      <t>N</t>
    </r>
    <r>
      <rPr>
        <sz val="9"/>
        <color rgb="FF2A2D2F"/>
        <rFont val="Trebuchet MS"/>
        <family val="2"/>
      </rPr>
      <t>D</t>
    </r>
    <r>
      <rPr>
        <sz val="9"/>
        <color rgb="FF444648"/>
        <rFont val="Trebuchet MS"/>
        <family val="2"/>
      </rPr>
      <t xml:space="preserve">. </t>
    </r>
    <r>
      <rPr>
        <sz val="9"/>
        <color rgb="FF2A2D2F"/>
        <rFont val="Trebuchet MS"/>
        <family val="2"/>
      </rPr>
      <t>N</t>
    </r>
    <r>
      <rPr>
        <sz val="9"/>
        <color rgb="FF444648"/>
        <rFont val="Trebuchet MS"/>
        <family val="2"/>
      </rPr>
      <t>/</t>
    </r>
    <r>
      <rPr>
        <sz val="9"/>
        <color rgb="FF2A2D2F"/>
        <rFont val="Trebuchet MS"/>
        <family val="2"/>
      </rPr>
      <t>2023</t>
    </r>
  </si>
  <si>
    <r>
      <t>GECA</t>
    </r>
    <r>
      <rPr>
        <sz val="9"/>
        <color rgb="FF444648"/>
        <rFont val="Trebuchet MS"/>
        <family val="2"/>
      </rPr>
      <t>M</t>
    </r>
    <r>
      <rPr>
        <sz val="9"/>
        <color rgb="FF2A2D2F"/>
        <rFont val="Trebuchet MS"/>
        <family val="2"/>
      </rPr>
      <t>I</t>
    </r>
    <r>
      <rPr>
        <sz val="9"/>
        <color rgb="FF444648"/>
        <rFont val="Trebuchet MS"/>
        <family val="2"/>
      </rPr>
      <t>N</t>
    </r>
    <r>
      <rPr>
        <sz val="9"/>
        <color rgb="FF2A2D2F"/>
        <rFont val="Trebuchet MS"/>
        <family val="2"/>
      </rPr>
      <t>ES SA</t>
    </r>
  </si>
  <si>
    <r>
      <t>PE 528</t>
    </r>
    <r>
      <rPr>
        <sz val="9"/>
        <color rgb="FF444648"/>
        <rFont val="Trebuchet MS"/>
        <family val="2"/>
      </rPr>
      <t>,</t>
    </r>
    <r>
      <rPr>
        <sz val="9"/>
        <color rgb="FF2A2D2F"/>
        <rFont val="Trebuchet MS"/>
        <family val="2"/>
      </rPr>
      <t>538 et 539</t>
    </r>
  </si>
  <si>
    <r>
      <t>K</t>
    </r>
    <r>
      <rPr>
        <sz val="9"/>
        <color rgb="FF2A2D2F"/>
        <rFont val="Trebuchet MS"/>
        <family val="2"/>
      </rPr>
      <t>IPUSHI</t>
    </r>
  </si>
  <si>
    <r>
      <t>CPE</t>
    </r>
    <r>
      <rPr>
        <sz val="9"/>
        <color rgb="FF444648"/>
        <rFont val="Trebuchet MS"/>
        <family val="2"/>
      </rPr>
      <t>/</t>
    </r>
    <r>
      <rPr>
        <sz val="9"/>
        <color rgb="FF2A2D2F"/>
        <rFont val="Trebuchet MS"/>
        <family val="2"/>
      </rPr>
      <t>075</t>
    </r>
    <r>
      <rPr>
        <sz val="9"/>
        <color rgb="FF444648"/>
        <rFont val="Trebuchet MS"/>
        <family val="2"/>
      </rPr>
      <t>/ E-N</t>
    </r>
    <r>
      <rPr>
        <sz val="9"/>
        <color rgb="FF2A2D2F"/>
        <rFont val="Trebuchet MS"/>
        <family val="2"/>
      </rPr>
      <t xml:space="preserve">D. </t>
    </r>
    <r>
      <rPr>
        <sz val="9"/>
        <color rgb="FF444648"/>
        <rFont val="Trebuchet MS"/>
        <family val="2"/>
      </rPr>
      <t>N/202</t>
    </r>
    <r>
      <rPr>
        <sz val="9"/>
        <color rgb="FF2A2D2F"/>
        <rFont val="Trebuchet MS"/>
        <family val="2"/>
      </rPr>
      <t>3</t>
    </r>
  </si>
  <si>
    <r>
      <t>RENOUVELLE</t>
    </r>
    <r>
      <rPr>
        <sz val="9"/>
        <color rgb="FF444648"/>
        <rFont val="Trebuchet MS"/>
        <family val="2"/>
      </rPr>
      <t>M</t>
    </r>
    <r>
      <rPr>
        <sz val="9"/>
        <color rgb="FF2A2D2F"/>
        <rFont val="Trebuchet MS"/>
        <family val="2"/>
      </rPr>
      <t>E</t>
    </r>
    <r>
      <rPr>
        <sz val="9"/>
        <color rgb="FF444648"/>
        <rFont val="Trebuchet MS"/>
        <family val="2"/>
      </rPr>
      <t>NT</t>
    </r>
  </si>
  <si>
    <r>
      <t>M</t>
    </r>
    <r>
      <rPr>
        <sz val="9"/>
        <color rgb="FF2A2D2F"/>
        <rFont val="Trebuchet MS"/>
        <family val="2"/>
      </rPr>
      <t>INIE</t>
    </r>
    <r>
      <rPr>
        <sz val="9"/>
        <color rgb="FF444648"/>
        <rFont val="Trebuchet MS"/>
        <family val="2"/>
      </rPr>
      <t>R</t>
    </r>
    <r>
      <rPr>
        <sz val="9"/>
        <color rgb="FF2A2D2F"/>
        <rFont val="Trebuchet MS"/>
        <family val="2"/>
      </rPr>
      <t xml:space="preserve">E DE </t>
    </r>
    <r>
      <rPr>
        <sz val="9"/>
        <color rgb="FF444648"/>
        <rFont val="Trebuchet MS"/>
        <family val="2"/>
      </rPr>
      <t>K</t>
    </r>
    <r>
      <rPr>
        <sz val="9"/>
        <color rgb="FF2A2D2F"/>
        <rFont val="Trebuchet MS"/>
        <family val="2"/>
      </rPr>
      <t>ASO</t>
    </r>
    <r>
      <rPr>
        <sz val="9"/>
        <color rgb="FF444648"/>
        <rFont val="Trebuchet MS"/>
        <family val="2"/>
      </rPr>
      <t>N</t>
    </r>
    <r>
      <rPr>
        <sz val="9"/>
        <color rgb="FF2A2D2F"/>
        <rFont val="Trebuchet MS"/>
        <family val="2"/>
      </rPr>
      <t>TA SARL</t>
    </r>
  </si>
  <si>
    <r>
      <t>PEPM 23</t>
    </r>
    <r>
      <rPr>
        <sz val="9"/>
        <color rgb="FF444648"/>
        <rFont val="Trebuchet MS"/>
        <family val="2"/>
      </rPr>
      <t>2</t>
    </r>
    <r>
      <rPr>
        <sz val="9"/>
        <color rgb="FF2A2D2F"/>
        <rFont val="Trebuchet MS"/>
        <family val="2"/>
      </rPr>
      <t>2</t>
    </r>
  </si>
  <si>
    <r>
      <t>K</t>
    </r>
    <r>
      <rPr>
        <sz val="9"/>
        <color rgb="FF606062"/>
        <rFont val="Trebuchet MS"/>
        <family val="2"/>
      </rPr>
      <t>I</t>
    </r>
    <r>
      <rPr>
        <sz val="9"/>
        <color rgb="FF2A2D2F"/>
        <rFont val="Trebuchet MS"/>
        <family val="2"/>
      </rPr>
      <t>PUSHI</t>
    </r>
  </si>
  <si>
    <r>
      <t>CPE</t>
    </r>
    <r>
      <rPr>
        <sz val="9"/>
        <color rgb="FF444648"/>
        <rFont val="Trebuchet MS"/>
        <family val="2"/>
      </rPr>
      <t>/</t>
    </r>
    <r>
      <rPr>
        <sz val="9"/>
        <color rgb="FF2A2D2F"/>
        <rFont val="Trebuchet MS"/>
        <family val="2"/>
      </rPr>
      <t>079</t>
    </r>
    <r>
      <rPr>
        <sz val="9"/>
        <color rgb="FF444648"/>
        <rFont val="Trebuchet MS"/>
        <family val="2"/>
      </rPr>
      <t xml:space="preserve">/ </t>
    </r>
    <r>
      <rPr>
        <sz val="9"/>
        <color rgb="FF2A2D2F"/>
        <rFont val="Trebuchet MS"/>
        <family val="2"/>
      </rPr>
      <t>E-</t>
    </r>
    <r>
      <rPr>
        <sz val="9"/>
        <color rgb="FF444648"/>
        <rFont val="Trebuchet MS"/>
        <family val="2"/>
      </rPr>
      <t>N</t>
    </r>
    <r>
      <rPr>
        <sz val="9"/>
        <color rgb="FF2A2D2F"/>
        <rFont val="Trebuchet MS"/>
        <family val="2"/>
      </rPr>
      <t>D</t>
    </r>
    <r>
      <rPr>
        <sz val="9"/>
        <color rgb="FF606062"/>
        <rFont val="Trebuchet MS"/>
        <family val="2"/>
      </rPr>
      <t xml:space="preserve">. </t>
    </r>
    <r>
      <rPr>
        <sz val="9"/>
        <color rgb="FF444648"/>
        <rFont val="Trebuchet MS"/>
        <family val="2"/>
      </rPr>
      <t>N/</t>
    </r>
    <r>
      <rPr>
        <sz val="9"/>
        <color rgb="FF2A2D2F"/>
        <rFont val="Trebuchet MS"/>
        <family val="2"/>
      </rPr>
      <t>20</t>
    </r>
    <r>
      <rPr>
        <sz val="9"/>
        <color rgb="FF444648"/>
        <rFont val="Trebuchet MS"/>
        <family val="2"/>
      </rPr>
      <t>2</t>
    </r>
    <r>
      <rPr>
        <sz val="9"/>
        <color rgb="FF2A2D2F"/>
        <rFont val="Trebuchet MS"/>
        <family val="2"/>
      </rPr>
      <t>3</t>
    </r>
  </si>
  <si>
    <r>
      <t>REVISIO</t>
    </r>
    <r>
      <rPr>
        <sz val="9"/>
        <color rgb="FF444648"/>
        <rFont val="Trebuchet MS"/>
        <family val="2"/>
      </rPr>
      <t>N</t>
    </r>
  </si>
  <si>
    <r>
      <t>CO</t>
    </r>
    <r>
      <rPr>
        <sz val="9"/>
        <color rgb="FF444648"/>
        <rFont val="Trebuchet MS"/>
        <family val="2"/>
      </rPr>
      <t>M</t>
    </r>
    <r>
      <rPr>
        <sz val="9"/>
        <color rgb="FF2A2D2F"/>
        <rFont val="Trebuchet MS"/>
        <family val="2"/>
      </rPr>
      <t>PAG</t>
    </r>
    <r>
      <rPr>
        <sz val="9"/>
        <color rgb="FF444648"/>
        <rFont val="Trebuchet MS"/>
        <family val="2"/>
      </rPr>
      <t>NI</t>
    </r>
    <r>
      <rPr>
        <sz val="9"/>
        <color rgb="FF2A2D2F"/>
        <rFont val="Trebuchet MS"/>
        <family val="2"/>
      </rPr>
      <t xml:space="preserve">E </t>
    </r>
    <r>
      <rPr>
        <sz val="9"/>
        <color rgb="FF444648"/>
        <rFont val="Trebuchet MS"/>
        <family val="2"/>
      </rPr>
      <t>M</t>
    </r>
    <r>
      <rPr>
        <sz val="9"/>
        <color rgb="FF2A2D2F"/>
        <rFont val="Trebuchet MS"/>
        <family val="2"/>
      </rPr>
      <t>IN</t>
    </r>
    <r>
      <rPr>
        <sz val="9"/>
        <color rgb="FF444648"/>
        <rFont val="Trebuchet MS"/>
        <family val="2"/>
      </rPr>
      <t>I</t>
    </r>
    <r>
      <rPr>
        <sz val="9"/>
        <color rgb="FF2A2D2F"/>
        <rFont val="Trebuchet MS"/>
        <family val="2"/>
      </rPr>
      <t>ERE DE TO</t>
    </r>
    <r>
      <rPr>
        <sz val="9"/>
        <color rgb="FF444648"/>
        <rFont val="Trebuchet MS"/>
        <family val="2"/>
      </rPr>
      <t>N</t>
    </r>
    <r>
      <rPr>
        <sz val="9"/>
        <color rgb="FF2A2D2F"/>
        <rFont val="Trebuchet MS"/>
        <family val="2"/>
      </rPr>
      <t xml:space="preserve">DO </t>
    </r>
    <r>
      <rPr>
        <sz val="9"/>
        <color rgb="FF16181A"/>
        <rFont val="Trebuchet MS"/>
        <family val="2"/>
      </rPr>
      <t>SASU</t>
    </r>
  </si>
  <si>
    <t>PE 535</t>
  </si>
  <si>
    <r>
      <t>M</t>
    </r>
    <r>
      <rPr>
        <sz val="9"/>
        <color rgb="FF444648"/>
        <rFont val="Trebuchet MS"/>
        <family val="2"/>
      </rPr>
      <t>U</t>
    </r>
    <r>
      <rPr>
        <sz val="9"/>
        <color rgb="FF2A2D2F"/>
        <rFont val="Trebuchet MS"/>
        <family val="2"/>
      </rPr>
      <t>TSHATHSA</t>
    </r>
  </si>
  <si>
    <r>
      <t>CPE</t>
    </r>
    <r>
      <rPr>
        <sz val="9"/>
        <color rgb="FF444648"/>
        <rFont val="Trebuchet MS"/>
        <family val="2"/>
      </rPr>
      <t>/</t>
    </r>
    <r>
      <rPr>
        <sz val="9"/>
        <color rgb="FF2A2D2F"/>
        <rFont val="Trebuchet MS"/>
        <family val="2"/>
      </rPr>
      <t>080</t>
    </r>
    <r>
      <rPr>
        <sz val="9"/>
        <color rgb="FF444648"/>
        <rFont val="Trebuchet MS"/>
        <family val="2"/>
      </rPr>
      <t xml:space="preserve">/ </t>
    </r>
    <r>
      <rPr>
        <sz val="9"/>
        <color rgb="FF2A2D2F"/>
        <rFont val="Trebuchet MS"/>
        <family val="2"/>
      </rPr>
      <t>E-ND</t>
    </r>
    <r>
      <rPr>
        <sz val="9"/>
        <color rgb="FF444648"/>
        <rFont val="Trebuchet MS"/>
        <family val="2"/>
      </rPr>
      <t>. N/</t>
    </r>
    <r>
      <rPr>
        <sz val="9"/>
        <color rgb="FF2A2D2F"/>
        <rFont val="Trebuchet MS"/>
        <family val="2"/>
      </rPr>
      <t>20</t>
    </r>
    <r>
      <rPr>
        <sz val="9"/>
        <color rgb="FF444648"/>
        <rFont val="Trebuchet MS"/>
        <family val="2"/>
      </rPr>
      <t>2</t>
    </r>
    <r>
      <rPr>
        <sz val="9"/>
        <color rgb="FF2A2D2F"/>
        <rFont val="Trebuchet MS"/>
        <family val="2"/>
      </rPr>
      <t>3</t>
    </r>
  </si>
  <si>
    <r>
      <t>RENOUVELLEME</t>
    </r>
    <r>
      <rPr>
        <sz val="9"/>
        <color rgb="FF444648"/>
        <rFont val="Trebuchet MS"/>
        <family val="2"/>
      </rPr>
      <t>N</t>
    </r>
    <r>
      <rPr>
        <sz val="9"/>
        <color rgb="FF2A2D2F"/>
        <rFont val="Trebuchet MS"/>
        <family val="2"/>
      </rPr>
      <t>T</t>
    </r>
  </si>
  <si>
    <r>
      <t>CO</t>
    </r>
    <r>
      <rPr>
        <sz val="9"/>
        <color rgb="FF444648"/>
        <rFont val="Trebuchet MS"/>
        <family val="2"/>
      </rPr>
      <t>M</t>
    </r>
    <r>
      <rPr>
        <sz val="9"/>
        <color rgb="FF2A2D2F"/>
        <rFont val="Trebuchet MS"/>
        <family val="2"/>
      </rPr>
      <t>P</t>
    </r>
    <r>
      <rPr>
        <sz val="9"/>
        <color rgb="FF444648"/>
        <rFont val="Trebuchet MS"/>
        <family val="2"/>
      </rPr>
      <t>A</t>
    </r>
    <r>
      <rPr>
        <sz val="9"/>
        <color rgb="FF2A2D2F"/>
        <rFont val="Trebuchet MS"/>
        <family val="2"/>
      </rPr>
      <t>G</t>
    </r>
    <r>
      <rPr>
        <sz val="9"/>
        <color rgb="FF444648"/>
        <rFont val="Trebuchet MS"/>
        <family val="2"/>
      </rPr>
      <t>N</t>
    </r>
    <r>
      <rPr>
        <sz val="9"/>
        <color rgb="FF2A2D2F"/>
        <rFont val="Trebuchet MS"/>
        <family val="2"/>
      </rPr>
      <t>I</t>
    </r>
    <r>
      <rPr>
        <sz val="9"/>
        <color rgb="FF444648"/>
        <rFont val="Trebuchet MS"/>
        <family val="2"/>
      </rPr>
      <t>E M</t>
    </r>
    <r>
      <rPr>
        <sz val="9"/>
        <color rgb="FF2A2D2F"/>
        <rFont val="Trebuchet MS"/>
        <family val="2"/>
      </rPr>
      <t>I</t>
    </r>
    <r>
      <rPr>
        <sz val="9"/>
        <color rgb="FF444648"/>
        <rFont val="Trebuchet MS"/>
        <family val="2"/>
      </rPr>
      <t>N</t>
    </r>
    <r>
      <rPr>
        <sz val="9"/>
        <color rgb="FF2A2D2F"/>
        <rFont val="Trebuchet MS"/>
        <family val="2"/>
      </rPr>
      <t>IERE DE TO</t>
    </r>
    <r>
      <rPr>
        <sz val="9"/>
        <color rgb="FF444648"/>
        <rFont val="Trebuchet MS"/>
        <family val="2"/>
      </rPr>
      <t>N</t>
    </r>
    <r>
      <rPr>
        <sz val="9"/>
        <color rgb="FF2A2D2F"/>
        <rFont val="Trebuchet MS"/>
        <family val="2"/>
      </rPr>
      <t>DO S</t>
    </r>
    <r>
      <rPr>
        <sz val="9"/>
        <color rgb="FF444648"/>
        <rFont val="Trebuchet MS"/>
        <family val="2"/>
      </rPr>
      <t>A</t>
    </r>
    <r>
      <rPr>
        <sz val="9"/>
        <color rgb="FF2A2D2F"/>
        <rFont val="Trebuchet MS"/>
        <family val="2"/>
      </rPr>
      <t>SU</t>
    </r>
  </si>
  <si>
    <t>PE 14051</t>
  </si>
  <si>
    <r>
      <t>M</t>
    </r>
    <r>
      <rPr>
        <sz val="9"/>
        <color rgb="FF2A2D2F"/>
        <rFont val="Trebuchet MS"/>
        <family val="2"/>
      </rPr>
      <t>UTS</t>
    </r>
    <r>
      <rPr>
        <sz val="9"/>
        <color rgb="FF444648"/>
        <rFont val="Trebuchet MS"/>
        <family val="2"/>
      </rPr>
      <t>H</t>
    </r>
    <r>
      <rPr>
        <sz val="9"/>
        <color rgb="FF2A2D2F"/>
        <rFont val="Trebuchet MS"/>
        <family val="2"/>
      </rPr>
      <t>A</t>
    </r>
    <r>
      <rPr>
        <sz val="9"/>
        <color rgb="FF444648"/>
        <rFont val="Trebuchet MS"/>
        <family val="2"/>
      </rPr>
      <t>TH</t>
    </r>
    <r>
      <rPr>
        <sz val="9"/>
        <color rgb="FF2A2D2F"/>
        <rFont val="Trebuchet MS"/>
        <family val="2"/>
      </rPr>
      <t>S</t>
    </r>
    <r>
      <rPr>
        <sz val="9"/>
        <color rgb="FF444648"/>
        <rFont val="Trebuchet MS"/>
        <family val="2"/>
      </rPr>
      <t>A</t>
    </r>
  </si>
  <si>
    <r>
      <t>CPE</t>
    </r>
    <r>
      <rPr>
        <sz val="9"/>
        <color rgb="FF444648"/>
        <rFont val="Trebuchet MS"/>
        <family val="2"/>
      </rPr>
      <t>/08</t>
    </r>
    <r>
      <rPr>
        <sz val="9"/>
        <color rgb="FF2A2D2F"/>
        <rFont val="Trebuchet MS"/>
        <family val="2"/>
      </rPr>
      <t>1</t>
    </r>
    <r>
      <rPr>
        <sz val="9"/>
        <color rgb="FF444648"/>
        <rFont val="Trebuchet MS"/>
        <family val="2"/>
      </rPr>
      <t xml:space="preserve">/ </t>
    </r>
    <r>
      <rPr>
        <sz val="9"/>
        <color rgb="FF2A2D2F"/>
        <rFont val="Trebuchet MS"/>
        <family val="2"/>
      </rPr>
      <t>E-ND. N</t>
    </r>
    <r>
      <rPr>
        <sz val="9"/>
        <color rgb="FF444648"/>
        <rFont val="Trebuchet MS"/>
        <family val="2"/>
      </rPr>
      <t>/2</t>
    </r>
    <r>
      <rPr>
        <sz val="9"/>
        <color rgb="FF2A2D2F"/>
        <rFont val="Trebuchet MS"/>
        <family val="2"/>
      </rPr>
      <t>0</t>
    </r>
    <r>
      <rPr>
        <sz val="9"/>
        <color rgb="FF444648"/>
        <rFont val="Trebuchet MS"/>
        <family val="2"/>
      </rPr>
      <t>2</t>
    </r>
    <r>
      <rPr>
        <sz val="9"/>
        <color rgb="FF2A2D2F"/>
        <rFont val="Trebuchet MS"/>
        <family val="2"/>
      </rPr>
      <t>3</t>
    </r>
  </si>
  <si>
    <r>
      <t>RE</t>
    </r>
    <r>
      <rPr>
        <sz val="9"/>
        <color rgb="FF444648"/>
        <rFont val="Trebuchet MS"/>
        <family val="2"/>
      </rPr>
      <t>N</t>
    </r>
    <r>
      <rPr>
        <sz val="9"/>
        <color rgb="FF2A2D2F"/>
        <rFont val="Trebuchet MS"/>
        <family val="2"/>
      </rPr>
      <t>OU</t>
    </r>
    <r>
      <rPr>
        <sz val="9"/>
        <color rgb="FF444648"/>
        <rFont val="Trebuchet MS"/>
        <family val="2"/>
      </rPr>
      <t>V</t>
    </r>
    <r>
      <rPr>
        <sz val="9"/>
        <color rgb="FF2A2D2F"/>
        <rFont val="Trebuchet MS"/>
        <family val="2"/>
      </rPr>
      <t>ELLE</t>
    </r>
    <r>
      <rPr>
        <sz val="9"/>
        <color rgb="FF444648"/>
        <rFont val="Trebuchet MS"/>
        <family val="2"/>
      </rPr>
      <t>M</t>
    </r>
    <r>
      <rPr>
        <sz val="9"/>
        <color rgb="FF2A2D2F"/>
        <rFont val="Trebuchet MS"/>
        <family val="2"/>
      </rPr>
      <t>E</t>
    </r>
    <r>
      <rPr>
        <sz val="9"/>
        <color rgb="FF444648"/>
        <rFont val="Trebuchet MS"/>
        <family val="2"/>
      </rPr>
      <t>NT</t>
    </r>
  </si>
  <si>
    <r>
      <t>CHE</t>
    </r>
    <r>
      <rPr>
        <sz val="9"/>
        <color rgb="FF444648"/>
        <rFont val="Trebuchet MS"/>
        <family val="2"/>
      </rPr>
      <t>M</t>
    </r>
    <r>
      <rPr>
        <sz val="9"/>
        <color rgb="FF2A2D2F"/>
        <rFont val="Trebuchet MS"/>
        <family val="2"/>
      </rPr>
      <t>I</t>
    </r>
    <r>
      <rPr>
        <sz val="9"/>
        <color rgb="FF444648"/>
        <rFont val="Trebuchet MS"/>
        <family val="2"/>
      </rPr>
      <t>C</t>
    </r>
    <r>
      <rPr>
        <sz val="9"/>
        <color rgb="FF2A2D2F"/>
        <rFont val="Trebuchet MS"/>
        <family val="2"/>
      </rPr>
      <t xml:space="preserve">AL </t>
    </r>
    <r>
      <rPr>
        <sz val="9"/>
        <color rgb="FF444648"/>
        <rFont val="Trebuchet MS"/>
        <family val="2"/>
      </rPr>
      <t>O</t>
    </r>
    <r>
      <rPr>
        <sz val="9"/>
        <color rgb="FF2A2D2F"/>
        <rFont val="Trebuchet MS"/>
        <family val="2"/>
      </rPr>
      <t>F AF</t>
    </r>
    <r>
      <rPr>
        <sz val="9"/>
        <color rgb="FF444648"/>
        <rFont val="Trebuchet MS"/>
        <family val="2"/>
      </rPr>
      <t>R</t>
    </r>
    <r>
      <rPr>
        <sz val="9"/>
        <color rgb="FF2A2D2F"/>
        <rFont val="Trebuchet MS"/>
        <family val="2"/>
      </rPr>
      <t>IC</t>
    </r>
    <r>
      <rPr>
        <sz val="9"/>
        <color rgb="FF444648"/>
        <rFont val="Trebuchet MS"/>
        <family val="2"/>
      </rPr>
      <t xml:space="preserve">A </t>
    </r>
    <r>
      <rPr>
        <sz val="9"/>
        <color rgb="FF2A2D2F"/>
        <rFont val="Trebuchet MS"/>
        <family val="2"/>
      </rPr>
      <t>SA</t>
    </r>
  </si>
  <si>
    <r>
      <t>PE 5</t>
    </r>
    <r>
      <rPr>
        <sz val="9"/>
        <color rgb="FF444648"/>
        <rFont val="Trebuchet MS"/>
        <family val="2"/>
      </rPr>
      <t>77</t>
    </r>
  </si>
  <si>
    <r>
      <t>CPE</t>
    </r>
    <r>
      <rPr>
        <sz val="9"/>
        <color rgb="FF444648"/>
        <rFont val="Trebuchet MS"/>
        <family val="2"/>
      </rPr>
      <t>/08</t>
    </r>
    <r>
      <rPr>
        <sz val="9"/>
        <color rgb="FF2A2D2F"/>
        <rFont val="Trebuchet MS"/>
        <family val="2"/>
      </rPr>
      <t>2</t>
    </r>
    <r>
      <rPr>
        <sz val="9"/>
        <color rgb="FF606062"/>
        <rFont val="Trebuchet MS"/>
        <family val="2"/>
      </rPr>
      <t xml:space="preserve">/ </t>
    </r>
    <r>
      <rPr>
        <sz val="9"/>
        <color rgb="FF2A2D2F"/>
        <rFont val="Trebuchet MS"/>
        <family val="2"/>
      </rPr>
      <t>E-ND</t>
    </r>
    <r>
      <rPr>
        <sz val="9"/>
        <color rgb="FF444648"/>
        <rFont val="Trebuchet MS"/>
        <family val="2"/>
      </rPr>
      <t xml:space="preserve">. </t>
    </r>
    <r>
      <rPr>
        <sz val="9"/>
        <color rgb="FF2A2D2F"/>
        <rFont val="Trebuchet MS"/>
        <family val="2"/>
      </rPr>
      <t>N</t>
    </r>
    <r>
      <rPr>
        <sz val="9"/>
        <color rgb="FF444648"/>
        <rFont val="Trebuchet MS"/>
        <family val="2"/>
      </rPr>
      <t>/</t>
    </r>
    <r>
      <rPr>
        <sz val="9"/>
        <color rgb="FF2A2D2F"/>
        <rFont val="Trebuchet MS"/>
        <family val="2"/>
      </rPr>
      <t>2023</t>
    </r>
  </si>
  <si>
    <r>
      <t>R</t>
    </r>
    <r>
      <rPr>
        <sz val="9"/>
        <color rgb="FF2A2D2F"/>
        <rFont val="Trebuchet MS"/>
        <family val="2"/>
      </rPr>
      <t>EV</t>
    </r>
    <r>
      <rPr>
        <sz val="9"/>
        <color rgb="FF444648"/>
        <rFont val="Trebuchet MS"/>
        <family val="2"/>
      </rPr>
      <t>ISION</t>
    </r>
  </si>
  <si>
    <r>
      <t>J</t>
    </r>
    <r>
      <rPr>
        <sz val="9"/>
        <color rgb="FF444648"/>
        <rFont val="Trebuchet MS"/>
        <family val="2"/>
      </rPr>
      <t>K M</t>
    </r>
    <r>
      <rPr>
        <sz val="9"/>
        <color rgb="FF2A2D2F"/>
        <rFont val="Trebuchet MS"/>
        <family val="2"/>
      </rPr>
      <t>I</t>
    </r>
    <r>
      <rPr>
        <sz val="9"/>
        <color rgb="FF444648"/>
        <rFont val="Trebuchet MS"/>
        <family val="2"/>
      </rPr>
      <t>N</t>
    </r>
    <r>
      <rPr>
        <sz val="9"/>
        <color rgb="FF2A2D2F"/>
        <rFont val="Trebuchet MS"/>
        <family val="2"/>
      </rPr>
      <t>ERA</t>
    </r>
    <r>
      <rPr>
        <sz val="9"/>
        <color rgb="FF444648"/>
        <rFont val="Trebuchet MS"/>
        <family val="2"/>
      </rPr>
      <t xml:space="preserve">L </t>
    </r>
    <r>
      <rPr>
        <sz val="9"/>
        <color rgb="FF16181A"/>
        <rFont val="Trebuchet MS"/>
        <family val="2"/>
      </rPr>
      <t>SARLU</t>
    </r>
  </si>
  <si>
    <r>
      <t>ARPC 153</t>
    </r>
    <r>
      <rPr>
        <sz val="9"/>
        <color rgb="FF444648"/>
        <rFont val="Trebuchet MS"/>
        <family val="2"/>
      </rPr>
      <t>9</t>
    </r>
    <r>
      <rPr>
        <sz val="9"/>
        <color rgb="FF2A2D2F"/>
        <rFont val="Trebuchet MS"/>
        <family val="2"/>
      </rPr>
      <t>5 et 15538</t>
    </r>
  </si>
  <si>
    <r>
      <t>U</t>
    </r>
    <r>
      <rPr>
        <sz val="9"/>
        <color rgb="FF444648"/>
        <rFont val="Trebuchet MS"/>
        <family val="2"/>
      </rPr>
      <t>VIRA</t>
    </r>
  </si>
  <si>
    <r>
      <t>CPE</t>
    </r>
    <r>
      <rPr>
        <sz val="9"/>
        <color rgb="FF444648"/>
        <rFont val="Trebuchet MS"/>
        <family val="2"/>
      </rPr>
      <t>/</t>
    </r>
    <r>
      <rPr>
        <sz val="9"/>
        <color rgb="FF2A2D2F"/>
        <rFont val="Trebuchet MS"/>
        <family val="2"/>
      </rPr>
      <t>0</t>
    </r>
    <r>
      <rPr>
        <sz val="9"/>
        <color rgb="FF444648"/>
        <rFont val="Trebuchet MS"/>
        <family val="2"/>
      </rPr>
      <t>8</t>
    </r>
    <r>
      <rPr>
        <sz val="9"/>
        <color rgb="FF2A2D2F"/>
        <rFont val="Trebuchet MS"/>
        <family val="2"/>
      </rPr>
      <t>4</t>
    </r>
    <r>
      <rPr>
        <sz val="9"/>
        <color rgb="FF444648"/>
        <rFont val="Trebuchet MS"/>
        <family val="2"/>
      </rPr>
      <t xml:space="preserve">/ </t>
    </r>
    <r>
      <rPr>
        <sz val="9"/>
        <color rgb="FF2A2D2F"/>
        <rFont val="Trebuchet MS"/>
        <family val="2"/>
      </rPr>
      <t>E-</t>
    </r>
    <r>
      <rPr>
        <sz val="9"/>
        <color rgb="FF444648"/>
        <rFont val="Trebuchet MS"/>
        <family val="2"/>
      </rPr>
      <t>N</t>
    </r>
    <r>
      <rPr>
        <sz val="9"/>
        <color rgb="FF2A2D2F"/>
        <rFont val="Trebuchet MS"/>
        <family val="2"/>
      </rPr>
      <t>D</t>
    </r>
    <r>
      <rPr>
        <sz val="9"/>
        <color rgb="FF444648"/>
        <rFont val="Trebuchet MS"/>
        <family val="2"/>
      </rPr>
      <t>. N/</t>
    </r>
    <r>
      <rPr>
        <sz val="9"/>
        <color rgb="FF2A2D2F"/>
        <rFont val="Trebuchet MS"/>
        <family val="2"/>
      </rPr>
      <t>2023</t>
    </r>
  </si>
  <si>
    <r>
      <t>TRA</t>
    </r>
    <r>
      <rPr>
        <sz val="9"/>
        <color rgb="FF444648"/>
        <rFont val="Trebuchet MS"/>
        <family val="2"/>
      </rPr>
      <t>N</t>
    </r>
    <r>
      <rPr>
        <sz val="9"/>
        <color rgb="FF2A2D2F"/>
        <rFont val="Trebuchet MS"/>
        <family val="2"/>
      </rPr>
      <t>SF</t>
    </r>
    <r>
      <rPr>
        <sz val="9"/>
        <color rgb="FF444648"/>
        <rFont val="Trebuchet MS"/>
        <family val="2"/>
      </rPr>
      <t>O</t>
    </r>
    <r>
      <rPr>
        <sz val="9"/>
        <color rgb="FF2A2D2F"/>
        <rFont val="Trebuchet MS"/>
        <family val="2"/>
      </rPr>
      <t>R</t>
    </r>
    <r>
      <rPr>
        <sz val="9"/>
        <color rgb="FF444648"/>
        <rFont val="Trebuchet MS"/>
        <family val="2"/>
      </rPr>
      <t>M</t>
    </r>
    <r>
      <rPr>
        <sz val="9"/>
        <color rgb="FF2A2D2F"/>
        <rFont val="Trebuchet MS"/>
        <family val="2"/>
      </rPr>
      <t>ATI</t>
    </r>
    <r>
      <rPr>
        <sz val="9"/>
        <color rgb="FF444648"/>
        <rFont val="Trebuchet MS"/>
        <family val="2"/>
      </rPr>
      <t>ON</t>
    </r>
  </si>
  <si>
    <r>
      <t>KAIPENG MI</t>
    </r>
    <r>
      <rPr>
        <sz val="9"/>
        <color rgb="FF444648"/>
        <rFont val="Trebuchet MS"/>
        <family val="2"/>
      </rPr>
      <t>N</t>
    </r>
    <r>
      <rPr>
        <sz val="9"/>
        <color rgb="FF2A2D2F"/>
        <rFont val="Trebuchet MS"/>
        <family val="2"/>
      </rPr>
      <t>I</t>
    </r>
    <r>
      <rPr>
        <sz val="9"/>
        <color rgb="FF444648"/>
        <rFont val="Trebuchet MS"/>
        <family val="2"/>
      </rPr>
      <t>N</t>
    </r>
    <r>
      <rPr>
        <sz val="9"/>
        <color rgb="FF2A2D2F"/>
        <rFont val="Trebuchet MS"/>
        <family val="2"/>
      </rPr>
      <t>G</t>
    </r>
  </si>
  <si>
    <t>PE 2355</t>
  </si>
  <si>
    <r>
      <t>K</t>
    </r>
    <r>
      <rPr>
        <sz val="9"/>
        <color rgb="FF2A2D2F"/>
        <rFont val="Trebuchet MS"/>
        <family val="2"/>
      </rPr>
      <t>A</t>
    </r>
    <r>
      <rPr>
        <sz val="9"/>
        <color rgb="FF444648"/>
        <rFont val="Trebuchet MS"/>
        <family val="2"/>
      </rPr>
      <t>M</t>
    </r>
    <r>
      <rPr>
        <sz val="9"/>
        <color rgb="FF2A2D2F"/>
        <rFont val="Trebuchet MS"/>
        <family val="2"/>
      </rPr>
      <t>BOVE</t>
    </r>
  </si>
  <si>
    <r>
      <t>CPE</t>
    </r>
    <r>
      <rPr>
        <sz val="9"/>
        <color rgb="FF444648"/>
        <rFont val="Trebuchet MS"/>
        <family val="2"/>
      </rPr>
      <t>/</t>
    </r>
    <r>
      <rPr>
        <sz val="9"/>
        <color rgb="FF2A2D2F"/>
        <rFont val="Trebuchet MS"/>
        <family val="2"/>
      </rPr>
      <t>0</t>
    </r>
    <r>
      <rPr>
        <sz val="9"/>
        <color rgb="FF444648"/>
        <rFont val="Trebuchet MS"/>
        <family val="2"/>
      </rPr>
      <t>8</t>
    </r>
    <r>
      <rPr>
        <sz val="9"/>
        <color rgb="FF2A2D2F"/>
        <rFont val="Trebuchet MS"/>
        <family val="2"/>
      </rPr>
      <t>5</t>
    </r>
    <r>
      <rPr>
        <sz val="9"/>
        <color rgb="FF444648"/>
        <rFont val="Trebuchet MS"/>
        <family val="2"/>
      </rPr>
      <t xml:space="preserve">/ </t>
    </r>
    <r>
      <rPr>
        <sz val="9"/>
        <color rgb="FF2A2D2F"/>
        <rFont val="Trebuchet MS"/>
        <family val="2"/>
      </rPr>
      <t>E-ND</t>
    </r>
    <r>
      <rPr>
        <sz val="9"/>
        <color theme="1"/>
        <rFont val="Trebuchet MS"/>
        <family val="2"/>
      </rPr>
      <t xml:space="preserve">. </t>
    </r>
    <r>
      <rPr>
        <sz val="9"/>
        <color rgb="FF2A2D2F"/>
        <rFont val="Trebuchet MS"/>
        <family val="2"/>
      </rPr>
      <t>N</t>
    </r>
    <r>
      <rPr>
        <sz val="9"/>
        <color rgb="FF444648"/>
        <rFont val="Trebuchet MS"/>
        <family val="2"/>
      </rPr>
      <t>/</t>
    </r>
    <r>
      <rPr>
        <sz val="9"/>
        <color rgb="FF2A2D2F"/>
        <rFont val="Trebuchet MS"/>
        <family val="2"/>
      </rPr>
      <t>20</t>
    </r>
    <r>
      <rPr>
        <sz val="9"/>
        <color rgb="FF444648"/>
        <rFont val="Trebuchet MS"/>
        <family val="2"/>
      </rPr>
      <t>2</t>
    </r>
    <r>
      <rPr>
        <sz val="9"/>
        <color rgb="FF2A2D2F"/>
        <rFont val="Trebuchet MS"/>
        <family val="2"/>
      </rPr>
      <t>3</t>
    </r>
  </si>
  <si>
    <r>
      <t>GLOBAL ENV</t>
    </r>
    <r>
      <rPr>
        <sz val="9"/>
        <color rgb="FF444648"/>
        <rFont val="Trebuchet MS"/>
        <family val="2"/>
      </rPr>
      <t>I</t>
    </r>
    <r>
      <rPr>
        <sz val="9"/>
        <color rgb="FF2A2D2F"/>
        <rFont val="Trebuchet MS"/>
        <family val="2"/>
      </rPr>
      <t>RONME</t>
    </r>
    <r>
      <rPr>
        <sz val="9"/>
        <color rgb="FF444648"/>
        <rFont val="Trebuchet MS"/>
        <family val="2"/>
      </rPr>
      <t>N</t>
    </r>
    <r>
      <rPr>
        <sz val="9"/>
        <color rgb="FF2A2D2F"/>
        <rFont val="Trebuchet MS"/>
        <family val="2"/>
      </rPr>
      <t>T</t>
    </r>
    <r>
      <rPr>
        <sz val="9"/>
        <color rgb="FF16181A"/>
        <rFont val="Trebuchet MS"/>
        <family val="2"/>
      </rPr>
      <t xml:space="preserve"> AND SERVICE "GES" SARL</t>
    </r>
  </si>
  <si>
    <t>PR 14110</t>
  </si>
  <si>
    <r>
      <t>M</t>
    </r>
    <r>
      <rPr>
        <sz val="9"/>
        <color rgb="FF2A2D2F"/>
        <rFont val="Trebuchet MS"/>
        <family val="2"/>
      </rPr>
      <t>ALE</t>
    </r>
    <r>
      <rPr>
        <sz val="9"/>
        <color rgb="FF444648"/>
        <rFont val="Trebuchet MS"/>
        <family val="2"/>
      </rPr>
      <t>M</t>
    </r>
    <r>
      <rPr>
        <sz val="9"/>
        <color rgb="FF2A2D2F"/>
        <rFont val="Trebuchet MS"/>
        <family val="2"/>
      </rPr>
      <t>BA</t>
    </r>
    <r>
      <rPr>
        <sz val="9"/>
        <color rgb="FF444648"/>
        <rFont val="Trebuchet MS"/>
        <family val="2"/>
      </rPr>
      <t>-NK</t>
    </r>
    <r>
      <rPr>
        <sz val="9"/>
        <color rgb="FF2A2D2F"/>
        <rFont val="Trebuchet MS"/>
        <family val="2"/>
      </rPr>
      <t>ULU</t>
    </r>
  </si>
  <si>
    <r>
      <t>CPE</t>
    </r>
    <r>
      <rPr>
        <sz val="9"/>
        <color rgb="FF444648"/>
        <rFont val="Trebuchet MS"/>
        <family val="2"/>
      </rPr>
      <t>/</t>
    </r>
    <r>
      <rPr>
        <sz val="9"/>
        <color rgb="FF2A2D2F"/>
        <rFont val="Trebuchet MS"/>
        <family val="2"/>
      </rPr>
      <t>086</t>
    </r>
    <r>
      <rPr>
        <sz val="9"/>
        <color rgb="FF444648"/>
        <rFont val="Trebuchet MS"/>
        <family val="2"/>
      </rPr>
      <t xml:space="preserve">/ </t>
    </r>
    <r>
      <rPr>
        <sz val="9"/>
        <color rgb="FF2A2D2F"/>
        <rFont val="Trebuchet MS"/>
        <family val="2"/>
      </rPr>
      <t>E-</t>
    </r>
    <r>
      <rPr>
        <sz val="9"/>
        <color rgb="FF444648"/>
        <rFont val="Trebuchet MS"/>
        <family val="2"/>
      </rPr>
      <t>N</t>
    </r>
    <r>
      <rPr>
        <sz val="9"/>
        <color rgb="FF2A2D2F"/>
        <rFont val="Trebuchet MS"/>
        <family val="2"/>
      </rPr>
      <t>D</t>
    </r>
    <r>
      <rPr>
        <sz val="9"/>
        <color rgb="FF444648"/>
        <rFont val="Trebuchet MS"/>
        <family val="2"/>
      </rPr>
      <t>. N/</t>
    </r>
    <r>
      <rPr>
        <sz val="9"/>
        <color rgb="FF2A2D2F"/>
        <rFont val="Trebuchet MS"/>
        <family val="2"/>
      </rPr>
      <t>2023</t>
    </r>
  </si>
  <si>
    <r>
      <t>TRANSFOR</t>
    </r>
    <r>
      <rPr>
        <sz val="9"/>
        <color rgb="FF444648"/>
        <rFont val="Trebuchet MS"/>
        <family val="2"/>
      </rPr>
      <t>M</t>
    </r>
    <r>
      <rPr>
        <sz val="9"/>
        <color rgb="FF2A2D2F"/>
        <rFont val="Trebuchet MS"/>
        <family val="2"/>
      </rPr>
      <t>ATION</t>
    </r>
  </si>
  <si>
    <r>
      <t xml:space="preserve">KAMOTO </t>
    </r>
    <r>
      <rPr>
        <sz val="9"/>
        <color rgb="FF16181A"/>
        <rFont val="Trebuchet MS"/>
        <family val="2"/>
      </rPr>
      <t xml:space="preserve">COPPER </t>
    </r>
    <r>
      <rPr>
        <sz val="9"/>
        <color rgb="FF2A2D2F"/>
        <rFont val="Trebuchet MS"/>
        <family val="2"/>
      </rPr>
      <t xml:space="preserve">COMPANY </t>
    </r>
    <r>
      <rPr>
        <sz val="9"/>
        <color rgb="FF444648"/>
        <rFont val="Trebuchet MS"/>
        <family val="2"/>
      </rPr>
      <t>"</t>
    </r>
    <r>
      <rPr>
        <sz val="9"/>
        <color rgb="FF2A2D2F"/>
        <rFont val="Trebuchet MS"/>
        <family val="2"/>
      </rPr>
      <t>KCC SA"</t>
    </r>
  </si>
  <si>
    <t>PE 12873,13025 et 13026</t>
  </si>
  <si>
    <r>
      <t>M</t>
    </r>
    <r>
      <rPr>
        <sz val="9"/>
        <color rgb="FF2A2D2F"/>
        <rFont val="Trebuchet MS"/>
        <family val="2"/>
      </rPr>
      <t>UTSHATHSA</t>
    </r>
  </si>
  <si>
    <r>
      <t>CPE</t>
    </r>
    <r>
      <rPr>
        <sz val="9"/>
        <color rgb="FF444648"/>
        <rFont val="Trebuchet MS"/>
        <family val="2"/>
      </rPr>
      <t>/</t>
    </r>
    <r>
      <rPr>
        <sz val="9"/>
        <color rgb="FF2A2D2F"/>
        <rFont val="Trebuchet MS"/>
        <family val="2"/>
      </rPr>
      <t>0</t>
    </r>
    <r>
      <rPr>
        <sz val="9"/>
        <color rgb="FF444648"/>
        <rFont val="Trebuchet MS"/>
        <family val="2"/>
      </rPr>
      <t xml:space="preserve">87/ </t>
    </r>
    <r>
      <rPr>
        <sz val="9"/>
        <color rgb="FF2A2D2F"/>
        <rFont val="Trebuchet MS"/>
        <family val="2"/>
      </rPr>
      <t>E-ND. N</t>
    </r>
    <r>
      <rPr>
        <sz val="9"/>
        <color rgb="FF444648"/>
        <rFont val="Trebuchet MS"/>
        <family val="2"/>
      </rPr>
      <t>/</t>
    </r>
    <r>
      <rPr>
        <sz val="9"/>
        <color rgb="FF2A2D2F"/>
        <rFont val="Trebuchet MS"/>
        <family val="2"/>
      </rPr>
      <t>2023</t>
    </r>
  </si>
  <si>
    <r>
      <t>M</t>
    </r>
    <r>
      <rPr>
        <sz val="9"/>
        <color rgb="FF2A2D2F"/>
        <rFont val="Trebuchet MS"/>
        <family val="2"/>
      </rPr>
      <t>IS à JOUR</t>
    </r>
  </si>
  <si>
    <r>
      <t xml:space="preserve">MINERAL </t>
    </r>
    <r>
      <rPr>
        <sz val="9"/>
        <color rgb="FF2A2D2F"/>
        <rFont val="Trebuchet MS"/>
        <family val="2"/>
      </rPr>
      <t>METAL TECHNOLOGY</t>
    </r>
    <r>
      <rPr>
        <sz val="9"/>
        <color rgb="FF16181A"/>
        <rFont val="Trebuchet MS"/>
        <family val="2"/>
      </rPr>
      <t xml:space="preserve"> SARL</t>
    </r>
  </si>
  <si>
    <r>
      <t>CPE/089</t>
    </r>
    <r>
      <rPr>
        <sz val="9"/>
        <color rgb="FF444648"/>
        <rFont val="Trebuchet MS"/>
        <family val="2"/>
      </rPr>
      <t xml:space="preserve">/ </t>
    </r>
    <r>
      <rPr>
        <sz val="9"/>
        <color rgb="FF2A2D2F"/>
        <rFont val="Trebuchet MS"/>
        <family val="2"/>
      </rPr>
      <t>E</t>
    </r>
    <r>
      <rPr>
        <sz val="9"/>
        <color rgb="FF444648"/>
        <rFont val="Trebuchet MS"/>
        <family val="2"/>
      </rPr>
      <t>-</t>
    </r>
    <r>
      <rPr>
        <sz val="9"/>
        <color rgb="FF2A2D2F"/>
        <rFont val="Trebuchet MS"/>
        <family val="2"/>
      </rPr>
      <t>ND</t>
    </r>
    <r>
      <rPr>
        <sz val="9"/>
        <color rgb="FF444648"/>
        <rFont val="Trebuchet MS"/>
        <family val="2"/>
      </rPr>
      <t xml:space="preserve">. </t>
    </r>
    <r>
      <rPr>
        <sz val="9"/>
        <color rgb="FF2A2D2F"/>
        <rFont val="Trebuchet MS"/>
        <family val="2"/>
      </rPr>
      <t>N</t>
    </r>
    <r>
      <rPr>
        <sz val="9"/>
        <color rgb="FF444648"/>
        <rFont val="Trebuchet MS"/>
        <family val="2"/>
      </rPr>
      <t>/</t>
    </r>
    <r>
      <rPr>
        <sz val="9"/>
        <color rgb="FF2A2D2F"/>
        <rFont val="Trebuchet MS"/>
        <family val="2"/>
      </rPr>
      <t>2023</t>
    </r>
  </si>
  <si>
    <r>
      <t>CORPORATIO</t>
    </r>
    <r>
      <rPr>
        <sz val="9"/>
        <color rgb="FF444648"/>
        <rFont val="Trebuchet MS"/>
        <family val="2"/>
      </rPr>
      <t xml:space="preserve">N </t>
    </r>
    <r>
      <rPr>
        <sz val="9"/>
        <color rgb="FF16181A"/>
        <rFont val="Trebuchet MS"/>
        <family val="2"/>
      </rPr>
      <t>DES E</t>
    </r>
    <r>
      <rPr>
        <sz val="9"/>
        <color rgb="FF444648"/>
        <rFont val="Trebuchet MS"/>
        <family val="2"/>
      </rPr>
      <t>X</t>
    </r>
    <r>
      <rPr>
        <sz val="9"/>
        <color rgb="FF2A2D2F"/>
        <rFont val="Trebuchet MS"/>
        <family val="2"/>
      </rPr>
      <t>PLOITANTS MINIERS DU CO</t>
    </r>
    <r>
      <rPr>
        <sz val="9"/>
        <color rgb="FF444648"/>
        <rFont val="Trebuchet MS"/>
        <family val="2"/>
      </rPr>
      <t>N</t>
    </r>
    <r>
      <rPr>
        <sz val="9"/>
        <color rgb="FF2A2D2F"/>
        <rFont val="Trebuchet MS"/>
        <family val="2"/>
      </rPr>
      <t>GO "CEMICO SARL"</t>
    </r>
  </si>
  <si>
    <r>
      <t>PEP</t>
    </r>
    <r>
      <rPr>
        <sz val="9"/>
        <color rgb="FF444648"/>
        <rFont val="Trebuchet MS"/>
        <family val="2"/>
      </rPr>
      <t xml:space="preserve">M </t>
    </r>
    <r>
      <rPr>
        <sz val="9"/>
        <color rgb="FF2A2D2F"/>
        <rFont val="Trebuchet MS"/>
        <family val="2"/>
      </rPr>
      <t>152</t>
    </r>
    <r>
      <rPr>
        <sz val="9"/>
        <color rgb="FF444648"/>
        <rFont val="Trebuchet MS"/>
        <family val="2"/>
      </rPr>
      <t>70</t>
    </r>
  </si>
  <si>
    <r>
      <t>MALEMBA-</t>
    </r>
    <r>
      <rPr>
        <sz val="9"/>
        <color rgb="FF444648"/>
        <rFont val="Trebuchet MS"/>
        <family val="2"/>
      </rPr>
      <t>N</t>
    </r>
    <r>
      <rPr>
        <sz val="9"/>
        <color rgb="FF2A2D2F"/>
        <rFont val="Trebuchet MS"/>
        <family val="2"/>
      </rPr>
      <t>KULU</t>
    </r>
  </si>
  <si>
    <r>
      <t>CPE</t>
    </r>
    <r>
      <rPr>
        <sz val="9"/>
        <color rgb="FF444648"/>
        <rFont val="Trebuchet MS"/>
        <family val="2"/>
      </rPr>
      <t>/</t>
    </r>
    <r>
      <rPr>
        <sz val="9"/>
        <color rgb="FF2A2D2F"/>
        <rFont val="Trebuchet MS"/>
        <family val="2"/>
      </rPr>
      <t>090</t>
    </r>
    <r>
      <rPr>
        <sz val="9"/>
        <color rgb="FF444648"/>
        <rFont val="Trebuchet MS"/>
        <family val="2"/>
      </rPr>
      <t xml:space="preserve">/ </t>
    </r>
    <r>
      <rPr>
        <sz val="9"/>
        <color rgb="FF2A2D2F"/>
        <rFont val="Trebuchet MS"/>
        <family val="2"/>
      </rPr>
      <t>E-</t>
    </r>
    <r>
      <rPr>
        <sz val="9"/>
        <color rgb="FF444648"/>
        <rFont val="Trebuchet MS"/>
        <family val="2"/>
      </rPr>
      <t>N</t>
    </r>
    <r>
      <rPr>
        <sz val="9"/>
        <color rgb="FF2A2D2F"/>
        <rFont val="Trebuchet MS"/>
        <family val="2"/>
      </rPr>
      <t>D</t>
    </r>
    <r>
      <rPr>
        <sz val="9"/>
        <color rgb="FF444648"/>
        <rFont val="Trebuchet MS"/>
        <family val="2"/>
      </rPr>
      <t>. N/2</t>
    </r>
    <r>
      <rPr>
        <sz val="9"/>
        <color rgb="FF2A2D2F"/>
        <rFont val="Trebuchet MS"/>
        <family val="2"/>
      </rPr>
      <t>02</t>
    </r>
    <r>
      <rPr>
        <sz val="9"/>
        <color rgb="FF444648"/>
        <rFont val="Trebuchet MS"/>
        <family val="2"/>
      </rPr>
      <t>3</t>
    </r>
  </si>
  <si>
    <r>
      <t xml:space="preserve">SINO KAT TIN </t>
    </r>
    <r>
      <rPr>
        <sz val="9"/>
        <color rgb="FF16181A"/>
        <rFont val="Trebuchet MS"/>
        <family val="2"/>
      </rPr>
      <t>SARL</t>
    </r>
  </si>
  <si>
    <r>
      <t>PR 147</t>
    </r>
    <r>
      <rPr>
        <sz val="9"/>
        <color rgb="FF444648"/>
        <rFont val="Trebuchet MS"/>
        <family val="2"/>
      </rPr>
      <t>7</t>
    </r>
    <r>
      <rPr>
        <sz val="9"/>
        <color rgb="FF2A2D2F"/>
        <rFont val="Trebuchet MS"/>
        <family val="2"/>
      </rPr>
      <t>6</t>
    </r>
  </si>
  <si>
    <r>
      <t>CPE</t>
    </r>
    <r>
      <rPr>
        <sz val="9"/>
        <color rgb="FF444648"/>
        <rFont val="Trebuchet MS"/>
        <family val="2"/>
      </rPr>
      <t>/</t>
    </r>
    <r>
      <rPr>
        <sz val="9"/>
        <color rgb="FF2A2D2F"/>
        <rFont val="Trebuchet MS"/>
        <family val="2"/>
      </rPr>
      <t>091</t>
    </r>
    <r>
      <rPr>
        <sz val="9"/>
        <color rgb="FF444648"/>
        <rFont val="Trebuchet MS"/>
        <family val="2"/>
      </rPr>
      <t xml:space="preserve">/ </t>
    </r>
    <r>
      <rPr>
        <sz val="9"/>
        <color rgb="FF2A2D2F"/>
        <rFont val="Trebuchet MS"/>
        <family val="2"/>
      </rPr>
      <t>E</t>
    </r>
    <r>
      <rPr>
        <sz val="9"/>
        <color rgb="FF444648"/>
        <rFont val="Trebuchet MS"/>
        <family val="2"/>
      </rPr>
      <t>-N</t>
    </r>
    <r>
      <rPr>
        <sz val="9"/>
        <color rgb="FF2A2D2F"/>
        <rFont val="Trebuchet MS"/>
        <family val="2"/>
      </rPr>
      <t>D</t>
    </r>
    <r>
      <rPr>
        <sz val="9"/>
        <color rgb="FF444648"/>
        <rFont val="Trebuchet MS"/>
        <family val="2"/>
      </rPr>
      <t>. N/</t>
    </r>
    <r>
      <rPr>
        <sz val="9"/>
        <color rgb="FF2A2D2F"/>
        <rFont val="Trebuchet MS"/>
        <family val="2"/>
      </rPr>
      <t>2023</t>
    </r>
  </si>
  <si>
    <r>
      <t>TRA</t>
    </r>
    <r>
      <rPr>
        <sz val="9"/>
        <color rgb="FF444648"/>
        <rFont val="Trebuchet MS"/>
        <family val="2"/>
      </rPr>
      <t>N</t>
    </r>
    <r>
      <rPr>
        <sz val="9"/>
        <color rgb="FF2A2D2F"/>
        <rFont val="Trebuchet MS"/>
        <family val="2"/>
      </rPr>
      <t>SFORMATION</t>
    </r>
  </si>
  <si>
    <r>
      <t xml:space="preserve">UNITED </t>
    </r>
    <r>
      <rPr>
        <sz val="9"/>
        <color rgb="FF2A2D2F"/>
        <rFont val="Trebuchet MS"/>
        <family val="2"/>
      </rPr>
      <t>MATERIALS</t>
    </r>
    <r>
      <rPr>
        <sz val="9"/>
        <color rgb="FF16181A"/>
        <rFont val="Trebuchet MS"/>
        <family val="2"/>
      </rPr>
      <t xml:space="preserve"> CONGO SARL</t>
    </r>
  </si>
  <si>
    <r>
      <t xml:space="preserve">PR </t>
    </r>
    <r>
      <rPr>
        <sz val="9"/>
        <color rgb="FF2A2D2F"/>
        <rFont val="Trebuchet MS"/>
        <family val="2"/>
      </rPr>
      <t>13634</t>
    </r>
  </si>
  <si>
    <r>
      <t>MALEM</t>
    </r>
    <r>
      <rPr>
        <sz val="9"/>
        <color rgb="FF16181A"/>
        <rFont val="Trebuchet MS"/>
        <family val="2"/>
      </rPr>
      <t>BA-N</t>
    </r>
    <r>
      <rPr>
        <sz val="9"/>
        <color rgb="FF2A2D2F"/>
        <rFont val="Trebuchet MS"/>
        <family val="2"/>
      </rPr>
      <t>KULU</t>
    </r>
  </si>
  <si>
    <r>
      <t>CPE/093</t>
    </r>
    <r>
      <rPr>
        <sz val="9"/>
        <color rgb="FF444648"/>
        <rFont val="Trebuchet MS"/>
        <family val="2"/>
      </rPr>
      <t xml:space="preserve">/ </t>
    </r>
    <r>
      <rPr>
        <sz val="9"/>
        <color rgb="FF2A2D2F"/>
        <rFont val="Trebuchet MS"/>
        <family val="2"/>
      </rPr>
      <t>E-ND</t>
    </r>
    <r>
      <rPr>
        <sz val="9"/>
        <color rgb="FF444648"/>
        <rFont val="Trebuchet MS"/>
        <family val="2"/>
      </rPr>
      <t>. N/</t>
    </r>
    <r>
      <rPr>
        <sz val="9"/>
        <color rgb="FF2A2D2F"/>
        <rFont val="Trebuchet MS"/>
        <family val="2"/>
      </rPr>
      <t>2023</t>
    </r>
  </si>
  <si>
    <r>
      <t xml:space="preserve">EXCOMINES </t>
    </r>
    <r>
      <rPr>
        <sz val="9"/>
        <color rgb="FF2A2D2F"/>
        <rFont val="Trebuchet MS"/>
        <family val="2"/>
      </rPr>
      <t xml:space="preserve">REPUBLIQUE </t>
    </r>
    <r>
      <rPr>
        <sz val="9"/>
        <color rgb="FF16181A"/>
        <rFont val="Trebuchet MS"/>
        <family val="2"/>
      </rPr>
      <t xml:space="preserve">DEMOCRATIQU E </t>
    </r>
    <r>
      <rPr>
        <sz val="9"/>
        <color rgb="FF2A2D2F"/>
        <rFont val="Trebuchet MS"/>
        <family val="2"/>
      </rPr>
      <t>DU CONGO</t>
    </r>
    <r>
      <rPr>
        <sz val="9"/>
        <color rgb="FF16181A"/>
        <rFont val="Trebuchet MS"/>
        <family val="2"/>
      </rPr>
      <t xml:space="preserve"> SARL</t>
    </r>
  </si>
  <si>
    <r>
      <t xml:space="preserve">PR </t>
    </r>
    <r>
      <rPr>
        <sz val="9"/>
        <color rgb="FF2A2D2F"/>
        <rFont val="Trebuchet MS"/>
        <family val="2"/>
      </rPr>
      <t>13569</t>
    </r>
  </si>
  <si>
    <t>PANGI</t>
  </si>
  <si>
    <r>
      <t>CPE/097/ E-ND</t>
    </r>
    <r>
      <rPr>
        <sz val="9"/>
        <color rgb="FF444648"/>
        <rFont val="Trebuchet MS"/>
        <family val="2"/>
      </rPr>
      <t xml:space="preserve">. </t>
    </r>
    <r>
      <rPr>
        <sz val="9"/>
        <color rgb="FF2A2D2F"/>
        <rFont val="Trebuchet MS"/>
        <family val="2"/>
      </rPr>
      <t>N</t>
    </r>
    <r>
      <rPr>
        <sz val="9"/>
        <color rgb="FF444648"/>
        <rFont val="Trebuchet MS"/>
        <family val="2"/>
      </rPr>
      <t>/</t>
    </r>
    <r>
      <rPr>
        <sz val="9"/>
        <color rgb="FF2A2D2F"/>
        <rFont val="Trebuchet MS"/>
        <family val="2"/>
      </rPr>
      <t>2</t>
    </r>
    <r>
      <rPr>
        <sz val="9"/>
        <color rgb="FF444648"/>
        <rFont val="Trebuchet MS"/>
        <family val="2"/>
      </rPr>
      <t>0</t>
    </r>
    <r>
      <rPr>
        <sz val="9"/>
        <color rgb="FF2A2D2F"/>
        <rFont val="Trebuchet MS"/>
        <family val="2"/>
      </rPr>
      <t>23</t>
    </r>
  </si>
  <si>
    <r>
      <t xml:space="preserve">KISANFU MINING </t>
    </r>
    <r>
      <rPr>
        <sz val="9"/>
        <color rgb="FF2B2F2F"/>
        <rFont val="Trebuchet MS"/>
        <family val="2"/>
      </rPr>
      <t>SAS</t>
    </r>
  </si>
  <si>
    <t>PE 12123</t>
  </si>
  <si>
    <r>
      <t xml:space="preserve">CPE/098/ E-ND. </t>
    </r>
    <r>
      <rPr>
        <sz val="9"/>
        <color rgb="FF444646"/>
        <rFont val="Trebuchet MS"/>
        <family val="2"/>
      </rPr>
      <t>N/2023</t>
    </r>
  </si>
  <si>
    <t>EXCOMINES REPUBLIQUE DEMOCRATIQU E DU CONGO SARL</t>
  </si>
  <si>
    <t>PR 13570</t>
  </si>
  <si>
    <t>BANALIA</t>
  </si>
  <si>
    <r>
      <t>CPE/099/ E-ND</t>
    </r>
    <r>
      <rPr>
        <sz val="9"/>
        <color rgb="FF5D5E60"/>
        <rFont val="Trebuchet MS"/>
        <family val="2"/>
      </rPr>
      <t xml:space="preserve">. </t>
    </r>
    <r>
      <rPr>
        <sz val="9"/>
        <color rgb="FF444646"/>
        <rFont val="Trebuchet MS"/>
        <family val="2"/>
      </rPr>
      <t>N/2023</t>
    </r>
  </si>
  <si>
    <r>
      <t xml:space="preserve">PR </t>
    </r>
    <r>
      <rPr>
        <sz val="9"/>
        <color rgb="FF2B2F2F"/>
        <rFont val="Trebuchet MS"/>
        <family val="2"/>
      </rPr>
      <t>14710,</t>
    </r>
    <r>
      <rPr>
        <sz val="9"/>
        <color rgb="FF444646"/>
        <rFont val="Trebuchet MS"/>
        <family val="2"/>
      </rPr>
      <t>14286 14891 et 14892</t>
    </r>
  </si>
  <si>
    <r>
      <t>CPE/101/ E</t>
    </r>
    <r>
      <rPr>
        <sz val="9"/>
        <color rgb="FF5D5E60"/>
        <rFont val="Trebuchet MS"/>
        <family val="2"/>
      </rPr>
      <t>-</t>
    </r>
    <r>
      <rPr>
        <sz val="9"/>
        <color rgb="FF444646"/>
        <rFont val="Trebuchet MS"/>
        <family val="2"/>
      </rPr>
      <t>ND</t>
    </r>
    <r>
      <rPr>
        <sz val="9"/>
        <color rgb="FF5D5E60"/>
        <rFont val="Trebuchet MS"/>
        <family val="2"/>
      </rPr>
      <t xml:space="preserve">. </t>
    </r>
    <r>
      <rPr>
        <sz val="9"/>
        <color rgb="FF444646"/>
        <rFont val="Trebuchet MS"/>
        <family val="2"/>
      </rPr>
      <t>N/2023</t>
    </r>
  </si>
  <si>
    <t>EXPLOITATION MINIERE DE MUSOSHI SA</t>
  </si>
  <si>
    <t>PE 14131</t>
  </si>
  <si>
    <t>CPE/115/ E-ND. N/2023</t>
  </si>
  <si>
    <r>
      <t xml:space="preserve">NZILCO </t>
    </r>
    <r>
      <rPr>
        <sz val="9"/>
        <color rgb="FF2B2F2F"/>
        <rFont val="Trebuchet MS"/>
        <family val="2"/>
      </rPr>
      <t>STONE SARLU</t>
    </r>
  </si>
  <si>
    <r>
      <t>ARPC 14561</t>
    </r>
    <r>
      <rPr>
        <sz val="9"/>
        <color rgb="FF5D5E60"/>
        <rFont val="Trebuchet MS"/>
        <family val="2"/>
      </rPr>
      <t>,</t>
    </r>
    <r>
      <rPr>
        <sz val="9"/>
        <color rgb="FF2B2F2F"/>
        <rFont val="Trebuchet MS"/>
        <family val="2"/>
      </rPr>
      <t>14562 et14563</t>
    </r>
  </si>
  <si>
    <t>SONGOLOLO</t>
  </si>
  <si>
    <r>
      <t>CPE/116/ E-</t>
    </r>
    <r>
      <rPr>
        <sz val="9"/>
        <color rgb="FF444646"/>
        <rFont val="Trebuchet MS"/>
        <family val="2"/>
      </rPr>
      <t>ND</t>
    </r>
    <r>
      <rPr>
        <sz val="9"/>
        <color rgb="FF5D5E60"/>
        <rFont val="Trebuchet MS"/>
        <family val="2"/>
      </rPr>
      <t xml:space="preserve">. </t>
    </r>
    <r>
      <rPr>
        <sz val="9"/>
        <color rgb="FF444646"/>
        <rFont val="Trebuchet MS"/>
        <family val="2"/>
      </rPr>
      <t>N</t>
    </r>
    <r>
      <rPr>
        <sz val="9"/>
        <color rgb="FF5D5E60"/>
        <rFont val="Trebuchet MS"/>
        <family val="2"/>
      </rPr>
      <t>/</t>
    </r>
    <r>
      <rPr>
        <sz val="9"/>
        <color rgb="FF444646"/>
        <rFont val="Trebuchet MS"/>
        <family val="2"/>
      </rPr>
      <t>2023</t>
    </r>
  </si>
  <si>
    <r>
      <t xml:space="preserve">TENKE FUNGURUME </t>
    </r>
    <r>
      <rPr>
        <sz val="9"/>
        <color rgb="FF444646"/>
        <rFont val="Trebuchet MS"/>
        <family val="2"/>
      </rPr>
      <t xml:space="preserve">MINING </t>
    </r>
    <r>
      <rPr>
        <sz val="9"/>
        <color rgb="FF2B2F2F"/>
        <rFont val="Trebuchet MS"/>
        <family val="2"/>
      </rPr>
      <t>SA</t>
    </r>
  </si>
  <si>
    <t>AECP 15771,15772,15773 et 15774</t>
  </si>
  <si>
    <r>
      <t>CPE/117</t>
    </r>
    <r>
      <rPr>
        <sz val="9"/>
        <color rgb="FF5D5E60"/>
        <rFont val="Trebuchet MS"/>
        <family val="2"/>
      </rPr>
      <t xml:space="preserve">/ </t>
    </r>
    <r>
      <rPr>
        <sz val="9"/>
        <color rgb="FF2B2F2F"/>
        <rFont val="Trebuchet MS"/>
        <family val="2"/>
      </rPr>
      <t xml:space="preserve">E-ND. </t>
    </r>
    <r>
      <rPr>
        <sz val="9"/>
        <color rgb="FF444646"/>
        <rFont val="Trebuchet MS"/>
        <family val="2"/>
      </rPr>
      <t>N/2023</t>
    </r>
  </si>
  <si>
    <t>EXTENSION</t>
  </si>
  <si>
    <t>KIPUSHI CORPORATION SA</t>
  </si>
  <si>
    <t>PE 12434</t>
  </si>
  <si>
    <r>
      <t>CPE/118/ E-</t>
    </r>
    <r>
      <rPr>
        <sz val="9"/>
        <color rgb="FF444646"/>
        <rFont val="Trebuchet MS"/>
        <family val="2"/>
      </rPr>
      <t>ND. N/2023</t>
    </r>
  </si>
  <si>
    <t>KAMKIS MINING SARL</t>
  </si>
  <si>
    <t>PR 15606 et 15607</t>
  </si>
  <si>
    <r>
      <t xml:space="preserve">WAMBA </t>
    </r>
    <r>
      <rPr>
        <sz val="9"/>
        <color rgb="FF2B2F2F"/>
        <rFont val="Trebuchet MS"/>
        <family val="2"/>
      </rPr>
      <t>et</t>
    </r>
    <r>
      <rPr>
        <sz val="9"/>
        <color rgb="FF444646"/>
        <rFont val="Trebuchet MS"/>
        <family val="2"/>
      </rPr>
      <t xml:space="preserve"> MAMBASA</t>
    </r>
  </si>
  <si>
    <t>CPE/119/ E-ND. N/2023</t>
  </si>
  <si>
    <r>
      <t xml:space="preserve">COMPAGNIE </t>
    </r>
    <r>
      <rPr>
        <sz val="9"/>
        <color rgb="FF444646"/>
        <rFont val="Trebuchet MS"/>
        <family val="2"/>
      </rPr>
      <t xml:space="preserve">MINIERE </t>
    </r>
    <r>
      <rPr>
        <sz val="9"/>
        <color rgb="FF2B2F2F"/>
        <rFont val="Trebuchet MS"/>
        <family val="2"/>
      </rPr>
      <t>DE LUISHA SAS "COMILU SAS"</t>
    </r>
  </si>
  <si>
    <t>PE 526</t>
  </si>
  <si>
    <r>
      <t>L</t>
    </r>
    <r>
      <rPr>
        <sz val="9"/>
        <color rgb="FF2B2F2F"/>
        <rFont val="Trebuchet MS"/>
        <family val="2"/>
      </rPr>
      <t>UISHA</t>
    </r>
  </si>
  <si>
    <r>
      <t>CPE/144/ E-</t>
    </r>
    <r>
      <rPr>
        <sz val="9"/>
        <color rgb="FF444646"/>
        <rFont val="Trebuchet MS"/>
        <family val="2"/>
      </rPr>
      <t>ND</t>
    </r>
    <r>
      <rPr>
        <sz val="9"/>
        <color rgb="FF5D5E60"/>
        <rFont val="Trebuchet MS"/>
        <family val="2"/>
      </rPr>
      <t xml:space="preserve">. </t>
    </r>
    <r>
      <rPr>
        <sz val="9"/>
        <color rgb="FF444646"/>
        <rFont val="Trebuchet MS"/>
        <family val="2"/>
      </rPr>
      <t>N/2023</t>
    </r>
  </si>
  <si>
    <t>PR 14519 et 14520</t>
  </si>
  <si>
    <r>
      <t>CPE/145/ E-ND</t>
    </r>
    <r>
      <rPr>
        <sz val="9"/>
        <color rgb="FF5D5E60"/>
        <rFont val="Trebuchet MS"/>
        <family val="2"/>
      </rPr>
      <t xml:space="preserve">. </t>
    </r>
    <r>
      <rPr>
        <sz val="9"/>
        <color rgb="FF2B2F2F"/>
        <rFont val="Trebuchet MS"/>
        <family val="2"/>
      </rPr>
      <t>N/2023</t>
    </r>
  </si>
  <si>
    <t>PR 15275</t>
  </si>
  <si>
    <r>
      <t xml:space="preserve">KAMBOVE et </t>
    </r>
    <r>
      <rPr>
        <sz val="9"/>
        <color rgb="FF2B2F2F"/>
        <rFont val="Trebuchet MS"/>
        <family val="2"/>
      </rPr>
      <t>KASENGA</t>
    </r>
  </si>
  <si>
    <r>
      <t>CPE/146/ E-</t>
    </r>
    <r>
      <rPr>
        <sz val="9"/>
        <color rgb="FF444646"/>
        <rFont val="Trebuchet MS"/>
        <family val="2"/>
      </rPr>
      <t xml:space="preserve">ND. </t>
    </r>
    <r>
      <rPr>
        <sz val="9"/>
        <color rgb="FF2B2F2F"/>
        <rFont val="Trebuchet MS"/>
        <family val="2"/>
      </rPr>
      <t>N/2023</t>
    </r>
  </si>
  <si>
    <r>
      <t xml:space="preserve">I </t>
    </r>
    <r>
      <rPr>
        <sz val="9"/>
        <color rgb="FF444646"/>
        <rFont val="Trebuchet MS"/>
        <family val="2"/>
      </rPr>
      <t xml:space="preserve">NTERLACS </t>
    </r>
    <r>
      <rPr>
        <sz val="9"/>
        <color rgb="FF2B2F2F"/>
        <rFont val="Trebuchet MS"/>
        <family val="2"/>
      </rPr>
      <t>SA</t>
    </r>
  </si>
  <si>
    <r>
      <t xml:space="preserve">PR </t>
    </r>
    <r>
      <rPr>
        <sz val="9"/>
        <color rgb="FF444646"/>
        <rFont val="Trebuchet MS"/>
        <family val="2"/>
      </rPr>
      <t>15179,</t>
    </r>
    <r>
      <rPr>
        <sz val="9"/>
        <color rgb="FF2B2F2F"/>
        <rFont val="Trebuchet MS"/>
        <family val="2"/>
      </rPr>
      <t>15180 et 15181,15182 et 15183</t>
    </r>
  </si>
  <si>
    <t>MWENGA</t>
  </si>
  <si>
    <r>
      <t>CPE/175/ E</t>
    </r>
    <r>
      <rPr>
        <sz val="9"/>
        <color rgb="FF5D5E60"/>
        <rFont val="Trebuchet MS"/>
        <family val="2"/>
      </rPr>
      <t>-</t>
    </r>
    <r>
      <rPr>
        <sz val="9"/>
        <color rgb="FF444646"/>
        <rFont val="Trebuchet MS"/>
        <family val="2"/>
      </rPr>
      <t>ND. N/2023</t>
    </r>
  </si>
  <si>
    <t>INTERLACS SA</t>
  </si>
  <si>
    <t>ARPC 15178</t>
  </si>
  <si>
    <t>UVIRA</t>
  </si>
  <si>
    <t>CPE/176/ E-ND. N/2023</t>
  </si>
  <si>
    <t>LA JOIE DE VIVRE MINING SARL</t>
  </si>
  <si>
    <t>PEPM 14394</t>
  </si>
  <si>
    <t>CPE/177/ E-ND. N/2023</t>
  </si>
  <si>
    <t>PR 15311 et 15312</t>
  </si>
  <si>
    <t>CPE/178/ E-ND. N/2023</t>
  </si>
  <si>
    <r>
      <t>K</t>
    </r>
    <r>
      <rPr>
        <sz val="9"/>
        <color rgb="FF242626"/>
        <rFont val="Trebuchet MS"/>
        <family val="2"/>
      </rPr>
      <t>AIPENG MINING "KPM</t>
    </r>
    <r>
      <rPr>
        <sz val="9"/>
        <color rgb="FF484B4B"/>
        <rFont val="Trebuchet MS"/>
        <family val="2"/>
      </rPr>
      <t xml:space="preserve"> SARLU"</t>
    </r>
  </si>
  <si>
    <r>
      <t>CPE</t>
    </r>
    <r>
      <rPr>
        <sz val="9"/>
        <color rgb="FF484B4B"/>
        <rFont val="Trebuchet MS"/>
        <family val="2"/>
      </rPr>
      <t>/</t>
    </r>
    <r>
      <rPr>
        <sz val="9"/>
        <color rgb="FF242626"/>
        <rFont val="Trebuchet MS"/>
        <family val="2"/>
      </rPr>
      <t>179</t>
    </r>
    <r>
      <rPr>
        <sz val="9"/>
        <color rgb="FF484B4B"/>
        <rFont val="Trebuchet MS"/>
        <family val="2"/>
      </rPr>
      <t xml:space="preserve">/ </t>
    </r>
    <r>
      <rPr>
        <sz val="9"/>
        <color rgb="FF242626"/>
        <rFont val="Trebuchet MS"/>
        <family val="2"/>
      </rPr>
      <t>E-</t>
    </r>
    <r>
      <rPr>
        <sz val="9"/>
        <color rgb="FF343636"/>
        <rFont val="Trebuchet MS"/>
        <family val="2"/>
      </rPr>
      <t>ND. N/2023</t>
    </r>
  </si>
  <si>
    <r>
      <t>RE</t>
    </r>
    <r>
      <rPr>
        <sz val="9"/>
        <color rgb="FF484B4B"/>
        <rFont val="Trebuchet MS"/>
        <family val="2"/>
      </rPr>
      <t>N</t>
    </r>
    <r>
      <rPr>
        <sz val="9"/>
        <color rgb="FF242626"/>
        <rFont val="Trebuchet MS"/>
        <family val="2"/>
      </rPr>
      <t>OUVELLE</t>
    </r>
    <r>
      <rPr>
        <sz val="9"/>
        <color rgb="FF484B4B"/>
        <rFont val="Trebuchet MS"/>
        <family val="2"/>
      </rPr>
      <t>M</t>
    </r>
    <r>
      <rPr>
        <sz val="9"/>
        <color rgb="FF242626"/>
        <rFont val="Trebuchet MS"/>
        <family val="2"/>
      </rPr>
      <t>E</t>
    </r>
    <r>
      <rPr>
        <sz val="9"/>
        <color rgb="FF484B4B"/>
        <rFont val="Trebuchet MS"/>
        <family val="2"/>
      </rPr>
      <t>N</t>
    </r>
    <r>
      <rPr>
        <sz val="9"/>
        <color rgb="FF242626"/>
        <rFont val="Trebuchet MS"/>
        <family val="2"/>
      </rPr>
      <t>T</t>
    </r>
  </si>
  <si>
    <t>ASPHASAND SARLU</t>
  </si>
  <si>
    <r>
      <t xml:space="preserve">ARPC 15096 </t>
    </r>
    <r>
      <rPr>
        <sz val="9"/>
        <color rgb="FF343636"/>
        <rFont val="Trebuchet MS"/>
        <family val="2"/>
      </rPr>
      <t>et</t>
    </r>
    <r>
      <rPr>
        <sz val="9"/>
        <color rgb="FF242626"/>
        <rFont val="Trebuchet MS"/>
        <family val="2"/>
      </rPr>
      <t xml:space="preserve"> 15097</t>
    </r>
  </si>
  <si>
    <t>LUKULA</t>
  </si>
  <si>
    <r>
      <t>CPE/180</t>
    </r>
    <r>
      <rPr>
        <sz val="9"/>
        <color rgb="FF484B4B"/>
        <rFont val="Trebuchet MS"/>
        <family val="2"/>
      </rPr>
      <t xml:space="preserve">/ </t>
    </r>
    <r>
      <rPr>
        <sz val="9"/>
        <color rgb="FF242626"/>
        <rFont val="Trebuchet MS"/>
        <family val="2"/>
      </rPr>
      <t>E</t>
    </r>
    <r>
      <rPr>
        <sz val="9"/>
        <color rgb="FF0C110E"/>
        <rFont val="Trebuchet MS"/>
        <family val="2"/>
      </rPr>
      <t>-</t>
    </r>
    <r>
      <rPr>
        <sz val="9"/>
        <color rgb="FF343636"/>
        <rFont val="Trebuchet MS"/>
        <family val="2"/>
      </rPr>
      <t xml:space="preserve">ND. </t>
    </r>
    <r>
      <rPr>
        <sz val="9"/>
        <color rgb="FF242626"/>
        <rFont val="Trebuchet MS"/>
        <family val="2"/>
      </rPr>
      <t>N</t>
    </r>
    <r>
      <rPr>
        <sz val="9"/>
        <color rgb="FF484B4B"/>
        <rFont val="Trebuchet MS"/>
        <family val="2"/>
      </rPr>
      <t>/2</t>
    </r>
    <r>
      <rPr>
        <sz val="9"/>
        <color rgb="FF242626"/>
        <rFont val="Trebuchet MS"/>
        <family val="2"/>
      </rPr>
      <t>023</t>
    </r>
  </si>
  <si>
    <r>
      <t xml:space="preserve">BROTHER </t>
    </r>
    <r>
      <rPr>
        <sz val="9"/>
        <color rgb="FF343636"/>
        <rFont val="Trebuchet MS"/>
        <family val="2"/>
      </rPr>
      <t xml:space="preserve">MINING </t>
    </r>
    <r>
      <rPr>
        <sz val="9"/>
        <color rgb="FF242626"/>
        <rFont val="Trebuchet MS"/>
        <family val="2"/>
      </rPr>
      <t>SASU "BM SASU"</t>
    </r>
  </si>
  <si>
    <t>PE 12115</t>
  </si>
  <si>
    <r>
      <t xml:space="preserve">CPE/187/ </t>
    </r>
    <r>
      <rPr>
        <sz val="9"/>
        <color rgb="FF242626"/>
        <rFont val="Trebuchet MS"/>
        <family val="2"/>
      </rPr>
      <t>E-</t>
    </r>
    <r>
      <rPr>
        <sz val="9"/>
        <color rgb="FF343636"/>
        <rFont val="Trebuchet MS"/>
        <family val="2"/>
      </rPr>
      <t xml:space="preserve">ND. </t>
    </r>
    <r>
      <rPr>
        <sz val="9"/>
        <color rgb="FF484B4B"/>
        <rFont val="Trebuchet MS"/>
        <family val="2"/>
      </rPr>
      <t>N/2023</t>
    </r>
  </si>
  <si>
    <r>
      <t xml:space="preserve">MIS </t>
    </r>
    <r>
      <rPr>
        <sz val="9"/>
        <color rgb="FF343636"/>
        <rFont val="Trebuchet MS"/>
        <family val="2"/>
      </rPr>
      <t xml:space="preserve">à </t>
    </r>
    <r>
      <rPr>
        <sz val="9"/>
        <color rgb="FF242626"/>
        <rFont val="Trebuchet MS"/>
        <family val="2"/>
      </rPr>
      <t>JOUR</t>
    </r>
  </si>
  <si>
    <r>
      <t>SHAMITU</t>
    </r>
    <r>
      <rPr>
        <sz val="9"/>
        <color rgb="FF484B4B"/>
        <rFont val="Trebuchet MS"/>
        <family val="2"/>
      </rPr>
      <t>M</t>
    </r>
    <r>
      <rPr>
        <sz val="9"/>
        <color rgb="FF242626"/>
        <rFont val="Trebuchet MS"/>
        <family val="2"/>
      </rPr>
      <t>BA SAS</t>
    </r>
  </si>
  <si>
    <t>PE 13236,13238,13239,12271,12272,12273,12277 et 13240</t>
  </si>
  <si>
    <r>
      <t>KAMB</t>
    </r>
    <r>
      <rPr>
        <sz val="9"/>
        <color rgb="FF242626"/>
        <rFont val="Trebuchet MS"/>
        <family val="2"/>
      </rPr>
      <t>OVE</t>
    </r>
  </si>
  <si>
    <r>
      <t>C</t>
    </r>
    <r>
      <rPr>
        <sz val="9"/>
        <color rgb="FF484B4B"/>
        <rFont val="Trebuchet MS"/>
        <family val="2"/>
      </rPr>
      <t>P</t>
    </r>
    <r>
      <rPr>
        <sz val="9"/>
        <color rgb="FF242626"/>
        <rFont val="Trebuchet MS"/>
        <family val="2"/>
      </rPr>
      <t>E</t>
    </r>
    <r>
      <rPr>
        <sz val="9"/>
        <color rgb="FF484B4B"/>
        <rFont val="Trebuchet MS"/>
        <family val="2"/>
      </rPr>
      <t xml:space="preserve">/194/ </t>
    </r>
    <r>
      <rPr>
        <sz val="9"/>
        <color rgb="FF242626"/>
        <rFont val="Trebuchet MS"/>
        <family val="2"/>
      </rPr>
      <t xml:space="preserve">E-ND. </t>
    </r>
    <r>
      <rPr>
        <sz val="9"/>
        <color rgb="FF343636"/>
        <rFont val="Trebuchet MS"/>
        <family val="2"/>
      </rPr>
      <t>N/2023</t>
    </r>
  </si>
  <si>
    <t>PE 10385 et 13237</t>
  </si>
  <si>
    <r>
      <t>CPE</t>
    </r>
    <r>
      <rPr>
        <sz val="9"/>
        <color rgb="FF484B4B"/>
        <rFont val="Trebuchet MS"/>
        <family val="2"/>
      </rPr>
      <t>/</t>
    </r>
    <r>
      <rPr>
        <sz val="9"/>
        <color rgb="FF242626"/>
        <rFont val="Trebuchet MS"/>
        <family val="2"/>
      </rPr>
      <t>195</t>
    </r>
    <r>
      <rPr>
        <sz val="9"/>
        <color rgb="FF484B4B"/>
        <rFont val="Trebuchet MS"/>
        <family val="2"/>
      </rPr>
      <t xml:space="preserve">/ </t>
    </r>
    <r>
      <rPr>
        <sz val="9"/>
        <color rgb="FF242626"/>
        <rFont val="Trebuchet MS"/>
        <family val="2"/>
      </rPr>
      <t>E-</t>
    </r>
    <r>
      <rPr>
        <sz val="9"/>
        <color rgb="FF343636"/>
        <rFont val="Trebuchet MS"/>
        <family val="2"/>
      </rPr>
      <t>ND. N/2023</t>
    </r>
  </si>
  <si>
    <r>
      <t>REVISIO</t>
    </r>
    <r>
      <rPr>
        <sz val="9"/>
        <color rgb="FF484B4B"/>
        <rFont val="Trebuchet MS"/>
        <family val="2"/>
      </rPr>
      <t>N</t>
    </r>
  </si>
  <si>
    <t>Annexe 46 : La liste des études  d'impact environnemental  et social instruits au courant de l'exercice 2023 par la Direction de Protection de l'Environnement Minier :</t>
  </si>
  <si>
    <t>NO</t>
  </si>
  <si>
    <r>
      <t xml:space="preserve">NOM DE LA </t>
    </r>
    <r>
      <rPr>
        <b/>
        <sz val="9"/>
        <color theme="0"/>
        <rFont val="Trebuchet MS"/>
        <family val="2"/>
      </rPr>
      <t>SOCIETE</t>
    </r>
  </si>
  <si>
    <r>
      <t xml:space="preserve">N° </t>
    </r>
    <r>
      <rPr>
        <b/>
        <sz val="9"/>
        <color theme="0"/>
        <rFont val="Trebuchet MS"/>
        <family val="2"/>
      </rPr>
      <t>TITRE</t>
    </r>
  </si>
  <si>
    <r>
      <t>T</t>
    </r>
    <r>
      <rPr>
        <b/>
        <sz val="9"/>
        <color theme="0"/>
        <rFont val="Trebuchet MS"/>
        <family val="2"/>
      </rPr>
      <t>ERRITOIRE</t>
    </r>
  </si>
  <si>
    <r>
      <t>N° AVIS D</t>
    </r>
    <r>
      <rPr>
        <b/>
        <sz val="9"/>
        <color theme="0"/>
        <rFont val="Trebuchet MS"/>
        <family val="2"/>
      </rPr>
      <t>PEM</t>
    </r>
  </si>
  <si>
    <r>
      <t>D</t>
    </r>
    <r>
      <rPr>
        <sz val="9"/>
        <color rgb="FF565757"/>
        <rFont val="Trebuchet MS"/>
        <family val="2"/>
      </rPr>
      <t>&amp;</t>
    </r>
    <r>
      <rPr>
        <sz val="9"/>
        <color rgb="FF3B3D3D"/>
        <rFont val="Trebuchet MS"/>
        <family val="2"/>
      </rPr>
      <t>W MIN</t>
    </r>
    <r>
      <rPr>
        <sz val="9"/>
        <color rgb="FF232426"/>
        <rFont val="Trebuchet MS"/>
        <family val="2"/>
      </rPr>
      <t>I</t>
    </r>
    <r>
      <rPr>
        <sz val="9"/>
        <color rgb="FF565757"/>
        <rFont val="Trebuchet MS"/>
        <family val="2"/>
      </rPr>
      <t>N</t>
    </r>
    <r>
      <rPr>
        <sz val="9"/>
        <color rgb="FF232426"/>
        <rFont val="Trebuchet MS"/>
        <family val="2"/>
      </rPr>
      <t xml:space="preserve">G </t>
    </r>
    <r>
      <rPr>
        <sz val="9"/>
        <color rgb="FF3B3D3D"/>
        <rFont val="Trebuchet MS"/>
        <family val="2"/>
      </rPr>
      <t>S</t>
    </r>
    <r>
      <rPr>
        <sz val="9"/>
        <color rgb="FF232426"/>
        <rFont val="Trebuchet MS"/>
        <family val="2"/>
      </rPr>
      <t>ARL</t>
    </r>
  </si>
  <si>
    <r>
      <t>P</t>
    </r>
    <r>
      <rPr>
        <sz val="9"/>
        <color rgb="FF3B3D3D"/>
        <rFont val="Trebuchet MS"/>
        <family val="2"/>
      </rPr>
      <t xml:space="preserve">R </t>
    </r>
    <r>
      <rPr>
        <sz val="9"/>
        <color rgb="FF232426"/>
        <rFont val="Trebuchet MS"/>
        <family val="2"/>
      </rPr>
      <t>1</t>
    </r>
    <r>
      <rPr>
        <sz val="9"/>
        <color rgb="FF3B3D3D"/>
        <rFont val="Trebuchet MS"/>
        <family val="2"/>
      </rPr>
      <t>51</t>
    </r>
    <r>
      <rPr>
        <sz val="9"/>
        <color rgb="FF232426"/>
        <rFont val="Trebuchet MS"/>
        <family val="2"/>
      </rPr>
      <t>4</t>
    </r>
    <r>
      <rPr>
        <sz val="9"/>
        <color rgb="FF3B3D3D"/>
        <rFont val="Trebuchet MS"/>
        <family val="2"/>
      </rPr>
      <t>6</t>
    </r>
  </si>
  <si>
    <r>
      <t>KA</t>
    </r>
    <r>
      <rPr>
        <sz val="9"/>
        <color rgb="FF3B3D3D"/>
        <rFont val="Trebuchet MS"/>
        <family val="2"/>
      </rPr>
      <t>M</t>
    </r>
    <r>
      <rPr>
        <sz val="9"/>
        <color rgb="FF232426"/>
        <rFont val="Trebuchet MS"/>
        <family val="2"/>
      </rPr>
      <t>B</t>
    </r>
    <r>
      <rPr>
        <sz val="9"/>
        <color rgb="FF3B3D3D"/>
        <rFont val="Trebuchet MS"/>
        <family val="2"/>
      </rPr>
      <t>OV</t>
    </r>
    <r>
      <rPr>
        <sz val="9"/>
        <color rgb="FF232426"/>
        <rFont val="Trebuchet MS"/>
        <family val="2"/>
      </rPr>
      <t>E</t>
    </r>
  </si>
  <si>
    <r>
      <t>D</t>
    </r>
    <r>
      <rPr>
        <sz val="9"/>
        <color rgb="FF232426"/>
        <rFont val="Trebuchet MS"/>
        <family val="2"/>
      </rPr>
      <t>PE</t>
    </r>
    <r>
      <rPr>
        <sz val="9"/>
        <color rgb="FF3B3D3D"/>
        <rFont val="Trebuchet MS"/>
        <family val="2"/>
      </rPr>
      <t>M/</t>
    </r>
    <r>
      <rPr>
        <sz val="9"/>
        <color rgb="FF232426"/>
        <rFont val="Trebuchet MS"/>
        <family val="2"/>
      </rPr>
      <t>004</t>
    </r>
    <r>
      <rPr>
        <sz val="9"/>
        <color rgb="FF565757"/>
        <rFont val="Trebuchet MS"/>
        <family val="2"/>
      </rPr>
      <t>/</t>
    </r>
    <r>
      <rPr>
        <sz val="9"/>
        <color rgb="FF232426"/>
        <rFont val="Trebuchet MS"/>
        <family val="2"/>
      </rPr>
      <t>E-</t>
    </r>
    <r>
      <rPr>
        <sz val="9"/>
        <color rgb="FF565757"/>
        <rFont val="Trebuchet MS"/>
        <family val="2"/>
      </rPr>
      <t>N</t>
    </r>
    <r>
      <rPr>
        <sz val="9"/>
        <color rgb="FF232426"/>
        <rFont val="Trebuchet MS"/>
        <family val="2"/>
      </rPr>
      <t>D</t>
    </r>
    <r>
      <rPr>
        <sz val="9"/>
        <color rgb="FF676969"/>
        <rFont val="Trebuchet MS"/>
        <family val="2"/>
      </rPr>
      <t xml:space="preserve">, </t>
    </r>
    <r>
      <rPr>
        <sz val="9"/>
        <color rgb="FF3B3D3D"/>
        <rFont val="Trebuchet MS"/>
        <family val="2"/>
      </rPr>
      <t>N/</t>
    </r>
    <r>
      <rPr>
        <sz val="9"/>
        <color rgb="FF232426"/>
        <rFont val="Trebuchet MS"/>
        <family val="2"/>
      </rPr>
      <t>2023</t>
    </r>
  </si>
  <si>
    <r>
      <t>KIBARA MI</t>
    </r>
    <r>
      <rPr>
        <sz val="9"/>
        <color rgb="FF3B3D3D"/>
        <rFont val="Trebuchet MS"/>
        <family val="2"/>
      </rPr>
      <t>N</t>
    </r>
    <r>
      <rPr>
        <sz val="9"/>
        <color rgb="FF232426"/>
        <rFont val="Trebuchet MS"/>
        <family val="2"/>
      </rPr>
      <t>ERALS S</t>
    </r>
    <r>
      <rPr>
        <sz val="9"/>
        <color rgb="FF3B3D3D"/>
        <rFont val="Trebuchet MS"/>
        <family val="2"/>
      </rPr>
      <t>A</t>
    </r>
    <r>
      <rPr>
        <sz val="9"/>
        <color rgb="FF232426"/>
        <rFont val="Trebuchet MS"/>
        <family val="2"/>
      </rPr>
      <t>RLU</t>
    </r>
  </si>
  <si>
    <r>
      <t>PR 15</t>
    </r>
    <r>
      <rPr>
        <sz val="9"/>
        <color rgb="FF3B3D3D"/>
        <rFont val="Trebuchet MS"/>
        <family val="2"/>
      </rPr>
      <t>0</t>
    </r>
    <r>
      <rPr>
        <sz val="9"/>
        <color rgb="FF232426"/>
        <rFont val="Trebuchet MS"/>
        <family val="2"/>
      </rPr>
      <t>0</t>
    </r>
    <r>
      <rPr>
        <sz val="9"/>
        <color rgb="FF3B3D3D"/>
        <rFont val="Trebuchet MS"/>
        <family val="2"/>
      </rPr>
      <t>1</t>
    </r>
  </si>
  <si>
    <t>LUBUTU</t>
  </si>
  <si>
    <r>
      <t>DPE</t>
    </r>
    <r>
      <rPr>
        <sz val="9"/>
        <color rgb="FF3B3D3D"/>
        <rFont val="Trebuchet MS"/>
        <family val="2"/>
      </rPr>
      <t>M/</t>
    </r>
    <r>
      <rPr>
        <sz val="9"/>
        <color rgb="FF232426"/>
        <rFont val="Trebuchet MS"/>
        <family val="2"/>
      </rPr>
      <t>011</t>
    </r>
    <r>
      <rPr>
        <sz val="9"/>
        <color rgb="FF3B3D3D"/>
        <rFont val="Trebuchet MS"/>
        <family val="2"/>
      </rPr>
      <t>/</t>
    </r>
    <r>
      <rPr>
        <sz val="9"/>
        <color rgb="FF232426"/>
        <rFont val="Trebuchet MS"/>
        <family val="2"/>
      </rPr>
      <t>E</t>
    </r>
    <r>
      <rPr>
        <sz val="9"/>
        <color rgb="FF3B3D3D"/>
        <rFont val="Trebuchet MS"/>
        <family val="2"/>
      </rPr>
      <t>-N</t>
    </r>
    <r>
      <rPr>
        <sz val="9"/>
        <color rgb="FF232426"/>
        <rFont val="Trebuchet MS"/>
        <family val="2"/>
      </rPr>
      <t>D</t>
    </r>
    <r>
      <rPr>
        <sz val="9"/>
        <color rgb="FF3B3D3D"/>
        <rFont val="Trebuchet MS"/>
        <family val="2"/>
      </rPr>
      <t>. N/</t>
    </r>
    <r>
      <rPr>
        <sz val="9"/>
        <color rgb="FF232426"/>
        <rFont val="Trebuchet MS"/>
        <family val="2"/>
      </rPr>
      <t>20</t>
    </r>
    <r>
      <rPr>
        <sz val="9"/>
        <color rgb="FF3B3D3D"/>
        <rFont val="Trebuchet MS"/>
        <family val="2"/>
      </rPr>
      <t>2</t>
    </r>
    <r>
      <rPr>
        <sz val="9"/>
        <color rgb="FF232426"/>
        <rFont val="Trebuchet MS"/>
        <family val="2"/>
      </rPr>
      <t>3</t>
    </r>
  </si>
  <si>
    <r>
      <t>MA</t>
    </r>
    <r>
      <rPr>
        <sz val="9"/>
        <color rgb="FF3B3D3D"/>
        <rFont val="Trebuchet MS"/>
        <family val="2"/>
      </rPr>
      <t>X</t>
    </r>
    <r>
      <rPr>
        <sz val="9"/>
        <color rgb="FF232426"/>
        <rFont val="Trebuchet MS"/>
        <family val="2"/>
      </rPr>
      <t>I</t>
    </r>
    <r>
      <rPr>
        <sz val="9"/>
        <color rgb="FF3B3D3D"/>
        <rFont val="Trebuchet MS"/>
        <family val="2"/>
      </rPr>
      <t>M</t>
    </r>
    <r>
      <rPr>
        <sz val="9"/>
        <color rgb="FF232426"/>
        <rFont val="Trebuchet MS"/>
        <family val="2"/>
      </rPr>
      <t>I</t>
    </r>
    <r>
      <rPr>
        <sz val="9"/>
        <color rgb="FF3B3D3D"/>
        <rFont val="Trebuchet MS"/>
        <family val="2"/>
      </rPr>
      <t>N</t>
    </r>
    <r>
      <rPr>
        <sz val="9"/>
        <color rgb="FF232426"/>
        <rFont val="Trebuchet MS"/>
        <family val="2"/>
      </rPr>
      <t>ES SARL</t>
    </r>
  </si>
  <si>
    <r>
      <t>PR 1</t>
    </r>
    <r>
      <rPr>
        <sz val="9"/>
        <color rgb="FF3B3D3D"/>
        <rFont val="Trebuchet MS"/>
        <family val="2"/>
      </rPr>
      <t>4</t>
    </r>
    <r>
      <rPr>
        <sz val="9"/>
        <color rgb="FF232426"/>
        <rFont val="Trebuchet MS"/>
        <family val="2"/>
      </rPr>
      <t>934</t>
    </r>
  </si>
  <si>
    <r>
      <t>P</t>
    </r>
    <r>
      <rPr>
        <sz val="9"/>
        <color rgb="FF3B3D3D"/>
        <rFont val="Trebuchet MS"/>
        <family val="2"/>
      </rPr>
      <t>W</t>
    </r>
    <r>
      <rPr>
        <sz val="9"/>
        <color rgb="FF232426"/>
        <rFont val="Trebuchet MS"/>
        <family val="2"/>
      </rPr>
      <t>ETO</t>
    </r>
  </si>
  <si>
    <r>
      <t>DPEM/</t>
    </r>
    <r>
      <rPr>
        <sz val="9"/>
        <color rgb="FF232426"/>
        <rFont val="Trebuchet MS"/>
        <family val="2"/>
      </rPr>
      <t>014</t>
    </r>
    <r>
      <rPr>
        <sz val="9"/>
        <color rgb="FF3B3D3D"/>
        <rFont val="Trebuchet MS"/>
        <family val="2"/>
      </rPr>
      <t>/</t>
    </r>
    <r>
      <rPr>
        <sz val="9"/>
        <color rgb="FF232426"/>
        <rFont val="Trebuchet MS"/>
        <family val="2"/>
      </rPr>
      <t>E-</t>
    </r>
    <r>
      <rPr>
        <sz val="9"/>
        <color rgb="FF3B3D3D"/>
        <rFont val="Trebuchet MS"/>
        <family val="2"/>
      </rPr>
      <t>N</t>
    </r>
    <r>
      <rPr>
        <sz val="9"/>
        <color rgb="FF232426"/>
        <rFont val="Trebuchet MS"/>
        <family val="2"/>
      </rPr>
      <t>D</t>
    </r>
    <r>
      <rPr>
        <sz val="9"/>
        <color rgb="FF3B3D3D"/>
        <rFont val="Trebuchet MS"/>
        <family val="2"/>
      </rPr>
      <t xml:space="preserve">. </t>
    </r>
    <r>
      <rPr>
        <sz val="9"/>
        <color rgb="FF232426"/>
        <rFont val="Trebuchet MS"/>
        <family val="2"/>
      </rPr>
      <t>N</t>
    </r>
    <r>
      <rPr>
        <sz val="9"/>
        <color rgb="FF3B3D3D"/>
        <rFont val="Trebuchet MS"/>
        <family val="2"/>
      </rPr>
      <t>/</t>
    </r>
    <r>
      <rPr>
        <sz val="9"/>
        <color rgb="FF232426"/>
        <rFont val="Trebuchet MS"/>
        <family val="2"/>
      </rPr>
      <t>2</t>
    </r>
    <r>
      <rPr>
        <sz val="9"/>
        <color rgb="FF3B3D3D"/>
        <rFont val="Trebuchet MS"/>
        <family val="2"/>
      </rPr>
      <t>02</t>
    </r>
    <r>
      <rPr>
        <sz val="9"/>
        <color rgb="FF232426"/>
        <rFont val="Trebuchet MS"/>
        <family val="2"/>
      </rPr>
      <t>3</t>
    </r>
  </si>
  <si>
    <r>
      <t>MA</t>
    </r>
    <r>
      <rPr>
        <sz val="9"/>
        <color rgb="FF3B3D3D"/>
        <rFont val="Trebuchet MS"/>
        <family val="2"/>
      </rPr>
      <t>X</t>
    </r>
    <r>
      <rPr>
        <sz val="9"/>
        <color rgb="FF232426"/>
        <rFont val="Trebuchet MS"/>
        <family val="2"/>
      </rPr>
      <t>IMINES SARL</t>
    </r>
  </si>
  <si>
    <r>
      <t>PR 1</t>
    </r>
    <r>
      <rPr>
        <sz val="9"/>
        <color rgb="FF3B3D3D"/>
        <rFont val="Trebuchet MS"/>
        <family val="2"/>
      </rPr>
      <t>4</t>
    </r>
    <r>
      <rPr>
        <sz val="9"/>
        <color rgb="FF232426"/>
        <rFont val="Trebuchet MS"/>
        <family val="2"/>
      </rPr>
      <t>933</t>
    </r>
  </si>
  <si>
    <r>
      <t>KA</t>
    </r>
    <r>
      <rPr>
        <sz val="9"/>
        <color rgb="FF3B3D3D"/>
        <rFont val="Trebuchet MS"/>
        <family val="2"/>
      </rPr>
      <t>M</t>
    </r>
    <r>
      <rPr>
        <sz val="9"/>
        <color rgb="FF232426"/>
        <rFont val="Trebuchet MS"/>
        <family val="2"/>
      </rPr>
      <t>BO</t>
    </r>
    <r>
      <rPr>
        <sz val="9"/>
        <color rgb="FF3B3D3D"/>
        <rFont val="Trebuchet MS"/>
        <family val="2"/>
      </rPr>
      <t>V</t>
    </r>
    <r>
      <rPr>
        <sz val="9"/>
        <color rgb="FF232426"/>
        <rFont val="Trebuchet MS"/>
        <family val="2"/>
      </rPr>
      <t>E</t>
    </r>
  </si>
  <si>
    <r>
      <t>DPE</t>
    </r>
    <r>
      <rPr>
        <sz val="9"/>
        <color rgb="FF3B3D3D"/>
        <rFont val="Trebuchet MS"/>
        <family val="2"/>
      </rPr>
      <t>M/</t>
    </r>
    <r>
      <rPr>
        <sz val="9"/>
        <color rgb="FF232426"/>
        <rFont val="Trebuchet MS"/>
        <family val="2"/>
      </rPr>
      <t>0</t>
    </r>
    <r>
      <rPr>
        <sz val="9"/>
        <color rgb="FF3B3D3D"/>
        <rFont val="Trebuchet MS"/>
        <family val="2"/>
      </rPr>
      <t>1</t>
    </r>
    <r>
      <rPr>
        <sz val="9"/>
        <color rgb="FF232426"/>
        <rFont val="Trebuchet MS"/>
        <family val="2"/>
      </rPr>
      <t>5</t>
    </r>
    <r>
      <rPr>
        <sz val="9"/>
        <color rgb="FF3B3D3D"/>
        <rFont val="Trebuchet MS"/>
        <family val="2"/>
      </rPr>
      <t>/</t>
    </r>
    <r>
      <rPr>
        <sz val="9"/>
        <color rgb="FF232426"/>
        <rFont val="Trebuchet MS"/>
        <family val="2"/>
      </rPr>
      <t>E-</t>
    </r>
    <r>
      <rPr>
        <sz val="9"/>
        <color rgb="FF3B3D3D"/>
        <rFont val="Trebuchet MS"/>
        <family val="2"/>
      </rPr>
      <t>N</t>
    </r>
    <r>
      <rPr>
        <sz val="9"/>
        <color rgb="FF232426"/>
        <rFont val="Trebuchet MS"/>
        <family val="2"/>
      </rPr>
      <t>D</t>
    </r>
    <r>
      <rPr>
        <sz val="9"/>
        <color rgb="FF565757"/>
        <rFont val="Trebuchet MS"/>
        <family val="2"/>
      </rPr>
      <t xml:space="preserve">. </t>
    </r>
    <r>
      <rPr>
        <sz val="9"/>
        <color rgb="FF232426"/>
        <rFont val="Trebuchet MS"/>
        <family val="2"/>
      </rPr>
      <t>N</t>
    </r>
    <r>
      <rPr>
        <sz val="9"/>
        <color rgb="FF3B3D3D"/>
        <rFont val="Trebuchet MS"/>
        <family val="2"/>
      </rPr>
      <t>/</t>
    </r>
    <r>
      <rPr>
        <sz val="9"/>
        <color rgb="FF232426"/>
        <rFont val="Trebuchet MS"/>
        <family val="2"/>
      </rPr>
      <t>202</t>
    </r>
    <r>
      <rPr>
        <sz val="9"/>
        <color rgb="FF3B3D3D"/>
        <rFont val="Trebuchet MS"/>
        <family val="2"/>
      </rPr>
      <t>3</t>
    </r>
  </si>
  <si>
    <r>
      <t xml:space="preserve">RECHERCHE GEOLOGIQUE ET </t>
    </r>
    <r>
      <rPr>
        <sz val="9"/>
        <color rgb="FF3B3D3D"/>
        <rFont val="Trebuchet MS"/>
        <family val="2"/>
      </rPr>
      <t>M</t>
    </r>
    <r>
      <rPr>
        <sz val="9"/>
        <color rgb="FF232426"/>
        <rFont val="Trebuchet MS"/>
        <family val="2"/>
      </rPr>
      <t>I</t>
    </r>
    <r>
      <rPr>
        <sz val="9"/>
        <color rgb="FF3B3D3D"/>
        <rFont val="Trebuchet MS"/>
        <family val="2"/>
      </rPr>
      <t>N</t>
    </r>
    <r>
      <rPr>
        <sz val="9"/>
        <color rgb="FF232426"/>
        <rFont val="Trebuchet MS"/>
        <family val="2"/>
      </rPr>
      <t>IER SARL</t>
    </r>
  </si>
  <si>
    <r>
      <t>PR 15</t>
    </r>
    <r>
      <rPr>
        <sz val="9"/>
        <color rgb="FF3B3D3D"/>
        <rFont val="Trebuchet MS"/>
        <family val="2"/>
      </rPr>
      <t>0</t>
    </r>
    <r>
      <rPr>
        <sz val="9"/>
        <color rgb="FF232426"/>
        <rFont val="Trebuchet MS"/>
        <family val="2"/>
      </rPr>
      <t>5</t>
    </r>
    <r>
      <rPr>
        <sz val="9"/>
        <color rgb="FF3B3D3D"/>
        <rFont val="Trebuchet MS"/>
        <family val="2"/>
      </rPr>
      <t>8</t>
    </r>
  </si>
  <si>
    <t>DJUGU</t>
  </si>
  <si>
    <r>
      <t>DPEM/</t>
    </r>
    <r>
      <rPr>
        <sz val="9"/>
        <color rgb="FF232426"/>
        <rFont val="Trebuchet MS"/>
        <family val="2"/>
      </rPr>
      <t>01</t>
    </r>
    <r>
      <rPr>
        <sz val="9"/>
        <color rgb="FF3B3D3D"/>
        <rFont val="Trebuchet MS"/>
        <family val="2"/>
      </rPr>
      <t>6/</t>
    </r>
    <r>
      <rPr>
        <sz val="9"/>
        <color rgb="FF232426"/>
        <rFont val="Trebuchet MS"/>
        <family val="2"/>
      </rPr>
      <t xml:space="preserve">E-ND. </t>
    </r>
    <r>
      <rPr>
        <sz val="9"/>
        <color rgb="FF3B3D3D"/>
        <rFont val="Trebuchet MS"/>
        <family val="2"/>
      </rPr>
      <t>N/</t>
    </r>
    <r>
      <rPr>
        <sz val="9"/>
        <color rgb="FF232426"/>
        <rFont val="Trebuchet MS"/>
        <family val="2"/>
      </rPr>
      <t>2023</t>
    </r>
  </si>
  <si>
    <r>
      <t>A</t>
    </r>
    <r>
      <rPr>
        <sz val="9"/>
        <color rgb="FF3B3D3D"/>
        <rFont val="Trebuchet MS"/>
        <family val="2"/>
      </rPr>
      <t>M</t>
    </r>
    <r>
      <rPr>
        <sz val="9"/>
        <color rgb="FF232426"/>
        <rFont val="Trebuchet MS"/>
        <family val="2"/>
      </rPr>
      <t>BA RESSOURCES SARL</t>
    </r>
  </si>
  <si>
    <r>
      <t>PR 15</t>
    </r>
    <r>
      <rPr>
        <sz val="9"/>
        <color rgb="FF3B3D3D"/>
        <rFont val="Trebuchet MS"/>
        <family val="2"/>
      </rPr>
      <t>238 e</t>
    </r>
    <r>
      <rPr>
        <sz val="9"/>
        <color rgb="FF232426"/>
        <rFont val="Trebuchet MS"/>
        <family val="2"/>
      </rPr>
      <t>t15240</t>
    </r>
  </si>
  <si>
    <r>
      <t>LIBE</t>
    </r>
    <r>
      <rPr>
        <sz val="9"/>
        <color rgb="FF3B3D3D"/>
        <rFont val="Trebuchet MS"/>
        <family val="2"/>
      </rPr>
      <t>N</t>
    </r>
    <r>
      <rPr>
        <sz val="9"/>
        <color rgb="FF232426"/>
        <rFont val="Trebuchet MS"/>
        <family val="2"/>
      </rPr>
      <t>GE</t>
    </r>
  </si>
  <si>
    <r>
      <t>DPE</t>
    </r>
    <r>
      <rPr>
        <sz val="9"/>
        <color rgb="FF3B3D3D"/>
        <rFont val="Trebuchet MS"/>
        <family val="2"/>
      </rPr>
      <t>M/</t>
    </r>
    <r>
      <rPr>
        <sz val="9"/>
        <color rgb="FF232426"/>
        <rFont val="Trebuchet MS"/>
        <family val="2"/>
      </rPr>
      <t>030</t>
    </r>
    <r>
      <rPr>
        <sz val="9"/>
        <color rgb="FF3B3D3D"/>
        <rFont val="Trebuchet MS"/>
        <family val="2"/>
      </rPr>
      <t>/</t>
    </r>
    <r>
      <rPr>
        <sz val="9"/>
        <color rgb="FF111315"/>
        <rFont val="Trebuchet MS"/>
        <family val="2"/>
      </rPr>
      <t>E-</t>
    </r>
    <r>
      <rPr>
        <sz val="9"/>
        <color rgb="FF3B3D3D"/>
        <rFont val="Trebuchet MS"/>
        <family val="2"/>
      </rPr>
      <t>N</t>
    </r>
    <r>
      <rPr>
        <sz val="9"/>
        <color rgb="FF232426"/>
        <rFont val="Trebuchet MS"/>
        <family val="2"/>
      </rPr>
      <t>D</t>
    </r>
    <r>
      <rPr>
        <sz val="9"/>
        <color rgb="FF676969"/>
        <rFont val="Trebuchet MS"/>
        <family val="2"/>
      </rPr>
      <t xml:space="preserve">. </t>
    </r>
    <r>
      <rPr>
        <sz val="9"/>
        <color rgb="FF232426"/>
        <rFont val="Trebuchet MS"/>
        <family val="2"/>
      </rPr>
      <t>N</t>
    </r>
    <r>
      <rPr>
        <sz val="9"/>
        <color rgb="FF3B3D3D"/>
        <rFont val="Trebuchet MS"/>
        <family val="2"/>
      </rPr>
      <t>/</t>
    </r>
    <r>
      <rPr>
        <sz val="9"/>
        <color rgb="FF232426"/>
        <rFont val="Trebuchet MS"/>
        <family val="2"/>
      </rPr>
      <t>20</t>
    </r>
    <r>
      <rPr>
        <sz val="9"/>
        <color rgb="FF3B3D3D"/>
        <rFont val="Trebuchet MS"/>
        <family val="2"/>
      </rPr>
      <t>2</t>
    </r>
    <r>
      <rPr>
        <sz val="9"/>
        <color rgb="FF232426"/>
        <rFont val="Trebuchet MS"/>
        <family val="2"/>
      </rPr>
      <t>3</t>
    </r>
  </si>
  <si>
    <t>LUBUDI et MUTSHATSHA</t>
  </si>
  <si>
    <r>
      <t>DPEM/</t>
    </r>
    <r>
      <rPr>
        <sz val="9"/>
        <color rgb="FF232426"/>
        <rFont val="Trebuchet MS"/>
        <family val="2"/>
      </rPr>
      <t>045</t>
    </r>
    <r>
      <rPr>
        <sz val="9"/>
        <color rgb="FF3B3D3D"/>
        <rFont val="Trebuchet MS"/>
        <family val="2"/>
      </rPr>
      <t>/</t>
    </r>
    <r>
      <rPr>
        <sz val="9"/>
        <color rgb="FF111315"/>
        <rFont val="Trebuchet MS"/>
        <family val="2"/>
      </rPr>
      <t xml:space="preserve">E-ND. </t>
    </r>
    <r>
      <rPr>
        <sz val="9"/>
        <color rgb="FF232426"/>
        <rFont val="Trebuchet MS"/>
        <family val="2"/>
      </rPr>
      <t>N</t>
    </r>
    <r>
      <rPr>
        <sz val="9"/>
        <color rgb="FF3B3D3D"/>
        <rFont val="Trebuchet MS"/>
        <family val="2"/>
      </rPr>
      <t>/</t>
    </r>
    <r>
      <rPr>
        <sz val="9"/>
        <color rgb="FF232426"/>
        <rFont val="Trebuchet MS"/>
        <family val="2"/>
      </rPr>
      <t>2023</t>
    </r>
  </si>
  <si>
    <r>
      <t>U</t>
    </r>
    <r>
      <rPr>
        <sz val="9"/>
        <color rgb="FF3B3D3D"/>
        <rFont val="Trebuchet MS"/>
        <family val="2"/>
      </rPr>
      <t>M</t>
    </r>
    <r>
      <rPr>
        <sz val="9"/>
        <color rgb="FF232426"/>
        <rFont val="Trebuchet MS"/>
        <family val="2"/>
      </rPr>
      <t xml:space="preserve">OJA </t>
    </r>
    <r>
      <rPr>
        <sz val="9"/>
        <color rgb="FF3B3D3D"/>
        <rFont val="Trebuchet MS"/>
        <family val="2"/>
      </rPr>
      <t>M</t>
    </r>
    <r>
      <rPr>
        <sz val="9"/>
        <color rgb="FF232426"/>
        <rFont val="Trebuchet MS"/>
        <family val="2"/>
      </rPr>
      <t>I</t>
    </r>
    <r>
      <rPr>
        <sz val="9"/>
        <color rgb="FF3B3D3D"/>
        <rFont val="Trebuchet MS"/>
        <family val="2"/>
      </rPr>
      <t>N</t>
    </r>
    <r>
      <rPr>
        <sz val="9"/>
        <color rgb="FF232426"/>
        <rFont val="Trebuchet MS"/>
        <family val="2"/>
      </rPr>
      <t>ING SARL</t>
    </r>
  </si>
  <si>
    <r>
      <t>PR 151</t>
    </r>
    <r>
      <rPr>
        <sz val="9"/>
        <color rgb="FF3B3D3D"/>
        <rFont val="Trebuchet MS"/>
        <family val="2"/>
      </rPr>
      <t>0</t>
    </r>
    <r>
      <rPr>
        <sz val="9"/>
        <color rgb="FF565757"/>
        <rFont val="Trebuchet MS"/>
        <family val="2"/>
      </rPr>
      <t xml:space="preserve">, </t>
    </r>
    <r>
      <rPr>
        <sz val="9"/>
        <color rgb="FF232426"/>
        <rFont val="Trebuchet MS"/>
        <family val="2"/>
      </rPr>
      <t>15105</t>
    </r>
    <r>
      <rPr>
        <sz val="9"/>
        <color rgb="FF565757"/>
        <rFont val="Trebuchet MS"/>
        <family val="2"/>
      </rPr>
      <t>,</t>
    </r>
    <r>
      <rPr>
        <sz val="9"/>
        <color rgb="FF232426"/>
        <rFont val="Trebuchet MS"/>
        <family val="2"/>
      </rPr>
      <t>15191 et 15192</t>
    </r>
  </si>
  <si>
    <r>
      <t>DPEM</t>
    </r>
    <r>
      <rPr>
        <sz val="9"/>
        <color rgb="FF3B3D3D"/>
        <rFont val="Trebuchet MS"/>
        <family val="2"/>
      </rPr>
      <t>/</t>
    </r>
    <r>
      <rPr>
        <sz val="9"/>
        <color rgb="FF232426"/>
        <rFont val="Trebuchet MS"/>
        <family val="2"/>
      </rPr>
      <t>061</t>
    </r>
    <r>
      <rPr>
        <sz val="9"/>
        <color rgb="FF3B3D3D"/>
        <rFont val="Trebuchet MS"/>
        <family val="2"/>
      </rPr>
      <t>/</t>
    </r>
    <r>
      <rPr>
        <sz val="9"/>
        <color rgb="FF232426"/>
        <rFont val="Trebuchet MS"/>
        <family val="2"/>
      </rPr>
      <t>E-ND. N</t>
    </r>
    <r>
      <rPr>
        <sz val="9"/>
        <color rgb="FF3B3D3D"/>
        <rFont val="Trebuchet MS"/>
        <family val="2"/>
      </rPr>
      <t>/</t>
    </r>
    <r>
      <rPr>
        <sz val="9"/>
        <color rgb="FF232426"/>
        <rFont val="Trebuchet MS"/>
        <family val="2"/>
      </rPr>
      <t>2023</t>
    </r>
  </si>
  <si>
    <r>
      <t xml:space="preserve">ALOKANI </t>
    </r>
    <r>
      <rPr>
        <sz val="9"/>
        <color rgb="FF3B3D3D"/>
        <rFont val="Trebuchet MS"/>
        <family val="2"/>
      </rPr>
      <t>M</t>
    </r>
    <r>
      <rPr>
        <sz val="9"/>
        <color rgb="FF232426"/>
        <rFont val="Trebuchet MS"/>
        <family val="2"/>
      </rPr>
      <t>INI</t>
    </r>
    <r>
      <rPr>
        <sz val="9"/>
        <color rgb="FF3B3D3D"/>
        <rFont val="Trebuchet MS"/>
        <family val="2"/>
      </rPr>
      <t>N</t>
    </r>
    <r>
      <rPr>
        <sz val="9"/>
        <color rgb="FF232426"/>
        <rFont val="Trebuchet MS"/>
        <family val="2"/>
      </rPr>
      <t>G ET I</t>
    </r>
    <r>
      <rPr>
        <sz val="9"/>
        <color rgb="FF3B3D3D"/>
        <rFont val="Trebuchet MS"/>
        <family val="2"/>
      </rPr>
      <t>N</t>
    </r>
    <r>
      <rPr>
        <sz val="9"/>
        <color rgb="FF232426"/>
        <rFont val="Trebuchet MS"/>
        <family val="2"/>
      </rPr>
      <t>VESTME</t>
    </r>
    <r>
      <rPr>
        <sz val="9"/>
        <color rgb="FF3B3D3D"/>
        <rFont val="Trebuchet MS"/>
        <family val="2"/>
      </rPr>
      <t>N</t>
    </r>
    <r>
      <rPr>
        <sz val="9"/>
        <color rgb="FF232426"/>
        <rFont val="Trebuchet MS"/>
        <family val="2"/>
      </rPr>
      <t>TS</t>
    </r>
  </si>
  <si>
    <r>
      <t>PR 1510</t>
    </r>
    <r>
      <rPr>
        <sz val="9"/>
        <color rgb="FF3B3D3D"/>
        <rFont val="Trebuchet MS"/>
        <family val="2"/>
      </rPr>
      <t>6,</t>
    </r>
    <r>
      <rPr>
        <sz val="9"/>
        <color rgb="FF232426"/>
        <rFont val="Trebuchet MS"/>
        <family val="2"/>
      </rPr>
      <t>15107, 15193 et 15194</t>
    </r>
  </si>
  <si>
    <r>
      <t>F</t>
    </r>
    <r>
      <rPr>
        <sz val="9"/>
        <color rgb="FF3B3D3D"/>
        <rFont val="Trebuchet MS"/>
        <family val="2"/>
      </rPr>
      <t>AR</t>
    </r>
    <r>
      <rPr>
        <sz val="9"/>
        <color rgb="FF232426"/>
        <rFont val="Trebuchet MS"/>
        <family val="2"/>
      </rPr>
      <t>ADJE</t>
    </r>
  </si>
  <si>
    <r>
      <t>DPEM/</t>
    </r>
    <r>
      <rPr>
        <sz val="9"/>
        <color rgb="FF232426"/>
        <rFont val="Trebuchet MS"/>
        <family val="2"/>
      </rPr>
      <t>062</t>
    </r>
    <r>
      <rPr>
        <sz val="9"/>
        <color rgb="FF3B3D3D"/>
        <rFont val="Trebuchet MS"/>
        <family val="2"/>
      </rPr>
      <t>/</t>
    </r>
    <r>
      <rPr>
        <sz val="9"/>
        <color rgb="FF232426"/>
        <rFont val="Trebuchet MS"/>
        <family val="2"/>
      </rPr>
      <t>E-</t>
    </r>
    <r>
      <rPr>
        <sz val="9"/>
        <color rgb="FF3B3D3D"/>
        <rFont val="Trebuchet MS"/>
        <family val="2"/>
      </rPr>
      <t>N</t>
    </r>
    <r>
      <rPr>
        <sz val="9"/>
        <color rgb="FF232426"/>
        <rFont val="Trebuchet MS"/>
        <family val="2"/>
      </rPr>
      <t>D. N</t>
    </r>
    <r>
      <rPr>
        <sz val="9"/>
        <color rgb="FF3B3D3D"/>
        <rFont val="Trebuchet MS"/>
        <family val="2"/>
      </rPr>
      <t>/</t>
    </r>
    <r>
      <rPr>
        <sz val="9"/>
        <color rgb="FF232426"/>
        <rFont val="Trebuchet MS"/>
        <family val="2"/>
      </rPr>
      <t>2023</t>
    </r>
  </si>
  <si>
    <r>
      <t>C</t>
    </r>
    <r>
      <rPr>
        <sz val="9"/>
        <color rgb="FF3B3D3D"/>
        <rFont val="Trebuchet MS"/>
        <family val="2"/>
      </rPr>
      <t>ON</t>
    </r>
    <r>
      <rPr>
        <sz val="9"/>
        <color rgb="FF232426"/>
        <rFont val="Trebuchet MS"/>
        <family val="2"/>
      </rPr>
      <t>GO ENVI</t>
    </r>
    <r>
      <rPr>
        <sz val="9"/>
        <color rgb="FF3B3D3D"/>
        <rFont val="Trebuchet MS"/>
        <family val="2"/>
      </rPr>
      <t>R</t>
    </r>
    <r>
      <rPr>
        <sz val="9"/>
        <color rgb="FF232426"/>
        <rFont val="Trebuchet MS"/>
        <family val="2"/>
      </rPr>
      <t>ON</t>
    </r>
    <r>
      <rPr>
        <sz val="9"/>
        <color rgb="FF3B3D3D"/>
        <rFont val="Trebuchet MS"/>
        <family val="2"/>
      </rPr>
      <t>M</t>
    </r>
    <r>
      <rPr>
        <sz val="9"/>
        <color rgb="FF232426"/>
        <rFont val="Trebuchet MS"/>
        <family val="2"/>
      </rPr>
      <t>ENT AND MINING CONS</t>
    </r>
    <r>
      <rPr>
        <sz val="9"/>
        <color rgb="FF3B3D3D"/>
        <rFont val="Trebuchet MS"/>
        <family val="2"/>
      </rPr>
      <t>U</t>
    </r>
    <r>
      <rPr>
        <sz val="9"/>
        <color rgb="FF232426"/>
        <rFont val="Trebuchet MS"/>
        <family val="2"/>
      </rPr>
      <t>LTING SARL</t>
    </r>
  </si>
  <si>
    <t>PR 15284</t>
  </si>
  <si>
    <r>
      <t>MA</t>
    </r>
    <r>
      <rPr>
        <sz val="9"/>
        <color rgb="FF3B3D3D"/>
        <rFont val="Trebuchet MS"/>
        <family val="2"/>
      </rPr>
      <t>N</t>
    </r>
    <r>
      <rPr>
        <sz val="9"/>
        <color rgb="FF232426"/>
        <rFont val="Trebuchet MS"/>
        <family val="2"/>
      </rPr>
      <t>O</t>
    </r>
    <r>
      <rPr>
        <sz val="9"/>
        <color rgb="FF3B3D3D"/>
        <rFont val="Trebuchet MS"/>
        <family val="2"/>
      </rPr>
      <t>N</t>
    </r>
    <r>
      <rPr>
        <sz val="9"/>
        <color rgb="FF232426"/>
        <rFont val="Trebuchet MS"/>
        <family val="2"/>
      </rPr>
      <t>O</t>
    </r>
  </si>
  <si>
    <r>
      <t>DPE</t>
    </r>
    <r>
      <rPr>
        <sz val="9"/>
        <color rgb="FF3B3D3D"/>
        <rFont val="Trebuchet MS"/>
        <family val="2"/>
      </rPr>
      <t>M/</t>
    </r>
    <r>
      <rPr>
        <sz val="9"/>
        <color rgb="FF232426"/>
        <rFont val="Trebuchet MS"/>
        <family val="2"/>
      </rPr>
      <t>063</t>
    </r>
    <r>
      <rPr>
        <sz val="9"/>
        <color rgb="FF3B3D3D"/>
        <rFont val="Trebuchet MS"/>
        <family val="2"/>
      </rPr>
      <t>/</t>
    </r>
    <r>
      <rPr>
        <sz val="9"/>
        <color rgb="FF111315"/>
        <rFont val="Trebuchet MS"/>
        <family val="2"/>
      </rPr>
      <t>E-ND</t>
    </r>
    <r>
      <rPr>
        <sz val="9"/>
        <color rgb="FF565757"/>
        <rFont val="Trebuchet MS"/>
        <family val="2"/>
      </rPr>
      <t xml:space="preserve">. </t>
    </r>
    <r>
      <rPr>
        <sz val="9"/>
        <color rgb="FF232426"/>
        <rFont val="Trebuchet MS"/>
        <family val="2"/>
      </rPr>
      <t>N</t>
    </r>
    <r>
      <rPr>
        <sz val="9"/>
        <color rgb="FF3B3D3D"/>
        <rFont val="Trebuchet MS"/>
        <family val="2"/>
      </rPr>
      <t>/</t>
    </r>
    <r>
      <rPr>
        <sz val="9"/>
        <color rgb="FF232426"/>
        <rFont val="Trebuchet MS"/>
        <family val="2"/>
      </rPr>
      <t>2023</t>
    </r>
  </si>
  <si>
    <r>
      <t xml:space="preserve">CONGO ENVIRONMENT AND MINING </t>
    </r>
    <r>
      <rPr>
        <sz val="9"/>
        <color rgb="FF111315"/>
        <rFont val="Trebuchet MS"/>
        <family val="2"/>
      </rPr>
      <t>CONSULTING SARL</t>
    </r>
  </si>
  <si>
    <r>
      <t>PR 1528</t>
    </r>
    <r>
      <rPr>
        <sz val="9"/>
        <color rgb="FF3B3D3D"/>
        <rFont val="Trebuchet MS"/>
        <family val="2"/>
      </rPr>
      <t>7</t>
    </r>
  </si>
  <si>
    <r>
      <t>DPEM/</t>
    </r>
    <r>
      <rPr>
        <sz val="9"/>
        <color rgb="FF232426"/>
        <rFont val="Trebuchet MS"/>
        <family val="2"/>
      </rPr>
      <t>064</t>
    </r>
    <r>
      <rPr>
        <sz val="9"/>
        <color rgb="FF3B3D3D"/>
        <rFont val="Trebuchet MS"/>
        <family val="2"/>
      </rPr>
      <t>/</t>
    </r>
    <r>
      <rPr>
        <sz val="9"/>
        <color rgb="FF111315"/>
        <rFont val="Trebuchet MS"/>
        <family val="2"/>
      </rPr>
      <t>E-ND</t>
    </r>
    <r>
      <rPr>
        <sz val="9"/>
        <color rgb="FF3B3D3D"/>
        <rFont val="Trebuchet MS"/>
        <family val="2"/>
      </rPr>
      <t xml:space="preserve">. </t>
    </r>
    <r>
      <rPr>
        <sz val="9"/>
        <color rgb="FF232426"/>
        <rFont val="Trebuchet MS"/>
        <family val="2"/>
      </rPr>
      <t>N</t>
    </r>
    <r>
      <rPr>
        <sz val="9"/>
        <color rgb="FF3B3D3D"/>
        <rFont val="Trebuchet MS"/>
        <family val="2"/>
      </rPr>
      <t>/</t>
    </r>
    <r>
      <rPr>
        <sz val="9"/>
        <color rgb="FF232426"/>
        <rFont val="Trebuchet MS"/>
        <family val="2"/>
      </rPr>
      <t>2023</t>
    </r>
  </si>
  <si>
    <r>
      <t>CONGO ENVIRONMENT AND MIN</t>
    </r>
    <r>
      <rPr>
        <sz val="9"/>
        <color rgb="FF3B3D3D"/>
        <rFont val="Trebuchet MS"/>
        <family val="2"/>
      </rPr>
      <t>I</t>
    </r>
    <r>
      <rPr>
        <sz val="9"/>
        <color rgb="FF232426"/>
        <rFont val="Trebuchet MS"/>
        <family val="2"/>
      </rPr>
      <t>NG CONSULTING SARL</t>
    </r>
  </si>
  <si>
    <t>PR 15286</t>
  </si>
  <si>
    <t>MANONO</t>
  </si>
  <si>
    <r>
      <t>DPEM</t>
    </r>
    <r>
      <rPr>
        <sz val="9"/>
        <color rgb="FF3B3D3D"/>
        <rFont val="Trebuchet MS"/>
        <family val="2"/>
      </rPr>
      <t>/</t>
    </r>
    <r>
      <rPr>
        <sz val="9"/>
        <color rgb="FF232426"/>
        <rFont val="Trebuchet MS"/>
        <family val="2"/>
      </rPr>
      <t>065</t>
    </r>
    <r>
      <rPr>
        <sz val="9"/>
        <color rgb="FF3B3D3D"/>
        <rFont val="Trebuchet MS"/>
        <family val="2"/>
      </rPr>
      <t>/</t>
    </r>
    <r>
      <rPr>
        <sz val="9"/>
        <color rgb="FF111315"/>
        <rFont val="Trebuchet MS"/>
        <family val="2"/>
      </rPr>
      <t>E-ND</t>
    </r>
    <r>
      <rPr>
        <sz val="9"/>
        <color rgb="FF3B3D3D"/>
        <rFont val="Trebuchet MS"/>
        <family val="2"/>
      </rPr>
      <t xml:space="preserve">. </t>
    </r>
    <r>
      <rPr>
        <sz val="9"/>
        <color rgb="FF232426"/>
        <rFont val="Trebuchet MS"/>
        <family val="2"/>
      </rPr>
      <t>N</t>
    </r>
    <r>
      <rPr>
        <sz val="9"/>
        <color rgb="FF3B3D3D"/>
        <rFont val="Trebuchet MS"/>
        <family val="2"/>
      </rPr>
      <t>/</t>
    </r>
    <r>
      <rPr>
        <sz val="9"/>
        <color rgb="FF232426"/>
        <rFont val="Trebuchet MS"/>
        <family val="2"/>
      </rPr>
      <t>2023</t>
    </r>
  </si>
  <si>
    <t>CONGO ENVIRONMENT AND MINING CONSULTING SARL</t>
  </si>
  <si>
    <t>PR 15285</t>
  </si>
  <si>
    <t>DPEM/066/E-ND. N/2023</t>
  </si>
  <si>
    <r>
      <t xml:space="preserve">GENERAL </t>
    </r>
    <r>
      <rPr>
        <sz val="9"/>
        <color rgb="FF3D3F3F"/>
        <rFont val="Trebuchet MS"/>
        <family val="2"/>
      </rPr>
      <t xml:space="preserve">MINING </t>
    </r>
    <r>
      <rPr>
        <sz val="9"/>
        <color rgb="FF262828"/>
        <rFont val="Trebuchet MS"/>
        <family val="2"/>
      </rPr>
      <t>CORPORATION SARL</t>
    </r>
  </si>
  <si>
    <t>PR 15555 et 15313</t>
  </si>
  <si>
    <t>WAMBA</t>
  </si>
  <si>
    <t>DPEM/073/E-ND. N/2023</t>
  </si>
  <si>
    <t>PR 15563</t>
  </si>
  <si>
    <t>BAFWASENDE</t>
  </si>
  <si>
    <r>
      <t>DPEM/074/E-ND</t>
    </r>
    <r>
      <rPr>
        <sz val="9"/>
        <color rgb="FF545656"/>
        <rFont val="Trebuchet MS"/>
        <family val="2"/>
      </rPr>
      <t xml:space="preserve">. </t>
    </r>
    <r>
      <rPr>
        <sz val="9"/>
        <color rgb="FF262828"/>
        <rFont val="Trebuchet MS"/>
        <family val="2"/>
      </rPr>
      <t>N/2023</t>
    </r>
  </si>
  <si>
    <r>
      <t xml:space="preserve">KALONGWE </t>
    </r>
    <r>
      <rPr>
        <sz val="9"/>
        <color rgb="FF262828"/>
        <rFont val="Trebuchet MS"/>
        <family val="2"/>
      </rPr>
      <t>SAS</t>
    </r>
  </si>
  <si>
    <t>PR 15273</t>
  </si>
  <si>
    <t>PWETO</t>
  </si>
  <si>
    <t>DPEM/076/E-ND. N/2023</t>
  </si>
  <si>
    <r>
      <t xml:space="preserve">PR </t>
    </r>
    <r>
      <rPr>
        <sz val="9"/>
        <color rgb="FF3D3F3F"/>
        <rFont val="Trebuchet MS"/>
        <family val="2"/>
      </rPr>
      <t>15274</t>
    </r>
  </si>
  <si>
    <r>
      <t>DPEM/077</t>
    </r>
    <r>
      <rPr>
        <sz val="9"/>
        <color rgb="FF3D3F3F"/>
        <rFont val="Trebuchet MS"/>
        <family val="2"/>
      </rPr>
      <t xml:space="preserve">/E-ND. </t>
    </r>
    <r>
      <rPr>
        <sz val="9"/>
        <color rgb="FF262828"/>
        <rFont val="Trebuchet MS"/>
        <family val="2"/>
      </rPr>
      <t>N/2023</t>
    </r>
  </si>
  <si>
    <r>
      <t xml:space="preserve">PR </t>
    </r>
    <r>
      <rPr>
        <sz val="9"/>
        <color rgb="FF3D3F3F"/>
        <rFont val="Trebuchet MS"/>
        <family val="2"/>
      </rPr>
      <t>15275</t>
    </r>
  </si>
  <si>
    <t>KAMBOVE et KASENGA</t>
  </si>
  <si>
    <r>
      <t>DPEM/078/E-ND</t>
    </r>
    <r>
      <rPr>
        <sz val="9"/>
        <color rgb="FF545656"/>
        <rFont val="Trebuchet MS"/>
        <family val="2"/>
      </rPr>
      <t xml:space="preserve">. </t>
    </r>
    <r>
      <rPr>
        <sz val="9"/>
        <color rgb="FF3D3F3F"/>
        <rFont val="Trebuchet MS"/>
        <family val="2"/>
      </rPr>
      <t>N/2023</t>
    </r>
  </si>
  <si>
    <t>PR 15266</t>
  </si>
  <si>
    <r>
      <t>DPEM/092/E-ND</t>
    </r>
    <r>
      <rPr>
        <sz val="9"/>
        <color rgb="FF646466"/>
        <rFont val="Trebuchet MS"/>
        <family val="2"/>
      </rPr>
      <t xml:space="preserve">. </t>
    </r>
    <r>
      <rPr>
        <sz val="9"/>
        <color rgb="FF3D3F3F"/>
        <rFont val="Trebuchet MS"/>
        <family val="2"/>
      </rPr>
      <t>N/2023</t>
    </r>
  </si>
  <si>
    <r>
      <t xml:space="preserve">PAMPANGA LIGHTS </t>
    </r>
    <r>
      <rPr>
        <sz val="9"/>
        <color rgb="FF3D3F3F"/>
        <rFont val="Trebuchet MS"/>
        <family val="2"/>
      </rPr>
      <t xml:space="preserve">MINING </t>
    </r>
    <r>
      <rPr>
        <sz val="9"/>
        <color rgb="FF262828"/>
        <rFont val="Trebuchet MS"/>
        <family val="2"/>
      </rPr>
      <t>SARLU</t>
    </r>
  </si>
  <si>
    <r>
      <t xml:space="preserve">PR </t>
    </r>
    <r>
      <rPr>
        <sz val="9"/>
        <color rgb="FF262828"/>
        <rFont val="Trebuchet MS"/>
        <family val="2"/>
      </rPr>
      <t>15222</t>
    </r>
  </si>
  <si>
    <r>
      <t xml:space="preserve">RUNGU </t>
    </r>
    <r>
      <rPr>
        <sz val="9"/>
        <color rgb="FF3D3F3F"/>
        <rFont val="Trebuchet MS"/>
        <family val="2"/>
      </rPr>
      <t xml:space="preserve">et </t>
    </r>
    <r>
      <rPr>
        <sz val="9"/>
        <color rgb="FF262828"/>
        <rFont val="Trebuchet MS"/>
        <family val="2"/>
      </rPr>
      <t>WAMBA</t>
    </r>
  </si>
  <si>
    <r>
      <t xml:space="preserve">DPEM/094/E-ND. </t>
    </r>
    <r>
      <rPr>
        <sz val="9"/>
        <color rgb="FF3D3F3F"/>
        <rFont val="Trebuchet MS"/>
        <family val="2"/>
      </rPr>
      <t>N/2023</t>
    </r>
  </si>
  <si>
    <r>
      <t xml:space="preserve">PR </t>
    </r>
    <r>
      <rPr>
        <sz val="9"/>
        <color rgb="FF262828"/>
        <rFont val="Trebuchet MS"/>
        <family val="2"/>
      </rPr>
      <t>15231</t>
    </r>
  </si>
  <si>
    <t>DPEM/095/E-ND. N/2023</t>
  </si>
  <si>
    <r>
      <t xml:space="preserve">PR </t>
    </r>
    <r>
      <rPr>
        <sz val="9"/>
        <color rgb="FF3D3F3F"/>
        <rFont val="Trebuchet MS"/>
        <family val="2"/>
      </rPr>
      <t xml:space="preserve">15288 </t>
    </r>
    <r>
      <rPr>
        <sz val="9"/>
        <color rgb="FF262828"/>
        <rFont val="Trebuchet MS"/>
        <family val="2"/>
      </rPr>
      <t>et 15289</t>
    </r>
  </si>
  <si>
    <r>
      <t xml:space="preserve">DPEM/096/E-ND. </t>
    </r>
    <r>
      <rPr>
        <sz val="9"/>
        <color rgb="FF3D3F3F"/>
        <rFont val="Trebuchet MS"/>
        <family val="2"/>
      </rPr>
      <t>N/2023</t>
    </r>
  </si>
  <si>
    <r>
      <t xml:space="preserve">BMK CONSTRUCTION </t>
    </r>
    <r>
      <rPr>
        <sz val="9"/>
        <color rgb="FF3D3F3F"/>
        <rFont val="Trebuchet MS"/>
        <family val="2"/>
      </rPr>
      <t>SARL</t>
    </r>
  </si>
  <si>
    <t>PR 13893</t>
  </si>
  <si>
    <r>
      <t xml:space="preserve">DPEM/100/E-ND. </t>
    </r>
    <r>
      <rPr>
        <sz val="9"/>
        <color rgb="FF3D3F3F"/>
        <rFont val="Trebuchet MS"/>
        <family val="2"/>
      </rPr>
      <t>N/2023</t>
    </r>
  </si>
  <si>
    <t>AGROPASTORAL ET MINIERE DU KIVU</t>
  </si>
  <si>
    <r>
      <t xml:space="preserve">PR </t>
    </r>
    <r>
      <rPr>
        <sz val="9"/>
        <color rgb="FF3D3F3F"/>
        <rFont val="Trebuchet MS"/>
        <family val="2"/>
      </rPr>
      <t>14566</t>
    </r>
  </si>
  <si>
    <r>
      <t xml:space="preserve">DPEM/103/E-ND. </t>
    </r>
    <r>
      <rPr>
        <sz val="9"/>
        <color rgb="FF3D3F3F"/>
        <rFont val="Trebuchet MS"/>
        <family val="2"/>
      </rPr>
      <t>N/2023</t>
    </r>
  </si>
  <si>
    <r>
      <t xml:space="preserve">ROC </t>
    </r>
    <r>
      <rPr>
        <sz val="9"/>
        <color rgb="FF3D3F3F"/>
        <rFont val="Trebuchet MS"/>
        <family val="2"/>
      </rPr>
      <t xml:space="preserve">METAL </t>
    </r>
    <r>
      <rPr>
        <sz val="9"/>
        <color rgb="FF262828"/>
        <rFont val="Trebuchet MS"/>
        <family val="2"/>
      </rPr>
      <t>SARLU</t>
    </r>
  </si>
  <si>
    <t>PR 15341</t>
  </si>
  <si>
    <t>DPEM/104/E-ND. N/2023</t>
  </si>
  <si>
    <r>
      <t xml:space="preserve">PR </t>
    </r>
    <r>
      <rPr>
        <sz val="9"/>
        <color rgb="FF3D3F3F"/>
        <rFont val="Trebuchet MS"/>
        <family val="2"/>
      </rPr>
      <t>15324</t>
    </r>
  </si>
  <si>
    <t>DPEM/105/E-ND. N/2023</t>
  </si>
  <si>
    <t>ENTREPRISE KATANGA SARLU</t>
  </si>
  <si>
    <t>PR 15383</t>
  </si>
  <si>
    <r>
      <t xml:space="preserve">DPEM/120/E-ND. </t>
    </r>
    <r>
      <rPr>
        <sz val="9"/>
        <color rgb="FF3D3F3F"/>
        <rFont val="Trebuchet MS"/>
        <family val="2"/>
      </rPr>
      <t>N/2023</t>
    </r>
  </si>
  <si>
    <r>
      <t>ZK MUL</t>
    </r>
    <r>
      <rPr>
        <sz val="9"/>
        <color rgb="FF262828"/>
        <rFont val="Trebuchet MS"/>
        <family val="2"/>
      </rPr>
      <t xml:space="preserve">TI </t>
    </r>
    <r>
      <rPr>
        <sz val="9"/>
        <color rgb="FF3D3F3F"/>
        <rFont val="Trebuchet MS"/>
        <family val="2"/>
      </rPr>
      <t xml:space="preserve">SERVICES </t>
    </r>
    <r>
      <rPr>
        <sz val="9"/>
        <color rgb="FF262828"/>
        <rFont val="Trebuchet MS"/>
        <family val="2"/>
      </rPr>
      <t>SARL</t>
    </r>
  </si>
  <si>
    <r>
      <t xml:space="preserve">PR </t>
    </r>
    <r>
      <rPr>
        <sz val="9"/>
        <color rgb="FF3D3F3F"/>
        <rFont val="Trebuchet MS"/>
        <family val="2"/>
      </rPr>
      <t>15452</t>
    </r>
  </si>
  <si>
    <t>DPEM/122/E-ND N/2023</t>
  </si>
  <si>
    <t>GOMING SARL</t>
  </si>
  <si>
    <r>
      <t xml:space="preserve">PR </t>
    </r>
    <r>
      <rPr>
        <sz val="9"/>
        <color rgb="FF3D3F3F"/>
        <rFont val="Trebuchet MS"/>
        <family val="2"/>
      </rPr>
      <t>14714</t>
    </r>
  </si>
  <si>
    <t>MALEMBA-NKULU</t>
  </si>
  <si>
    <r>
      <t xml:space="preserve">DPEM/123/E-ND. </t>
    </r>
    <r>
      <rPr>
        <sz val="9"/>
        <color rgb="FF3D3F3F"/>
        <rFont val="Trebuchet MS"/>
        <family val="2"/>
      </rPr>
      <t>N/2023</t>
    </r>
  </si>
  <si>
    <r>
      <t xml:space="preserve">PR </t>
    </r>
    <r>
      <rPr>
        <sz val="9"/>
        <color rgb="FF3D3F3F"/>
        <rFont val="Trebuchet MS"/>
        <family val="2"/>
      </rPr>
      <t>15325</t>
    </r>
  </si>
  <si>
    <t>DPEM/124/E-ND. N/2023</t>
  </si>
  <si>
    <t>PR 15263</t>
  </si>
  <si>
    <t>DPEM/125/E-ND. N/2023</t>
  </si>
  <si>
    <r>
      <t xml:space="preserve">KIMIA </t>
    </r>
    <r>
      <rPr>
        <sz val="9"/>
        <color rgb="FF262828"/>
        <rFont val="Trebuchet MS"/>
        <family val="2"/>
      </rPr>
      <t>GOLD RESSOURCES SARL</t>
    </r>
  </si>
  <si>
    <t>PR 15175</t>
  </si>
  <si>
    <r>
      <t>DPEM/126/E</t>
    </r>
    <r>
      <rPr>
        <sz val="9"/>
        <color rgb="FF545656"/>
        <rFont val="Trebuchet MS"/>
        <family val="2"/>
      </rPr>
      <t>-N</t>
    </r>
    <r>
      <rPr>
        <sz val="9"/>
        <color rgb="FF262828"/>
        <rFont val="Trebuchet MS"/>
        <family val="2"/>
      </rPr>
      <t>D</t>
    </r>
    <r>
      <rPr>
        <sz val="9"/>
        <color rgb="FF646466"/>
        <rFont val="Trebuchet MS"/>
        <family val="2"/>
      </rPr>
      <t xml:space="preserve">. </t>
    </r>
    <r>
      <rPr>
        <sz val="9"/>
        <color rgb="FF262828"/>
        <rFont val="Trebuchet MS"/>
        <family val="2"/>
      </rPr>
      <t>N/2023</t>
    </r>
  </si>
  <si>
    <r>
      <t xml:space="preserve">KIMIA GOLD </t>
    </r>
    <r>
      <rPr>
        <sz val="9"/>
        <color rgb="FF3D3F3F"/>
        <rFont val="Trebuchet MS"/>
        <family val="2"/>
      </rPr>
      <t xml:space="preserve">RESSOURCES </t>
    </r>
    <r>
      <rPr>
        <sz val="9"/>
        <color rgb="FF262828"/>
        <rFont val="Trebuchet MS"/>
        <family val="2"/>
      </rPr>
      <t>SARL</t>
    </r>
  </si>
  <si>
    <t>PR 15174</t>
  </si>
  <si>
    <t>DPEM/127/E-ND. N/2023</t>
  </si>
  <si>
    <r>
      <t xml:space="preserve">RATEL </t>
    </r>
    <r>
      <rPr>
        <sz val="9"/>
        <color rgb="FF262828"/>
        <rFont val="Trebuchet MS"/>
        <family val="2"/>
      </rPr>
      <t>METAL CONGO SARL</t>
    </r>
  </si>
  <si>
    <r>
      <t xml:space="preserve">PR </t>
    </r>
    <r>
      <rPr>
        <sz val="9"/>
        <color rgb="FF262828"/>
        <rFont val="Trebuchet MS"/>
        <family val="2"/>
      </rPr>
      <t>15299</t>
    </r>
  </si>
  <si>
    <r>
      <t xml:space="preserve">DPEM/128/E-ND. </t>
    </r>
    <r>
      <rPr>
        <sz val="9"/>
        <color rgb="FF3D3F3F"/>
        <rFont val="Trebuchet MS"/>
        <family val="2"/>
      </rPr>
      <t>N/2023</t>
    </r>
  </si>
  <si>
    <r>
      <t xml:space="preserve">RATEL </t>
    </r>
    <r>
      <rPr>
        <sz val="9"/>
        <color rgb="FF3F4444"/>
        <rFont val="Trebuchet MS"/>
        <family val="2"/>
      </rPr>
      <t>M</t>
    </r>
    <r>
      <rPr>
        <sz val="9"/>
        <color rgb="FF282A2B"/>
        <rFont val="Trebuchet MS"/>
        <family val="2"/>
      </rPr>
      <t>ETAL CONGO SARL</t>
    </r>
  </si>
  <si>
    <r>
      <t>PR 1529</t>
    </r>
    <r>
      <rPr>
        <sz val="9"/>
        <color rgb="FF3F4444"/>
        <rFont val="Trebuchet MS"/>
        <family val="2"/>
      </rPr>
      <t>8</t>
    </r>
  </si>
  <si>
    <r>
      <t>M</t>
    </r>
    <r>
      <rPr>
        <sz val="9"/>
        <color rgb="FF282A2B"/>
        <rFont val="Trebuchet MS"/>
        <family val="2"/>
      </rPr>
      <t>A</t>
    </r>
    <r>
      <rPr>
        <sz val="9"/>
        <color rgb="FF3F4444"/>
        <rFont val="Trebuchet MS"/>
        <family val="2"/>
      </rPr>
      <t>M</t>
    </r>
    <r>
      <rPr>
        <sz val="9"/>
        <color rgb="FF282A2B"/>
        <rFont val="Trebuchet MS"/>
        <family val="2"/>
      </rPr>
      <t>BASA et BAFWASE</t>
    </r>
    <r>
      <rPr>
        <sz val="9"/>
        <color rgb="FF3F4444"/>
        <rFont val="Trebuchet MS"/>
        <family val="2"/>
      </rPr>
      <t>N</t>
    </r>
    <r>
      <rPr>
        <sz val="9"/>
        <color rgb="FF282A2B"/>
        <rFont val="Trebuchet MS"/>
        <family val="2"/>
      </rPr>
      <t>DE</t>
    </r>
  </si>
  <si>
    <r>
      <t>DPEM/129</t>
    </r>
    <r>
      <rPr>
        <sz val="9"/>
        <color rgb="FF3F4444"/>
        <rFont val="Trebuchet MS"/>
        <family val="2"/>
      </rPr>
      <t>/</t>
    </r>
    <r>
      <rPr>
        <sz val="9"/>
        <color rgb="FF282A2B"/>
        <rFont val="Trebuchet MS"/>
        <family val="2"/>
      </rPr>
      <t>E</t>
    </r>
    <r>
      <rPr>
        <sz val="9"/>
        <color rgb="FF3F4444"/>
        <rFont val="Trebuchet MS"/>
        <family val="2"/>
      </rPr>
      <t>-</t>
    </r>
    <r>
      <rPr>
        <sz val="9"/>
        <color rgb="FF282A2B"/>
        <rFont val="Trebuchet MS"/>
        <family val="2"/>
      </rPr>
      <t>ND. N</t>
    </r>
    <r>
      <rPr>
        <sz val="9"/>
        <color rgb="FF3F4444"/>
        <rFont val="Trebuchet MS"/>
        <family val="2"/>
      </rPr>
      <t>/</t>
    </r>
    <r>
      <rPr>
        <sz val="9"/>
        <color rgb="FF282A2B"/>
        <rFont val="Trebuchet MS"/>
        <family val="2"/>
      </rPr>
      <t>20</t>
    </r>
    <r>
      <rPr>
        <sz val="9"/>
        <color rgb="FF3F4444"/>
        <rFont val="Trebuchet MS"/>
        <family val="2"/>
      </rPr>
      <t>2</t>
    </r>
    <r>
      <rPr>
        <sz val="9"/>
        <color rgb="FF282A2B"/>
        <rFont val="Trebuchet MS"/>
        <family val="2"/>
      </rPr>
      <t>3</t>
    </r>
  </si>
  <si>
    <r>
      <t>P</t>
    </r>
    <r>
      <rPr>
        <sz val="9"/>
        <color rgb="FF3F4444"/>
        <rFont val="Trebuchet MS"/>
        <family val="2"/>
      </rPr>
      <t xml:space="preserve">R </t>
    </r>
    <r>
      <rPr>
        <sz val="9"/>
        <color rgb="FF282A2B"/>
        <rFont val="Trebuchet MS"/>
        <family val="2"/>
      </rPr>
      <t>15</t>
    </r>
    <r>
      <rPr>
        <sz val="9"/>
        <color rgb="FF3F4444"/>
        <rFont val="Trebuchet MS"/>
        <family val="2"/>
      </rPr>
      <t>2</t>
    </r>
    <r>
      <rPr>
        <sz val="9"/>
        <color rgb="FF282A2B"/>
        <rFont val="Trebuchet MS"/>
        <family val="2"/>
      </rPr>
      <t>97</t>
    </r>
  </si>
  <si>
    <r>
      <t>M</t>
    </r>
    <r>
      <rPr>
        <sz val="9"/>
        <color rgb="FF282A2B"/>
        <rFont val="Trebuchet MS"/>
        <family val="2"/>
      </rPr>
      <t>A</t>
    </r>
    <r>
      <rPr>
        <sz val="9"/>
        <color rgb="FF3F4444"/>
        <rFont val="Trebuchet MS"/>
        <family val="2"/>
      </rPr>
      <t>M</t>
    </r>
    <r>
      <rPr>
        <sz val="9"/>
        <color rgb="FF282A2B"/>
        <rFont val="Trebuchet MS"/>
        <family val="2"/>
      </rPr>
      <t>BASA</t>
    </r>
  </si>
  <si>
    <r>
      <t>DPEM</t>
    </r>
    <r>
      <rPr>
        <sz val="9"/>
        <color rgb="FF3F4444"/>
        <rFont val="Trebuchet MS"/>
        <family val="2"/>
      </rPr>
      <t xml:space="preserve">/ </t>
    </r>
    <r>
      <rPr>
        <sz val="9"/>
        <color rgb="FF282A2B"/>
        <rFont val="Trebuchet MS"/>
        <family val="2"/>
      </rPr>
      <t>130</t>
    </r>
    <r>
      <rPr>
        <sz val="9"/>
        <color rgb="FF3F4444"/>
        <rFont val="Trebuchet MS"/>
        <family val="2"/>
      </rPr>
      <t>/</t>
    </r>
    <r>
      <rPr>
        <sz val="9"/>
        <color rgb="FF282A2B"/>
        <rFont val="Trebuchet MS"/>
        <family val="2"/>
      </rPr>
      <t>E</t>
    </r>
    <r>
      <rPr>
        <sz val="9"/>
        <color rgb="FF3F4444"/>
        <rFont val="Trebuchet MS"/>
        <family val="2"/>
      </rPr>
      <t>-N</t>
    </r>
    <r>
      <rPr>
        <sz val="9"/>
        <color rgb="FF282A2B"/>
        <rFont val="Trebuchet MS"/>
        <family val="2"/>
      </rPr>
      <t>D</t>
    </r>
    <r>
      <rPr>
        <sz val="9"/>
        <color rgb="FF3F4444"/>
        <rFont val="Trebuchet MS"/>
        <family val="2"/>
      </rPr>
      <t xml:space="preserve">. </t>
    </r>
    <r>
      <rPr>
        <sz val="9"/>
        <color rgb="FF282A2B"/>
        <rFont val="Trebuchet MS"/>
        <family val="2"/>
      </rPr>
      <t>N</t>
    </r>
    <r>
      <rPr>
        <sz val="9"/>
        <color rgb="FF3F4444"/>
        <rFont val="Trebuchet MS"/>
        <family val="2"/>
      </rPr>
      <t>/</t>
    </r>
    <r>
      <rPr>
        <sz val="9"/>
        <color rgb="FF282A2B"/>
        <rFont val="Trebuchet MS"/>
        <family val="2"/>
      </rPr>
      <t>2</t>
    </r>
    <r>
      <rPr>
        <sz val="9"/>
        <color rgb="FF3F4444"/>
        <rFont val="Trebuchet MS"/>
        <family val="2"/>
      </rPr>
      <t>0</t>
    </r>
    <r>
      <rPr>
        <sz val="9"/>
        <color rgb="FF282A2B"/>
        <rFont val="Trebuchet MS"/>
        <family val="2"/>
      </rPr>
      <t>23</t>
    </r>
  </si>
  <si>
    <r>
      <t>RATEL METAL CO</t>
    </r>
    <r>
      <rPr>
        <sz val="9"/>
        <color rgb="FF3F4444"/>
        <rFont val="Trebuchet MS"/>
        <family val="2"/>
      </rPr>
      <t>N</t>
    </r>
    <r>
      <rPr>
        <sz val="9"/>
        <color rgb="FF282A2B"/>
        <rFont val="Trebuchet MS"/>
        <family val="2"/>
      </rPr>
      <t>GO SA</t>
    </r>
    <r>
      <rPr>
        <sz val="9"/>
        <color rgb="FF3F4444"/>
        <rFont val="Trebuchet MS"/>
        <family val="2"/>
      </rPr>
      <t>R</t>
    </r>
    <r>
      <rPr>
        <sz val="9"/>
        <color rgb="FF282A2B"/>
        <rFont val="Trebuchet MS"/>
        <family val="2"/>
      </rPr>
      <t>L</t>
    </r>
  </si>
  <si>
    <t>PR 15236</t>
  </si>
  <si>
    <r>
      <t>MW</t>
    </r>
    <r>
      <rPr>
        <sz val="9"/>
        <color rgb="FF282A2B"/>
        <rFont val="Trebuchet MS"/>
        <family val="2"/>
      </rPr>
      <t>E</t>
    </r>
    <r>
      <rPr>
        <sz val="9"/>
        <color rgb="FF3F4444"/>
        <rFont val="Trebuchet MS"/>
        <family val="2"/>
      </rPr>
      <t>N</t>
    </r>
    <r>
      <rPr>
        <sz val="9"/>
        <color rgb="FF282A2B"/>
        <rFont val="Trebuchet MS"/>
        <family val="2"/>
      </rPr>
      <t>GA</t>
    </r>
  </si>
  <si>
    <r>
      <t>DPE</t>
    </r>
    <r>
      <rPr>
        <sz val="9"/>
        <color rgb="FF3F4444"/>
        <rFont val="Trebuchet MS"/>
        <family val="2"/>
      </rPr>
      <t>M/1</t>
    </r>
    <r>
      <rPr>
        <sz val="9"/>
        <color rgb="FF282A2B"/>
        <rFont val="Trebuchet MS"/>
        <family val="2"/>
      </rPr>
      <t>3</t>
    </r>
    <r>
      <rPr>
        <sz val="9"/>
        <color rgb="FF3F4444"/>
        <rFont val="Trebuchet MS"/>
        <family val="2"/>
      </rPr>
      <t>1/</t>
    </r>
    <r>
      <rPr>
        <sz val="9"/>
        <color rgb="FF282A2B"/>
        <rFont val="Trebuchet MS"/>
        <family val="2"/>
      </rPr>
      <t>E</t>
    </r>
    <r>
      <rPr>
        <sz val="9"/>
        <color rgb="FF3F4444"/>
        <rFont val="Trebuchet MS"/>
        <family val="2"/>
      </rPr>
      <t>-N</t>
    </r>
    <r>
      <rPr>
        <sz val="9"/>
        <color rgb="FF282A2B"/>
        <rFont val="Trebuchet MS"/>
        <family val="2"/>
      </rPr>
      <t>D</t>
    </r>
    <r>
      <rPr>
        <sz val="9"/>
        <color rgb="FF565759"/>
        <rFont val="Trebuchet MS"/>
        <family val="2"/>
      </rPr>
      <t xml:space="preserve">. </t>
    </r>
    <r>
      <rPr>
        <sz val="9"/>
        <color rgb="FF3F4444"/>
        <rFont val="Trebuchet MS"/>
        <family val="2"/>
      </rPr>
      <t>N/</t>
    </r>
    <r>
      <rPr>
        <sz val="9"/>
        <color rgb="FF282A2B"/>
        <rFont val="Trebuchet MS"/>
        <family val="2"/>
      </rPr>
      <t>2</t>
    </r>
    <r>
      <rPr>
        <sz val="9"/>
        <color rgb="FF3F4444"/>
        <rFont val="Trebuchet MS"/>
        <family val="2"/>
      </rPr>
      <t>023</t>
    </r>
  </si>
  <si>
    <r>
      <t>RATEL METAL CO</t>
    </r>
    <r>
      <rPr>
        <sz val="9"/>
        <color rgb="FF3F4444"/>
        <rFont val="Trebuchet MS"/>
        <family val="2"/>
      </rPr>
      <t>N</t>
    </r>
    <r>
      <rPr>
        <sz val="9"/>
        <color rgb="FF282A2B"/>
        <rFont val="Trebuchet MS"/>
        <family val="2"/>
      </rPr>
      <t>GO SARL</t>
    </r>
  </si>
  <si>
    <t>PR 15601</t>
  </si>
  <si>
    <r>
      <t>DPE</t>
    </r>
    <r>
      <rPr>
        <sz val="9"/>
        <color rgb="FF3F4444"/>
        <rFont val="Trebuchet MS"/>
        <family val="2"/>
      </rPr>
      <t>M/</t>
    </r>
    <r>
      <rPr>
        <sz val="9"/>
        <color rgb="FF282A2B"/>
        <rFont val="Trebuchet MS"/>
        <family val="2"/>
      </rPr>
      <t>132</t>
    </r>
    <r>
      <rPr>
        <sz val="9"/>
        <color rgb="FF3F4444"/>
        <rFont val="Trebuchet MS"/>
        <family val="2"/>
      </rPr>
      <t>/</t>
    </r>
    <r>
      <rPr>
        <sz val="9"/>
        <color rgb="FF282A2B"/>
        <rFont val="Trebuchet MS"/>
        <family val="2"/>
      </rPr>
      <t>E</t>
    </r>
    <r>
      <rPr>
        <sz val="9"/>
        <color rgb="FF3F4444"/>
        <rFont val="Trebuchet MS"/>
        <family val="2"/>
      </rPr>
      <t>-N</t>
    </r>
    <r>
      <rPr>
        <sz val="9"/>
        <color rgb="FF282A2B"/>
        <rFont val="Trebuchet MS"/>
        <family val="2"/>
      </rPr>
      <t>D</t>
    </r>
    <r>
      <rPr>
        <sz val="9"/>
        <color rgb="FF666767"/>
        <rFont val="Trebuchet MS"/>
        <family val="2"/>
      </rPr>
      <t xml:space="preserve">. </t>
    </r>
    <r>
      <rPr>
        <sz val="9"/>
        <color rgb="FF282A2B"/>
        <rFont val="Trebuchet MS"/>
        <family val="2"/>
      </rPr>
      <t>N</t>
    </r>
    <r>
      <rPr>
        <sz val="9"/>
        <color rgb="FF3F4444"/>
        <rFont val="Trebuchet MS"/>
        <family val="2"/>
      </rPr>
      <t>/</t>
    </r>
    <r>
      <rPr>
        <sz val="9"/>
        <color rgb="FF282A2B"/>
        <rFont val="Trebuchet MS"/>
        <family val="2"/>
      </rPr>
      <t>2023</t>
    </r>
  </si>
  <si>
    <r>
      <t xml:space="preserve">RATEL </t>
    </r>
    <r>
      <rPr>
        <sz val="9"/>
        <color rgb="FF3F4444"/>
        <rFont val="Trebuchet MS"/>
        <family val="2"/>
      </rPr>
      <t>M</t>
    </r>
    <r>
      <rPr>
        <sz val="9"/>
        <color rgb="FF282A2B"/>
        <rFont val="Trebuchet MS"/>
        <family val="2"/>
      </rPr>
      <t>ETAL CO</t>
    </r>
    <r>
      <rPr>
        <sz val="9"/>
        <color rgb="FF3F4444"/>
        <rFont val="Trebuchet MS"/>
        <family val="2"/>
      </rPr>
      <t>N</t>
    </r>
    <r>
      <rPr>
        <sz val="9"/>
        <color rgb="FF282A2B"/>
        <rFont val="Trebuchet MS"/>
        <family val="2"/>
      </rPr>
      <t>GO SA</t>
    </r>
    <r>
      <rPr>
        <sz val="9"/>
        <color rgb="FF3F4444"/>
        <rFont val="Trebuchet MS"/>
        <family val="2"/>
      </rPr>
      <t>R</t>
    </r>
    <r>
      <rPr>
        <sz val="9"/>
        <color rgb="FF282A2B"/>
        <rFont val="Trebuchet MS"/>
        <family val="2"/>
      </rPr>
      <t>L</t>
    </r>
  </si>
  <si>
    <r>
      <t>PR 15</t>
    </r>
    <r>
      <rPr>
        <sz val="9"/>
        <color rgb="FF3F4444"/>
        <rFont val="Trebuchet MS"/>
        <family val="2"/>
      </rPr>
      <t>2</t>
    </r>
    <r>
      <rPr>
        <sz val="9"/>
        <color rgb="FF282A2B"/>
        <rFont val="Trebuchet MS"/>
        <family val="2"/>
      </rPr>
      <t>1</t>
    </r>
    <r>
      <rPr>
        <sz val="9"/>
        <color rgb="FF3F4444"/>
        <rFont val="Trebuchet MS"/>
        <family val="2"/>
      </rPr>
      <t>6</t>
    </r>
  </si>
  <si>
    <r>
      <t>MW</t>
    </r>
    <r>
      <rPr>
        <sz val="9"/>
        <color rgb="FF282A2B"/>
        <rFont val="Trebuchet MS"/>
        <family val="2"/>
      </rPr>
      <t>E</t>
    </r>
    <r>
      <rPr>
        <sz val="9"/>
        <color rgb="FF3F4444"/>
        <rFont val="Trebuchet MS"/>
        <family val="2"/>
      </rPr>
      <t>N</t>
    </r>
    <r>
      <rPr>
        <sz val="9"/>
        <color rgb="FF282A2B"/>
        <rFont val="Trebuchet MS"/>
        <family val="2"/>
      </rPr>
      <t>G</t>
    </r>
    <r>
      <rPr>
        <sz val="9"/>
        <color rgb="FF3F4444"/>
        <rFont val="Trebuchet MS"/>
        <family val="2"/>
      </rPr>
      <t>A</t>
    </r>
  </si>
  <si>
    <r>
      <t>DPE</t>
    </r>
    <r>
      <rPr>
        <sz val="9"/>
        <color rgb="FF3F4444"/>
        <rFont val="Trebuchet MS"/>
        <family val="2"/>
      </rPr>
      <t>M/133/</t>
    </r>
    <r>
      <rPr>
        <sz val="9"/>
        <color rgb="FF282A2B"/>
        <rFont val="Trebuchet MS"/>
        <family val="2"/>
      </rPr>
      <t>E-</t>
    </r>
    <r>
      <rPr>
        <sz val="9"/>
        <color rgb="FF3F4444"/>
        <rFont val="Trebuchet MS"/>
        <family val="2"/>
      </rPr>
      <t>N</t>
    </r>
    <r>
      <rPr>
        <sz val="9"/>
        <color rgb="FF282A2B"/>
        <rFont val="Trebuchet MS"/>
        <family val="2"/>
      </rPr>
      <t xml:space="preserve">D. </t>
    </r>
    <r>
      <rPr>
        <sz val="9"/>
        <color rgb="FF3F4444"/>
        <rFont val="Trebuchet MS"/>
        <family val="2"/>
      </rPr>
      <t>N/</t>
    </r>
    <r>
      <rPr>
        <sz val="9"/>
        <color rgb="FF282A2B"/>
        <rFont val="Trebuchet MS"/>
        <family val="2"/>
      </rPr>
      <t>2</t>
    </r>
    <r>
      <rPr>
        <sz val="9"/>
        <color rgb="FF3F4444"/>
        <rFont val="Trebuchet MS"/>
        <family val="2"/>
      </rPr>
      <t>0</t>
    </r>
    <r>
      <rPr>
        <sz val="9"/>
        <color rgb="FF282A2B"/>
        <rFont val="Trebuchet MS"/>
        <family val="2"/>
      </rPr>
      <t>23</t>
    </r>
  </si>
  <si>
    <r>
      <t xml:space="preserve">RATEL </t>
    </r>
    <r>
      <rPr>
        <sz val="9"/>
        <color rgb="FF3F4444"/>
        <rFont val="Trebuchet MS"/>
        <family val="2"/>
      </rPr>
      <t>M</t>
    </r>
    <r>
      <rPr>
        <sz val="9"/>
        <color rgb="FF282A2B"/>
        <rFont val="Trebuchet MS"/>
        <family val="2"/>
      </rPr>
      <t>ET</t>
    </r>
    <r>
      <rPr>
        <sz val="9"/>
        <color rgb="FF3F4444"/>
        <rFont val="Trebuchet MS"/>
        <family val="2"/>
      </rPr>
      <t>A</t>
    </r>
    <r>
      <rPr>
        <sz val="9"/>
        <color rgb="FF282A2B"/>
        <rFont val="Trebuchet MS"/>
        <family val="2"/>
      </rPr>
      <t>L CO</t>
    </r>
    <r>
      <rPr>
        <sz val="9"/>
        <color rgb="FF3F4444"/>
        <rFont val="Trebuchet MS"/>
        <family val="2"/>
      </rPr>
      <t>N</t>
    </r>
    <r>
      <rPr>
        <sz val="9"/>
        <color rgb="FF282A2B"/>
        <rFont val="Trebuchet MS"/>
        <family val="2"/>
      </rPr>
      <t>GO S</t>
    </r>
    <r>
      <rPr>
        <sz val="9"/>
        <color rgb="FF3F4444"/>
        <rFont val="Trebuchet MS"/>
        <family val="2"/>
      </rPr>
      <t>A</t>
    </r>
    <r>
      <rPr>
        <sz val="9"/>
        <color rgb="FF282A2B"/>
        <rFont val="Trebuchet MS"/>
        <family val="2"/>
      </rPr>
      <t>RL</t>
    </r>
  </si>
  <si>
    <r>
      <t>P</t>
    </r>
    <r>
      <rPr>
        <sz val="9"/>
        <color rgb="FF3F4444"/>
        <rFont val="Trebuchet MS"/>
        <family val="2"/>
      </rPr>
      <t>R 152</t>
    </r>
    <r>
      <rPr>
        <sz val="9"/>
        <color rgb="FF282A2B"/>
        <rFont val="Trebuchet MS"/>
        <family val="2"/>
      </rPr>
      <t>35</t>
    </r>
  </si>
  <si>
    <r>
      <t>DPE</t>
    </r>
    <r>
      <rPr>
        <sz val="9"/>
        <color rgb="FF3F4444"/>
        <rFont val="Trebuchet MS"/>
        <family val="2"/>
      </rPr>
      <t>M/</t>
    </r>
    <r>
      <rPr>
        <sz val="9"/>
        <color rgb="FF282A2B"/>
        <rFont val="Trebuchet MS"/>
        <family val="2"/>
      </rPr>
      <t>13</t>
    </r>
    <r>
      <rPr>
        <sz val="9"/>
        <color rgb="FF3F4444"/>
        <rFont val="Trebuchet MS"/>
        <family val="2"/>
      </rPr>
      <t>4/</t>
    </r>
    <r>
      <rPr>
        <sz val="9"/>
        <color rgb="FF282A2B"/>
        <rFont val="Trebuchet MS"/>
        <family val="2"/>
      </rPr>
      <t>E</t>
    </r>
    <r>
      <rPr>
        <sz val="9"/>
        <color rgb="FF3F4444"/>
        <rFont val="Trebuchet MS"/>
        <family val="2"/>
      </rPr>
      <t>-N</t>
    </r>
    <r>
      <rPr>
        <sz val="9"/>
        <color rgb="FF282A2B"/>
        <rFont val="Trebuchet MS"/>
        <family val="2"/>
      </rPr>
      <t>D. N</t>
    </r>
    <r>
      <rPr>
        <sz val="9"/>
        <color rgb="FF3F4444"/>
        <rFont val="Trebuchet MS"/>
        <family val="2"/>
      </rPr>
      <t>/</t>
    </r>
    <r>
      <rPr>
        <sz val="9"/>
        <color rgb="FF282A2B"/>
        <rFont val="Trebuchet MS"/>
        <family val="2"/>
      </rPr>
      <t>2023</t>
    </r>
  </si>
  <si>
    <r>
      <t>ORE BODY PROSPECTI</t>
    </r>
    <r>
      <rPr>
        <sz val="9"/>
        <color rgb="FF3F4444"/>
        <rFont val="Trebuchet MS"/>
        <family val="2"/>
      </rPr>
      <t>N</t>
    </r>
    <r>
      <rPr>
        <sz val="9"/>
        <color rgb="FF282A2B"/>
        <rFont val="Trebuchet MS"/>
        <family val="2"/>
      </rPr>
      <t>G S</t>
    </r>
    <r>
      <rPr>
        <sz val="9"/>
        <color rgb="FF3F4444"/>
        <rFont val="Trebuchet MS"/>
        <family val="2"/>
      </rPr>
      <t>A</t>
    </r>
    <r>
      <rPr>
        <sz val="9"/>
        <color rgb="FF282A2B"/>
        <rFont val="Trebuchet MS"/>
        <family val="2"/>
      </rPr>
      <t>RL</t>
    </r>
  </si>
  <si>
    <r>
      <t xml:space="preserve">PR </t>
    </r>
    <r>
      <rPr>
        <sz val="9"/>
        <color rgb="FF3F4444"/>
        <rFont val="Trebuchet MS"/>
        <family val="2"/>
      </rPr>
      <t>1</t>
    </r>
    <r>
      <rPr>
        <sz val="9"/>
        <color rgb="FF282A2B"/>
        <rFont val="Trebuchet MS"/>
        <family val="2"/>
      </rPr>
      <t>5265</t>
    </r>
  </si>
  <si>
    <r>
      <t>KA</t>
    </r>
    <r>
      <rPr>
        <sz val="9"/>
        <color rgb="FF3F4444"/>
        <rFont val="Trebuchet MS"/>
        <family val="2"/>
      </rPr>
      <t>M</t>
    </r>
    <r>
      <rPr>
        <sz val="9"/>
        <color rgb="FF282A2B"/>
        <rFont val="Trebuchet MS"/>
        <family val="2"/>
      </rPr>
      <t>BO</t>
    </r>
    <r>
      <rPr>
        <sz val="9"/>
        <color rgb="FF3F4444"/>
        <rFont val="Trebuchet MS"/>
        <family val="2"/>
      </rPr>
      <t>V</t>
    </r>
    <r>
      <rPr>
        <sz val="9"/>
        <color rgb="FF282A2B"/>
        <rFont val="Trebuchet MS"/>
        <family val="2"/>
      </rPr>
      <t xml:space="preserve">E et </t>
    </r>
    <r>
      <rPr>
        <sz val="9"/>
        <color rgb="FF3F4444"/>
        <rFont val="Trebuchet MS"/>
        <family val="2"/>
      </rPr>
      <t>K</t>
    </r>
    <r>
      <rPr>
        <sz val="9"/>
        <color rgb="FF282A2B"/>
        <rFont val="Trebuchet MS"/>
        <family val="2"/>
      </rPr>
      <t>ASE</t>
    </r>
    <r>
      <rPr>
        <sz val="9"/>
        <color rgb="FF3F4444"/>
        <rFont val="Trebuchet MS"/>
        <family val="2"/>
      </rPr>
      <t>N</t>
    </r>
    <r>
      <rPr>
        <sz val="9"/>
        <color rgb="FF282A2B"/>
        <rFont val="Trebuchet MS"/>
        <family val="2"/>
      </rPr>
      <t>GA</t>
    </r>
  </si>
  <si>
    <r>
      <t>DPEM</t>
    </r>
    <r>
      <rPr>
        <sz val="9"/>
        <color rgb="FF3F4444"/>
        <rFont val="Trebuchet MS"/>
        <family val="2"/>
      </rPr>
      <t>/</t>
    </r>
    <r>
      <rPr>
        <sz val="9"/>
        <color rgb="FF282A2B"/>
        <rFont val="Trebuchet MS"/>
        <family val="2"/>
      </rPr>
      <t>135</t>
    </r>
    <r>
      <rPr>
        <sz val="9"/>
        <color rgb="FF3F4444"/>
        <rFont val="Trebuchet MS"/>
        <family val="2"/>
      </rPr>
      <t>/</t>
    </r>
    <r>
      <rPr>
        <sz val="9"/>
        <color rgb="FF282A2B"/>
        <rFont val="Trebuchet MS"/>
        <family val="2"/>
      </rPr>
      <t>E</t>
    </r>
    <r>
      <rPr>
        <sz val="9"/>
        <color rgb="FF3F4444"/>
        <rFont val="Trebuchet MS"/>
        <family val="2"/>
      </rPr>
      <t>-N</t>
    </r>
    <r>
      <rPr>
        <sz val="9"/>
        <color rgb="FF282A2B"/>
        <rFont val="Trebuchet MS"/>
        <family val="2"/>
      </rPr>
      <t>D</t>
    </r>
    <r>
      <rPr>
        <sz val="9"/>
        <color rgb="FF565759"/>
        <rFont val="Trebuchet MS"/>
        <family val="2"/>
      </rPr>
      <t xml:space="preserve">. </t>
    </r>
    <r>
      <rPr>
        <sz val="9"/>
        <color rgb="FF3F4444"/>
        <rFont val="Trebuchet MS"/>
        <family val="2"/>
      </rPr>
      <t>N/</t>
    </r>
    <r>
      <rPr>
        <sz val="9"/>
        <color rgb="FF282A2B"/>
        <rFont val="Trebuchet MS"/>
        <family val="2"/>
      </rPr>
      <t>20</t>
    </r>
    <r>
      <rPr>
        <sz val="9"/>
        <color rgb="FF3F4444"/>
        <rFont val="Trebuchet MS"/>
        <family val="2"/>
      </rPr>
      <t>23</t>
    </r>
  </si>
  <si>
    <r>
      <t>O</t>
    </r>
    <r>
      <rPr>
        <sz val="9"/>
        <color rgb="FF3F4444"/>
        <rFont val="Trebuchet MS"/>
        <family val="2"/>
      </rPr>
      <t>R</t>
    </r>
    <r>
      <rPr>
        <sz val="9"/>
        <color rgb="FF282A2B"/>
        <rFont val="Trebuchet MS"/>
        <family val="2"/>
      </rPr>
      <t>E B</t>
    </r>
    <r>
      <rPr>
        <sz val="9"/>
        <color rgb="FF3F4444"/>
        <rFont val="Trebuchet MS"/>
        <family val="2"/>
      </rPr>
      <t>O</t>
    </r>
    <r>
      <rPr>
        <sz val="9"/>
        <color rgb="FF282A2B"/>
        <rFont val="Trebuchet MS"/>
        <family val="2"/>
      </rPr>
      <t>D</t>
    </r>
    <r>
      <rPr>
        <sz val="9"/>
        <color rgb="FF3F4444"/>
        <rFont val="Trebuchet MS"/>
        <family val="2"/>
      </rPr>
      <t xml:space="preserve">Y </t>
    </r>
    <r>
      <rPr>
        <sz val="9"/>
        <color rgb="FF282A2B"/>
        <rFont val="Trebuchet MS"/>
        <family val="2"/>
      </rPr>
      <t>P</t>
    </r>
    <r>
      <rPr>
        <sz val="9"/>
        <color rgb="FF3F4444"/>
        <rFont val="Trebuchet MS"/>
        <family val="2"/>
      </rPr>
      <t>RO</t>
    </r>
    <r>
      <rPr>
        <sz val="9"/>
        <color rgb="FF282A2B"/>
        <rFont val="Trebuchet MS"/>
        <family val="2"/>
      </rPr>
      <t>SPEC</t>
    </r>
    <r>
      <rPr>
        <sz val="9"/>
        <color rgb="FF3F4444"/>
        <rFont val="Trebuchet MS"/>
        <family val="2"/>
      </rPr>
      <t xml:space="preserve">TING </t>
    </r>
    <r>
      <rPr>
        <sz val="9"/>
        <color rgb="FF282A2B"/>
        <rFont val="Trebuchet MS"/>
        <family val="2"/>
      </rPr>
      <t>SA</t>
    </r>
    <r>
      <rPr>
        <sz val="9"/>
        <color rgb="FF3F4444"/>
        <rFont val="Trebuchet MS"/>
        <family val="2"/>
      </rPr>
      <t>R</t>
    </r>
    <r>
      <rPr>
        <sz val="9"/>
        <color rgb="FF282A2B"/>
        <rFont val="Trebuchet MS"/>
        <family val="2"/>
      </rPr>
      <t>L</t>
    </r>
  </si>
  <si>
    <t>PR 15264</t>
  </si>
  <si>
    <r>
      <t>KAMB</t>
    </r>
    <r>
      <rPr>
        <sz val="9"/>
        <color rgb="FF282A2B"/>
        <rFont val="Trebuchet MS"/>
        <family val="2"/>
      </rPr>
      <t>O</t>
    </r>
    <r>
      <rPr>
        <sz val="9"/>
        <color rgb="FF3F4444"/>
        <rFont val="Trebuchet MS"/>
        <family val="2"/>
      </rPr>
      <t>V</t>
    </r>
    <r>
      <rPr>
        <sz val="9"/>
        <color rgb="FF282A2B"/>
        <rFont val="Trebuchet MS"/>
        <family val="2"/>
      </rPr>
      <t xml:space="preserve">E </t>
    </r>
    <r>
      <rPr>
        <sz val="9"/>
        <color rgb="FF3F4444"/>
        <rFont val="Trebuchet MS"/>
        <family val="2"/>
      </rPr>
      <t>et K</t>
    </r>
    <r>
      <rPr>
        <sz val="9"/>
        <color rgb="FF282A2B"/>
        <rFont val="Trebuchet MS"/>
        <family val="2"/>
      </rPr>
      <t>A</t>
    </r>
    <r>
      <rPr>
        <sz val="9"/>
        <color rgb="FF3F4444"/>
        <rFont val="Trebuchet MS"/>
        <family val="2"/>
      </rPr>
      <t>S</t>
    </r>
    <r>
      <rPr>
        <sz val="9"/>
        <color rgb="FF282A2B"/>
        <rFont val="Trebuchet MS"/>
        <family val="2"/>
      </rPr>
      <t>E</t>
    </r>
    <r>
      <rPr>
        <sz val="9"/>
        <color rgb="FF3F4444"/>
        <rFont val="Trebuchet MS"/>
        <family val="2"/>
      </rPr>
      <t>N</t>
    </r>
    <r>
      <rPr>
        <sz val="9"/>
        <color rgb="FF282A2B"/>
        <rFont val="Trebuchet MS"/>
        <family val="2"/>
      </rPr>
      <t>GA</t>
    </r>
  </si>
  <si>
    <r>
      <t>D</t>
    </r>
    <r>
      <rPr>
        <sz val="9"/>
        <color rgb="FF3F4444"/>
        <rFont val="Trebuchet MS"/>
        <family val="2"/>
      </rPr>
      <t>P</t>
    </r>
    <r>
      <rPr>
        <sz val="9"/>
        <color rgb="FF282A2B"/>
        <rFont val="Trebuchet MS"/>
        <family val="2"/>
      </rPr>
      <t>E</t>
    </r>
    <r>
      <rPr>
        <sz val="9"/>
        <color rgb="FF3F4444"/>
        <rFont val="Trebuchet MS"/>
        <family val="2"/>
      </rPr>
      <t>M/136/</t>
    </r>
    <r>
      <rPr>
        <sz val="9"/>
        <color rgb="FF282A2B"/>
        <rFont val="Trebuchet MS"/>
        <family val="2"/>
      </rPr>
      <t>E-</t>
    </r>
    <r>
      <rPr>
        <sz val="9"/>
        <color rgb="FF3F4444"/>
        <rFont val="Trebuchet MS"/>
        <family val="2"/>
      </rPr>
      <t>ND</t>
    </r>
    <r>
      <rPr>
        <sz val="9"/>
        <color rgb="FF666767"/>
        <rFont val="Trebuchet MS"/>
        <family val="2"/>
      </rPr>
      <t xml:space="preserve">. </t>
    </r>
    <r>
      <rPr>
        <sz val="9"/>
        <color rgb="FF3F4444"/>
        <rFont val="Trebuchet MS"/>
        <family val="2"/>
      </rPr>
      <t>N/</t>
    </r>
    <r>
      <rPr>
        <sz val="9"/>
        <color rgb="FF282A2B"/>
        <rFont val="Trebuchet MS"/>
        <family val="2"/>
      </rPr>
      <t>2</t>
    </r>
    <r>
      <rPr>
        <sz val="9"/>
        <color rgb="FF3F4444"/>
        <rFont val="Trebuchet MS"/>
        <family val="2"/>
      </rPr>
      <t>023</t>
    </r>
  </si>
  <si>
    <r>
      <t>RA</t>
    </r>
    <r>
      <rPr>
        <sz val="9"/>
        <color rgb="FF282A2B"/>
        <rFont val="Trebuchet MS"/>
        <family val="2"/>
      </rPr>
      <t>TE</t>
    </r>
    <r>
      <rPr>
        <sz val="9"/>
        <color rgb="FF3F4444"/>
        <rFont val="Trebuchet MS"/>
        <family val="2"/>
      </rPr>
      <t>L M</t>
    </r>
    <r>
      <rPr>
        <sz val="9"/>
        <color rgb="FF282A2B"/>
        <rFont val="Trebuchet MS"/>
        <family val="2"/>
      </rPr>
      <t>E</t>
    </r>
    <r>
      <rPr>
        <sz val="9"/>
        <color rgb="FF3F4444"/>
        <rFont val="Trebuchet MS"/>
        <family val="2"/>
      </rPr>
      <t>T</t>
    </r>
    <r>
      <rPr>
        <sz val="9"/>
        <color rgb="FF282A2B"/>
        <rFont val="Trebuchet MS"/>
        <family val="2"/>
      </rPr>
      <t xml:space="preserve">AL </t>
    </r>
    <r>
      <rPr>
        <sz val="9"/>
        <color rgb="FF3F4444"/>
        <rFont val="Trebuchet MS"/>
        <family val="2"/>
      </rPr>
      <t>C</t>
    </r>
    <r>
      <rPr>
        <sz val="9"/>
        <color rgb="FF282A2B"/>
        <rFont val="Trebuchet MS"/>
        <family val="2"/>
      </rPr>
      <t>O</t>
    </r>
    <r>
      <rPr>
        <sz val="9"/>
        <color rgb="FF3F4444"/>
        <rFont val="Trebuchet MS"/>
        <family val="2"/>
      </rPr>
      <t>NG</t>
    </r>
    <r>
      <rPr>
        <sz val="9"/>
        <color rgb="FF282A2B"/>
        <rFont val="Trebuchet MS"/>
        <family val="2"/>
      </rPr>
      <t>O SA</t>
    </r>
    <r>
      <rPr>
        <sz val="9"/>
        <color rgb="FF3F4444"/>
        <rFont val="Trebuchet MS"/>
        <family val="2"/>
      </rPr>
      <t>R</t>
    </r>
    <r>
      <rPr>
        <sz val="9"/>
        <color rgb="FF282A2B"/>
        <rFont val="Trebuchet MS"/>
        <family val="2"/>
      </rPr>
      <t>L</t>
    </r>
  </si>
  <si>
    <r>
      <t>PR 1</t>
    </r>
    <r>
      <rPr>
        <sz val="9"/>
        <color rgb="FF282A2B"/>
        <rFont val="Trebuchet MS"/>
        <family val="2"/>
      </rPr>
      <t>5</t>
    </r>
    <r>
      <rPr>
        <sz val="9"/>
        <color rgb="FF3F4444"/>
        <rFont val="Trebuchet MS"/>
        <family val="2"/>
      </rPr>
      <t>184</t>
    </r>
  </si>
  <si>
    <r>
      <t>DPE</t>
    </r>
    <r>
      <rPr>
        <sz val="9"/>
        <color rgb="FF3F4444"/>
        <rFont val="Trebuchet MS"/>
        <family val="2"/>
      </rPr>
      <t>M/</t>
    </r>
    <r>
      <rPr>
        <sz val="9"/>
        <color rgb="FF282A2B"/>
        <rFont val="Trebuchet MS"/>
        <family val="2"/>
      </rPr>
      <t>13</t>
    </r>
    <r>
      <rPr>
        <sz val="9"/>
        <color rgb="FF3F4444"/>
        <rFont val="Trebuchet MS"/>
        <family val="2"/>
      </rPr>
      <t>7/</t>
    </r>
    <r>
      <rPr>
        <sz val="9"/>
        <color rgb="FF282A2B"/>
        <rFont val="Trebuchet MS"/>
        <family val="2"/>
      </rPr>
      <t>E</t>
    </r>
    <r>
      <rPr>
        <sz val="9"/>
        <color rgb="FF3F4444"/>
        <rFont val="Trebuchet MS"/>
        <family val="2"/>
      </rPr>
      <t>-N</t>
    </r>
    <r>
      <rPr>
        <sz val="9"/>
        <color rgb="FF282A2B"/>
        <rFont val="Trebuchet MS"/>
        <family val="2"/>
      </rPr>
      <t>D</t>
    </r>
    <r>
      <rPr>
        <sz val="9"/>
        <color rgb="FF3F4444"/>
        <rFont val="Trebuchet MS"/>
        <family val="2"/>
      </rPr>
      <t>. N/2023</t>
    </r>
  </si>
  <si>
    <r>
      <t>OR</t>
    </r>
    <r>
      <rPr>
        <sz val="9"/>
        <color rgb="FF3F4444"/>
        <rFont val="Trebuchet MS"/>
        <family val="2"/>
      </rPr>
      <t>I</t>
    </r>
    <r>
      <rPr>
        <sz val="9"/>
        <color rgb="FF282A2B"/>
        <rFont val="Trebuchet MS"/>
        <family val="2"/>
      </rPr>
      <t>E</t>
    </r>
    <r>
      <rPr>
        <sz val="9"/>
        <color rgb="FF3F4444"/>
        <rFont val="Trebuchet MS"/>
        <family val="2"/>
      </rPr>
      <t>N</t>
    </r>
    <r>
      <rPr>
        <sz val="9"/>
        <color rgb="FF282A2B"/>
        <rFont val="Trebuchet MS"/>
        <family val="2"/>
      </rPr>
      <t>TALE RESSOURCES CONGO SARL</t>
    </r>
  </si>
  <si>
    <r>
      <t>P</t>
    </r>
    <r>
      <rPr>
        <sz val="9"/>
        <color rgb="FF3F4444"/>
        <rFont val="Trebuchet MS"/>
        <family val="2"/>
      </rPr>
      <t xml:space="preserve">R </t>
    </r>
    <r>
      <rPr>
        <sz val="9"/>
        <color rgb="FF282A2B"/>
        <rFont val="Trebuchet MS"/>
        <family val="2"/>
      </rPr>
      <t>1530</t>
    </r>
    <r>
      <rPr>
        <sz val="9"/>
        <color rgb="FF3F4444"/>
        <rFont val="Trebuchet MS"/>
        <family val="2"/>
      </rPr>
      <t>4</t>
    </r>
  </si>
  <si>
    <r>
      <t>DPEM</t>
    </r>
    <r>
      <rPr>
        <sz val="9"/>
        <color rgb="FF3F4444"/>
        <rFont val="Trebuchet MS"/>
        <family val="2"/>
      </rPr>
      <t>/</t>
    </r>
    <r>
      <rPr>
        <sz val="9"/>
        <color rgb="FF282A2B"/>
        <rFont val="Trebuchet MS"/>
        <family val="2"/>
      </rPr>
      <t>13</t>
    </r>
    <r>
      <rPr>
        <sz val="9"/>
        <color rgb="FF3F4444"/>
        <rFont val="Trebuchet MS"/>
        <family val="2"/>
      </rPr>
      <t>8/</t>
    </r>
    <r>
      <rPr>
        <sz val="9"/>
        <color rgb="FF282A2B"/>
        <rFont val="Trebuchet MS"/>
        <family val="2"/>
      </rPr>
      <t>E</t>
    </r>
    <r>
      <rPr>
        <sz val="9"/>
        <color rgb="FF3F4444"/>
        <rFont val="Trebuchet MS"/>
        <family val="2"/>
      </rPr>
      <t>-N</t>
    </r>
    <r>
      <rPr>
        <sz val="9"/>
        <color rgb="FF282A2B"/>
        <rFont val="Trebuchet MS"/>
        <family val="2"/>
      </rPr>
      <t>D</t>
    </r>
    <r>
      <rPr>
        <sz val="9"/>
        <color rgb="FF3F4444"/>
        <rFont val="Trebuchet MS"/>
        <family val="2"/>
      </rPr>
      <t xml:space="preserve">. </t>
    </r>
    <r>
      <rPr>
        <sz val="9"/>
        <color rgb="FF282A2B"/>
        <rFont val="Trebuchet MS"/>
        <family val="2"/>
      </rPr>
      <t>N</t>
    </r>
    <r>
      <rPr>
        <sz val="9"/>
        <color rgb="FF3F4444"/>
        <rFont val="Trebuchet MS"/>
        <family val="2"/>
      </rPr>
      <t>/</t>
    </r>
    <r>
      <rPr>
        <sz val="9"/>
        <color rgb="FF282A2B"/>
        <rFont val="Trebuchet MS"/>
        <family val="2"/>
      </rPr>
      <t>20</t>
    </r>
    <r>
      <rPr>
        <sz val="9"/>
        <color rgb="FF3F4444"/>
        <rFont val="Trebuchet MS"/>
        <family val="2"/>
      </rPr>
      <t>2</t>
    </r>
    <r>
      <rPr>
        <sz val="9"/>
        <color rgb="FF282A2B"/>
        <rFont val="Trebuchet MS"/>
        <family val="2"/>
      </rPr>
      <t>3</t>
    </r>
  </si>
  <si>
    <r>
      <t>TSO</t>
    </r>
    <r>
      <rPr>
        <sz val="9"/>
        <color rgb="FF3F4444"/>
        <rFont val="Trebuchet MS"/>
        <family val="2"/>
      </rPr>
      <t>N</t>
    </r>
    <r>
      <rPr>
        <sz val="9"/>
        <color rgb="FF282A2B"/>
        <rFont val="Trebuchet MS"/>
        <family val="2"/>
      </rPr>
      <t xml:space="preserve">A </t>
    </r>
    <r>
      <rPr>
        <sz val="9"/>
        <color rgb="FF3F4444"/>
        <rFont val="Trebuchet MS"/>
        <family val="2"/>
      </rPr>
      <t>M</t>
    </r>
    <r>
      <rPr>
        <sz val="9"/>
        <color rgb="FF282A2B"/>
        <rFont val="Trebuchet MS"/>
        <family val="2"/>
      </rPr>
      <t>INING ROC</t>
    </r>
  </si>
  <si>
    <r>
      <t>P</t>
    </r>
    <r>
      <rPr>
        <sz val="9"/>
        <color rgb="FF3F4444"/>
        <rFont val="Trebuchet MS"/>
        <family val="2"/>
      </rPr>
      <t xml:space="preserve">R </t>
    </r>
    <r>
      <rPr>
        <sz val="9"/>
        <color rgb="FF282A2B"/>
        <rFont val="Trebuchet MS"/>
        <family val="2"/>
      </rPr>
      <t>1</t>
    </r>
    <r>
      <rPr>
        <sz val="9"/>
        <color rgb="FF3F4444"/>
        <rFont val="Trebuchet MS"/>
        <family val="2"/>
      </rPr>
      <t>47</t>
    </r>
    <r>
      <rPr>
        <sz val="9"/>
        <color rgb="FF282A2B"/>
        <rFont val="Trebuchet MS"/>
        <family val="2"/>
      </rPr>
      <t>4</t>
    </r>
    <r>
      <rPr>
        <sz val="9"/>
        <color rgb="FF3F4444"/>
        <rFont val="Trebuchet MS"/>
        <family val="2"/>
      </rPr>
      <t>4</t>
    </r>
  </si>
  <si>
    <r>
      <t>M</t>
    </r>
    <r>
      <rPr>
        <sz val="9"/>
        <color rgb="FF282A2B"/>
        <rFont val="Trebuchet MS"/>
        <family val="2"/>
      </rPr>
      <t>UTSHATSHA</t>
    </r>
  </si>
  <si>
    <r>
      <t>DPE</t>
    </r>
    <r>
      <rPr>
        <sz val="9"/>
        <color rgb="FF3F4444"/>
        <rFont val="Trebuchet MS"/>
        <family val="2"/>
      </rPr>
      <t>M/</t>
    </r>
    <r>
      <rPr>
        <sz val="9"/>
        <color rgb="FF282A2B"/>
        <rFont val="Trebuchet MS"/>
        <family val="2"/>
      </rPr>
      <t>139</t>
    </r>
    <r>
      <rPr>
        <sz val="9"/>
        <color rgb="FF3F4444"/>
        <rFont val="Trebuchet MS"/>
        <family val="2"/>
      </rPr>
      <t>/</t>
    </r>
    <r>
      <rPr>
        <sz val="9"/>
        <color rgb="FF282A2B"/>
        <rFont val="Trebuchet MS"/>
        <family val="2"/>
      </rPr>
      <t>E-ND</t>
    </r>
    <r>
      <rPr>
        <sz val="9"/>
        <color rgb="FF3F4444"/>
        <rFont val="Trebuchet MS"/>
        <family val="2"/>
      </rPr>
      <t>. N/</t>
    </r>
    <r>
      <rPr>
        <sz val="9"/>
        <color rgb="FF282A2B"/>
        <rFont val="Trebuchet MS"/>
        <family val="2"/>
      </rPr>
      <t>20</t>
    </r>
    <r>
      <rPr>
        <sz val="9"/>
        <color rgb="FF3F4444"/>
        <rFont val="Trebuchet MS"/>
        <family val="2"/>
      </rPr>
      <t>2</t>
    </r>
    <r>
      <rPr>
        <sz val="9"/>
        <color rgb="FF282A2B"/>
        <rFont val="Trebuchet MS"/>
        <family val="2"/>
      </rPr>
      <t>3</t>
    </r>
  </si>
  <si>
    <r>
      <t>P</t>
    </r>
    <r>
      <rPr>
        <sz val="9"/>
        <color rgb="FF3F4444"/>
        <rFont val="Trebuchet MS"/>
        <family val="2"/>
      </rPr>
      <t xml:space="preserve">R </t>
    </r>
    <r>
      <rPr>
        <sz val="9"/>
        <color rgb="FF282A2B"/>
        <rFont val="Trebuchet MS"/>
        <family val="2"/>
      </rPr>
      <t>15</t>
    </r>
    <r>
      <rPr>
        <sz val="9"/>
        <color rgb="FF3F4444"/>
        <rFont val="Trebuchet MS"/>
        <family val="2"/>
      </rPr>
      <t>3</t>
    </r>
    <r>
      <rPr>
        <sz val="9"/>
        <color rgb="FF282A2B"/>
        <rFont val="Trebuchet MS"/>
        <family val="2"/>
      </rPr>
      <t>0</t>
    </r>
    <r>
      <rPr>
        <sz val="9"/>
        <color rgb="FF3F4444"/>
        <rFont val="Trebuchet MS"/>
        <family val="2"/>
      </rPr>
      <t>3</t>
    </r>
  </si>
  <si>
    <r>
      <t>DPE</t>
    </r>
    <r>
      <rPr>
        <sz val="9"/>
        <color rgb="FF3F4444"/>
        <rFont val="Trebuchet MS"/>
        <family val="2"/>
      </rPr>
      <t>M/</t>
    </r>
    <r>
      <rPr>
        <sz val="9"/>
        <color rgb="FF282A2B"/>
        <rFont val="Trebuchet MS"/>
        <family val="2"/>
      </rPr>
      <t>140</t>
    </r>
    <r>
      <rPr>
        <sz val="9"/>
        <color rgb="FF3F4444"/>
        <rFont val="Trebuchet MS"/>
        <family val="2"/>
      </rPr>
      <t>/</t>
    </r>
    <r>
      <rPr>
        <sz val="9"/>
        <color rgb="FF282A2B"/>
        <rFont val="Trebuchet MS"/>
        <family val="2"/>
      </rPr>
      <t>E</t>
    </r>
    <r>
      <rPr>
        <sz val="9"/>
        <color rgb="FF3F4444"/>
        <rFont val="Trebuchet MS"/>
        <family val="2"/>
      </rPr>
      <t>-N</t>
    </r>
    <r>
      <rPr>
        <sz val="9"/>
        <color rgb="FF282A2B"/>
        <rFont val="Trebuchet MS"/>
        <family val="2"/>
      </rPr>
      <t>D</t>
    </r>
    <r>
      <rPr>
        <sz val="9"/>
        <color rgb="FF3F4444"/>
        <rFont val="Trebuchet MS"/>
        <family val="2"/>
      </rPr>
      <t xml:space="preserve">. </t>
    </r>
    <r>
      <rPr>
        <sz val="9"/>
        <color rgb="FF282A2B"/>
        <rFont val="Trebuchet MS"/>
        <family val="2"/>
      </rPr>
      <t>N</t>
    </r>
    <r>
      <rPr>
        <sz val="9"/>
        <color rgb="FF3F4444"/>
        <rFont val="Trebuchet MS"/>
        <family val="2"/>
      </rPr>
      <t>/</t>
    </r>
    <r>
      <rPr>
        <sz val="9"/>
        <color rgb="FF282A2B"/>
        <rFont val="Trebuchet MS"/>
        <family val="2"/>
      </rPr>
      <t>2023</t>
    </r>
  </si>
  <si>
    <r>
      <t>HE</t>
    </r>
    <r>
      <rPr>
        <sz val="9"/>
        <color rgb="FF3F4444"/>
        <rFont val="Trebuchet MS"/>
        <family val="2"/>
      </rPr>
      <t>Y</t>
    </r>
    <r>
      <rPr>
        <sz val="9"/>
        <color rgb="FF282A2B"/>
        <rFont val="Trebuchet MS"/>
        <family val="2"/>
      </rPr>
      <t>DA</t>
    </r>
    <r>
      <rPr>
        <sz val="9"/>
        <color rgb="FF3F4444"/>
        <rFont val="Trebuchet MS"/>
        <family val="2"/>
      </rPr>
      <t>Y MIN</t>
    </r>
    <r>
      <rPr>
        <sz val="9"/>
        <color rgb="FF282A2B"/>
        <rFont val="Trebuchet MS"/>
        <family val="2"/>
      </rPr>
      <t>I</t>
    </r>
    <r>
      <rPr>
        <sz val="9"/>
        <color rgb="FF3F4444"/>
        <rFont val="Trebuchet MS"/>
        <family val="2"/>
      </rPr>
      <t>N</t>
    </r>
    <r>
      <rPr>
        <sz val="9"/>
        <color rgb="FF282A2B"/>
        <rFont val="Trebuchet MS"/>
        <family val="2"/>
      </rPr>
      <t>G I</t>
    </r>
    <r>
      <rPr>
        <sz val="9"/>
        <color rgb="FF3F4444"/>
        <rFont val="Trebuchet MS"/>
        <family val="2"/>
      </rPr>
      <t>NV</t>
    </r>
    <r>
      <rPr>
        <sz val="9"/>
        <color rgb="FF282A2B"/>
        <rFont val="Trebuchet MS"/>
        <family val="2"/>
      </rPr>
      <t>EST</t>
    </r>
    <r>
      <rPr>
        <sz val="9"/>
        <color rgb="FF3F4444"/>
        <rFont val="Trebuchet MS"/>
        <family val="2"/>
      </rPr>
      <t>M</t>
    </r>
    <r>
      <rPr>
        <sz val="9"/>
        <color rgb="FF282A2B"/>
        <rFont val="Trebuchet MS"/>
        <family val="2"/>
      </rPr>
      <t>E</t>
    </r>
    <r>
      <rPr>
        <sz val="9"/>
        <color rgb="FF3F4444"/>
        <rFont val="Trebuchet MS"/>
        <family val="2"/>
      </rPr>
      <t>N</t>
    </r>
    <r>
      <rPr>
        <sz val="9"/>
        <color rgb="FF282A2B"/>
        <rFont val="Trebuchet MS"/>
        <family val="2"/>
      </rPr>
      <t>T RDC</t>
    </r>
  </si>
  <si>
    <t>PR 14400</t>
  </si>
  <si>
    <r>
      <t>DPEM</t>
    </r>
    <r>
      <rPr>
        <sz val="9"/>
        <color rgb="FF3F4444"/>
        <rFont val="Trebuchet MS"/>
        <family val="2"/>
      </rPr>
      <t>/</t>
    </r>
    <r>
      <rPr>
        <sz val="9"/>
        <color rgb="FF282A2B"/>
        <rFont val="Trebuchet MS"/>
        <family val="2"/>
      </rPr>
      <t>141</t>
    </r>
    <r>
      <rPr>
        <sz val="9"/>
        <color rgb="FF3F4444"/>
        <rFont val="Trebuchet MS"/>
        <family val="2"/>
      </rPr>
      <t>/</t>
    </r>
    <r>
      <rPr>
        <sz val="9"/>
        <color rgb="FF282A2B"/>
        <rFont val="Trebuchet MS"/>
        <family val="2"/>
      </rPr>
      <t>E-</t>
    </r>
    <r>
      <rPr>
        <sz val="9"/>
        <color rgb="FF3F4444"/>
        <rFont val="Trebuchet MS"/>
        <family val="2"/>
      </rPr>
      <t>N</t>
    </r>
    <r>
      <rPr>
        <sz val="9"/>
        <color rgb="FF282A2B"/>
        <rFont val="Trebuchet MS"/>
        <family val="2"/>
      </rPr>
      <t>D</t>
    </r>
    <r>
      <rPr>
        <sz val="9"/>
        <color rgb="FF565759"/>
        <rFont val="Trebuchet MS"/>
        <family val="2"/>
      </rPr>
      <t xml:space="preserve">. </t>
    </r>
    <r>
      <rPr>
        <sz val="9"/>
        <color rgb="FF3F4444"/>
        <rFont val="Trebuchet MS"/>
        <family val="2"/>
      </rPr>
      <t>N/</t>
    </r>
    <r>
      <rPr>
        <sz val="9"/>
        <color rgb="FF282A2B"/>
        <rFont val="Trebuchet MS"/>
        <family val="2"/>
      </rPr>
      <t>20</t>
    </r>
    <r>
      <rPr>
        <sz val="9"/>
        <color rgb="FF3F4444"/>
        <rFont val="Trebuchet MS"/>
        <family val="2"/>
      </rPr>
      <t>23</t>
    </r>
  </si>
  <si>
    <r>
      <t xml:space="preserve">RATEL </t>
    </r>
    <r>
      <rPr>
        <sz val="9"/>
        <color rgb="FF3F4444"/>
        <rFont val="Trebuchet MS"/>
        <family val="2"/>
      </rPr>
      <t>M</t>
    </r>
    <r>
      <rPr>
        <sz val="9"/>
        <color rgb="FF282A2B"/>
        <rFont val="Trebuchet MS"/>
        <family val="2"/>
      </rPr>
      <t>E</t>
    </r>
    <r>
      <rPr>
        <sz val="9"/>
        <color rgb="FF3F4444"/>
        <rFont val="Trebuchet MS"/>
        <family val="2"/>
      </rPr>
      <t>T</t>
    </r>
    <r>
      <rPr>
        <sz val="9"/>
        <color rgb="FF282A2B"/>
        <rFont val="Trebuchet MS"/>
        <family val="2"/>
      </rPr>
      <t>AL CO</t>
    </r>
    <r>
      <rPr>
        <sz val="9"/>
        <color rgb="FF3F4444"/>
        <rFont val="Trebuchet MS"/>
        <family val="2"/>
      </rPr>
      <t>N</t>
    </r>
    <r>
      <rPr>
        <sz val="9"/>
        <color rgb="FF282A2B"/>
        <rFont val="Trebuchet MS"/>
        <family val="2"/>
      </rPr>
      <t>GO SARL</t>
    </r>
  </si>
  <si>
    <r>
      <t>P</t>
    </r>
    <r>
      <rPr>
        <sz val="9"/>
        <color rgb="FF3F4444"/>
        <rFont val="Trebuchet MS"/>
        <family val="2"/>
      </rPr>
      <t xml:space="preserve">R </t>
    </r>
    <r>
      <rPr>
        <sz val="9"/>
        <color rgb="FF282A2B"/>
        <rFont val="Trebuchet MS"/>
        <family val="2"/>
      </rPr>
      <t>15300</t>
    </r>
  </si>
  <si>
    <r>
      <t>M</t>
    </r>
    <r>
      <rPr>
        <sz val="9"/>
        <color rgb="FF282A2B"/>
        <rFont val="Trebuchet MS"/>
        <family val="2"/>
      </rPr>
      <t>A</t>
    </r>
    <r>
      <rPr>
        <sz val="9"/>
        <color rgb="FF3F4444"/>
        <rFont val="Trebuchet MS"/>
        <family val="2"/>
      </rPr>
      <t>M</t>
    </r>
    <r>
      <rPr>
        <sz val="9"/>
        <color rgb="FF282A2B"/>
        <rFont val="Trebuchet MS"/>
        <family val="2"/>
      </rPr>
      <t>BAS</t>
    </r>
    <r>
      <rPr>
        <sz val="9"/>
        <color rgb="FF3F4444"/>
        <rFont val="Trebuchet MS"/>
        <family val="2"/>
      </rPr>
      <t>A</t>
    </r>
  </si>
  <si>
    <r>
      <t>DPE</t>
    </r>
    <r>
      <rPr>
        <sz val="9"/>
        <color rgb="FF3F4444"/>
        <rFont val="Trebuchet MS"/>
        <family val="2"/>
      </rPr>
      <t>M/</t>
    </r>
    <r>
      <rPr>
        <sz val="9"/>
        <color rgb="FF282A2B"/>
        <rFont val="Trebuchet MS"/>
        <family val="2"/>
      </rPr>
      <t>14</t>
    </r>
    <r>
      <rPr>
        <sz val="9"/>
        <color rgb="FF3F4444"/>
        <rFont val="Trebuchet MS"/>
        <family val="2"/>
      </rPr>
      <t>2/</t>
    </r>
    <r>
      <rPr>
        <sz val="9"/>
        <color rgb="FF282A2B"/>
        <rFont val="Trebuchet MS"/>
        <family val="2"/>
      </rPr>
      <t>E-</t>
    </r>
    <r>
      <rPr>
        <sz val="9"/>
        <color rgb="FF3F4444"/>
        <rFont val="Trebuchet MS"/>
        <family val="2"/>
      </rPr>
      <t>N</t>
    </r>
    <r>
      <rPr>
        <sz val="9"/>
        <color rgb="FF282A2B"/>
        <rFont val="Trebuchet MS"/>
        <family val="2"/>
      </rPr>
      <t>D</t>
    </r>
    <r>
      <rPr>
        <sz val="9"/>
        <color rgb="FF3F4444"/>
        <rFont val="Trebuchet MS"/>
        <family val="2"/>
      </rPr>
      <t xml:space="preserve">. </t>
    </r>
    <r>
      <rPr>
        <sz val="9"/>
        <color rgb="FF282A2B"/>
        <rFont val="Trebuchet MS"/>
        <family val="2"/>
      </rPr>
      <t>N</t>
    </r>
    <r>
      <rPr>
        <sz val="9"/>
        <color rgb="FF3F4444"/>
        <rFont val="Trebuchet MS"/>
        <family val="2"/>
      </rPr>
      <t>/</t>
    </r>
    <r>
      <rPr>
        <sz val="9"/>
        <color rgb="FF282A2B"/>
        <rFont val="Trebuchet MS"/>
        <family val="2"/>
      </rPr>
      <t>20</t>
    </r>
    <r>
      <rPr>
        <sz val="9"/>
        <color rgb="FF3F4444"/>
        <rFont val="Trebuchet MS"/>
        <family val="2"/>
      </rPr>
      <t>2</t>
    </r>
    <r>
      <rPr>
        <sz val="9"/>
        <color rgb="FF282A2B"/>
        <rFont val="Trebuchet MS"/>
        <family val="2"/>
      </rPr>
      <t>3</t>
    </r>
  </si>
  <si>
    <r>
      <t>M</t>
    </r>
    <r>
      <rPr>
        <sz val="9"/>
        <color rgb="FF282A2B"/>
        <rFont val="Trebuchet MS"/>
        <family val="2"/>
      </rPr>
      <t>ANONO LITHIU</t>
    </r>
    <r>
      <rPr>
        <sz val="9"/>
        <color rgb="FF3F4444"/>
        <rFont val="Trebuchet MS"/>
        <family val="2"/>
      </rPr>
      <t xml:space="preserve">M </t>
    </r>
    <r>
      <rPr>
        <sz val="9"/>
        <color rgb="FF282A2B"/>
        <rFont val="Trebuchet MS"/>
        <family val="2"/>
      </rPr>
      <t>SAS</t>
    </r>
  </si>
  <si>
    <r>
      <t>P</t>
    </r>
    <r>
      <rPr>
        <sz val="9"/>
        <color rgb="FF3F4444"/>
        <rFont val="Trebuchet MS"/>
        <family val="2"/>
      </rPr>
      <t xml:space="preserve">R </t>
    </r>
    <r>
      <rPr>
        <sz val="9"/>
        <color rgb="FF282A2B"/>
        <rFont val="Trebuchet MS"/>
        <family val="2"/>
      </rPr>
      <t>15775</t>
    </r>
  </si>
  <si>
    <r>
      <t>DPEM</t>
    </r>
    <r>
      <rPr>
        <sz val="9"/>
        <color rgb="FF3F4444"/>
        <rFont val="Trebuchet MS"/>
        <family val="2"/>
      </rPr>
      <t>/</t>
    </r>
    <r>
      <rPr>
        <sz val="9"/>
        <color rgb="FF282A2B"/>
        <rFont val="Trebuchet MS"/>
        <family val="2"/>
      </rPr>
      <t>143</t>
    </r>
    <r>
      <rPr>
        <sz val="9"/>
        <color rgb="FF3F4444"/>
        <rFont val="Trebuchet MS"/>
        <family val="2"/>
      </rPr>
      <t>/</t>
    </r>
    <r>
      <rPr>
        <sz val="9"/>
        <color rgb="FF282A2B"/>
        <rFont val="Trebuchet MS"/>
        <family val="2"/>
      </rPr>
      <t>E</t>
    </r>
    <r>
      <rPr>
        <sz val="9"/>
        <color rgb="FF3F4444"/>
        <rFont val="Trebuchet MS"/>
        <family val="2"/>
      </rPr>
      <t>-</t>
    </r>
    <r>
      <rPr>
        <sz val="9"/>
        <color rgb="FF282A2B"/>
        <rFont val="Trebuchet MS"/>
        <family val="2"/>
      </rPr>
      <t xml:space="preserve">ND. </t>
    </r>
    <r>
      <rPr>
        <sz val="9"/>
        <color rgb="FF3F4444"/>
        <rFont val="Trebuchet MS"/>
        <family val="2"/>
      </rPr>
      <t>N/</t>
    </r>
    <r>
      <rPr>
        <sz val="9"/>
        <color rgb="FF282A2B"/>
        <rFont val="Trebuchet MS"/>
        <family val="2"/>
      </rPr>
      <t>20</t>
    </r>
    <r>
      <rPr>
        <sz val="9"/>
        <color rgb="FF3F4444"/>
        <rFont val="Trebuchet MS"/>
        <family val="2"/>
      </rPr>
      <t>2</t>
    </r>
    <r>
      <rPr>
        <sz val="9"/>
        <color rgb="FF282A2B"/>
        <rFont val="Trebuchet MS"/>
        <family val="2"/>
      </rPr>
      <t>3</t>
    </r>
  </si>
  <si>
    <r>
      <t xml:space="preserve">GOTRAYS </t>
    </r>
    <r>
      <rPr>
        <sz val="9"/>
        <color rgb="FF3F4444"/>
        <rFont val="Trebuchet MS"/>
        <family val="2"/>
      </rPr>
      <t>T</t>
    </r>
    <r>
      <rPr>
        <sz val="9"/>
        <color rgb="FF282A2B"/>
        <rFont val="Trebuchet MS"/>
        <family val="2"/>
      </rPr>
      <t>RADE LI</t>
    </r>
    <r>
      <rPr>
        <sz val="9"/>
        <color rgb="FF3F4444"/>
        <rFont val="Trebuchet MS"/>
        <family val="2"/>
      </rPr>
      <t>M</t>
    </r>
    <r>
      <rPr>
        <sz val="9"/>
        <color rgb="FF282A2B"/>
        <rFont val="Trebuchet MS"/>
        <family val="2"/>
      </rPr>
      <t>ITED SARL</t>
    </r>
  </si>
  <si>
    <t>PR 15645</t>
  </si>
  <si>
    <r>
      <t>M</t>
    </r>
    <r>
      <rPr>
        <sz val="9"/>
        <color rgb="FF282A2B"/>
        <rFont val="Trebuchet MS"/>
        <family val="2"/>
      </rPr>
      <t>A</t>
    </r>
    <r>
      <rPr>
        <sz val="9"/>
        <color rgb="FF3F4444"/>
        <rFont val="Trebuchet MS"/>
        <family val="2"/>
      </rPr>
      <t>N</t>
    </r>
    <r>
      <rPr>
        <sz val="9"/>
        <color rgb="FF282A2B"/>
        <rFont val="Trebuchet MS"/>
        <family val="2"/>
      </rPr>
      <t>ONO et P</t>
    </r>
    <r>
      <rPr>
        <sz val="9"/>
        <color rgb="FF3F4444"/>
        <rFont val="Trebuchet MS"/>
        <family val="2"/>
      </rPr>
      <t>W</t>
    </r>
    <r>
      <rPr>
        <sz val="9"/>
        <color rgb="FF282A2B"/>
        <rFont val="Trebuchet MS"/>
        <family val="2"/>
      </rPr>
      <t>ETO</t>
    </r>
  </si>
  <si>
    <r>
      <t>DPE</t>
    </r>
    <r>
      <rPr>
        <sz val="9"/>
        <color rgb="FF3F4444"/>
        <rFont val="Trebuchet MS"/>
        <family val="2"/>
      </rPr>
      <t>M/</t>
    </r>
    <r>
      <rPr>
        <sz val="9"/>
        <color rgb="FF282A2B"/>
        <rFont val="Trebuchet MS"/>
        <family val="2"/>
      </rPr>
      <t>147</t>
    </r>
    <r>
      <rPr>
        <sz val="9"/>
        <color rgb="FF3F4444"/>
        <rFont val="Trebuchet MS"/>
        <family val="2"/>
      </rPr>
      <t>/</t>
    </r>
    <r>
      <rPr>
        <sz val="9"/>
        <color rgb="FF282A2B"/>
        <rFont val="Trebuchet MS"/>
        <family val="2"/>
      </rPr>
      <t>E-ND</t>
    </r>
    <r>
      <rPr>
        <sz val="9"/>
        <color rgb="FF3F4444"/>
        <rFont val="Trebuchet MS"/>
        <family val="2"/>
      </rPr>
      <t>. N/</t>
    </r>
    <r>
      <rPr>
        <sz val="9"/>
        <color rgb="FF282A2B"/>
        <rFont val="Trebuchet MS"/>
        <family val="2"/>
      </rPr>
      <t>2023</t>
    </r>
  </si>
  <si>
    <r>
      <t>GOTRA</t>
    </r>
    <r>
      <rPr>
        <sz val="9"/>
        <color rgb="FF3F4444"/>
        <rFont val="Trebuchet MS"/>
        <family val="2"/>
      </rPr>
      <t>Y</t>
    </r>
    <r>
      <rPr>
        <sz val="9"/>
        <color rgb="FF282A2B"/>
        <rFont val="Trebuchet MS"/>
        <family val="2"/>
      </rPr>
      <t>S TRADE LI</t>
    </r>
    <r>
      <rPr>
        <sz val="9"/>
        <color rgb="FF3F4444"/>
        <rFont val="Trebuchet MS"/>
        <family val="2"/>
      </rPr>
      <t>M</t>
    </r>
    <r>
      <rPr>
        <sz val="9"/>
        <color rgb="FF282A2B"/>
        <rFont val="Trebuchet MS"/>
        <family val="2"/>
      </rPr>
      <t>ITED SARL</t>
    </r>
  </si>
  <si>
    <r>
      <t>P</t>
    </r>
    <r>
      <rPr>
        <sz val="9"/>
        <color rgb="FF282A2B"/>
        <rFont val="Trebuchet MS"/>
        <family val="2"/>
      </rPr>
      <t>R 15611</t>
    </r>
  </si>
  <si>
    <r>
      <t>M</t>
    </r>
    <r>
      <rPr>
        <sz val="9"/>
        <color rgb="FF282A2B"/>
        <rFont val="Trebuchet MS"/>
        <family val="2"/>
      </rPr>
      <t>ALE</t>
    </r>
    <r>
      <rPr>
        <sz val="9"/>
        <color rgb="FF3F4444"/>
        <rFont val="Trebuchet MS"/>
        <family val="2"/>
      </rPr>
      <t>M</t>
    </r>
    <r>
      <rPr>
        <sz val="9"/>
        <color rgb="FF282A2B"/>
        <rFont val="Trebuchet MS"/>
        <family val="2"/>
      </rPr>
      <t>BA</t>
    </r>
    <r>
      <rPr>
        <sz val="9"/>
        <color rgb="FF3F4444"/>
        <rFont val="Trebuchet MS"/>
        <family val="2"/>
      </rPr>
      <t>-NK</t>
    </r>
    <r>
      <rPr>
        <sz val="9"/>
        <color rgb="FF282A2B"/>
        <rFont val="Trebuchet MS"/>
        <family val="2"/>
      </rPr>
      <t>ULU</t>
    </r>
  </si>
  <si>
    <r>
      <t>DPE</t>
    </r>
    <r>
      <rPr>
        <sz val="9"/>
        <color rgb="FF3F4444"/>
        <rFont val="Trebuchet MS"/>
        <family val="2"/>
      </rPr>
      <t>M/</t>
    </r>
    <r>
      <rPr>
        <sz val="9"/>
        <color rgb="FF282A2B"/>
        <rFont val="Trebuchet MS"/>
        <family val="2"/>
      </rPr>
      <t>14</t>
    </r>
    <r>
      <rPr>
        <sz val="9"/>
        <color rgb="FF3F4444"/>
        <rFont val="Trebuchet MS"/>
        <family val="2"/>
      </rPr>
      <t>8/</t>
    </r>
    <r>
      <rPr>
        <sz val="9"/>
        <color rgb="FF282A2B"/>
        <rFont val="Trebuchet MS"/>
        <family val="2"/>
      </rPr>
      <t>E</t>
    </r>
    <r>
      <rPr>
        <sz val="9"/>
        <color rgb="FF666767"/>
        <rFont val="Trebuchet MS"/>
        <family val="2"/>
      </rPr>
      <t>-</t>
    </r>
    <r>
      <rPr>
        <sz val="9"/>
        <color rgb="FF3F4444"/>
        <rFont val="Trebuchet MS"/>
        <family val="2"/>
      </rPr>
      <t>N</t>
    </r>
    <r>
      <rPr>
        <sz val="9"/>
        <color rgb="FF282A2B"/>
        <rFont val="Trebuchet MS"/>
        <family val="2"/>
      </rPr>
      <t>D</t>
    </r>
    <r>
      <rPr>
        <sz val="9"/>
        <color rgb="FF3F4444"/>
        <rFont val="Trebuchet MS"/>
        <family val="2"/>
      </rPr>
      <t>. N/</t>
    </r>
    <r>
      <rPr>
        <sz val="9"/>
        <color rgb="FF282A2B"/>
        <rFont val="Trebuchet MS"/>
        <family val="2"/>
      </rPr>
      <t>2</t>
    </r>
    <r>
      <rPr>
        <sz val="9"/>
        <color rgb="FF3F4444"/>
        <rFont val="Trebuchet MS"/>
        <family val="2"/>
      </rPr>
      <t>02</t>
    </r>
    <r>
      <rPr>
        <sz val="9"/>
        <color rgb="FF282A2B"/>
        <rFont val="Trebuchet MS"/>
        <family val="2"/>
      </rPr>
      <t>3</t>
    </r>
  </si>
  <si>
    <r>
      <t>GOTRA</t>
    </r>
    <r>
      <rPr>
        <sz val="9"/>
        <color rgb="FF3F4444"/>
        <rFont val="Trebuchet MS"/>
        <family val="2"/>
      </rPr>
      <t>Y</t>
    </r>
    <r>
      <rPr>
        <sz val="9"/>
        <color rgb="FF282A2B"/>
        <rFont val="Trebuchet MS"/>
        <family val="2"/>
      </rPr>
      <t>S TRADE LIMITED SARL</t>
    </r>
  </si>
  <si>
    <t>PR 15594</t>
  </si>
  <si>
    <r>
      <t>DPE</t>
    </r>
    <r>
      <rPr>
        <sz val="9"/>
        <color rgb="FF3F4444"/>
        <rFont val="Trebuchet MS"/>
        <family val="2"/>
      </rPr>
      <t>M/</t>
    </r>
    <r>
      <rPr>
        <sz val="9"/>
        <color rgb="FF282A2B"/>
        <rFont val="Trebuchet MS"/>
        <family val="2"/>
      </rPr>
      <t>149</t>
    </r>
    <r>
      <rPr>
        <sz val="9"/>
        <color rgb="FF3F4444"/>
        <rFont val="Trebuchet MS"/>
        <family val="2"/>
      </rPr>
      <t>/</t>
    </r>
    <r>
      <rPr>
        <sz val="9"/>
        <color rgb="FF282A2B"/>
        <rFont val="Trebuchet MS"/>
        <family val="2"/>
      </rPr>
      <t>E-ND. N/2023</t>
    </r>
  </si>
  <si>
    <t>PR 15302</t>
  </si>
  <si>
    <r>
      <t>DPEM</t>
    </r>
    <r>
      <rPr>
        <sz val="9"/>
        <color rgb="FF3F4444"/>
        <rFont val="Trebuchet MS"/>
        <family val="2"/>
      </rPr>
      <t>/</t>
    </r>
    <r>
      <rPr>
        <sz val="9"/>
        <color rgb="FF282A2B"/>
        <rFont val="Trebuchet MS"/>
        <family val="2"/>
      </rPr>
      <t>150</t>
    </r>
    <r>
      <rPr>
        <sz val="9"/>
        <color rgb="FF565759"/>
        <rFont val="Trebuchet MS"/>
        <family val="2"/>
      </rPr>
      <t>/</t>
    </r>
    <r>
      <rPr>
        <sz val="9"/>
        <color rgb="FF282A2B"/>
        <rFont val="Trebuchet MS"/>
        <family val="2"/>
      </rPr>
      <t>E</t>
    </r>
    <r>
      <rPr>
        <sz val="9"/>
        <color rgb="FF3F4444"/>
        <rFont val="Trebuchet MS"/>
        <family val="2"/>
      </rPr>
      <t>-N</t>
    </r>
    <r>
      <rPr>
        <sz val="9"/>
        <color rgb="FF282A2B"/>
        <rFont val="Trebuchet MS"/>
        <family val="2"/>
      </rPr>
      <t>D</t>
    </r>
    <r>
      <rPr>
        <sz val="9"/>
        <color rgb="FF3F4444"/>
        <rFont val="Trebuchet MS"/>
        <family val="2"/>
      </rPr>
      <t xml:space="preserve">. </t>
    </r>
    <r>
      <rPr>
        <sz val="9"/>
        <color rgb="FF282A2B"/>
        <rFont val="Trebuchet MS"/>
        <family val="2"/>
      </rPr>
      <t>N</t>
    </r>
    <r>
      <rPr>
        <sz val="9"/>
        <color rgb="FF3F4444"/>
        <rFont val="Trebuchet MS"/>
        <family val="2"/>
      </rPr>
      <t>/</t>
    </r>
    <r>
      <rPr>
        <sz val="9"/>
        <color rgb="FF282A2B"/>
        <rFont val="Trebuchet MS"/>
        <family val="2"/>
      </rPr>
      <t>2023</t>
    </r>
  </si>
  <si>
    <r>
      <t>M</t>
    </r>
    <r>
      <rPr>
        <sz val="9"/>
        <color rgb="FF282A2B"/>
        <rFont val="Trebuchet MS"/>
        <family val="2"/>
      </rPr>
      <t>I</t>
    </r>
    <r>
      <rPr>
        <sz val="9"/>
        <color rgb="FF3F4444"/>
        <rFont val="Trebuchet MS"/>
        <family val="2"/>
      </rPr>
      <t>N</t>
    </r>
    <r>
      <rPr>
        <sz val="9"/>
        <color rgb="FF282A2B"/>
        <rFont val="Trebuchet MS"/>
        <family val="2"/>
      </rPr>
      <t>IERE DE L</t>
    </r>
    <r>
      <rPr>
        <sz val="9"/>
        <color rgb="FF3F4444"/>
        <rFont val="Trebuchet MS"/>
        <family val="2"/>
      </rPr>
      <t>'</t>
    </r>
    <r>
      <rPr>
        <sz val="9"/>
        <color rgb="FF282A2B"/>
        <rFont val="Trebuchet MS"/>
        <family val="2"/>
      </rPr>
      <t>EST DU CONGO SAR</t>
    </r>
    <r>
      <rPr>
        <sz val="9"/>
        <color rgb="FF0E0F11"/>
        <rFont val="Trebuchet MS"/>
        <family val="2"/>
      </rPr>
      <t>L</t>
    </r>
  </si>
  <si>
    <t>PR 15450</t>
  </si>
  <si>
    <r>
      <t>DPEM</t>
    </r>
    <r>
      <rPr>
        <sz val="9"/>
        <color rgb="FF3F4444"/>
        <rFont val="Trebuchet MS"/>
        <family val="2"/>
      </rPr>
      <t>/</t>
    </r>
    <r>
      <rPr>
        <sz val="9"/>
        <color rgb="FF282A2B"/>
        <rFont val="Trebuchet MS"/>
        <family val="2"/>
      </rPr>
      <t>157</t>
    </r>
    <r>
      <rPr>
        <sz val="9"/>
        <color rgb="FF3F4444"/>
        <rFont val="Trebuchet MS"/>
        <family val="2"/>
      </rPr>
      <t>/</t>
    </r>
    <r>
      <rPr>
        <sz val="9"/>
        <color rgb="FF282A2B"/>
        <rFont val="Trebuchet MS"/>
        <family val="2"/>
      </rPr>
      <t>E-ND</t>
    </r>
    <r>
      <rPr>
        <sz val="9"/>
        <color rgb="FF3F4444"/>
        <rFont val="Trebuchet MS"/>
        <family val="2"/>
      </rPr>
      <t>. N</t>
    </r>
    <r>
      <rPr>
        <sz val="9"/>
        <color rgb="FF282A2B"/>
        <rFont val="Trebuchet MS"/>
        <family val="2"/>
      </rPr>
      <t>/2023</t>
    </r>
  </si>
  <si>
    <r>
      <t>MINIERE DE L</t>
    </r>
    <r>
      <rPr>
        <sz val="9"/>
        <color rgb="FF3F4444"/>
        <rFont val="Trebuchet MS"/>
        <family val="2"/>
      </rPr>
      <t>'</t>
    </r>
    <r>
      <rPr>
        <sz val="9"/>
        <color rgb="FF282A2B"/>
        <rFont val="Trebuchet MS"/>
        <family val="2"/>
      </rPr>
      <t>ES</t>
    </r>
    <r>
      <rPr>
        <sz val="9"/>
        <color rgb="FF0E0F11"/>
        <rFont val="Trebuchet MS"/>
        <family val="2"/>
      </rPr>
      <t xml:space="preserve">T </t>
    </r>
    <r>
      <rPr>
        <sz val="9"/>
        <color rgb="FF282A2B"/>
        <rFont val="Trebuchet MS"/>
        <family val="2"/>
      </rPr>
      <t>DU CONGO SAR</t>
    </r>
    <r>
      <rPr>
        <sz val="9"/>
        <color rgb="FF0E0F11"/>
        <rFont val="Trebuchet MS"/>
        <family val="2"/>
      </rPr>
      <t>L</t>
    </r>
  </si>
  <si>
    <t>PR 15525</t>
  </si>
  <si>
    <r>
      <t>DPEM/158</t>
    </r>
    <r>
      <rPr>
        <sz val="9"/>
        <color rgb="FF3F4444"/>
        <rFont val="Trebuchet MS"/>
        <family val="2"/>
      </rPr>
      <t>/</t>
    </r>
    <r>
      <rPr>
        <sz val="9"/>
        <color rgb="FF282A2B"/>
        <rFont val="Trebuchet MS"/>
        <family val="2"/>
      </rPr>
      <t>E-</t>
    </r>
    <r>
      <rPr>
        <sz val="9"/>
        <color rgb="FF3F4444"/>
        <rFont val="Trebuchet MS"/>
        <family val="2"/>
      </rPr>
      <t>N</t>
    </r>
    <r>
      <rPr>
        <sz val="9"/>
        <color rgb="FF282A2B"/>
        <rFont val="Trebuchet MS"/>
        <family val="2"/>
      </rPr>
      <t>D</t>
    </r>
    <r>
      <rPr>
        <sz val="9"/>
        <color rgb="FF3F4444"/>
        <rFont val="Trebuchet MS"/>
        <family val="2"/>
      </rPr>
      <t xml:space="preserve">. </t>
    </r>
    <r>
      <rPr>
        <sz val="9"/>
        <color rgb="FF282A2B"/>
        <rFont val="Trebuchet MS"/>
        <family val="2"/>
      </rPr>
      <t>N</t>
    </r>
    <r>
      <rPr>
        <sz val="9"/>
        <color rgb="FF3F4444"/>
        <rFont val="Trebuchet MS"/>
        <family val="2"/>
      </rPr>
      <t>/</t>
    </r>
    <r>
      <rPr>
        <sz val="9"/>
        <color rgb="FF282A2B"/>
        <rFont val="Trebuchet MS"/>
        <family val="2"/>
      </rPr>
      <t>2023</t>
    </r>
  </si>
  <si>
    <r>
      <t>M</t>
    </r>
    <r>
      <rPr>
        <sz val="9"/>
        <color rgb="FF282A2B"/>
        <rFont val="Trebuchet MS"/>
        <family val="2"/>
      </rPr>
      <t>I</t>
    </r>
    <r>
      <rPr>
        <sz val="9"/>
        <color rgb="FF3F4444"/>
        <rFont val="Trebuchet MS"/>
        <family val="2"/>
      </rPr>
      <t>N</t>
    </r>
    <r>
      <rPr>
        <sz val="9"/>
        <color rgb="FF282A2B"/>
        <rFont val="Trebuchet MS"/>
        <family val="2"/>
      </rPr>
      <t>IERE DE L'EST DU CONG</t>
    </r>
    <r>
      <rPr>
        <sz val="9"/>
        <color rgb="FF3F4444"/>
        <rFont val="Trebuchet MS"/>
        <family val="2"/>
      </rPr>
      <t xml:space="preserve">O </t>
    </r>
    <r>
      <rPr>
        <sz val="9"/>
        <color rgb="FF282A2B"/>
        <rFont val="Trebuchet MS"/>
        <family val="2"/>
      </rPr>
      <t>SARL</t>
    </r>
  </si>
  <si>
    <r>
      <t>P</t>
    </r>
    <r>
      <rPr>
        <sz val="9"/>
        <color rgb="FF3F4444"/>
        <rFont val="Trebuchet MS"/>
        <family val="2"/>
      </rPr>
      <t xml:space="preserve">R </t>
    </r>
    <r>
      <rPr>
        <sz val="9"/>
        <color rgb="FF282A2B"/>
        <rFont val="Trebuchet MS"/>
        <family val="2"/>
      </rPr>
      <t>15627</t>
    </r>
  </si>
  <si>
    <r>
      <t>MA</t>
    </r>
    <r>
      <rPr>
        <sz val="9"/>
        <color rgb="FF3F4444"/>
        <rFont val="Trebuchet MS"/>
        <family val="2"/>
      </rPr>
      <t>M</t>
    </r>
    <r>
      <rPr>
        <sz val="9"/>
        <color rgb="FF282A2B"/>
        <rFont val="Trebuchet MS"/>
        <family val="2"/>
      </rPr>
      <t>BASA</t>
    </r>
  </si>
  <si>
    <r>
      <t>DPEM</t>
    </r>
    <r>
      <rPr>
        <sz val="9"/>
        <color rgb="FF3F4444"/>
        <rFont val="Trebuchet MS"/>
        <family val="2"/>
      </rPr>
      <t>/</t>
    </r>
    <r>
      <rPr>
        <sz val="9"/>
        <color rgb="FF282A2B"/>
        <rFont val="Trebuchet MS"/>
        <family val="2"/>
      </rPr>
      <t>159</t>
    </r>
    <r>
      <rPr>
        <sz val="9"/>
        <color rgb="FF3F4444"/>
        <rFont val="Trebuchet MS"/>
        <family val="2"/>
      </rPr>
      <t>/</t>
    </r>
    <r>
      <rPr>
        <sz val="9"/>
        <color rgb="FF282A2B"/>
        <rFont val="Trebuchet MS"/>
        <family val="2"/>
      </rPr>
      <t>E-</t>
    </r>
    <r>
      <rPr>
        <sz val="9"/>
        <color rgb="FF3F4444"/>
        <rFont val="Trebuchet MS"/>
        <family val="2"/>
      </rPr>
      <t>N</t>
    </r>
    <r>
      <rPr>
        <sz val="9"/>
        <color rgb="FF282A2B"/>
        <rFont val="Trebuchet MS"/>
        <family val="2"/>
      </rPr>
      <t>D</t>
    </r>
    <r>
      <rPr>
        <sz val="9"/>
        <color rgb="FF3F4444"/>
        <rFont val="Trebuchet MS"/>
        <family val="2"/>
      </rPr>
      <t xml:space="preserve">. </t>
    </r>
    <r>
      <rPr>
        <sz val="9"/>
        <color rgb="FF282A2B"/>
        <rFont val="Trebuchet MS"/>
        <family val="2"/>
      </rPr>
      <t>N</t>
    </r>
    <r>
      <rPr>
        <sz val="9"/>
        <color rgb="FF3F4444"/>
        <rFont val="Trebuchet MS"/>
        <family val="2"/>
      </rPr>
      <t>/</t>
    </r>
    <r>
      <rPr>
        <sz val="9"/>
        <color rgb="FF282A2B"/>
        <rFont val="Trebuchet MS"/>
        <family val="2"/>
      </rPr>
      <t>20</t>
    </r>
    <r>
      <rPr>
        <sz val="9"/>
        <color rgb="FF3F4444"/>
        <rFont val="Trebuchet MS"/>
        <family val="2"/>
      </rPr>
      <t>2</t>
    </r>
    <r>
      <rPr>
        <sz val="9"/>
        <color rgb="FF282A2B"/>
        <rFont val="Trebuchet MS"/>
        <family val="2"/>
      </rPr>
      <t>3</t>
    </r>
  </si>
  <si>
    <r>
      <t>FUTURE MINING CO</t>
    </r>
    <r>
      <rPr>
        <sz val="9"/>
        <color rgb="FF484B4B"/>
        <rFont val="Trebuchet MS"/>
        <family val="2"/>
      </rPr>
      <t>M</t>
    </r>
    <r>
      <rPr>
        <sz val="9"/>
        <color rgb="FF2F3134"/>
        <rFont val="Trebuchet MS"/>
        <family val="2"/>
      </rPr>
      <t>PA</t>
    </r>
    <r>
      <rPr>
        <sz val="9"/>
        <color rgb="FF484B4B"/>
        <rFont val="Trebuchet MS"/>
        <family val="2"/>
      </rPr>
      <t>N</t>
    </r>
    <r>
      <rPr>
        <sz val="9"/>
        <color rgb="FF2F3134"/>
        <rFont val="Trebuchet MS"/>
        <family val="2"/>
      </rPr>
      <t>Y SARL</t>
    </r>
  </si>
  <si>
    <r>
      <t>PR 1</t>
    </r>
    <r>
      <rPr>
        <sz val="9"/>
        <color rgb="FF484B4B"/>
        <rFont val="Trebuchet MS"/>
        <family val="2"/>
      </rPr>
      <t>4</t>
    </r>
    <r>
      <rPr>
        <sz val="9"/>
        <color rgb="FF2F3134"/>
        <rFont val="Trebuchet MS"/>
        <family val="2"/>
      </rPr>
      <t>537</t>
    </r>
  </si>
  <si>
    <r>
      <t>DPEM</t>
    </r>
    <r>
      <rPr>
        <sz val="9"/>
        <color rgb="FF484B4B"/>
        <rFont val="Trebuchet MS"/>
        <family val="2"/>
      </rPr>
      <t>/</t>
    </r>
    <r>
      <rPr>
        <sz val="9"/>
        <color rgb="FF1D1F21"/>
        <rFont val="Trebuchet MS"/>
        <family val="2"/>
      </rPr>
      <t>160/E</t>
    </r>
    <r>
      <rPr>
        <sz val="9"/>
        <color rgb="FF484B4B"/>
        <rFont val="Trebuchet MS"/>
        <family val="2"/>
      </rPr>
      <t>-N</t>
    </r>
    <r>
      <rPr>
        <sz val="9"/>
        <color rgb="FF2F3134"/>
        <rFont val="Trebuchet MS"/>
        <family val="2"/>
      </rPr>
      <t>D</t>
    </r>
    <r>
      <rPr>
        <sz val="9"/>
        <color rgb="FF484B4B"/>
        <rFont val="Trebuchet MS"/>
        <family val="2"/>
      </rPr>
      <t>. N/</t>
    </r>
    <r>
      <rPr>
        <sz val="9"/>
        <color rgb="FF2F3134"/>
        <rFont val="Trebuchet MS"/>
        <family val="2"/>
      </rPr>
      <t>2023</t>
    </r>
  </si>
  <si>
    <r>
      <t>RATEL METAL CO</t>
    </r>
    <r>
      <rPr>
        <sz val="9"/>
        <color rgb="FF484B4B"/>
        <rFont val="Trebuchet MS"/>
        <family val="2"/>
      </rPr>
      <t>N</t>
    </r>
    <r>
      <rPr>
        <sz val="9"/>
        <color rgb="FF2F3134"/>
        <rFont val="Trebuchet MS"/>
        <family val="2"/>
      </rPr>
      <t>GO SARL</t>
    </r>
  </si>
  <si>
    <r>
      <t>P</t>
    </r>
    <r>
      <rPr>
        <sz val="9"/>
        <color rgb="FF484B4B"/>
        <rFont val="Trebuchet MS"/>
        <family val="2"/>
      </rPr>
      <t>R 1</t>
    </r>
    <r>
      <rPr>
        <sz val="9"/>
        <color rgb="FF2F3134"/>
        <rFont val="Trebuchet MS"/>
        <family val="2"/>
      </rPr>
      <t>5</t>
    </r>
    <r>
      <rPr>
        <sz val="9"/>
        <color rgb="FF484B4B"/>
        <rFont val="Trebuchet MS"/>
        <family val="2"/>
      </rPr>
      <t>3</t>
    </r>
    <r>
      <rPr>
        <sz val="9"/>
        <color rgb="FF2F3134"/>
        <rFont val="Trebuchet MS"/>
        <family val="2"/>
      </rPr>
      <t>01</t>
    </r>
  </si>
  <si>
    <r>
      <t>M</t>
    </r>
    <r>
      <rPr>
        <sz val="9"/>
        <color rgb="FF2F3134"/>
        <rFont val="Trebuchet MS"/>
        <family val="2"/>
      </rPr>
      <t>A</t>
    </r>
    <r>
      <rPr>
        <sz val="9"/>
        <color rgb="FF484B4B"/>
        <rFont val="Trebuchet MS"/>
        <family val="2"/>
      </rPr>
      <t>M</t>
    </r>
    <r>
      <rPr>
        <sz val="9"/>
        <color rgb="FF2F3134"/>
        <rFont val="Trebuchet MS"/>
        <family val="2"/>
      </rPr>
      <t>BASA</t>
    </r>
  </si>
  <si>
    <r>
      <t>DPE</t>
    </r>
    <r>
      <rPr>
        <sz val="9"/>
        <color rgb="FF484B4B"/>
        <rFont val="Trebuchet MS"/>
        <family val="2"/>
      </rPr>
      <t>M/</t>
    </r>
    <r>
      <rPr>
        <sz val="9"/>
        <color rgb="FF2F3134"/>
        <rFont val="Trebuchet MS"/>
        <family val="2"/>
      </rPr>
      <t>161</t>
    </r>
    <r>
      <rPr>
        <sz val="9"/>
        <color rgb="FF484B4B"/>
        <rFont val="Trebuchet MS"/>
        <family val="2"/>
      </rPr>
      <t>/</t>
    </r>
    <r>
      <rPr>
        <sz val="9"/>
        <color rgb="FF1D1F21"/>
        <rFont val="Trebuchet MS"/>
        <family val="2"/>
      </rPr>
      <t>E-</t>
    </r>
    <r>
      <rPr>
        <sz val="9"/>
        <color rgb="FF484B4B"/>
        <rFont val="Trebuchet MS"/>
        <family val="2"/>
      </rPr>
      <t>N</t>
    </r>
    <r>
      <rPr>
        <sz val="9"/>
        <color rgb="FF2F3134"/>
        <rFont val="Trebuchet MS"/>
        <family val="2"/>
      </rPr>
      <t>D</t>
    </r>
    <r>
      <rPr>
        <sz val="9"/>
        <color rgb="FF484B4B"/>
        <rFont val="Trebuchet MS"/>
        <family val="2"/>
      </rPr>
      <t>. N/</t>
    </r>
    <r>
      <rPr>
        <sz val="9"/>
        <color rgb="FF2F3134"/>
        <rFont val="Trebuchet MS"/>
        <family val="2"/>
      </rPr>
      <t>2023</t>
    </r>
  </si>
  <si>
    <r>
      <t>PAL</t>
    </r>
    <r>
      <rPr>
        <sz val="9"/>
        <color rgb="FF484B4B"/>
        <rFont val="Trebuchet MS"/>
        <family val="2"/>
      </rPr>
      <t xml:space="preserve">M </t>
    </r>
    <r>
      <rPr>
        <sz val="9"/>
        <color rgb="FF2F3134"/>
        <rFont val="Trebuchet MS"/>
        <family val="2"/>
      </rPr>
      <t xml:space="preserve">CONSTELLATION </t>
    </r>
    <r>
      <rPr>
        <sz val="9"/>
        <color rgb="FF1D1F21"/>
        <rFont val="Trebuchet MS"/>
        <family val="2"/>
      </rPr>
      <t>SARL</t>
    </r>
  </si>
  <si>
    <t>PR 15282</t>
  </si>
  <si>
    <r>
      <t>DPEM</t>
    </r>
    <r>
      <rPr>
        <sz val="9"/>
        <color rgb="FF484B4B"/>
        <rFont val="Trebuchet MS"/>
        <family val="2"/>
      </rPr>
      <t>/</t>
    </r>
    <r>
      <rPr>
        <sz val="9"/>
        <color rgb="FF2F3134"/>
        <rFont val="Trebuchet MS"/>
        <family val="2"/>
      </rPr>
      <t>162</t>
    </r>
    <r>
      <rPr>
        <sz val="9"/>
        <color rgb="FF484B4B"/>
        <rFont val="Trebuchet MS"/>
        <family val="2"/>
      </rPr>
      <t>/</t>
    </r>
    <r>
      <rPr>
        <sz val="9"/>
        <color rgb="FF2F3134"/>
        <rFont val="Trebuchet MS"/>
        <family val="2"/>
      </rPr>
      <t>E-</t>
    </r>
    <r>
      <rPr>
        <sz val="9"/>
        <color rgb="FF484B4B"/>
        <rFont val="Trebuchet MS"/>
        <family val="2"/>
      </rPr>
      <t>N</t>
    </r>
    <r>
      <rPr>
        <sz val="9"/>
        <color rgb="FF2F3134"/>
        <rFont val="Trebuchet MS"/>
        <family val="2"/>
      </rPr>
      <t>D</t>
    </r>
    <r>
      <rPr>
        <sz val="9"/>
        <color rgb="FF5E6062"/>
        <rFont val="Trebuchet MS"/>
        <family val="2"/>
      </rPr>
      <t xml:space="preserve">. </t>
    </r>
    <r>
      <rPr>
        <sz val="9"/>
        <color rgb="FF484B4B"/>
        <rFont val="Trebuchet MS"/>
        <family val="2"/>
      </rPr>
      <t>N/</t>
    </r>
    <r>
      <rPr>
        <sz val="9"/>
        <color rgb="FF2F3134"/>
        <rFont val="Trebuchet MS"/>
        <family val="2"/>
      </rPr>
      <t>2</t>
    </r>
    <r>
      <rPr>
        <sz val="9"/>
        <color rgb="FF484B4B"/>
        <rFont val="Trebuchet MS"/>
        <family val="2"/>
      </rPr>
      <t>023</t>
    </r>
  </si>
  <si>
    <r>
      <t>O</t>
    </r>
    <r>
      <rPr>
        <sz val="9"/>
        <color rgb="FF484B4B"/>
        <rFont val="Trebuchet MS"/>
        <family val="2"/>
      </rPr>
      <t>K</t>
    </r>
    <r>
      <rPr>
        <sz val="9"/>
        <color rgb="FF2F3134"/>
        <rFont val="Trebuchet MS"/>
        <family val="2"/>
      </rPr>
      <t xml:space="preserve">L </t>
    </r>
    <r>
      <rPr>
        <sz val="9"/>
        <color rgb="FF484B4B"/>
        <rFont val="Trebuchet MS"/>
        <family val="2"/>
      </rPr>
      <t>M</t>
    </r>
    <r>
      <rPr>
        <sz val="9"/>
        <color rgb="FF2F3134"/>
        <rFont val="Trebuchet MS"/>
        <family val="2"/>
      </rPr>
      <t>I</t>
    </r>
    <r>
      <rPr>
        <sz val="9"/>
        <color rgb="FF484B4B"/>
        <rFont val="Trebuchet MS"/>
        <family val="2"/>
      </rPr>
      <t>N</t>
    </r>
    <r>
      <rPr>
        <sz val="9"/>
        <color rgb="FF2F3134"/>
        <rFont val="Trebuchet MS"/>
        <family val="2"/>
      </rPr>
      <t>I</t>
    </r>
    <r>
      <rPr>
        <sz val="9"/>
        <color rgb="FF484B4B"/>
        <rFont val="Trebuchet MS"/>
        <family val="2"/>
      </rPr>
      <t>N</t>
    </r>
    <r>
      <rPr>
        <sz val="9"/>
        <color rgb="FF2F3134"/>
        <rFont val="Trebuchet MS"/>
        <family val="2"/>
      </rPr>
      <t>G SARL</t>
    </r>
  </si>
  <si>
    <r>
      <t>PR 1552</t>
    </r>
    <r>
      <rPr>
        <sz val="9"/>
        <color rgb="FF484B4B"/>
        <rFont val="Trebuchet MS"/>
        <family val="2"/>
      </rPr>
      <t>7</t>
    </r>
  </si>
  <si>
    <r>
      <t>BO</t>
    </r>
    <r>
      <rPr>
        <sz val="9"/>
        <color rgb="FF484B4B"/>
        <rFont val="Trebuchet MS"/>
        <family val="2"/>
      </rPr>
      <t>N</t>
    </r>
    <r>
      <rPr>
        <sz val="9"/>
        <color rgb="FF2F3134"/>
        <rFont val="Trebuchet MS"/>
        <family val="2"/>
      </rPr>
      <t>DO</t>
    </r>
  </si>
  <si>
    <r>
      <t>DPE</t>
    </r>
    <r>
      <rPr>
        <sz val="9"/>
        <color rgb="FF484B4B"/>
        <rFont val="Trebuchet MS"/>
        <family val="2"/>
      </rPr>
      <t>M/</t>
    </r>
    <r>
      <rPr>
        <sz val="9"/>
        <color rgb="FF2F3134"/>
        <rFont val="Trebuchet MS"/>
        <family val="2"/>
      </rPr>
      <t>163</t>
    </r>
    <r>
      <rPr>
        <sz val="9"/>
        <color rgb="FF484B4B"/>
        <rFont val="Trebuchet MS"/>
        <family val="2"/>
      </rPr>
      <t>/</t>
    </r>
    <r>
      <rPr>
        <sz val="9"/>
        <color rgb="FF1D1F21"/>
        <rFont val="Trebuchet MS"/>
        <family val="2"/>
      </rPr>
      <t>E</t>
    </r>
    <r>
      <rPr>
        <sz val="9"/>
        <color rgb="FF484B4B"/>
        <rFont val="Trebuchet MS"/>
        <family val="2"/>
      </rPr>
      <t>-N</t>
    </r>
    <r>
      <rPr>
        <sz val="9"/>
        <color rgb="FF2F3134"/>
        <rFont val="Trebuchet MS"/>
        <family val="2"/>
      </rPr>
      <t>D</t>
    </r>
    <r>
      <rPr>
        <sz val="9"/>
        <color rgb="FF5E6062"/>
        <rFont val="Trebuchet MS"/>
        <family val="2"/>
      </rPr>
      <t xml:space="preserve">. </t>
    </r>
    <r>
      <rPr>
        <sz val="9"/>
        <color rgb="FF484B4B"/>
        <rFont val="Trebuchet MS"/>
        <family val="2"/>
      </rPr>
      <t>N/</t>
    </r>
    <r>
      <rPr>
        <sz val="9"/>
        <color rgb="FF2F3134"/>
        <rFont val="Trebuchet MS"/>
        <family val="2"/>
      </rPr>
      <t>2023</t>
    </r>
  </si>
  <si>
    <r>
      <t>OKL M</t>
    </r>
    <r>
      <rPr>
        <sz val="9"/>
        <color rgb="FF484B4B"/>
        <rFont val="Trebuchet MS"/>
        <family val="2"/>
      </rPr>
      <t>IN</t>
    </r>
    <r>
      <rPr>
        <sz val="9"/>
        <color rgb="FF2F3134"/>
        <rFont val="Trebuchet MS"/>
        <family val="2"/>
      </rPr>
      <t>I</t>
    </r>
    <r>
      <rPr>
        <sz val="9"/>
        <color rgb="FF484B4B"/>
        <rFont val="Trebuchet MS"/>
        <family val="2"/>
      </rPr>
      <t>N</t>
    </r>
    <r>
      <rPr>
        <sz val="9"/>
        <color rgb="FF2F3134"/>
        <rFont val="Trebuchet MS"/>
        <family val="2"/>
      </rPr>
      <t>G SARL</t>
    </r>
  </si>
  <si>
    <r>
      <t xml:space="preserve">PR </t>
    </r>
    <r>
      <rPr>
        <sz val="9"/>
        <color rgb="FF2F3134"/>
        <rFont val="Trebuchet MS"/>
        <family val="2"/>
      </rPr>
      <t>15528</t>
    </r>
  </si>
  <si>
    <t>BONDO</t>
  </si>
  <si>
    <r>
      <t>DPE</t>
    </r>
    <r>
      <rPr>
        <sz val="9"/>
        <color rgb="FF484B4B"/>
        <rFont val="Trebuchet MS"/>
        <family val="2"/>
      </rPr>
      <t>M/</t>
    </r>
    <r>
      <rPr>
        <sz val="9"/>
        <color rgb="FF2F3134"/>
        <rFont val="Trebuchet MS"/>
        <family val="2"/>
      </rPr>
      <t>164</t>
    </r>
    <r>
      <rPr>
        <sz val="9"/>
        <color rgb="FF484B4B"/>
        <rFont val="Trebuchet MS"/>
        <family val="2"/>
      </rPr>
      <t>/</t>
    </r>
    <r>
      <rPr>
        <sz val="9"/>
        <color rgb="FF1D1F21"/>
        <rFont val="Trebuchet MS"/>
        <family val="2"/>
      </rPr>
      <t>E-ND</t>
    </r>
    <r>
      <rPr>
        <sz val="9"/>
        <color rgb="FF484B4B"/>
        <rFont val="Trebuchet MS"/>
        <family val="2"/>
      </rPr>
      <t>. N/</t>
    </r>
    <r>
      <rPr>
        <sz val="9"/>
        <color rgb="FF2F3134"/>
        <rFont val="Trebuchet MS"/>
        <family val="2"/>
      </rPr>
      <t>2023</t>
    </r>
  </si>
  <si>
    <r>
      <t>O</t>
    </r>
    <r>
      <rPr>
        <sz val="9"/>
        <color rgb="FF484B4B"/>
        <rFont val="Trebuchet MS"/>
        <family val="2"/>
      </rPr>
      <t>K</t>
    </r>
    <r>
      <rPr>
        <sz val="9"/>
        <color rgb="FF2F3134"/>
        <rFont val="Trebuchet MS"/>
        <family val="2"/>
      </rPr>
      <t xml:space="preserve">L </t>
    </r>
    <r>
      <rPr>
        <sz val="9"/>
        <color rgb="FF484B4B"/>
        <rFont val="Trebuchet MS"/>
        <family val="2"/>
      </rPr>
      <t>MIN</t>
    </r>
    <r>
      <rPr>
        <sz val="9"/>
        <color rgb="FF2F3134"/>
        <rFont val="Trebuchet MS"/>
        <family val="2"/>
      </rPr>
      <t>I</t>
    </r>
    <r>
      <rPr>
        <sz val="9"/>
        <color rgb="FF484B4B"/>
        <rFont val="Trebuchet MS"/>
        <family val="2"/>
      </rPr>
      <t>N</t>
    </r>
    <r>
      <rPr>
        <sz val="9"/>
        <color rgb="FF2F3134"/>
        <rFont val="Trebuchet MS"/>
        <family val="2"/>
      </rPr>
      <t>G SARL</t>
    </r>
  </si>
  <si>
    <r>
      <t>P</t>
    </r>
    <r>
      <rPr>
        <sz val="9"/>
        <color rgb="FF484B4B"/>
        <rFont val="Trebuchet MS"/>
        <family val="2"/>
      </rPr>
      <t xml:space="preserve">R </t>
    </r>
    <r>
      <rPr>
        <sz val="9"/>
        <color rgb="FF2F3134"/>
        <rFont val="Trebuchet MS"/>
        <family val="2"/>
      </rPr>
      <t>1557</t>
    </r>
    <r>
      <rPr>
        <sz val="9"/>
        <color rgb="FF484B4B"/>
        <rFont val="Trebuchet MS"/>
        <family val="2"/>
      </rPr>
      <t>9</t>
    </r>
  </si>
  <si>
    <r>
      <t>DPE</t>
    </r>
    <r>
      <rPr>
        <sz val="9"/>
        <color rgb="FF484B4B"/>
        <rFont val="Trebuchet MS"/>
        <family val="2"/>
      </rPr>
      <t>M/</t>
    </r>
    <r>
      <rPr>
        <sz val="9"/>
        <color rgb="FF2F3134"/>
        <rFont val="Trebuchet MS"/>
        <family val="2"/>
      </rPr>
      <t>164</t>
    </r>
    <r>
      <rPr>
        <sz val="9"/>
        <color rgb="FF484B4B"/>
        <rFont val="Trebuchet MS"/>
        <family val="2"/>
      </rPr>
      <t>/</t>
    </r>
    <r>
      <rPr>
        <sz val="9"/>
        <color rgb="FF2F3134"/>
        <rFont val="Trebuchet MS"/>
        <family val="2"/>
      </rPr>
      <t>E-</t>
    </r>
    <r>
      <rPr>
        <sz val="9"/>
        <color rgb="FF484B4B"/>
        <rFont val="Trebuchet MS"/>
        <family val="2"/>
      </rPr>
      <t>N</t>
    </r>
    <r>
      <rPr>
        <sz val="9"/>
        <color rgb="FF2F3134"/>
        <rFont val="Trebuchet MS"/>
        <family val="2"/>
      </rPr>
      <t>D</t>
    </r>
    <r>
      <rPr>
        <sz val="9"/>
        <color rgb="FF484B4B"/>
        <rFont val="Trebuchet MS"/>
        <family val="2"/>
      </rPr>
      <t>. N/</t>
    </r>
    <r>
      <rPr>
        <sz val="9"/>
        <color rgb="FF2F3134"/>
        <rFont val="Trebuchet MS"/>
        <family val="2"/>
      </rPr>
      <t>2023</t>
    </r>
  </si>
  <si>
    <r>
      <t xml:space="preserve">OKL </t>
    </r>
    <r>
      <rPr>
        <sz val="9"/>
        <color rgb="FF484B4B"/>
        <rFont val="Trebuchet MS"/>
        <family val="2"/>
      </rPr>
      <t>M</t>
    </r>
    <r>
      <rPr>
        <sz val="9"/>
        <color rgb="FF2F3134"/>
        <rFont val="Trebuchet MS"/>
        <family val="2"/>
      </rPr>
      <t>INI</t>
    </r>
    <r>
      <rPr>
        <sz val="9"/>
        <color rgb="FF484B4B"/>
        <rFont val="Trebuchet MS"/>
        <family val="2"/>
      </rPr>
      <t>N</t>
    </r>
    <r>
      <rPr>
        <sz val="9"/>
        <color rgb="FF2F3134"/>
        <rFont val="Trebuchet MS"/>
        <family val="2"/>
      </rPr>
      <t>G SARL</t>
    </r>
  </si>
  <si>
    <t>PR 15579</t>
  </si>
  <si>
    <r>
      <t>MA</t>
    </r>
    <r>
      <rPr>
        <sz val="9"/>
        <color rgb="FF484B4B"/>
        <rFont val="Trebuchet MS"/>
        <family val="2"/>
      </rPr>
      <t>M</t>
    </r>
    <r>
      <rPr>
        <sz val="9"/>
        <color rgb="FF2F3134"/>
        <rFont val="Trebuchet MS"/>
        <family val="2"/>
      </rPr>
      <t>BASA</t>
    </r>
  </si>
  <si>
    <r>
      <t>DPE</t>
    </r>
    <r>
      <rPr>
        <sz val="9"/>
        <color rgb="FF484B4B"/>
        <rFont val="Trebuchet MS"/>
        <family val="2"/>
      </rPr>
      <t>M/</t>
    </r>
    <r>
      <rPr>
        <sz val="9"/>
        <color rgb="FF2F3134"/>
        <rFont val="Trebuchet MS"/>
        <family val="2"/>
      </rPr>
      <t>165</t>
    </r>
    <r>
      <rPr>
        <sz val="9"/>
        <color rgb="FF484B4B"/>
        <rFont val="Trebuchet MS"/>
        <family val="2"/>
      </rPr>
      <t>/</t>
    </r>
    <r>
      <rPr>
        <sz val="9"/>
        <color rgb="FF2F3134"/>
        <rFont val="Trebuchet MS"/>
        <family val="2"/>
      </rPr>
      <t>E</t>
    </r>
    <r>
      <rPr>
        <sz val="9"/>
        <color rgb="FF484B4B"/>
        <rFont val="Trebuchet MS"/>
        <family val="2"/>
      </rPr>
      <t>-N</t>
    </r>
    <r>
      <rPr>
        <sz val="9"/>
        <color rgb="FF2F3134"/>
        <rFont val="Trebuchet MS"/>
        <family val="2"/>
      </rPr>
      <t>D</t>
    </r>
    <r>
      <rPr>
        <sz val="9"/>
        <color rgb="FF484B4B"/>
        <rFont val="Trebuchet MS"/>
        <family val="2"/>
      </rPr>
      <t>. N/</t>
    </r>
    <r>
      <rPr>
        <sz val="9"/>
        <color rgb="FF2F3134"/>
        <rFont val="Trebuchet MS"/>
        <family val="2"/>
      </rPr>
      <t>2023</t>
    </r>
  </si>
  <si>
    <r>
      <t>O</t>
    </r>
    <r>
      <rPr>
        <sz val="9"/>
        <color rgb="FF484B4B"/>
        <rFont val="Trebuchet MS"/>
        <family val="2"/>
      </rPr>
      <t>K</t>
    </r>
    <r>
      <rPr>
        <sz val="9"/>
        <color rgb="FF2F3134"/>
        <rFont val="Trebuchet MS"/>
        <family val="2"/>
      </rPr>
      <t xml:space="preserve">L </t>
    </r>
    <r>
      <rPr>
        <sz val="9"/>
        <color rgb="FF484B4B"/>
        <rFont val="Trebuchet MS"/>
        <family val="2"/>
      </rPr>
      <t>MININ</t>
    </r>
    <r>
      <rPr>
        <sz val="9"/>
        <color rgb="FF2F3134"/>
        <rFont val="Trebuchet MS"/>
        <family val="2"/>
      </rPr>
      <t>G S</t>
    </r>
    <r>
      <rPr>
        <sz val="9"/>
        <color rgb="FF484B4B"/>
        <rFont val="Trebuchet MS"/>
        <family val="2"/>
      </rPr>
      <t>A</t>
    </r>
    <r>
      <rPr>
        <sz val="9"/>
        <color rgb="FF2F3134"/>
        <rFont val="Trebuchet MS"/>
        <family val="2"/>
      </rPr>
      <t>R</t>
    </r>
    <r>
      <rPr>
        <sz val="9"/>
        <color rgb="FF484B4B"/>
        <rFont val="Trebuchet MS"/>
        <family val="2"/>
      </rPr>
      <t>L</t>
    </r>
  </si>
  <si>
    <r>
      <t>PR 1</t>
    </r>
    <r>
      <rPr>
        <sz val="9"/>
        <color rgb="FF2F3134"/>
        <rFont val="Trebuchet MS"/>
        <family val="2"/>
      </rPr>
      <t>55</t>
    </r>
    <r>
      <rPr>
        <sz val="9"/>
        <color rgb="FF484B4B"/>
        <rFont val="Trebuchet MS"/>
        <family val="2"/>
      </rPr>
      <t>80</t>
    </r>
  </si>
  <si>
    <r>
      <t>M</t>
    </r>
    <r>
      <rPr>
        <sz val="9"/>
        <color rgb="FF2F3134"/>
        <rFont val="Trebuchet MS"/>
        <family val="2"/>
      </rPr>
      <t>A</t>
    </r>
    <r>
      <rPr>
        <sz val="9"/>
        <color rgb="FF484B4B"/>
        <rFont val="Trebuchet MS"/>
        <family val="2"/>
      </rPr>
      <t>M</t>
    </r>
    <r>
      <rPr>
        <sz val="9"/>
        <color rgb="FF2F3134"/>
        <rFont val="Trebuchet MS"/>
        <family val="2"/>
      </rPr>
      <t>B</t>
    </r>
    <r>
      <rPr>
        <sz val="9"/>
        <color rgb="FF484B4B"/>
        <rFont val="Trebuchet MS"/>
        <family val="2"/>
      </rPr>
      <t>ASA</t>
    </r>
  </si>
  <si>
    <r>
      <t>DPE</t>
    </r>
    <r>
      <rPr>
        <sz val="9"/>
        <color rgb="FF484B4B"/>
        <rFont val="Trebuchet MS"/>
        <family val="2"/>
      </rPr>
      <t>M/</t>
    </r>
    <r>
      <rPr>
        <sz val="9"/>
        <color rgb="FF2F3134"/>
        <rFont val="Trebuchet MS"/>
        <family val="2"/>
      </rPr>
      <t>166</t>
    </r>
    <r>
      <rPr>
        <sz val="9"/>
        <color rgb="FF484B4B"/>
        <rFont val="Trebuchet MS"/>
        <family val="2"/>
      </rPr>
      <t>/</t>
    </r>
    <r>
      <rPr>
        <sz val="9"/>
        <color rgb="FF2F3134"/>
        <rFont val="Trebuchet MS"/>
        <family val="2"/>
      </rPr>
      <t>E</t>
    </r>
    <r>
      <rPr>
        <sz val="9"/>
        <color rgb="FF484B4B"/>
        <rFont val="Trebuchet MS"/>
        <family val="2"/>
      </rPr>
      <t>-N</t>
    </r>
    <r>
      <rPr>
        <sz val="9"/>
        <color rgb="FF2F3134"/>
        <rFont val="Trebuchet MS"/>
        <family val="2"/>
      </rPr>
      <t>D</t>
    </r>
    <r>
      <rPr>
        <sz val="9"/>
        <color rgb="FF5E6062"/>
        <rFont val="Trebuchet MS"/>
        <family val="2"/>
      </rPr>
      <t xml:space="preserve">. </t>
    </r>
    <r>
      <rPr>
        <sz val="9"/>
        <color rgb="FF484B4B"/>
        <rFont val="Trebuchet MS"/>
        <family val="2"/>
      </rPr>
      <t>N/</t>
    </r>
    <r>
      <rPr>
        <sz val="9"/>
        <color rgb="FF2F3134"/>
        <rFont val="Trebuchet MS"/>
        <family val="2"/>
      </rPr>
      <t>20</t>
    </r>
    <r>
      <rPr>
        <sz val="9"/>
        <color rgb="FF484B4B"/>
        <rFont val="Trebuchet MS"/>
        <family val="2"/>
      </rPr>
      <t>23</t>
    </r>
  </si>
  <si>
    <r>
      <t>O</t>
    </r>
    <r>
      <rPr>
        <sz val="9"/>
        <color rgb="FF484B4B"/>
        <rFont val="Trebuchet MS"/>
        <family val="2"/>
      </rPr>
      <t>K</t>
    </r>
    <r>
      <rPr>
        <sz val="9"/>
        <color rgb="FF2F3134"/>
        <rFont val="Trebuchet MS"/>
        <family val="2"/>
      </rPr>
      <t>L MINING SARL</t>
    </r>
  </si>
  <si>
    <r>
      <t>PR 153</t>
    </r>
    <r>
      <rPr>
        <sz val="9"/>
        <color rgb="FF484B4B"/>
        <rFont val="Trebuchet MS"/>
        <family val="2"/>
      </rPr>
      <t>8</t>
    </r>
    <r>
      <rPr>
        <sz val="9"/>
        <color rgb="FF2F3134"/>
        <rFont val="Trebuchet MS"/>
        <family val="2"/>
      </rPr>
      <t>93</t>
    </r>
  </si>
  <si>
    <r>
      <t>KA</t>
    </r>
    <r>
      <rPr>
        <sz val="9"/>
        <color rgb="FF484B4B"/>
        <rFont val="Trebuchet MS"/>
        <family val="2"/>
      </rPr>
      <t>M</t>
    </r>
    <r>
      <rPr>
        <sz val="9"/>
        <color rgb="FF2F3134"/>
        <rFont val="Trebuchet MS"/>
        <family val="2"/>
      </rPr>
      <t>BO</t>
    </r>
    <r>
      <rPr>
        <sz val="9"/>
        <color rgb="FF484B4B"/>
        <rFont val="Trebuchet MS"/>
        <family val="2"/>
      </rPr>
      <t>V</t>
    </r>
    <r>
      <rPr>
        <sz val="9"/>
        <color rgb="FF2F3134"/>
        <rFont val="Trebuchet MS"/>
        <family val="2"/>
      </rPr>
      <t>E</t>
    </r>
  </si>
  <si>
    <r>
      <t>DPE</t>
    </r>
    <r>
      <rPr>
        <sz val="9"/>
        <color rgb="FF484B4B"/>
        <rFont val="Trebuchet MS"/>
        <family val="2"/>
      </rPr>
      <t>M/</t>
    </r>
    <r>
      <rPr>
        <sz val="9"/>
        <color rgb="FF2F3134"/>
        <rFont val="Trebuchet MS"/>
        <family val="2"/>
      </rPr>
      <t>16</t>
    </r>
    <r>
      <rPr>
        <sz val="9"/>
        <color rgb="FF484B4B"/>
        <rFont val="Trebuchet MS"/>
        <family val="2"/>
      </rPr>
      <t>7/</t>
    </r>
    <r>
      <rPr>
        <sz val="9"/>
        <color rgb="FF2F3134"/>
        <rFont val="Trebuchet MS"/>
        <family val="2"/>
      </rPr>
      <t>E</t>
    </r>
    <r>
      <rPr>
        <sz val="9"/>
        <color rgb="FF484B4B"/>
        <rFont val="Trebuchet MS"/>
        <family val="2"/>
      </rPr>
      <t>-N</t>
    </r>
    <r>
      <rPr>
        <sz val="9"/>
        <color rgb="FF2F3134"/>
        <rFont val="Trebuchet MS"/>
        <family val="2"/>
      </rPr>
      <t>D</t>
    </r>
    <r>
      <rPr>
        <sz val="9"/>
        <color rgb="FF484B4B"/>
        <rFont val="Trebuchet MS"/>
        <family val="2"/>
      </rPr>
      <t>. N/</t>
    </r>
    <r>
      <rPr>
        <sz val="9"/>
        <color rgb="FF2F3134"/>
        <rFont val="Trebuchet MS"/>
        <family val="2"/>
      </rPr>
      <t>2023</t>
    </r>
  </si>
  <si>
    <r>
      <t>P</t>
    </r>
    <r>
      <rPr>
        <sz val="9"/>
        <color rgb="FF484B4B"/>
        <rFont val="Trebuchet MS"/>
        <family val="2"/>
      </rPr>
      <t>R 1</t>
    </r>
    <r>
      <rPr>
        <sz val="9"/>
        <color rgb="FF2F3134"/>
        <rFont val="Trebuchet MS"/>
        <family val="2"/>
      </rPr>
      <t>5394</t>
    </r>
  </si>
  <si>
    <r>
      <t>BUKA</t>
    </r>
    <r>
      <rPr>
        <sz val="9"/>
        <color rgb="FF484B4B"/>
        <rFont val="Trebuchet MS"/>
        <family val="2"/>
      </rPr>
      <t>M</t>
    </r>
    <r>
      <rPr>
        <sz val="9"/>
        <color rgb="FF2F3134"/>
        <rFont val="Trebuchet MS"/>
        <family val="2"/>
      </rPr>
      <t xml:space="preserve">A </t>
    </r>
    <r>
      <rPr>
        <sz val="9"/>
        <color rgb="FF484B4B"/>
        <rFont val="Trebuchet MS"/>
        <family val="2"/>
      </rPr>
      <t>e</t>
    </r>
    <r>
      <rPr>
        <sz val="9"/>
        <color rgb="FF2F3134"/>
        <rFont val="Trebuchet MS"/>
        <family val="2"/>
      </rPr>
      <t>t LUBUDI</t>
    </r>
  </si>
  <si>
    <r>
      <t>DPEM</t>
    </r>
    <r>
      <rPr>
        <sz val="9"/>
        <color rgb="FF484B4B"/>
        <rFont val="Trebuchet MS"/>
        <family val="2"/>
      </rPr>
      <t>/</t>
    </r>
    <r>
      <rPr>
        <sz val="9"/>
        <color rgb="FF2F3134"/>
        <rFont val="Trebuchet MS"/>
        <family val="2"/>
      </rPr>
      <t>168</t>
    </r>
    <r>
      <rPr>
        <sz val="9"/>
        <color rgb="FF484B4B"/>
        <rFont val="Trebuchet MS"/>
        <family val="2"/>
      </rPr>
      <t>/</t>
    </r>
    <r>
      <rPr>
        <sz val="9"/>
        <color rgb="FF2F3134"/>
        <rFont val="Trebuchet MS"/>
        <family val="2"/>
      </rPr>
      <t>E</t>
    </r>
    <r>
      <rPr>
        <sz val="9"/>
        <color rgb="FF484B4B"/>
        <rFont val="Trebuchet MS"/>
        <family val="2"/>
      </rPr>
      <t>-</t>
    </r>
    <r>
      <rPr>
        <sz val="9"/>
        <color rgb="FF2F3134"/>
        <rFont val="Trebuchet MS"/>
        <family val="2"/>
      </rPr>
      <t xml:space="preserve">ND. </t>
    </r>
    <r>
      <rPr>
        <sz val="9"/>
        <color rgb="FF484B4B"/>
        <rFont val="Trebuchet MS"/>
        <family val="2"/>
      </rPr>
      <t>N/</t>
    </r>
    <r>
      <rPr>
        <sz val="9"/>
        <color rgb="FF2F3134"/>
        <rFont val="Trebuchet MS"/>
        <family val="2"/>
      </rPr>
      <t>2023</t>
    </r>
  </si>
  <si>
    <r>
      <t xml:space="preserve">LUANZO </t>
    </r>
    <r>
      <rPr>
        <sz val="9"/>
        <color rgb="FF2F3134"/>
        <rFont val="Trebuchet MS"/>
        <family val="2"/>
      </rPr>
      <t>INVESTISSEME</t>
    </r>
    <r>
      <rPr>
        <sz val="9"/>
        <color rgb="FF484B4B"/>
        <rFont val="Trebuchet MS"/>
        <family val="2"/>
      </rPr>
      <t>N</t>
    </r>
    <r>
      <rPr>
        <sz val="9"/>
        <color rgb="FF2F3134"/>
        <rFont val="Trebuchet MS"/>
        <family val="2"/>
      </rPr>
      <t xml:space="preserve">TS </t>
    </r>
    <r>
      <rPr>
        <sz val="9"/>
        <color rgb="FF1D1F21"/>
        <rFont val="Trebuchet MS"/>
        <family val="2"/>
      </rPr>
      <t>SARL</t>
    </r>
  </si>
  <si>
    <t>PR 15283</t>
  </si>
  <si>
    <r>
      <t>DPE</t>
    </r>
    <r>
      <rPr>
        <sz val="9"/>
        <color rgb="FF484B4B"/>
        <rFont val="Trebuchet MS"/>
        <family val="2"/>
      </rPr>
      <t>M/</t>
    </r>
    <r>
      <rPr>
        <sz val="9"/>
        <color rgb="FF2F3134"/>
        <rFont val="Trebuchet MS"/>
        <family val="2"/>
      </rPr>
      <t>169</t>
    </r>
    <r>
      <rPr>
        <sz val="9"/>
        <color rgb="FF484B4B"/>
        <rFont val="Trebuchet MS"/>
        <family val="2"/>
      </rPr>
      <t>/</t>
    </r>
    <r>
      <rPr>
        <sz val="9"/>
        <color rgb="FF2F3134"/>
        <rFont val="Trebuchet MS"/>
        <family val="2"/>
      </rPr>
      <t>E</t>
    </r>
    <r>
      <rPr>
        <sz val="9"/>
        <color rgb="FF484B4B"/>
        <rFont val="Trebuchet MS"/>
        <family val="2"/>
      </rPr>
      <t>-N</t>
    </r>
    <r>
      <rPr>
        <sz val="9"/>
        <color rgb="FF2F3134"/>
        <rFont val="Trebuchet MS"/>
        <family val="2"/>
      </rPr>
      <t>D</t>
    </r>
    <r>
      <rPr>
        <sz val="9"/>
        <color rgb="FF484B4B"/>
        <rFont val="Trebuchet MS"/>
        <family val="2"/>
      </rPr>
      <t xml:space="preserve">. </t>
    </r>
    <r>
      <rPr>
        <sz val="9"/>
        <color rgb="FF2F3134"/>
        <rFont val="Trebuchet MS"/>
        <family val="2"/>
      </rPr>
      <t>N</t>
    </r>
    <r>
      <rPr>
        <sz val="9"/>
        <color rgb="FF484B4B"/>
        <rFont val="Trebuchet MS"/>
        <family val="2"/>
      </rPr>
      <t>/</t>
    </r>
    <r>
      <rPr>
        <sz val="9"/>
        <color rgb="FF1D1F21"/>
        <rFont val="Trebuchet MS"/>
        <family val="2"/>
      </rPr>
      <t>2023</t>
    </r>
  </si>
  <si>
    <r>
      <t xml:space="preserve">SUCCESS </t>
    </r>
    <r>
      <rPr>
        <sz val="9"/>
        <color rgb="FF2F3134"/>
        <rFont val="Trebuchet MS"/>
        <family val="2"/>
      </rPr>
      <t>THREE MINING SARL</t>
    </r>
  </si>
  <si>
    <r>
      <t xml:space="preserve">PR </t>
    </r>
    <r>
      <rPr>
        <sz val="9"/>
        <color rgb="FF484B4B"/>
        <rFont val="Trebuchet MS"/>
        <family val="2"/>
      </rPr>
      <t>1</t>
    </r>
    <r>
      <rPr>
        <sz val="9"/>
        <color rgb="FF2F3134"/>
        <rFont val="Trebuchet MS"/>
        <family val="2"/>
      </rPr>
      <t>558</t>
    </r>
    <r>
      <rPr>
        <sz val="9"/>
        <color rgb="FF484B4B"/>
        <rFont val="Trebuchet MS"/>
        <family val="2"/>
      </rPr>
      <t>7</t>
    </r>
  </si>
  <si>
    <r>
      <t>M</t>
    </r>
    <r>
      <rPr>
        <sz val="9"/>
        <color rgb="FF2F3134"/>
        <rFont val="Trebuchet MS"/>
        <family val="2"/>
      </rPr>
      <t>ALE</t>
    </r>
    <r>
      <rPr>
        <sz val="9"/>
        <color rgb="FF484B4B"/>
        <rFont val="Trebuchet MS"/>
        <family val="2"/>
      </rPr>
      <t>M</t>
    </r>
    <r>
      <rPr>
        <sz val="9"/>
        <color rgb="FF2F3134"/>
        <rFont val="Trebuchet MS"/>
        <family val="2"/>
      </rPr>
      <t>B</t>
    </r>
    <r>
      <rPr>
        <sz val="9"/>
        <color rgb="FF484B4B"/>
        <rFont val="Trebuchet MS"/>
        <family val="2"/>
      </rPr>
      <t>A-N</t>
    </r>
    <r>
      <rPr>
        <sz val="9"/>
        <color rgb="FF2F3134"/>
        <rFont val="Trebuchet MS"/>
        <family val="2"/>
      </rPr>
      <t>KU</t>
    </r>
    <r>
      <rPr>
        <sz val="9"/>
        <color rgb="FF484B4B"/>
        <rFont val="Trebuchet MS"/>
        <family val="2"/>
      </rPr>
      <t>L</t>
    </r>
    <r>
      <rPr>
        <sz val="9"/>
        <color rgb="FF2F3134"/>
        <rFont val="Trebuchet MS"/>
        <family val="2"/>
      </rPr>
      <t>U</t>
    </r>
  </si>
  <si>
    <r>
      <t>DPE</t>
    </r>
    <r>
      <rPr>
        <sz val="9"/>
        <color rgb="FF484B4B"/>
        <rFont val="Trebuchet MS"/>
        <family val="2"/>
      </rPr>
      <t>M/</t>
    </r>
    <r>
      <rPr>
        <sz val="9"/>
        <color rgb="FF2F3134"/>
        <rFont val="Trebuchet MS"/>
        <family val="2"/>
      </rPr>
      <t>170</t>
    </r>
    <r>
      <rPr>
        <sz val="9"/>
        <color rgb="FF484B4B"/>
        <rFont val="Trebuchet MS"/>
        <family val="2"/>
      </rPr>
      <t>/</t>
    </r>
    <r>
      <rPr>
        <sz val="9"/>
        <color rgb="FF1D1F21"/>
        <rFont val="Trebuchet MS"/>
        <family val="2"/>
      </rPr>
      <t>E-</t>
    </r>
    <r>
      <rPr>
        <sz val="9"/>
        <color rgb="FF484B4B"/>
        <rFont val="Trebuchet MS"/>
        <family val="2"/>
      </rPr>
      <t>N</t>
    </r>
    <r>
      <rPr>
        <sz val="9"/>
        <color rgb="FF2F3134"/>
        <rFont val="Trebuchet MS"/>
        <family val="2"/>
      </rPr>
      <t>D</t>
    </r>
    <r>
      <rPr>
        <sz val="9"/>
        <color rgb="FF484B4B"/>
        <rFont val="Trebuchet MS"/>
        <family val="2"/>
      </rPr>
      <t xml:space="preserve">. </t>
    </r>
    <r>
      <rPr>
        <sz val="9"/>
        <color rgb="FF2F3134"/>
        <rFont val="Trebuchet MS"/>
        <family val="2"/>
      </rPr>
      <t>N</t>
    </r>
    <r>
      <rPr>
        <sz val="9"/>
        <color rgb="FF484B4B"/>
        <rFont val="Trebuchet MS"/>
        <family val="2"/>
      </rPr>
      <t>/</t>
    </r>
    <r>
      <rPr>
        <sz val="9"/>
        <color rgb="FF2F3134"/>
        <rFont val="Trebuchet MS"/>
        <family val="2"/>
      </rPr>
      <t>2023</t>
    </r>
  </si>
  <si>
    <r>
      <t xml:space="preserve">SUCCESS THREE </t>
    </r>
    <r>
      <rPr>
        <sz val="9"/>
        <color rgb="FF2F3134"/>
        <rFont val="Trebuchet MS"/>
        <family val="2"/>
      </rPr>
      <t>M</t>
    </r>
    <r>
      <rPr>
        <sz val="9"/>
        <color rgb="FF484B4B"/>
        <rFont val="Trebuchet MS"/>
        <family val="2"/>
      </rPr>
      <t>IN</t>
    </r>
    <r>
      <rPr>
        <sz val="9"/>
        <color rgb="FF2F3134"/>
        <rFont val="Trebuchet MS"/>
        <family val="2"/>
      </rPr>
      <t>I</t>
    </r>
    <r>
      <rPr>
        <sz val="9"/>
        <color rgb="FF484B4B"/>
        <rFont val="Trebuchet MS"/>
        <family val="2"/>
      </rPr>
      <t>N</t>
    </r>
    <r>
      <rPr>
        <sz val="9"/>
        <color rgb="FF2F3134"/>
        <rFont val="Trebuchet MS"/>
        <family val="2"/>
      </rPr>
      <t>G SARL</t>
    </r>
  </si>
  <si>
    <t>PR 15586</t>
  </si>
  <si>
    <r>
      <t>DPEM</t>
    </r>
    <r>
      <rPr>
        <sz val="9"/>
        <color rgb="FF484B4B"/>
        <rFont val="Trebuchet MS"/>
        <family val="2"/>
      </rPr>
      <t>/</t>
    </r>
    <r>
      <rPr>
        <sz val="9"/>
        <color rgb="FF2F3134"/>
        <rFont val="Trebuchet MS"/>
        <family val="2"/>
      </rPr>
      <t>171</t>
    </r>
    <r>
      <rPr>
        <sz val="9"/>
        <color rgb="FF484B4B"/>
        <rFont val="Trebuchet MS"/>
        <family val="2"/>
      </rPr>
      <t>/</t>
    </r>
    <r>
      <rPr>
        <sz val="9"/>
        <color rgb="FF1D1F21"/>
        <rFont val="Trebuchet MS"/>
        <family val="2"/>
      </rPr>
      <t>E-</t>
    </r>
    <r>
      <rPr>
        <sz val="9"/>
        <color rgb="FF484B4B"/>
        <rFont val="Trebuchet MS"/>
        <family val="2"/>
      </rPr>
      <t>N</t>
    </r>
    <r>
      <rPr>
        <sz val="9"/>
        <color rgb="FF2F3134"/>
        <rFont val="Trebuchet MS"/>
        <family val="2"/>
      </rPr>
      <t>D</t>
    </r>
    <r>
      <rPr>
        <sz val="9"/>
        <color rgb="FF484B4B"/>
        <rFont val="Trebuchet MS"/>
        <family val="2"/>
      </rPr>
      <t>. N/</t>
    </r>
    <r>
      <rPr>
        <sz val="9"/>
        <color rgb="FF2F3134"/>
        <rFont val="Trebuchet MS"/>
        <family val="2"/>
      </rPr>
      <t>2023</t>
    </r>
  </si>
  <si>
    <r>
      <t>M</t>
    </r>
    <r>
      <rPr>
        <sz val="9"/>
        <color rgb="FF484B4B"/>
        <rFont val="Trebuchet MS"/>
        <family val="2"/>
      </rPr>
      <t>W</t>
    </r>
    <r>
      <rPr>
        <sz val="9"/>
        <color rgb="FF2F3134"/>
        <rFont val="Trebuchet MS"/>
        <family val="2"/>
      </rPr>
      <t xml:space="preserve">ASENI CONGO </t>
    </r>
    <r>
      <rPr>
        <sz val="9"/>
        <color rgb="FF1D1F21"/>
        <rFont val="Trebuchet MS"/>
        <family val="2"/>
      </rPr>
      <t>SARL</t>
    </r>
  </si>
  <si>
    <t>PR 15279</t>
  </si>
  <si>
    <r>
      <t>K</t>
    </r>
    <r>
      <rPr>
        <sz val="9"/>
        <color rgb="FF2F3134"/>
        <rFont val="Trebuchet MS"/>
        <family val="2"/>
      </rPr>
      <t>ASO</t>
    </r>
    <r>
      <rPr>
        <sz val="9"/>
        <color rgb="FF484B4B"/>
        <rFont val="Trebuchet MS"/>
        <family val="2"/>
      </rPr>
      <t>N</t>
    </r>
    <r>
      <rPr>
        <sz val="9"/>
        <color rgb="FF2F3134"/>
        <rFont val="Trebuchet MS"/>
        <family val="2"/>
      </rPr>
      <t>GO</t>
    </r>
  </si>
  <si>
    <r>
      <t>DPE</t>
    </r>
    <r>
      <rPr>
        <sz val="9"/>
        <color rgb="FF484B4B"/>
        <rFont val="Trebuchet MS"/>
        <family val="2"/>
      </rPr>
      <t>M/</t>
    </r>
    <r>
      <rPr>
        <sz val="9"/>
        <color rgb="FF2F3134"/>
        <rFont val="Trebuchet MS"/>
        <family val="2"/>
      </rPr>
      <t>172</t>
    </r>
    <r>
      <rPr>
        <sz val="9"/>
        <color rgb="FF484B4B"/>
        <rFont val="Trebuchet MS"/>
        <family val="2"/>
      </rPr>
      <t>/</t>
    </r>
    <r>
      <rPr>
        <sz val="9"/>
        <color rgb="FF2F3134"/>
        <rFont val="Trebuchet MS"/>
        <family val="2"/>
      </rPr>
      <t>E-</t>
    </r>
    <r>
      <rPr>
        <sz val="9"/>
        <color rgb="FF484B4B"/>
        <rFont val="Trebuchet MS"/>
        <family val="2"/>
      </rPr>
      <t>N</t>
    </r>
    <r>
      <rPr>
        <sz val="9"/>
        <color rgb="FF2F3134"/>
        <rFont val="Trebuchet MS"/>
        <family val="2"/>
      </rPr>
      <t>D</t>
    </r>
    <r>
      <rPr>
        <sz val="9"/>
        <color rgb="FF484B4B"/>
        <rFont val="Trebuchet MS"/>
        <family val="2"/>
      </rPr>
      <t xml:space="preserve">. </t>
    </r>
    <r>
      <rPr>
        <sz val="9"/>
        <color rgb="FF2F3134"/>
        <rFont val="Trebuchet MS"/>
        <family val="2"/>
      </rPr>
      <t>N</t>
    </r>
    <r>
      <rPr>
        <sz val="9"/>
        <color rgb="FF484B4B"/>
        <rFont val="Trebuchet MS"/>
        <family val="2"/>
      </rPr>
      <t>/</t>
    </r>
    <r>
      <rPr>
        <sz val="9"/>
        <color rgb="FF2F3134"/>
        <rFont val="Trebuchet MS"/>
        <family val="2"/>
      </rPr>
      <t>2023</t>
    </r>
  </si>
  <si>
    <r>
      <t xml:space="preserve">MWASENI CONGO </t>
    </r>
    <r>
      <rPr>
        <sz val="9"/>
        <color rgb="FF1D1F21"/>
        <rFont val="Trebuchet MS"/>
        <family val="2"/>
      </rPr>
      <t>SA</t>
    </r>
    <r>
      <rPr>
        <sz val="9"/>
        <color rgb="FF484B4B"/>
        <rFont val="Trebuchet MS"/>
        <family val="2"/>
      </rPr>
      <t>R</t>
    </r>
    <r>
      <rPr>
        <sz val="9"/>
        <color rgb="FF2F3134"/>
        <rFont val="Trebuchet MS"/>
        <family val="2"/>
      </rPr>
      <t>L</t>
    </r>
  </si>
  <si>
    <t>PR 15280</t>
  </si>
  <si>
    <r>
      <t>DPEM</t>
    </r>
    <r>
      <rPr>
        <sz val="9"/>
        <color rgb="FF484B4B"/>
        <rFont val="Trebuchet MS"/>
        <family val="2"/>
      </rPr>
      <t>/</t>
    </r>
    <r>
      <rPr>
        <sz val="9"/>
        <color rgb="FF1D1F21"/>
        <rFont val="Trebuchet MS"/>
        <family val="2"/>
      </rPr>
      <t>173</t>
    </r>
    <r>
      <rPr>
        <sz val="9"/>
        <color rgb="FF484B4B"/>
        <rFont val="Trebuchet MS"/>
        <family val="2"/>
      </rPr>
      <t>/</t>
    </r>
    <r>
      <rPr>
        <sz val="9"/>
        <color rgb="FF1D1F21"/>
        <rFont val="Trebuchet MS"/>
        <family val="2"/>
      </rPr>
      <t>E-ND</t>
    </r>
    <r>
      <rPr>
        <sz val="9"/>
        <color rgb="FF484B4B"/>
        <rFont val="Trebuchet MS"/>
        <family val="2"/>
      </rPr>
      <t xml:space="preserve">. </t>
    </r>
    <r>
      <rPr>
        <sz val="9"/>
        <color rgb="FF2F3134"/>
        <rFont val="Trebuchet MS"/>
        <family val="2"/>
      </rPr>
      <t>N</t>
    </r>
    <r>
      <rPr>
        <sz val="9"/>
        <color rgb="FF484B4B"/>
        <rFont val="Trebuchet MS"/>
        <family val="2"/>
      </rPr>
      <t>/</t>
    </r>
    <r>
      <rPr>
        <sz val="9"/>
        <color rgb="FF1D1F21"/>
        <rFont val="Trebuchet MS"/>
        <family val="2"/>
      </rPr>
      <t>2023</t>
    </r>
  </si>
  <si>
    <r>
      <t xml:space="preserve">MWASENI CONGO </t>
    </r>
    <r>
      <rPr>
        <sz val="9"/>
        <color rgb="FF1D1F21"/>
        <rFont val="Trebuchet MS"/>
        <family val="2"/>
      </rPr>
      <t>SARL</t>
    </r>
  </si>
  <si>
    <t>PR 15281</t>
  </si>
  <si>
    <r>
      <t>DPEM</t>
    </r>
    <r>
      <rPr>
        <sz val="9"/>
        <color rgb="FF484B4B"/>
        <rFont val="Trebuchet MS"/>
        <family val="2"/>
      </rPr>
      <t>/</t>
    </r>
    <r>
      <rPr>
        <sz val="9"/>
        <color rgb="FF1D1F21"/>
        <rFont val="Trebuchet MS"/>
        <family val="2"/>
      </rPr>
      <t>174</t>
    </r>
    <r>
      <rPr>
        <sz val="9"/>
        <color rgb="FF484B4B"/>
        <rFont val="Trebuchet MS"/>
        <family val="2"/>
      </rPr>
      <t>/</t>
    </r>
    <r>
      <rPr>
        <sz val="9"/>
        <color rgb="FF2F3134"/>
        <rFont val="Trebuchet MS"/>
        <family val="2"/>
      </rPr>
      <t>E</t>
    </r>
    <r>
      <rPr>
        <sz val="9"/>
        <color rgb="FF484B4B"/>
        <rFont val="Trebuchet MS"/>
        <family val="2"/>
      </rPr>
      <t>-</t>
    </r>
    <r>
      <rPr>
        <sz val="9"/>
        <color rgb="FF2F3134"/>
        <rFont val="Trebuchet MS"/>
        <family val="2"/>
      </rPr>
      <t>ND</t>
    </r>
    <r>
      <rPr>
        <sz val="9"/>
        <color rgb="FF484B4B"/>
        <rFont val="Trebuchet MS"/>
        <family val="2"/>
      </rPr>
      <t xml:space="preserve">. </t>
    </r>
    <r>
      <rPr>
        <sz val="9"/>
        <color rgb="FF2F3134"/>
        <rFont val="Trebuchet MS"/>
        <family val="2"/>
      </rPr>
      <t>N</t>
    </r>
    <r>
      <rPr>
        <sz val="9"/>
        <color rgb="FF484B4B"/>
        <rFont val="Trebuchet MS"/>
        <family val="2"/>
      </rPr>
      <t>/</t>
    </r>
    <r>
      <rPr>
        <sz val="9"/>
        <color rgb="FF2F3134"/>
        <rFont val="Trebuchet MS"/>
        <family val="2"/>
      </rPr>
      <t>20</t>
    </r>
    <r>
      <rPr>
        <sz val="9"/>
        <color rgb="FF484B4B"/>
        <rFont val="Trebuchet MS"/>
        <family val="2"/>
      </rPr>
      <t>2</t>
    </r>
    <r>
      <rPr>
        <sz val="9"/>
        <color rgb="FF2F3134"/>
        <rFont val="Trebuchet MS"/>
        <family val="2"/>
      </rPr>
      <t>3</t>
    </r>
  </si>
  <si>
    <r>
      <t xml:space="preserve">STANVIC </t>
    </r>
    <r>
      <rPr>
        <sz val="9"/>
        <color rgb="FF2F3134"/>
        <rFont val="Trebuchet MS"/>
        <family val="2"/>
      </rPr>
      <t>MINING SARL</t>
    </r>
  </si>
  <si>
    <r>
      <t xml:space="preserve">PR </t>
    </r>
    <r>
      <rPr>
        <sz val="9"/>
        <color rgb="FF484B4B"/>
        <rFont val="Trebuchet MS"/>
        <family val="2"/>
      </rPr>
      <t>1</t>
    </r>
    <r>
      <rPr>
        <sz val="9"/>
        <color rgb="FF2F3134"/>
        <rFont val="Trebuchet MS"/>
        <family val="2"/>
      </rPr>
      <t xml:space="preserve">4652 </t>
    </r>
    <r>
      <rPr>
        <sz val="9"/>
        <color rgb="FF484B4B"/>
        <rFont val="Trebuchet MS"/>
        <family val="2"/>
      </rPr>
      <t>et</t>
    </r>
    <r>
      <rPr>
        <sz val="9"/>
        <color rgb="FF2F3134"/>
        <rFont val="Trebuchet MS"/>
        <family val="2"/>
      </rPr>
      <t xml:space="preserve"> 14773</t>
    </r>
  </si>
  <si>
    <r>
      <t>DPE</t>
    </r>
    <r>
      <rPr>
        <sz val="9"/>
        <color rgb="FF484B4B"/>
        <rFont val="Trebuchet MS"/>
        <family val="2"/>
      </rPr>
      <t>M/</t>
    </r>
    <r>
      <rPr>
        <sz val="9"/>
        <color rgb="FF2F3134"/>
        <rFont val="Trebuchet MS"/>
        <family val="2"/>
      </rPr>
      <t>181</t>
    </r>
    <r>
      <rPr>
        <sz val="9"/>
        <color rgb="FF484B4B"/>
        <rFont val="Trebuchet MS"/>
        <family val="2"/>
      </rPr>
      <t>/</t>
    </r>
    <r>
      <rPr>
        <sz val="9"/>
        <color rgb="FF2F3134"/>
        <rFont val="Trebuchet MS"/>
        <family val="2"/>
      </rPr>
      <t>E-ND</t>
    </r>
    <r>
      <rPr>
        <sz val="9"/>
        <color rgb="FF484B4B"/>
        <rFont val="Trebuchet MS"/>
        <family val="2"/>
      </rPr>
      <t xml:space="preserve">. </t>
    </r>
    <r>
      <rPr>
        <sz val="9"/>
        <color rgb="FF2F3134"/>
        <rFont val="Trebuchet MS"/>
        <family val="2"/>
      </rPr>
      <t>N</t>
    </r>
    <r>
      <rPr>
        <sz val="9"/>
        <color rgb="FF484B4B"/>
        <rFont val="Trebuchet MS"/>
        <family val="2"/>
      </rPr>
      <t>/</t>
    </r>
    <r>
      <rPr>
        <sz val="9"/>
        <color rgb="FF2F3134"/>
        <rFont val="Trebuchet MS"/>
        <family val="2"/>
      </rPr>
      <t>20</t>
    </r>
    <r>
      <rPr>
        <sz val="9"/>
        <color rgb="FF484B4B"/>
        <rFont val="Trebuchet MS"/>
        <family val="2"/>
      </rPr>
      <t>2</t>
    </r>
    <r>
      <rPr>
        <sz val="9"/>
        <color rgb="FF2F3134"/>
        <rFont val="Trebuchet MS"/>
        <family val="2"/>
      </rPr>
      <t>3</t>
    </r>
  </si>
  <si>
    <r>
      <t>S</t>
    </r>
    <r>
      <rPr>
        <sz val="9"/>
        <color rgb="FF484B4B"/>
        <rFont val="Trebuchet MS"/>
        <family val="2"/>
      </rPr>
      <t>T</t>
    </r>
    <r>
      <rPr>
        <sz val="9"/>
        <color rgb="FF2F3134"/>
        <rFont val="Trebuchet MS"/>
        <family val="2"/>
      </rPr>
      <t>ANV</t>
    </r>
    <r>
      <rPr>
        <sz val="9"/>
        <color rgb="FF484B4B"/>
        <rFont val="Trebuchet MS"/>
        <family val="2"/>
      </rPr>
      <t>I</t>
    </r>
    <r>
      <rPr>
        <sz val="9"/>
        <color rgb="FF2F3134"/>
        <rFont val="Trebuchet MS"/>
        <family val="2"/>
      </rPr>
      <t>C MI</t>
    </r>
    <r>
      <rPr>
        <sz val="9"/>
        <color rgb="FF484B4B"/>
        <rFont val="Trebuchet MS"/>
        <family val="2"/>
      </rPr>
      <t>N</t>
    </r>
    <r>
      <rPr>
        <sz val="9"/>
        <color rgb="FF2F3134"/>
        <rFont val="Trebuchet MS"/>
        <family val="2"/>
      </rPr>
      <t>I</t>
    </r>
    <r>
      <rPr>
        <sz val="9"/>
        <color rgb="FF484B4B"/>
        <rFont val="Trebuchet MS"/>
        <family val="2"/>
      </rPr>
      <t>N</t>
    </r>
    <r>
      <rPr>
        <sz val="9"/>
        <color rgb="FF2F3134"/>
        <rFont val="Trebuchet MS"/>
        <family val="2"/>
      </rPr>
      <t>G SARL</t>
    </r>
  </si>
  <si>
    <t>PR 14453</t>
  </si>
  <si>
    <r>
      <t>M</t>
    </r>
    <r>
      <rPr>
        <sz val="9"/>
        <color rgb="FF2F3134"/>
        <rFont val="Trebuchet MS"/>
        <family val="2"/>
      </rPr>
      <t>ANONO</t>
    </r>
  </si>
  <si>
    <r>
      <t>DPEM</t>
    </r>
    <r>
      <rPr>
        <sz val="9"/>
        <color rgb="FF484B4B"/>
        <rFont val="Trebuchet MS"/>
        <family val="2"/>
      </rPr>
      <t>/</t>
    </r>
    <r>
      <rPr>
        <sz val="9"/>
        <color rgb="FF2F3134"/>
        <rFont val="Trebuchet MS"/>
        <family val="2"/>
      </rPr>
      <t>182</t>
    </r>
    <r>
      <rPr>
        <sz val="9"/>
        <color rgb="FF484B4B"/>
        <rFont val="Trebuchet MS"/>
        <family val="2"/>
      </rPr>
      <t>/</t>
    </r>
    <r>
      <rPr>
        <sz val="9"/>
        <color rgb="FF2F3134"/>
        <rFont val="Trebuchet MS"/>
        <family val="2"/>
      </rPr>
      <t>E</t>
    </r>
    <r>
      <rPr>
        <sz val="9"/>
        <color rgb="FF484B4B"/>
        <rFont val="Trebuchet MS"/>
        <family val="2"/>
      </rPr>
      <t>-</t>
    </r>
    <r>
      <rPr>
        <sz val="9"/>
        <color rgb="FF2F3134"/>
        <rFont val="Trebuchet MS"/>
        <family val="2"/>
      </rPr>
      <t xml:space="preserve">ND. </t>
    </r>
    <r>
      <rPr>
        <sz val="9"/>
        <color rgb="FF484B4B"/>
        <rFont val="Trebuchet MS"/>
        <family val="2"/>
      </rPr>
      <t>N/</t>
    </r>
    <r>
      <rPr>
        <sz val="9"/>
        <color rgb="FF2F3134"/>
        <rFont val="Trebuchet MS"/>
        <family val="2"/>
      </rPr>
      <t>2023</t>
    </r>
  </si>
  <si>
    <r>
      <t xml:space="preserve">PR </t>
    </r>
    <r>
      <rPr>
        <sz val="9"/>
        <color rgb="FF1D1F21"/>
        <rFont val="Trebuchet MS"/>
        <family val="2"/>
      </rPr>
      <t>14454</t>
    </r>
  </si>
  <si>
    <r>
      <t>MALEMBA</t>
    </r>
    <r>
      <rPr>
        <sz val="9"/>
        <color rgb="FF484B4B"/>
        <rFont val="Trebuchet MS"/>
        <family val="2"/>
      </rPr>
      <t>-</t>
    </r>
    <r>
      <rPr>
        <sz val="9"/>
        <color rgb="FF2F3134"/>
        <rFont val="Trebuchet MS"/>
        <family val="2"/>
      </rPr>
      <t>NKULU</t>
    </r>
  </si>
  <si>
    <r>
      <t>DPEM</t>
    </r>
    <r>
      <rPr>
        <sz val="9"/>
        <color rgb="FF484B4B"/>
        <rFont val="Trebuchet MS"/>
        <family val="2"/>
      </rPr>
      <t>/</t>
    </r>
    <r>
      <rPr>
        <sz val="9"/>
        <color rgb="FF2F3134"/>
        <rFont val="Trebuchet MS"/>
        <family val="2"/>
      </rPr>
      <t>183</t>
    </r>
    <r>
      <rPr>
        <sz val="9"/>
        <color rgb="FF484B4B"/>
        <rFont val="Trebuchet MS"/>
        <family val="2"/>
      </rPr>
      <t>/</t>
    </r>
    <r>
      <rPr>
        <sz val="9"/>
        <color rgb="FF2F3134"/>
        <rFont val="Trebuchet MS"/>
        <family val="2"/>
      </rPr>
      <t>E-ND. N</t>
    </r>
    <r>
      <rPr>
        <sz val="9"/>
        <color rgb="FF484B4B"/>
        <rFont val="Trebuchet MS"/>
        <family val="2"/>
      </rPr>
      <t>/</t>
    </r>
    <r>
      <rPr>
        <sz val="9"/>
        <color rgb="FF2F3134"/>
        <rFont val="Trebuchet MS"/>
        <family val="2"/>
      </rPr>
      <t>2023</t>
    </r>
  </si>
  <si>
    <t>PR 14404 et 14405</t>
  </si>
  <si>
    <r>
      <t>K</t>
    </r>
    <r>
      <rPr>
        <sz val="9"/>
        <color rgb="FF2F3134"/>
        <rFont val="Trebuchet MS"/>
        <family val="2"/>
      </rPr>
      <t>AMBOVE</t>
    </r>
  </si>
  <si>
    <r>
      <t>DPEM</t>
    </r>
    <r>
      <rPr>
        <sz val="9"/>
        <color rgb="FF484B4B"/>
        <rFont val="Trebuchet MS"/>
        <family val="2"/>
      </rPr>
      <t>/</t>
    </r>
    <r>
      <rPr>
        <sz val="9"/>
        <color rgb="FF2F3134"/>
        <rFont val="Trebuchet MS"/>
        <family val="2"/>
      </rPr>
      <t>184</t>
    </r>
    <r>
      <rPr>
        <sz val="9"/>
        <color rgb="FF484B4B"/>
        <rFont val="Trebuchet MS"/>
        <family val="2"/>
      </rPr>
      <t>/</t>
    </r>
    <r>
      <rPr>
        <sz val="9"/>
        <color rgb="FF1D1F21"/>
        <rFont val="Trebuchet MS"/>
        <family val="2"/>
      </rPr>
      <t xml:space="preserve">E-ND. </t>
    </r>
    <r>
      <rPr>
        <sz val="9"/>
        <color rgb="FF2F3134"/>
        <rFont val="Trebuchet MS"/>
        <family val="2"/>
      </rPr>
      <t>N</t>
    </r>
    <r>
      <rPr>
        <sz val="9"/>
        <color rgb="FF484B4B"/>
        <rFont val="Trebuchet MS"/>
        <family val="2"/>
      </rPr>
      <t>/</t>
    </r>
    <r>
      <rPr>
        <sz val="9"/>
        <color rgb="FF2F3134"/>
        <rFont val="Trebuchet MS"/>
        <family val="2"/>
      </rPr>
      <t>2023</t>
    </r>
  </si>
  <si>
    <r>
      <t xml:space="preserve">PR </t>
    </r>
    <r>
      <rPr>
        <sz val="9"/>
        <color rgb="FF2F3134"/>
        <rFont val="Trebuchet MS"/>
        <family val="2"/>
      </rPr>
      <t>14452</t>
    </r>
    <r>
      <rPr>
        <sz val="9"/>
        <color rgb="FF484B4B"/>
        <rFont val="Trebuchet MS"/>
        <family val="2"/>
      </rPr>
      <t xml:space="preserve">, </t>
    </r>
    <r>
      <rPr>
        <sz val="9"/>
        <color rgb="FF2F3134"/>
        <rFont val="Trebuchet MS"/>
        <family val="2"/>
      </rPr>
      <t>14468</t>
    </r>
    <r>
      <rPr>
        <sz val="9"/>
        <color rgb="FF1D1F21"/>
        <rFont val="Trebuchet MS"/>
        <family val="2"/>
      </rPr>
      <t xml:space="preserve"> et 14469</t>
    </r>
  </si>
  <si>
    <t>MITWABA</t>
  </si>
  <si>
    <r>
      <t>DPEM</t>
    </r>
    <r>
      <rPr>
        <sz val="9"/>
        <color rgb="FF484B4B"/>
        <rFont val="Trebuchet MS"/>
        <family val="2"/>
      </rPr>
      <t>/</t>
    </r>
    <r>
      <rPr>
        <sz val="9"/>
        <color rgb="FF1D1F21"/>
        <rFont val="Trebuchet MS"/>
        <family val="2"/>
      </rPr>
      <t>185</t>
    </r>
    <r>
      <rPr>
        <sz val="9"/>
        <color rgb="FF484B4B"/>
        <rFont val="Trebuchet MS"/>
        <family val="2"/>
      </rPr>
      <t>/</t>
    </r>
    <r>
      <rPr>
        <sz val="9"/>
        <color rgb="FF1D1F21"/>
        <rFont val="Trebuchet MS"/>
        <family val="2"/>
      </rPr>
      <t xml:space="preserve">E-ND. </t>
    </r>
    <r>
      <rPr>
        <sz val="9"/>
        <color rgb="FF2F3134"/>
        <rFont val="Trebuchet MS"/>
        <family val="2"/>
      </rPr>
      <t>N</t>
    </r>
    <r>
      <rPr>
        <sz val="9"/>
        <color rgb="FF484B4B"/>
        <rFont val="Trebuchet MS"/>
        <family val="2"/>
      </rPr>
      <t>/</t>
    </r>
    <r>
      <rPr>
        <sz val="9"/>
        <color rgb="FF1D1F21"/>
        <rFont val="Trebuchet MS"/>
        <family val="2"/>
      </rPr>
      <t>2023</t>
    </r>
  </si>
  <si>
    <r>
      <t>KALO</t>
    </r>
    <r>
      <rPr>
        <sz val="9"/>
        <color rgb="FF484B4B"/>
        <rFont val="Trebuchet MS"/>
        <family val="2"/>
      </rPr>
      <t>N</t>
    </r>
    <r>
      <rPr>
        <sz val="9"/>
        <color rgb="FF2F3134"/>
        <rFont val="Trebuchet MS"/>
        <family val="2"/>
      </rPr>
      <t>GWE SAS</t>
    </r>
  </si>
  <si>
    <t>PR 15583</t>
  </si>
  <si>
    <t>KASENGA et MITWABA</t>
  </si>
  <si>
    <r>
      <t>DPEM</t>
    </r>
    <r>
      <rPr>
        <sz val="9"/>
        <color rgb="FF484B4B"/>
        <rFont val="Trebuchet MS"/>
        <family val="2"/>
      </rPr>
      <t>/</t>
    </r>
    <r>
      <rPr>
        <sz val="9"/>
        <color rgb="FF2F3134"/>
        <rFont val="Trebuchet MS"/>
        <family val="2"/>
      </rPr>
      <t>188</t>
    </r>
    <r>
      <rPr>
        <sz val="9"/>
        <color rgb="FF484B4B"/>
        <rFont val="Trebuchet MS"/>
        <family val="2"/>
      </rPr>
      <t>/</t>
    </r>
    <r>
      <rPr>
        <sz val="9"/>
        <color rgb="FF2F3134"/>
        <rFont val="Trebuchet MS"/>
        <family val="2"/>
      </rPr>
      <t>E-</t>
    </r>
    <r>
      <rPr>
        <sz val="9"/>
        <color rgb="FF484B4B"/>
        <rFont val="Trebuchet MS"/>
        <family val="2"/>
      </rPr>
      <t>N</t>
    </r>
    <r>
      <rPr>
        <sz val="9"/>
        <color rgb="FF2F3134"/>
        <rFont val="Trebuchet MS"/>
        <family val="2"/>
      </rPr>
      <t>D</t>
    </r>
    <r>
      <rPr>
        <sz val="9"/>
        <color rgb="FF484B4B"/>
        <rFont val="Trebuchet MS"/>
        <family val="2"/>
      </rPr>
      <t xml:space="preserve">. </t>
    </r>
    <r>
      <rPr>
        <sz val="9"/>
        <color rgb="FF2F3134"/>
        <rFont val="Trebuchet MS"/>
        <family val="2"/>
      </rPr>
      <t>N</t>
    </r>
    <r>
      <rPr>
        <sz val="9"/>
        <color rgb="FF484B4B"/>
        <rFont val="Trebuchet MS"/>
        <family val="2"/>
      </rPr>
      <t>/</t>
    </r>
    <r>
      <rPr>
        <sz val="9"/>
        <color rgb="FF2F3134"/>
        <rFont val="Trebuchet MS"/>
        <family val="2"/>
      </rPr>
      <t>2023</t>
    </r>
  </si>
  <si>
    <t>PHAEPON INTERNATIONAL RESSOURCES SARL</t>
  </si>
  <si>
    <t>PR 15729</t>
  </si>
  <si>
    <r>
      <t xml:space="preserve">DPEM/189/E-ND. </t>
    </r>
    <r>
      <rPr>
        <sz val="9"/>
        <color rgb="FF343638"/>
        <rFont val="Trebuchet MS"/>
        <family val="2"/>
      </rPr>
      <t>N/2023</t>
    </r>
  </si>
  <si>
    <r>
      <t xml:space="preserve">DES </t>
    </r>
    <r>
      <rPr>
        <sz val="9"/>
        <color rgb="FF343638"/>
        <rFont val="Trebuchet MS"/>
        <family val="2"/>
      </rPr>
      <t>SERVICES</t>
    </r>
    <r>
      <rPr>
        <sz val="9"/>
        <color rgb="FF212326"/>
        <rFont val="Trebuchet MS"/>
        <family val="2"/>
      </rPr>
      <t xml:space="preserve"> MINIERS</t>
    </r>
  </si>
  <si>
    <t>PR 15338</t>
  </si>
  <si>
    <t>MAHAGI</t>
  </si>
  <si>
    <t>DPEM/190/E-ND.N/2023</t>
  </si>
  <si>
    <t>DES SERVICES MINIERS</t>
  </si>
  <si>
    <t>PR 15340</t>
  </si>
  <si>
    <r>
      <t>DPEM</t>
    </r>
    <r>
      <rPr>
        <sz val="9"/>
        <color rgb="FF494D4D"/>
        <rFont val="Trebuchet MS"/>
        <family val="2"/>
      </rPr>
      <t>/19</t>
    </r>
    <r>
      <rPr>
        <sz val="9"/>
        <color rgb="FF212326"/>
        <rFont val="Trebuchet MS"/>
        <family val="2"/>
      </rPr>
      <t>1</t>
    </r>
    <r>
      <rPr>
        <sz val="9"/>
        <color rgb="FF494D4D"/>
        <rFont val="Trebuchet MS"/>
        <family val="2"/>
      </rPr>
      <t>/</t>
    </r>
    <r>
      <rPr>
        <sz val="9"/>
        <color rgb="FF212326"/>
        <rFont val="Trebuchet MS"/>
        <family val="2"/>
      </rPr>
      <t>E-ND</t>
    </r>
    <r>
      <rPr>
        <sz val="9"/>
        <color rgb="FF606262"/>
        <rFont val="Trebuchet MS"/>
        <family val="2"/>
      </rPr>
      <t>.</t>
    </r>
    <r>
      <rPr>
        <sz val="9"/>
        <color rgb="FF212326"/>
        <rFont val="Trebuchet MS"/>
        <family val="2"/>
      </rPr>
      <t>N/2023</t>
    </r>
  </si>
  <si>
    <r>
      <t xml:space="preserve">STANVIC MINING </t>
    </r>
    <r>
      <rPr>
        <sz val="9"/>
        <color rgb="FF212326"/>
        <rFont val="Trebuchet MS"/>
        <family val="2"/>
      </rPr>
      <t>SARL</t>
    </r>
  </si>
  <si>
    <t>PR 14653, 14564et 14380</t>
  </si>
  <si>
    <r>
      <t>DPEM/192/E-ND</t>
    </r>
    <r>
      <rPr>
        <sz val="9"/>
        <color rgb="FF606262"/>
        <rFont val="Trebuchet MS"/>
        <family val="2"/>
      </rPr>
      <t xml:space="preserve">. </t>
    </r>
    <r>
      <rPr>
        <sz val="9"/>
        <color rgb="FF343638"/>
        <rFont val="Trebuchet MS"/>
        <family val="2"/>
      </rPr>
      <t>N/2023</t>
    </r>
  </si>
  <si>
    <r>
      <t xml:space="preserve">MINING </t>
    </r>
    <r>
      <rPr>
        <sz val="9"/>
        <color rgb="FF212326"/>
        <rFont val="Trebuchet MS"/>
        <family val="2"/>
      </rPr>
      <t xml:space="preserve">ENTREPRISE </t>
    </r>
    <r>
      <rPr>
        <sz val="9"/>
        <color rgb="FF343638"/>
        <rFont val="Trebuchet MS"/>
        <family val="2"/>
      </rPr>
      <t>KATANGA SARLU</t>
    </r>
  </si>
  <si>
    <r>
      <t>LUBUMBASH</t>
    </r>
    <r>
      <rPr>
        <sz val="9"/>
        <color rgb="FF494D4D"/>
        <rFont val="Trebuchet MS"/>
        <family val="2"/>
      </rPr>
      <t>I</t>
    </r>
  </si>
  <si>
    <r>
      <t>DPEM/193/E-ND</t>
    </r>
    <r>
      <rPr>
        <sz val="9"/>
        <color rgb="FF606262"/>
        <rFont val="Trebuchet MS"/>
        <family val="2"/>
      </rPr>
      <t xml:space="preserve">. </t>
    </r>
    <r>
      <rPr>
        <sz val="9"/>
        <color rgb="FF343638"/>
        <rFont val="Trebuchet MS"/>
        <family val="2"/>
      </rPr>
      <t>N/2023</t>
    </r>
  </si>
  <si>
    <t>Annexe 47 : La liste des Programmes d'Atténuation et de Réhabilitation instruits au courant de l'exercice 2023 par la Direction de Protection de l'Environnement Minier :</t>
  </si>
  <si>
    <t>SOCIETES</t>
  </si>
  <si>
    <t>TITRE</t>
  </si>
  <si>
    <t>MONTANTS VERSES EN USD</t>
  </si>
  <si>
    <t>BANQUE</t>
  </si>
  <si>
    <t>OBSERVATION</t>
  </si>
  <si>
    <r>
      <t>B</t>
    </r>
    <r>
      <rPr>
        <sz val="9"/>
        <color rgb="FF494D4B"/>
        <rFont val="Trebuchet MS"/>
        <family val="2"/>
      </rPr>
      <t>U</t>
    </r>
    <r>
      <rPr>
        <sz val="9"/>
        <color rgb="FF2D3131"/>
        <rFont val="Trebuchet MS"/>
        <family val="2"/>
      </rPr>
      <t>SINESS KAMANDI MINING</t>
    </r>
  </si>
  <si>
    <r>
      <t xml:space="preserve">PR </t>
    </r>
    <r>
      <rPr>
        <sz val="9"/>
        <color rgb="FF2D3131"/>
        <rFont val="Trebuchet MS"/>
        <family val="2"/>
      </rPr>
      <t>14923</t>
    </r>
  </si>
  <si>
    <t>VSE01796175</t>
  </si>
  <si>
    <t>Preuve admise</t>
  </si>
  <si>
    <r>
      <t xml:space="preserve">ODILON </t>
    </r>
    <r>
      <rPr>
        <sz val="9"/>
        <color rgb="FF1C1F21"/>
        <rFont val="Trebuchet MS"/>
        <family val="2"/>
      </rPr>
      <t>ET</t>
    </r>
    <r>
      <rPr>
        <sz val="9"/>
        <color rgb="FF2D3131"/>
        <rFont val="Trebuchet MS"/>
        <family val="2"/>
      </rPr>
      <t xml:space="preserve"> MANUEL SARL</t>
    </r>
  </si>
  <si>
    <r>
      <t xml:space="preserve">PR </t>
    </r>
    <r>
      <rPr>
        <sz val="9"/>
        <color rgb="FF2D3131"/>
        <rFont val="Trebuchet MS"/>
        <family val="2"/>
      </rPr>
      <t>14964</t>
    </r>
  </si>
  <si>
    <t>VSE01797392</t>
  </si>
  <si>
    <r>
      <t>LA</t>
    </r>
    <r>
      <rPr>
        <sz val="9"/>
        <color rgb="FF494D4B"/>
        <rFont val="Trebuchet MS"/>
        <family val="2"/>
      </rPr>
      <t>M</t>
    </r>
    <r>
      <rPr>
        <sz val="9"/>
        <color rgb="FF2D3131"/>
        <rFont val="Trebuchet MS"/>
        <family val="2"/>
      </rPr>
      <t>P</t>
    </r>
    <r>
      <rPr>
        <sz val="9"/>
        <color rgb="FF494D4B"/>
        <rFont val="Trebuchet MS"/>
        <family val="2"/>
      </rPr>
      <t>Y</t>
    </r>
    <r>
      <rPr>
        <sz val="9"/>
        <color rgb="FF2D3131"/>
        <rFont val="Trebuchet MS"/>
        <family val="2"/>
      </rPr>
      <t>RIS SARL</t>
    </r>
  </si>
  <si>
    <r>
      <t xml:space="preserve">PR </t>
    </r>
    <r>
      <rPr>
        <sz val="9"/>
        <color rgb="FF2D3131"/>
        <rFont val="Trebuchet MS"/>
        <family val="2"/>
      </rPr>
      <t>15090</t>
    </r>
  </si>
  <si>
    <r>
      <t>VSE0179</t>
    </r>
    <r>
      <rPr>
        <sz val="9"/>
        <color rgb="FF494D4B"/>
        <rFont val="Trebuchet MS"/>
        <family val="2"/>
      </rPr>
      <t>87</t>
    </r>
    <r>
      <rPr>
        <sz val="9"/>
        <color rgb="FF2D3131"/>
        <rFont val="Trebuchet MS"/>
        <family val="2"/>
      </rPr>
      <t>16</t>
    </r>
  </si>
  <si>
    <r>
      <t xml:space="preserve">PR </t>
    </r>
    <r>
      <rPr>
        <sz val="9"/>
        <color rgb="FF1C1F21"/>
        <rFont val="Trebuchet MS"/>
        <family val="2"/>
      </rPr>
      <t>15091</t>
    </r>
  </si>
  <si>
    <r>
      <t>VSE0179872</t>
    </r>
    <r>
      <rPr>
        <sz val="9"/>
        <color rgb="FF494D4B"/>
        <rFont val="Trebuchet MS"/>
        <family val="2"/>
      </rPr>
      <t>4</t>
    </r>
  </si>
  <si>
    <r>
      <t>TENG</t>
    </r>
    <r>
      <rPr>
        <sz val="9"/>
        <color rgb="FF494D4B"/>
        <rFont val="Trebuchet MS"/>
        <family val="2"/>
      </rPr>
      <t>YU</t>
    </r>
    <r>
      <rPr>
        <sz val="9"/>
        <color rgb="FF2D3131"/>
        <rFont val="Trebuchet MS"/>
        <family val="2"/>
      </rPr>
      <t>AN COBALT</t>
    </r>
  </si>
  <si>
    <r>
      <t>Ent</t>
    </r>
    <r>
      <rPr>
        <sz val="9"/>
        <color rgb="FF494D4B"/>
        <rFont val="Trebuchet MS"/>
        <family val="2"/>
      </rPr>
      <t>i</t>
    </r>
    <r>
      <rPr>
        <sz val="9"/>
        <color rgb="FF2D3131"/>
        <rFont val="Trebuchet MS"/>
        <family val="2"/>
      </rPr>
      <t>té de Traitement</t>
    </r>
  </si>
  <si>
    <r>
      <t>VSE0</t>
    </r>
    <r>
      <rPr>
        <sz val="9"/>
        <color rgb="FF494D4B"/>
        <rFont val="Trebuchet MS"/>
        <family val="2"/>
      </rPr>
      <t>1</t>
    </r>
    <r>
      <rPr>
        <sz val="9"/>
        <color rgb="FF2D3131"/>
        <rFont val="Trebuchet MS"/>
        <family val="2"/>
      </rPr>
      <t>80291</t>
    </r>
    <r>
      <rPr>
        <sz val="9"/>
        <color rgb="FF494D4B"/>
        <rFont val="Trebuchet MS"/>
        <family val="2"/>
      </rPr>
      <t>4</t>
    </r>
  </si>
  <si>
    <t>BM GLOBAL BUSINESS</t>
  </si>
  <si>
    <t>PR 14559</t>
  </si>
  <si>
    <r>
      <t>VSE01</t>
    </r>
    <r>
      <rPr>
        <sz val="9"/>
        <color rgb="FF494D4B"/>
        <rFont val="Trebuchet MS"/>
        <family val="2"/>
      </rPr>
      <t>8</t>
    </r>
    <r>
      <rPr>
        <sz val="9"/>
        <color rgb="FF2D3131"/>
        <rFont val="Trebuchet MS"/>
        <family val="2"/>
      </rPr>
      <t>13551</t>
    </r>
  </si>
  <si>
    <r>
      <t xml:space="preserve">PE 465 </t>
    </r>
    <r>
      <rPr>
        <sz val="9"/>
        <color rgb="FF1C1F21"/>
        <rFont val="Trebuchet MS"/>
        <family val="2"/>
      </rPr>
      <t>et</t>
    </r>
    <r>
      <rPr>
        <sz val="9"/>
        <color rgb="FF2D3131"/>
        <rFont val="Trebuchet MS"/>
        <family val="2"/>
      </rPr>
      <t xml:space="preserve"> 13832</t>
    </r>
  </si>
  <si>
    <r>
      <t>ACN</t>
    </r>
    <r>
      <rPr>
        <sz val="9"/>
        <color rgb="FF494D4B"/>
        <rFont val="Trebuchet MS"/>
        <family val="2"/>
      </rPr>
      <t>°</t>
    </r>
    <r>
      <rPr>
        <sz val="9"/>
        <color rgb="FF2D3131"/>
        <rFont val="Trebuchet MS"/>
        <family val="2"/>
      </rPr>
      <t>2023</t>
    </r>
    <r>
      <rPr>
        <sz val="9"/>
        <color rgb="FF494D4B"/>
        <rFont val="Trebuchet MS"/>
        <family val="2"/>
      </rPr>
      <t>/</t>
    </r>
    <r>
      <rPr>
        <sz val="9"/>
        <color rgb="FF2D3131"/>
        <rFont val="Trebuchet MS"/>
        <family val="2"/>
      </rPr>
      <t>465</t>
    </r>
  </si>
  <si>
    <t>RAWBANK</t>
  </si>
  <si>
    <t>CONGO JIN JU CHENG MINING COMPANY SARL</t>
  </si>
  <si>
    <r>
      <t>Entit</t>
    </r>
    <r>
      <rPr>
        <sz val="9"/>
        <color rgb="FF494D4B"/>
        <rFont val="Trebuchet MS"/>
        <family val="2"/>
      </rPr>
      <t xml:space="preserve">é </t>
    </r>
    <r>
      <rPr>
        <sz val="9"/>
        <color rgb="FF2D3131"/>
        <rFont val="Trebuchet MS"/>
        <family val="2"/>
      </rPr>
      <t>de Traitement</t>
    </r>
  </si>
  <si>
    <t>ACBN°PBG1500 15923</t>
  </si>
  <si>
    <t>EQUITY BCDC</t>
  </si>
  <si>
    <r>
      <t xml:space="preserve">LA JOIE </t>
    </r>
    <r>
      <rPr>
        <sz val="9"/>
        <color rgb="FF1C1F21"/>
        <rFont val="Trebuchet MS"/>
        <family val="2"/>
      </rPr>
      <t xml:space="preserve">DE </t>
    </r>
    <r>
      <rPr>
        <sz val="9"/>
        <color rgb="FF2D3131"/>
        <rFont val="Trebuchet MS"/>
        <family val="2"/>
      </rPr>
      <t>VIVRE MINING SARL</t>
    </r>
  </si>
  <si>
    <r>
      <t xml:space="preserve">PEPM </t>
    </r>
    <r>
      <rPr>
        <sz val="9"/>
        <color rgb="FF2D3131"/>
        <rFont val="Trebuchet MS"/>
        <family val="2"/>
      </rPr>
      <t>14394</t>
    </r>
  </si>
  <si>
    <t>VSE01826137</t>
  </si>
  <si>
    <r>
      <t xml:space="preserve">KCC </t>
    </r>
    <r>
      <rPr>
        <sz val="9"/>
        <color rgb="FF1C1F21"/>
        <rFont val="Trebuchet MS"/>
        <family val="2"/>
      </rPr>
      <t>SA</t>
    </r>
  </si>
  <si>
    <t>PE 4960,4961,4963,11601,11602 et 525</t>
  </si>
  <si>
    <r>
      <t>ACBN°2023</t>
    </r>
    <r>
      <rPr>
        <sz val="9"/>
        <color rgb="FF494D4B"/>
        <rFont val="Trebuchet MS"/>
        <family val="2"/>
      </rPr>
      <t>/</t>
    </r>
    <r>
      <rPr>
        <sz val="9"/>
        <color rgb="FF2D3131"/>
        <rFont val="Trebuchet MS"/>
        <family val="2"/>
      </rPr>
      <t>208</t>
    </r>
  </si>
  <si>
    <t>PPC BARNET DRC Q UARRYING SA</t>
  </si>
  <si>
    <t>AECP 7649</t>
  </si>
  <si>
    <r>
      <t>ECD-G</t>
    </r>
    <r>
      <rPr>
        <sz val="9"/>
        <color rgb="FF2D3131"/>
        <rFont val="Trebuchet MS"/>
        <family val="2"/>
      </rPr>
      <t>AR</t>
    </r>
    <r>
      <rPr>
        <sz val="9"/>
        <color rgb="FF0C0F15"/>
        <rFont val="Trebuchet MS"/>
        <family val="2"/>
      </rPr>
      <t>-2</t>
    </r>
    <r>
      <rPr>
        <sz val="9"/>
        <color rgb="FF2D3131"/>
        <rFont val="Trebuchet MS"/>
        <family val="2"/>
      </rPr>
      <t>3-</t>
    </r>
    <r>
      <rPr>
        <sz val="9"/>
        <color rgb="FF1C1F21"/>
        <rFont val="Trebuchet MS"/>
        <family val="2"/>
      </rPr>
      <t>017</t>
    </r>
  </si>
  <si>
    <t>ECOBANK</t>
  </si>
  <si>
    <r>
      <t>C</t>
    </r>
    <r>
      <rPr>
        <sz val="9"/>
        <color rgb="FF494D4B"/>
        <rFont val="Trebuchet MS"/>
        <family val="2"/>
      </rPr>
      <t>.</t>
    </r>
    <r>
      <rPr>
        <sz val="9"/>
        <color rgb="FF2D3131"/>
        <rFont val="Trebuchet MS"/>
        <family val="2"/>
      </rPr>
      <t>C</t>
    </r>
    <r>
      <rPr>
        <sz val="9"/>
        <color rgb="FF494D4B"/>
        <rFont val="Trebuchet MS"/>
        <family val="2"/>
      </rPr>
      <t>.</t>
    </r>
    <r>
      <rPr>
        <sz val="9"/>
        <color rgb="FF2D3131"/>
        <rFont val="Trebuchet MS"/>
        <family val="2"/>
      </rPr>
      <t>M.D</t>
    </r>
    <r>
      <rPr>
        <sz val="9"/>
        <color rgb="FF0C0F15"/>
        <rFont val="Trebuchet MS"/>
        <family val="2"/>
      </rPr>
      <t>.</t>
    </r>
    <r>
      <rPr>
        <sz val="9"/>
        <color rgb="FF2D3131"/>
        <rFont val="Trebuchet MS"/>
        <family val="2"/>
      </rPr>
      <t>C</t>
    </r>
  </si>
  <si>
    <t>PE 14092 et 14093</t>
  </si>
  <si>
    <t>VSE01837766</t>
  </si>
  <si>
    <r>
      <t xml:space="preserve">PR </t>
    </r>
    <r>
      <rPr>
        <sz val="9"/>
        <color rgb="FF2D3131"/>
        <rFont val="Trebuchet MS"/>
        <family val="2"/>
      </rPr>
      <t>15275</t>
    </r>
  </si>
  <si>
    <t>VSE01835210</t>
  </si>
  <si>
    <r>
      <t xml:space="preserve">PR </t>
    </r>
    <r>
      <rPr>
        <sz val="9"/>
        <color rgb="FF2D3131"/>
        <rFont val="Trebuchet MS"/>
        <family val="2"/>
      </rPr>
      <t>15311</t>
    </r>
    <r>
      <rPr>
        <sz val="9"/>
        <color rgb="FF1C1F21"/>
        <rFont val="Trebuchet MS"/>
        <family val="2"/>
      </rPr>
      <t xml:space="preserve"> et 15312</t>
    </r>
  </si>
  <si>
    <t>VSE01835416</t>
  </si>
  <si>
    <r>
      <t xml:space="preserve">CDMC </t>
    </r>
    <r>
      <rPr>
        <sz val="9"/>
        <color rgb="FF0C0F15"/>
        <rFont val="Trebuchet MS"/>
        <family val="2"/>
      </rPr>
      <t>ENTITE</t>
    </r>
    <r>
      <rPr>
        <sz val="9"/>
        <color rgb="FF2D3131"/>
        <rFont val="Trebuchet MS"/>
        <family val="2"/>
      </rPr>
      <t xml:space="preserve"> SARL</t>
    </r>
  </si>
  <si>
    <t>Entité de Traitement</t>
  </si>
  <si>
    <t>VSE01844949</t>
  </si>
  <si>
    <r>
      <t>NEW MINERAL</t>
    </r>
    <r>
      <rPr>
        <sz val="9"/>
        <color rgb="FF0C0F15"/>
        <rFont val="Trebuchet MS"/>
        <family val="2"/>
      </rPr>
      <t xml:space="preserve">S </t>
    </r>
    <r>
      <rPr>
        <sz val="9"/>
        <color rgb="FF2D3131"/>
        <rFont val="Trebuchet MS"/>
        <family val="2"/>
      </rPr>
      <t>INVES</t>
    </r>
    <r>
      <rPr>
        <sz val="9"/>
        <color rgb="FF0C0F15"/>
        <rFont val="Trebuchet MS"/>
        <family val="2"/>
      </rPr>
      <t>T</t>
    </r>
    <r>
      <rPr>
        <sz val="9"/>
        <color rgb="FF2D3131"/>
        <rFont val="Trebuchet MS"/>
        <family val="2"/>
      </rPr>
      <t>MEN</t>
    </r>
    <r>
      <rPr>
        <sz val="9"/>
        <color rgb="FF0C0F15"/>
        <rFont val="Trebuchet MS"/>
        <family val="2"/>
      </rPr>
      <t>T</t>
    </r>
  </si>
  <si>
    <r>
      <t xml:space="preserve">PE </t>
    </r>
    <r>
      <rPr>
        <sz val="9"/>
        <color rgb="FF2D3131"/>
        <rFont val="Trebuchet MS"/>
        <family val="2"/>
      </rPr>
      <t>13235</t>
    </r>
  </si>
  <si>
    <r>
      <t>ACBN°2023</t>
    </r>
    <r>
      <rPr>
        <sz val="9"/>
        <color rgb="FF494D4B"/>
        <rFont val="Trebuchet MS"/>
        <family val="2"/>
      </rPr>
      <t>/</t>
    </r>
    <r>
      <rPr>
        <sz val="9"/>
        <color rgb="FF1C1F21"/>
        <rFont val="Trebuchet MS"/>
        <family val="2"/>
      </rPr>
      <t>124</t>
    </r>
  </si>
  <si>
    <t>Commentaire</t>
  </si>
  <si>
    <t>Non évalué</t>
  </si>
  <si>
    <t>Défaut déclaration</t>
  </si>
  <si>
    <t>Niveau de perception</t>
  </si>
  <si>
    <t>Établissements publics (ACE, CAMI, CEEC, FOMIN, FONAREV, etc.)</t>
  </si>
  <si>
    <t>Données de cadrage (lettre officielle signée)</t>
  </si>
  <si>
    <t>Défaut de déclaration</t>
  </si>
  <si>
    <t>Le formulaire a été soumis en dehors de la plateforme TSL</t>
  </si>
  <si>
    <t>DOT GOLDEN AFRICA RESOURCES SARL</t>
  </si>
  <si>
    <t xml:space="preserve">Nbr. sociétés </t>
  </si>
  <si>
    <t>Sociétés ayant Soumis les FD</t>
  </si>
  <si>
    <t>% de la réception des FD</t>
  </si>
  <si>
    <t>DOT</t>
  </si>
  <si>
    <t xml:space="preserve">% de la réception </t>
  </si>
  <si>
    <t>Annexe 30 - Revenus globaux par société, secteur minier</t>
  </si>
  <si>
    <t>Annexe 31 - Revenus globaux par flux, secteur minier</t>
  </si>
  <si>
    <t>Annexe 32- Revenus globaux par flux, secteur pétrolier</t>
  </si>
  <si>
    <t>Annexe 34 - Revenus budgétaires par société, secteur minier</t>
  </si>
  <si>
    <t>Annexe 35 - Revenus budgétaires par flux, secteur minier</t>
  </si>
  <si>
    <t>Annexe 49 - Détails paiements flux "redevance minière"</t>
  </si>
  <si>
    <t>Annexe 52 -Fiches de rapprochement par société</t>
  </si>
  <si>
    <t>Annexe 53 - Détail des recettes perçues par les EP par entreprise</t>
  </si>
  <si>
    <t xml:space="preserve">Annexe 54 - Détail des paiements effectués par les EP par flux </t>
  </si>
  <si>
    <t>Annexe 55 - Détail des paiements infranationaux par société et par flux</t>
  </si>
  <si>
    <t>Annexe 58 - suivi des mesures correctives</t>
  </si>
  <si>
    <t>Annexe 56 - Fiabilisation des déclaration de l'Etat</t>
  </si>
  <si>
    <t>Annexe 57 - Fiabilisation des déclaration des Entreprises</t>
  </si>
  <si>
    <t>Annexe 58 - Suivi mesures correctives</t>
  </si>
  <si>
    <t xml:space="preserve">Annexe 46 : La liste des études  d'impact environnemental  et social instruits au courant de l'exercice 2023 par la Direction de Protection de l'Environnement Minier </t>
  </si>
  <si>
    <t xml:space="preserve">Annexe 47 : La liste des Programmes d'Atténuation et de Réhabilitation instruits au courant de l'exercice 2023 par la Direction de Protection de l'Environnement Minier </t>
  </si>
  <si>
    <t>Annexe 51 -Détail des recettes FOMIN  &amp; FONAREV par société</t>
  </si>
  <si>
    <t>Flux</t>
  </si>
  <si>
    <t>Percepteur</t>
  </si>
  <si>
    <t>Dividendes Pétrolier</t>
  </si>
  <si>
    <t>Marge distribuable(Profit-Oil Etat Puissance Publique)</t>
  </si>
  <si>
    <t>Participation (Profit-Oil Etat associé)</t>
  </si>
  <si>
    <t>CABINDA GULF OIL COMPANY LIMITED</t>
  </si>
  <si>
    <t>Redevance Superficiaire/Frais de passage</t>
  </si>
  <si>
    <t>Royalties de pétroliers versées à l'Etat</t>
  </si>
  <si>
    <t>Avis de Mise en Recouvrement A</t>
  </si>
  <si>
    <t>KISENDA COPPER COMPAGNY(KICC-EX-MMK)</t>
  </si>
  <si>
    <t>Société Commerciale Minière de Kisenge Managnèse</t>
  </si>
  <si>
    <t>Avis de Mise en Recouvrement B</t>
  </si>
  <si>
    <t>GENERALE DES CARRIERES ET DES MINES</t>
  </si>
  <si>
    <t>IBP sur Prestations des personnes non résidentes en RDC</t>
  </si>
  <si>
    <t>IVANHOE MINES RDC SARL (EX. SOCIETE IVAN PLATS SERVICES DRC)</t>
  </si>
  <si>
    <t>Impôt mobilier</t>
  </si>
  <si>
    <t>Impôt Spécial sur le profit Excédentaire</t>
  </si>
  <si>
    <t>Impôt sur les bénéfices et Profits(ou Impôt Spécial Forfetaire)</t>
  </si>
  <si>
    <t>DFSA MINING CONGO SARL</t>
  </si>
  <si>
    <t>Société Minière de Bakwanga</t>
  </si>
  <si>
    <t>PUNIA KASESE MINING</t>
  </si>
  <si>
    <t>Impôts Professionnel sur les Rémunérations et Exceptionnel sur la Rémunération des Expatriés</t>
  </si>
  <si>
    <t>Dividendes versées à l'Etat</t>
  </si>
  <si>
    <t>Droits superficiaires annuels par carré : Quote-part Trésor (50%)</t>
  </si>
  <si>
    <t>BOSWA INVESTMENT GROUP Sarl</t>
  </si>
  <si>
    <t>ALNA MINING Sarlu</t>
  </si>
  <si>
    <t>CHRIST GOLD MINING Sarl</t>
  </si>
  <si>
    <t>EVOLUTION MINING Sarl</t>
  </si>
  <si>
    <t>LONG TENG MINERALS Sarl</t>
  </si>
  <si>
    <t>SOCIETE GENERALE DES CARRIERES ET DES MINES DU CONGO Sarl</t>
  </si>
  <si>
    <t>ARUWIMI MINING Sarl</t>
  </si>
  <si>
    <t>AMBA RESSOURCES Sarl</t>
  </si>
  <si>
    <t>MINIERE BIALA MUKANGA S.A.R.L</t>
  </si>
  <si>
    <t>CONGO BLUEANT MINERALS Sarl</t>
  </si>
  <si>
    <t>LAMPYRIS SARLU</t>
  </si>
  <si>
    <t>SOCIETE D'EXPLOITATION MINIERE DU HAUT- KATANGA</t>
  </si>
  <si>
    <t>MCC RESOURCES SARLU</t>
  </si>
  <si>
    <t>Sté COOPERATIVE DES ARTISANAUX MINIERES DU CONGO SARL</t>
  </si>
  <si>
    <t>SOCIETE UNITED COMINIERE SAS</t>
  </si>
  <si>
    <t>DA TONG MINING LI SARL</t>
  </si>
  <si>
    <t>AFRICA EQUITY &amp; INVESTMENT GROUP Sarl</t>
  </si>
  <si>
    <t>LIVE IN GROUP SARL</t>
  </si>
  <si>
    <t>COMPAGNIE MINIERE DE TONDO Sas</t>
  </si>
  <si>
    <t>BARRICK GOLD CONGO Sarl</t>
  </si>
  <si>
    <t>MURUMBI MINERALS SPRL</t>
  </si>
  <si>
    <t>LA MINIERE DU CONGO SA</t>
  </si>
  <si>
    <t>MINIERE DE MITWABA SPRL</t>
  </si>
  <si>
    <t>SASE MINING SPRL</t>
  </si>
  <si>
    <t>DA FEI MINING SPRL</t>
  </si>
  <si>
    <t>COMPAGNIE MINIERE DE DILALA SPRL</t>
  </si>
  <si>
    <t>LONGATSHIMO MINING SARL</t>
  </si>
  <si>
    <t>SOCIETE MINIERE DE KASONTA SARL</t>
  </si>
  <si>
    <t>CHEKINA SPRL</t>
  </si>
  <si>
    <t>LEDA MINING CONGO SPRL</t>
  </si>
  <si>
    <t>MUYA RESOURCES SARLU</t>
  </si>
  <si>
    <t>LONCOR RESOURCES CONGO SPRL</t>
  </si>
  <si>
    <t>BOLFAST COMPANY SPRL</t>
  </si>
  <si>
    <t>BANRO CONGO MINING SARL</t>
  </si>
  <si>
    <t>AFRICA HOLDING MINING Sarl</t>
  </si>
  <si>
    <t>CONGO MINING CORPORATION Sarl</t>
  </si>
  <si>
    <t>MUSHIMA MINING Sarl</t>
  </si>
  <si>
    <t>ACCN MINING CORPORATION Sarl</t>
  </si>
  <si>
    <t>CM MINING SARL</t>
  </si>
  <si>
    <t>CONGO CANADIAN MINING Sarl</t>
  </si>
  <si>
    <t>CONGO GREEN METALS Sarl</t>
  </si>
  <si>
    <t>CONGO MINERAL AND MINING RESSOURCES SPRL</t>
  </si>
  <si>
    <t>CRUSHING 4 CONGO</t>
  </si>
  <si>
    <t>DESTINY S MERCY MINING Sarl</t>
  </si>
  <si>
    <t>DIESEL MINING &amp; CONSULTANT SARL</t>
  </si>
  <si>
    <t>DOFA MINING Sarl</t>
  </si>
  <si>
    <t>EMERAUDE MINING Sarl</t>
  </si>
  <si>
    <t>EXTRA MADURA SARLU</t>
  </si>
  <si>
    <t>FODEN MINING CORPORATION Sarl</t>
  </si>
  <si>
    <t>FRAMKA Sarlu</t>
  </si>
  <si>
    <t>GENERALE DES MINES ET CARRIERES SARL</t>
  </si>
  <si>
    <t>GLOBAL METAL Sarlu</t>
  </si>
  <si>
    <t>GOLDEN SANDS MINING Sarl</t>
  </si>
  <si>
    <t>HK CENTER MINING Sarl</t>
  </si>
  <si>
    <t>IKEKETE COPPER Sas</t>
  </si>
  <si>
    <t>IN PUT MINING Sarl</t>
  </si>
  <si>
    <t>INTERLACS SARL</t>
  </si>
  <si>
    <t>KABARE GOLD MINING Sarl</t>
  </si>
  <si>
    <t>KAKI PLUS MINERAL Sarl</t>
  </si>
  <si>
    <t>KAMPEMBA CORPORATION Sas</t>
  </si>
  <si>
    <t>KATANGA TECHNIQUE TRADING Sarl</t>
  </si>
  <si>
    <t>KIMBERLY GROUP Sarl</t>
  </si>
  <si>
    <t>KIMIA GOLD RESSOURCES Sarl</t>
  </si>
  <si>
    <t>KIVU TRUSTED MINING Sarlu</t>
  </si>
  <si>
    <t>LUROMIMA MINING Sarl</t>
  </si>
  <si>
    <t>MERCURY MINING COMPANY</t>
  </si>
  <si>
    <t>MR KAWAYA SARL</t>
  </si>
  <si>
    <t>MUKEVERWA METAL Sarl</t>
  </si>
  <si>
    <t>NYEMAX MINING SARL</t>
  </si>
  <si>
    <t>OKL MINING Sarl</t>
  </si>
  <si>
    <t>OLELA MAPOTI ERIC DIEUDONNE</t>
  </si>
  <si>
    <t>PAMPANGA LIGHTS MINING Sarlu</t>
  </si>
  <si>
    <t>PHAEPHON INTERNATIONAL RESSOURCES Sarl</t>
  </si>
  <si>
    <t>PROGRES MINING Sarl</t>
  </si>
  <si>
    <t>PWETO COPPER SMELTER Sarl</t>
  </si>
  <si>
    <t>ROCHKAT MINING Sarl</t>
  </si>
  <si>
    <t>SAMTA NATURAL RESSOURCES CONGO SARLU</t>
  </si>
  <si>
    <t>SANKURU MINING Sarl</t>
  </si>
  <si>
    <t>SERVICE LOCAL DE CARRIERE Sarl</t>
  </si>
  <si>
    <t>SHAMIKA CONGO KALEHE</t>
  </si>
  <si>
    <t>SILVER BACK RESOURCES SARL</t>
  </si>
  <si>
    <t>Société du Développement Industriel et Minier du Congo</t>
  </si>
  <si>
    <t>SOCIETE ODILON &amp; MANUEL Sarl</t>
  </si>
  <si>
    <t>STE D'EXPLOITATION MINIERE DE MUSOSHI SA</t>
  </si>
  <si>
    <t>STE J3 MINERALS</t>
  </si>
  <si>
    <t>STE KAPONDA MINING RESOURCES SAS</t>
  </si>
  <si>
    <t>STE KILUNGUYI SOMBE MINING SARL</t>
  </si>
  <si>
    <t>STE MINIERE DE MANIEMA</t>
  </si>
  <si>
    <t>STE MINIERE DE NDUBA SARL</t>
  </si>
  <si>
    <t>STE PROXMIN SPRL</t>
  </si>
  <si>
    <t>TSHISANGAMA SIMEON MINING</t>
  </si>
  <si>
    <t>VIHAR MINING Sarl</t>
  </si>
  <si>
    <t>VIRGINIKA MINING SPRL</t>
  </si>
  <si>
    <t>WALI MINING INVESTMENT SPRL</t>
  </si>
  <si>
    <t>Z K MULTI SERVICES Sarl</t>
  </si>
  <si>
    <t>ZIBO MINING Sarl</t>
  </si>
  <si>
    <t>Effort de contribution au budget de l'Etat</t>
  </si>
  <si>
    <t>Police des Mines et Hydrocarbures</t>
  </si>
  <si>
    <t>CIMCO</t>
  </si>
  <si>
    <t>MCS</t>
  </si>
  <si>
    <t>Redevance annuelle pour entités de traitement et de transformation de toutes catégories et tailleries</t>
  </si>
  <si>
    <t>Redevance Minière: Quote-part Trésor (50%)</t>
  </si>
  <si>
    <t>ETS RICA</t>
  </si>
  <si>
    <t>SOGECOM</t>
  </si>
  <si>
    <t>NBB &amp; FRERES</t>
  </si>
  <si>
    <t>Royalties : Quote-part Trésor (50%)</t>
  </si>
  <si>
    <t>CONGO MOON MINING Sarl</t>
  </si>
  <si>
    <t>SOCIETE KUBOL</t>
  </si>
  <si>
    <t>SIMCO SPRL</t>
  </si>
  <si>
    <t>Taxe rémunératoire annuelle</t>
  </si>
  <si>
    <t>Droits et taxes à l'importation (Totale Quittance)</t>
  </si>
  <si>
    <t>Total général</t>
  </si>
  <si>
    <t>GIRO GOLDFIELDS SARL</t>
  </si>
  <si>
    <t>CRM</t>
  </si>
  <si>
    <t>NAMOYA MINING SARL</t>
  </si>
  <si>
    <t>SOCIETE D EXPLOITATION MINIERE DE MUSOSHI SA</t>
  </si>
  <si>
    <t>WORLD MINERAL RESOURCES SARL</t>
  </si>
  <si>
    <t>BOMPANZE ENGOMBE Sarl</t>
  </si>
  <si>
    <t>COMBINED MINING COMPANY Sarl</t>
  </si>
  <si>
    <t>MINERAL DEVELOPMENT INVESTMENTS Sarl</t>
  </si>
  <si>
    <t>KALANGWE ET SOMIKA</t>
  </si>
  <si>
    <t>MINIER DE MUSOSHI</t>
  </si>
  <si>
    <t>CONGO SILVER AGE SCI ET TECH COLBALT Sarl</t>
  </si>
  <si>
    <t>AMICAL KAKANA MINING SARL</t>
  </si>
  <si>
    <t>CHADY APPART Sarl</t>
  </si>
  <si>
    <t>MINIERE MAPWAR FAUSTIN Sarl</t>
  </si>
  <si>
    <t>TIGER CONGO SARL</t>
  </si>
  <si>
    <t>MM Mining</t>
  </si>
  <si>
    <t>NDONA EXPANSION COMPANY Sarl</t>
  </si>
  <si>
    <t>CL ETOILE Sarl</t>
  </si>
  <si>
    <t>BM GLOBAL BUSINESS Sarl</t>
  </si>
  <si>
    <t>SOLEIL MINING Sarl</t>
  </si>
  <si>
    <t>MULTI COMMERCIALE Sarl</t>
  </si>
  <si>
    <t>GENERAL MINING CORPORATION Sarl</t>
  </si>
  <si>
    <t>GLOBAL CONGO MINING SARLU</t>
  </si>
  <si>
    <t>EVEREST MINING DR CONGO Sarl</t>
  </si>
  <si>
    <t>JIKA MINING COMPANY Sarl</t>
  </si>
  <si>
    <t>YASH TRADING Sarl</t>
  </si>
  <si>
    <t>TONGLI RESOURCES Sarlu</t>
  </si>
  <si>
    <t>SUPER KATANGA Sarl</t>
  </si>
  <si>
    <t>TEMBO MINING AND SERVICES Sarl</t>
  </si>
  <si>
    <t>MINIERE PR LE DEVLPMT DE LWEMBA ITURI Sarl</t>
  </si>
  <si>
    <t>ETS AMUR ETS AMUR</t>
  </si>
  <si>
    <t>total en USD</t>
  </si>
  <si>
    <t>Droits et Taxes A L'Exportation (Totale Quittance)</t>
  </si>
  <si>
    <t>Redevance Minière: Quote-part Province (25%)</t>
  </si>
  <si>
    <t>Accords transactionnels</t>
  </si>
  <si>
    <t>Dividendes des Entreprises publiques</t>
  </si>
  <si>
    <t>Redevance minière : quote-part ETD (15%)</t>
  </si>
  <si>
    <t>Taxe Voirie et Drainage</t>
  </si>
  <si>
    <t>Redevances minières: FOMIN (10%)</t>
  </si>
  <si>
    <t>Taxe Concentrés</t>
  </si>
  <si>
    <t>Royalties versées aux Entreprises Publiques</t>
  </si>
  <si>
    <t>Quotité redevance minière FONAREV</t>
  </si>
  <si>
    <t>Redevance Suivi de change</t>
  </si>
  <si>
    <t>Paiements sociaux obligatoires</t>
  </si>
  <si>
    <t>Paiements sociaux volontaires</t>
  </si>
  <si>
    <t>Frais de Certification</t>
  </si>
  <si>
    <t>Droits superficiaires annuels par carré : CAMI (50%)</t>
  </si>
  <si>
    <t>Prestation des services</t>
  </si>
  <si>
    <t>AUTRES FLUX (TAG, FRAIS DE PESAGE, FRAIS ENFUTAGE, ETIQUETAGE, EETC.)</t>
  </si>
  <si>
    <t>Paiements environnementaux obligatoires</t>
  </si>
  <si>
    <t>Pas-de-Porte versés aux Entreprises Publiques/Bonus de signature ou Transfert</t>
  </si>
  <si>
    <t>Frais de dépôt du dossier de la demande</t>
  </si>
  <si>
    <t>Loyers d'Amodiation et/ou rente mensuelle et Indemnisation pour perte des revenus escomptés à titre de contrat  d’amodiation</t>
  </si>
  <si>
    <t>Paiements environnementaux volontaires</t>
  </si>
  <si>
    <t>Frais administratif de confidentialité</t>
  </si>
  <si>
    <t>Cession d'actifs</t>
  </si>
  <si>
    <t>Redevance sur l'exploitation des eaux naturelles</t>
  </si>
  <si>
    <t>Frais d’option/ Frais de renonciation au droit de préemption</t>
  </si>
  <si>
    <t>Frais de certificat de bonne santé</t>
  </si>
  <si>
    <t>Certificat environnemental</t>
  </si>
  <si>
    <t>Carte de résident pour étranger</t>
  </si>
  <si>
    <t>Autorisation de transport de minerais</t>
  </si>
  <si>
    <t>Minier en USD</t>
  </si>
  <si>
    <t>Pétrolier en USD</t>
  </si>
  <si>
    <t>Annexe 33 - Revenus budgétaires par société et par secteur</t>
  </si>
  <si>
    <t>Annexe 29 - Revenus globaux par société et par secteur</t>
  </si>
  <si>
    <t>Annexe 36 - Détails de la déclaration unilatérale</t>
  </si>
  <si>
    <t>En Usd</t>
  </si>
  <si>
    <t>Entreprise</t>
  </si>
  <si>
    <t>Par flux</t>
  </si>
  <si>
    <t>Par Entreprise</t>
  </si>
  <si>
    <t>En USD</t>
  </si>
  <si>
    <t>En %</t>
  </si>
  <si>
    <t>Enn USD</t>
  </si>
  <si>
    <t>Total en USD</t>
  </si>
  <si>
    <t>Voir annexe 52  - document Excel séparé</t>
  </si>
  <si>
    <t>COMINIERE</t>
  </si>
  <si>
    <t>MIBA</t>
  </si>
  <si>
    <t>SAKIMA</t>
  </si>
  <si>
    <t>SODIMICO</t>
  </si>
  <si>
    <t>Total GENERALE DES CARRIERES ET DES MINES</t>
  </si>
  <si>
    <t>Total SOCIETE ANHUI CONGO D'INVESTIMENT MINIER</t>
  </si>
  <si>
    <t>Total Société Aurifère du Kivu et du Maniema</t>
  </si>
  <si>
    <t>Total La Congolaise d'Exploitation Minière</t>
  </si>
  <si>
    <t>Total Société Minière de Kilo Moto</t>
  </si>
  <si>
    <t>Total Société du Développement Industriel et Minier du Congo</t>
  </si>
  <si>
    <t>Total Société Minière de Bakwanga</t>
  </si>
  <si>
    <t>Total Société Commerciale Minière de Kisenge Managnèse</t>
  </si>
  <si>
    <t>Total Société Nationale des Hydrocarbures du Congo</t>
  </si>
  <si>
    <t>Total KAMOA COPPER SA (ex. BARBADOS)</t>
  </si>
  <si>
    <t>Total KAMOTO COPPER COMPANY SA</t>
  </si>
  <si>
    <t>Total TENKE FUNGURUME MINING</t>
  </si>
  <si>
    <t>Total COMPAGNIE D'EXPLOITATION DES REJETS DE KINGAMYAMBO SARL</t>
  </si>
  <si>
    <t>Total LA COMPAGNIE MINIERE DE MUSONOIE GLOBAL</t>
  </si>
  <si>
    <t>Total SOCIETE MINIERE DE DEZIWA SAS</t>
  </si>
  <si>
    <t>Total CMOC KISANFU MINING SARL (Ex. PHELPS DODGE CONGO SARL)</t>
  </si>
  <si>
    <t>Total CHENGTUN CONGO RESSOURCES SARL</t>
  </si>
  <si>
    <t>Total KIBALI GOLD MINES</t>
  </si>
  <si>
    <t>Total MUTANDA MINING (MUMI)</t>
  </si>
  <si>
    <t>Total LA MINIERE DE KALUKUNDI SPRL (LAMIKAL)</t>
  </si>
  <si>
    <t>Total KISENDA COPPER COMPAGNY(KICC-EX-MMK)</t>
  </si>
  <si>
    <t>Total COMPAGNIE MINIERE DE KAMBOVE</t>
  </si>
  <si>
    <t>Total CONGO DONGFANG INTERNATIONAL MINING</t>
  </si>
  <si>
    <t>Total THOMAS MINING SARL</t>
  </si>
  <si>
    <t>Total LUILU RESSOURCES SAS</t>
  </si>
  <si>
    <t>Total TENGYUAN COBALT &amp; COPPER RESOURCES</t>
  </si>
  <si>
    <t>Total KAI PENG MINING</t>
  </si>
  <si>
    <t>Total MMG KINSEVERE SARL (MMG)</t>
  </si>
  <si>
    <t>Total RUASHI MINING</t>
  </si>
  <si>
    <t>Total EXCELLENT MINERALS</t>
  </si>
  <si>
    <t>Total KAMBOVE MINING SAS</t>
  </si>
  <si>
    <t>Total HANRUI METAL CONGO SARL</t>
  </si>
  <si>
    <t>Total Compagnie Minière de Luisha SAS</t>
  </si>
  <si>
    <t>Total SHITURU MINING CORPORATION</t>
  </si>
  <si>
    <t>Total SOCIETE MINIERE DU KATANGA</t>
  </si>
  <si>
    <t>Total LA MINIERE DE KASOMBO</t>
  </si>
  <si>
    <t>Total SOCIETE D'EXPLOITATION KIPOI</t>
  </si>
  <si>
    <t>Total KISANFU MINING</t>
  </si>
  <si>
    <t>Total CNMC HUACHIN MABENDE MINING SPRL</t>
  </si>
  <si>
    <t>Total KALONGWE MINING SA</t>
  </si>
  <si>
    <t>Total NEW MINERALS INVESTEMENT</t>
  </si>
  <si>
    <t>Total SOCIETE DE TRAITEMENT DU TERRIL DE LUBUMBASHI (STL)</t>
  </si>
  <si>
    <t>Total METAL MINES SARL</t>
  </si>
  <si>
    <t>DRHL</t>
  </si>
  <si>
    <t>Total CHEMICAL OF AFRICA Sarl</t>
  </si>
  <si>
    <t>Total HUACHIN METAL LEACH SPRL</t>
  </si>
  <si>
    <t>Total FRONTIER SA</t>
  </si>
  <si>
    <t>Total LA MINIERE DE KALUMBWE MYUNGA</t>
  </si>
  <si>
    <t>Total RUBAMIN SARL</t>
  </si>
  <si>
    <t>Total LUALABA COPPER SMELTER SAS</t>
  </si>
  <si>
    <t>Total EVERBRIGHT MINING SARL</t>
  </si>
  <si>
    <t>Total CONGO JIN JU CHENG MINING COMPANY CJCMC</t>
  </si>
  <si>
    <t>Total MINING MINERAL RESOURCES Sarl (MMR)</t>
  </si>
  <si>
    <t>DGR-KC</t>
  </si>
  <si>
    <t>Total MUANDA INTERNATIONAL OIL COMPANY</t>
  </si>
  <si>
    <t>Total GOLDEN AFRICAN RESOURCES SARL</t>
  </si>
  <si>
    <t>Total SOCIETE CNMC CONGO COMPAGNIE MINIERE SARL</t>
  </si>
  <si>
    <t>Total PERENCO RECHERCHE ET EXPLOITATION PETROLIERE</t>
  </si>
  <si>
    <t>Total PERENCO OVERSEAS JAPAN Ltd (ex TEIKOKU)</t>
  </si>
  <si>
    <t>Total LIREX</t>
  </si>
  <si>
    <t>Total DIVINE LAND MINING SARL</t>
  </si>
  <si>
    <t>Total PERENCO ODS (EX. CHEVRON ODS)</t>
  </si>
  <si>
    <t>DPRKOR</t>
  </si>
  <si>
    <t>Total OM METAL RESOURCES SARL</t>
  </si>
  <si>
    <t>Total ANVIL MINING CONGO SARL (AMC)</t>
  </si>
  <si>
    <t>Total BOSS MINING</t>
  </si>
  <si>
    <t>Total SABWE MINING SARL</t>
  </si>
  <si>
    <t>Total CROWN MINING SARL</t>
  </si>
  <si>
    <t>Total CONGO JIA XIN SARL (CJX)</t>
  </si>
  <si>
    <t>Total DFSA MINING CONGO SARL</t>
  </si>
  <si>
    <t>Total LEREXCOM MINING SARL</t>
  </si>
  <si>
    <t>Total AURUM SARL</t>
  </si>
  <si>
    <t>Total SOGECOM</t>
  </si>
  <si>
    <t>Total MINERAL METAL TECHNOLOGY SARL</t>
  </si>
  <si>
    <t>Total MINING PROGRESS COMPANY SARL (M.P.C)</t>
  </si>
  <si>
    <t>Total CONGO RESSOURCES MINING (CRM)</t>
  </si>
  <si>
    <t>Total METAL CHEMICAL CONGO (METACHEM)</t>
  </si>
  <si>
    <t>Total ADUMBI MINING SARL</t>
  </si>
  <si>
    <t>Total NBB &amp; FRERES</t>
  </si>
  <si>
    <t>Total G12 ENTERPRISE SARL</t>
  </si>
  <si>
    <t>Total RUBACO SARL</t>
  </si>
  <si>
    <t>Total BARRICK GOLD CONGO Sarl</t>
  </si>
  <si>
    <t>Total LONCOR RESOURCES CONGO SPRL</t>
  </si>
  <si>
    <t>Total BIENVIEW MINING SARL</t>
  </si>
  <si>
    <t>Total KALIMA MINING COMPANY SA</t>
  </si>
  <si>
    <t>Total BRITCOM COMPANY SARL</t>
  </si>
  <si>
    <t>Total NAVARRO RESOURCES SARL</t>
  </si>
  <si>
    <t>Total COMPAGNIE MINIERE DE TONDO Sas</t>
  </si>
  <si>
    <t>Total TIGER CONGO SARL</t>
  </si>
  <si>
    <t>Total ETS RICA</t>
  </si>
  <si>
    <t>Total CONGO COBALT CORPORATION "CCC SARL"</t>
  </si>
  <si>
    <t>Total KASONGA MINING</t>
  </si>
  <si>
    <t>Total LUALABA MINING COMPANY</t>
  </si>
  <si>
    <t>Total BOLFAST COMPANY SPRL</t>
  </si>
  <si>
    <t>Total CODEMA SARL</t>
  </si>
  <si>
    <t>DOT KAMOA</t>
  </si>
  <si>
    <t>DOT KAMOTO COOPER COMPAGNY</t>
  </si>
  <si>
    <t>DOT TENKE FUNGURUME MINING</t>
  </si>
  <si>
    <t>DOT METALKOL</t>
  </si>
  <si>
    <t>DOT MUTANDA MINING</t>
  </si>
  <si>
    <t>DOT CHENGTUN CONGO RESSOURCES</t>
  </si>
  <si>
    <t>DOT LA MINIERE DE KALUKUNDI</t>
  </si>
  <si>
    <t>SECTEUR DE BASANGA</t>
  </si>
  <si>
    <t>DOT COMPAGNIE MINIERE DE KAMBOVE</t>
  </si>
  <si>
    <t>CHEFFERIE LOGO DOKA</t>
  </si>
  <si>
    <t>CHEFFERIE LOGO OGAMBI</t>
  </si>
  <si>
    <t>CHEFFERIE MARIMINZA</t>
  </si>
  <si>
    <t>DOT CONGO DONGFANG INTERNATIONAL MINING</t>
  </si>
  <si>
    <t>SECTEUR BUKANDA</t>
  </si>
  <si>
    <t>DOT KINSENDA COOPER COMPANY</t>
  </si>
  <si>
    <t>DOT TCC</t>
  </si>
  <si>
    <t>DOT KAI PENG</t>
  </si>
  <si>
    <t>COMMUNE DE MANIKA</t>
  </si>
  <si>
    <t>DOT THOMAS MINING</t>
  </si>
  <si>
    <t>DOT CNMC HUACHIN MABENDE</t>
  </si>
  <si>
    <t>DOT HANRUI METAL CONGO</t>
  </si>
  <si>
    <t>DOT SHITURU MINING CORPORATION</t>
  </si>
  <si>
    <t>DOT EXCELLEN MINERALS</t>
  </si>
  <si>
    <t>DOT COMPAGNIE MINIERE DE LUISHA</t>
  </si>
  <si>
    <t>DOT SOMIKA</t>
  </si>
  <si>
    <t>DOT SOCIETE D'EXPLOITATION DE KIPOI</t>
  </si>
  <si>
    <t>DOT FRONTIER</t>
  </si>
  <si>
    <t>DOT HUACHIN METAL LEACH</t>
  </si>
  <si>
    <t>DOT KAMBOVE MINING</t>
  </si>
  <si>
    <t>DOT KISANFU MINING</t>
  </si>
  <si>
    <t>DOT SINO CONGOLAISE DES MINES</t>
  </si>
  <si>
    <t>Total SINO CONGOLAISE DES MINES</t>
  </si>
  <si>
    <t>DOT CHEMAF</t>
  </si>
  <si>
    <t>DOT CNMC COMPAGNIE MINIERE</t>
  </si>
  <si>
    <t>DOT CONGO JIN JU CHENG MINING COMPANY</t>
  </si>
  <si>
    <t>DOT DIVINE LAND</t>
  </si>
  <si>
    <t>DOT METAL MINES</t>
  </si>
  <si>
    <t>DOT ALPHAMIN BISIE MINING</t>
  </si>
  <si>
    <t>Total ALPHAMINBISIE MINING SA</t>
  </si>
  <si>
    <t>DOT BOSS MINING</t>
  </si>
  <si>
    <t>CHEFFERIE KIONA-NGOIE</t>
  </si>
  <si>
    <t>SECTEUR BABIRA</t>
  </si>
  <si>
    <t>Total JIN XUN CONGO MINING SARL</t>
  </si>
  <si>
    <t>Total MM Mining</t>
  </si>
  <si>
    <t>Annexe 18.1  – Exportations détaillées secteur minier</t>
  </si>
  <si>
    <t>Annexe 17.1 – Production détaillée secteur minier</t>
  </si>
  <si>
    <t>Annexe 18.2  – Exportations détaillées secteur pétrolier</t>
  </si>
  <si>
    <t>17.1</t>
  </si>
  <si>
    <t>17.2</t>
  </si>
  <si>
    <t>18.1</t>
  </si>
  <si>
    <t>Annexe 17.2 – Production détaillée secteur pétrolier</t>
  </si>
  <si>
    <t>PAR FILIERE</t>
  </si>
  <si>
    <t>PAR NATURE</t>
  </si>
  <si>
    <t>PRODUITS MARCHANDS</t>
  </si>
  <si>
    <t>Baril</t>
  </si>
  <si>
    <t>Hydrocarbures</t>
  </si>
  <si>
    <t>Pétrole Brut</t>
  </si>
  <si>
    <t>18.2</t>
  </si>
  <si>
    <t>Nombre d'entité</t>
  </si>
  <si>
    <t>Entité ayant soumis FD</t>
  </si>
  <si>
    <t>PE538</t>
  </si>
  <si>
    <t>CNMHKIL</t>
  </si>
  <si>
    <t>YH METAL</t>
  </si>
  <si>
    <t xml:space="preserve">CHINE </t>
  </si>
  <si>
    <t>CRL</t>
  </si>
  <si>
    <t>SHIRAZ</t>
  </si>
  <si>
    <t>EMIRATIE</t>
  </si>
  <si>
    <t>INDIENNE</t>
  </si>
  <si>
    <t xml:space="preserve">Paiement DOT </t>
  </si>
  <si>
    <t xml:space="preserve">HAUT KATANGA </t>
  </si>
  <si>
    <t xml:space="preserve">Paiement frais mensuel à la communauté(RUASHI,ANNEXE,BUKANDA et KAMPEMBA),CR No:5528,Date:12-01-2023
</t>
  </si>
  <si>
    <t>ASSISTANCE AGRIC</t>
  </si>
  <si>
    <t xml:space="preserve">Paiement frais mensuel à la reunion du comité pour vos activités(Ruashi,Annexe,Bukanda et Kampemba,CR No:5545,Date:06-02-2023_x000D_
</t>
  </si>
  <si>
    <t xml:space="preserve">Paiement frais mensuel à la reunion du comité(Ruashi,C/Annexe, Bukanda et Kampemba,CR No:5270,Date:27-02-2023_x000D_
</t>
  </si>
  <si>
    <t xml:space="preserve">Assistance sociale à la reunion du comité(commune Ruashi,Kampemba,annexe et Bukanda),CR No:5293,Date:31-03-2023_x000D_
</t>
  </si>
  <si>
    <t xml:space="preserve">Paiement frais mensuel au membre du comité(C/annexe,BUKANDA et KAMPEMBA),CR No:4527,Date:03-05-2023_x000D_
</t>
  </si>
  <si>
    <t xml:space="preserve">Paiement frais mensuel à la communauté(C/Annexe,Bukanda,Ruashi et Kampemba),CR No:5370,Date:01-06-2023_x000D_
</t>
  </si>
  <si>
    <t>communauté(RUASH</t>
  </si>
  <si>
    <t>Total SACIM</t>
  </si>
  <si>
    <t>Total LCS</t>
  </si>
  <si>
    <t>Total CHEMAF</t>
  </si>
  <si>
    <t xml:space="preserve">Reboisement </t>
  </si>
  <si>
    <t>'analyse physicochimique,chimique et microbiologique</t>
  </si>
  <si>
    <t xml:space="preserve">TAPO &amp; TERA </t>
  </si>
  <si>
    <t xml:space="preserve">TERA </t>
  </si>
  <si>
    <t xml:space="preserve"> Frais d'analyse physicochimique,chimique et microbiologique des eaux</t>
  </si>
  <si>
    <t>Paiement Fonds Forestier National Deforestation</t>
  </si>
  <si>
    <t>Analyse physicochimique,chimique et microbiologiqu</t>
  </si>
  <si>
    <t>CNPRI  Inspection 2nd Semister Inv.001/2s/2023</t>
  </si>
  <si>
    <t>environnementale effectuer au seins de la societe</t>
  </si>
  <si>
    <t>Paiement for Environment tax for Usoke</t>
  </si>
  <si>
    <t>Payment to Labo Environnement inv 201/CHEMAF/2023</t>
  </si>
  <si>
    <t>travaux d'evaluation de la mise en oeuvre des mesu</t>
  </si>
  <si>
    <t>Payment for Labo Envir. Ref 219/Chemaf/LE/AKT/2023</t>
  </si>
  <si>
    <t>reboisement 2023-2024 pour le compte de la journee</t>
  </si>
  <si>
    <t>Shifting radioactive source IR-192 Inv.309/CNPRI23</t>
  </si>
  <si>
    <t>microbiologique des eaux, Contre Facture No. 330</t>
  </si>
  <si>
    <t>LABO</t>
  </si>
  <si>
    <t>LABOLABO</t>
  </si>
  <si>
    <t xml:space="preserve">LABO </t>
  </si>
  <si>
    <t xml:space="preserve"> Fonds Forestier National Deforestation</t>
  </si>
  <si>
    <t>CNPRI</t>
  </si>
  <si>
    <t>DGARD</t>
  </si>
  <si>
    <t xml:space="preserve">CNPRI </t>
  </si>
  <si>
    <t xml:space="preserve">ETOILE </t>
  </si>
  <si>
    <t>9 000 000 USD</t>
  </si>
  <si>
    <t xml:space="preserve">Jin cheng limited </t>
  </si>
  <si>
    <t xml:space="preserve">  Site COMMUS : Localité Pierre MUTEBA, Groupement KAZEMBE, Secteur de LUILU, Territoire de MUTSHATSHA, Province du LUALABA, République Démocratique du CONGO</t>
  </si>
  <si>
    <t>www.zijinmining.com</t>
  </si>
  <si>
    <t>www.zijinming.com</t>
  </si>
  <si>
    <t xml:space="preserve">Construction d'un pont entre les villages Denis et Mikanga </t>
  </si>
  <si>
    <t>Rehabilitation de la route Poteau93- village Kilongo</t>
  </si>
  <si>
    <t xml:space="preserve">Achat equipement additionnel du batiment administratif Kilongo </t>
  </si>
  <si>
    <t>Achat et distribution des intrants agricoles et suivi des planteurs</t>
  </si>
  <si>
    <t xml:space="preserve">Suite de la formation des  pisciculteurs </t>
  </si>
  <si>
    <t xml:space="preserve">Idenfication formation des maraichers . Achat et distribution des outils et equipements aux maraichers </t>
  </si>
  <si>
    <t xml:space="preserve">Fin travaux de construction et Achat équipement et medicament  du centre de sante de Kifita </t>
  </si>
  <si>
    <t>Travaux de construction et Achat équipement et medicament  du Poste de Santé de Sela</t>
  </si>
  <si>
    <t>Distribution des plantules pour le reboisement communautaire</t>
  </si>
  <si>
    <t>construction école secondaire Kilongo</t>
  </si>
  <si>
    <t>Payement de la prime mensuelle des enseignants des écoles primaires</t>
  </si>
  <si>
    <t xml:space="preserve">payement bourses scolaires secondaires </t>
  </si>
  <si>
    <t xml:space="preserve">Alphabetisiation des adultes </t>
  </si>
  <si>
    <t xml:space="preserve">Maintenance et reparation des pompes des puits </t>
  </si>
  <si>
    <t>Nettoyage et desinfection des puits</t>
  </si>
  <si>
    <t>Total MMG KINSEVERE SPRL</t>
  </si>
  <si>
    <t xml:space="preserve">Villages Sela , Gaston ,Denis et Mikanga </t>
  </si>
  <si>
    <t xml:space="preserve">Villages Poteau 93,Denis,Kalilanda, Mpundu , Ernest ,Sela ,Denis et Mikanga </t>
  </si>
  <si>
    <t>Villages Kifita,Kalunda, Poteau 93,Ntetema,Kapeshi,Kampelembe</t>
  </si>
  <si>
    <t>Villages Kifita,Kalunda, Poteau 93,Ntetema,Kapeshi,Kampelembe, Kandulwe ,Kiswishi ,Muombe,Ngongo, Mumba,Mumanga,Kilongo,Sela Kalilanda,Denis ,Ernest ,Mikanga ,Misanse</t>
  </si>
  <si>
    <t xml:space="preserve">Villages Muombe,Mumanga,Mumba,Kilongo </t>
  </si>
  <si>
    <t>Kifita,Kalunda ,Mumba, Kilongo , Kalilanda ,Sela ,Denis</t>
  </si>
  <si>
    <t>Villages Kifita,Kapeshi,Kalunda ,Poteau 93 ,Ntetema,Kampelembe</t>
  </si>
  <si>
    <t xml:space="preserve">Sela , Denis ,Mikanga ,Gaston </t>
  </si>
  <si>
    <t xml:space="preserve">Ecoles et villages  </t>
  </si>
  <si>
    <t>Kifita ,Kalunda,Emma , Kikwesa ,Ntetema,</t>
  </si>
  <si>
    <t xml:space="preserve">Ecoles primaires Kifita ,Kinsevere, Kimba ,Sela , Mumanga , Neema </t>
  </si>
  <si>
    <t>villages autour de la mine Kinsevere</t>
  </si>
  <si>
    <t>Kipushi,Bukanda,Kasongo</t>
  </si>
  <si>
    <t>Haut Katanga, Kipushi,Bukanda, Kasongo</t>
  </si>
  <si>
    <t>Entreprise minière privée</t>
  </si>
  <si>
    <t>Cahier des charges, Protocoled'accord CW 2259448</t>
  </si>
  <si>
    <t>Haut Katanga, Kipushi,   Bukanda , Kasongo</t>
  </si>
  <si>
    <t>Cahier des charges, Protocole d'accord CW 2259449</t>
  </si>
  <si>
    <t>Cahier des charges, PO</t>
  </si>
  <si>
    <t>cahier des charges, Purchase Orders (PO)</t>
  </si>
  <si>
    <t>LOMI CONGO SARL                                        SIFA Pharma</t>
  </si>
  <si>
    <t>Cahier des charges, Protocole d'accord CW2254392 et Purchase orders (PO)</t>
  </si>
  <si>
    <t>BEKET HOLDING SARL                    SIFA PHARMA</t>
  </si>
  <si>
    <t>Cahier des charges, Protocole d'accord CW 2257424</t>
  </si>
  <si>
    <t>Cahier des charges, Protocole d'accord CW 2259452</t>
  </si>
  <si>
    <t xml:space="preserve">Cahier des charges </t>
  </si>
  <si>
    <t>ALFACONGO</t>
  </si>
  <si>
    <t>Cahier des charges          PO</t>
  </si>
  <si>
    <r>
      <t xml:space="preserve">N° </t>
    </r>
    <r>
      <rPr>
        <b/>
        <sz val="9"/>
        <color theme="0"/>
        <rFont val="Trebuchet MS"/>
        <family val="2"/>
      </rPr>
      <t>CAUTIONNEMENT</t>
    </r>
  </si>
  <si>
    <t>162 112 154,2 USD</t>
  </si>
  <si>
    <t>173 557 750,06 USD</t>
  </si>
  <si>
    <t>Annexe 43 – Sous-traitants</t>
  </si>
  <si>
    <t>ADR</t>
  </si>
  <si>
    <t>AFRICASHIZHENC</t>
  </si>
  <si>
    <t>AHK</t>
  </si>
  <si>
    <t>BAEEM</t>
  </si>
  <si>
    <t>BNKCONSULTING</t>
  </si>
  <si>
    <t>BOLLORE</t>
  </si>
  <si>
    <t>BRILLANTTRAVEL</t>
  </si>
  <si>
    <t>CMCK</t>
  </si>
  <si>
    <t>CNMCINTERNATIO</t>
  </si>
  <si>
    <t>COLINGORDCSAR</t>
  </si>
  <si>
    <t>CONGOBESTSARL</t>
  </si>
  <si>
    <t>CONGOGEOLOGIST</t>
  </si>
  <si>
    <t>CONNEXAFRIQUE</t>
  </si>
  <si>
    <t>DONGHUI</t>
  </si>
  <si>
    <t>DONGSHENG</t>
  </si>
  <si>
    <t>ETS</t>
  </si>
  <si>
    <t>ETSBARAKA</t>
  </si>
  <si>
    <t>ETSCHAOYANG</t>
  </si>
  <si>
    <t>ETSEXCELLENCET</t>
  </si>
  <si>
    <t>ETSNOUVELAVEN</t>
  </si>
  <si>
    <t>EXPRESSOIL</t>
  </si>
  <si>
    <t>FHQCONSULTING</t>
  </si>
  <si>
    <t>FRONTIERSERVIC</t>
  </si>
  <si>
    <t>GCK</t>
  </si>
  <si>
    <t>GECONTRANS</t>
  </si>
  <si>
    <t>GLOBALPIONNERA</t>
  </si>
  <si>
    <t>GREATDEVELOPME</t>
  </si>
  <si>
    <t>GTS</t>
  </si>
  <si>
    <t>HASSPETROLE</t>
  </si>
  <si>
    <t>HCAUTO</t>
  </si>
  <si>
    <t>HEXIANGHARDWAR</t>
  </si>
  <si>
    <t>HTS</t>
  </si>
  <si>
    <t>HUATAI</t>
  </si>
  <si>
    <t>ICT</t>
  </si>
  <si>
    <t>JIANGSUQINGFENG</t>
  </si>
  <si>
    <t>LEPRINTEMPS</t>
  </si>
  <si>
    <t>LMCMININGSARL</t>
  </si>
  <si>
    <t>LOGICIELSSERVI</t>
  </si>
  <si>
    <t>MAJISAFI</t>
  </si>
  <si>
    <t>MINEGASESSARL</t>
  </si>
  <si>
    <t>MININGPROGRESS</t>
  </si>
  <si>
    <t>MKDMETAL</t>
  </si>
  <si>
    <t>MKMSAS</t>
  </si>
  <si>
    <t>MOONPALACE</t>
  </si>
  <si>
    <t>MWIMBAINVEST</t>
  </si>
  <si>
    <t>NEWFATUMA</t>
  </si>
  <si>
    <t>NYMGROUP</t>
  </si>
  <si>
    <t>PORTAGRACIA</t>
  </si>
  <si>
    <t>PROSPERE</t>
  </si>
  <si>
    <t>RDCSAUVIGNY</t>
  </si>
  <si>
    <t>REBACONGO</t>
  </si>
  <si>
    <t>SERVICESENGINE</t>
  </si>
  <si>
    <t>SOLEIL</t>
  </si>
  <si>
    <t>SOPROME</t>
  </si>
  <si>
    <t>SOSERETCOMP</t>
  </si>
  <si>
    <t>SSL</t>
  </si>
  <si>
    <t>STENVT</t>
  </si>
  <si>
    <t>TONGDA</t>
  </si>
  <si>
    <t>UNITEDTRILLON</t>
  </si>
  <si>
    <t>*Renouvellement 2023</t>
  </si>
  <si>
    <t>PERMIS</t>
  </si>
  <si>
    <t>DECISION DE RENOUVELLEMENT</t>
  </si>
  <si>
    <t>DATE DE SIGNATURE</t>
  </si>
  <si>
    <t>00155/CAB.MIN/MINES/01/2023</t>
  </si>
  <si>
    <t>Haut-Lomami; Bukama; S10/26</t>
  </si>
  <si>
    <t>00156/CAB.MIN/MINES/01/2023</t>
  </si>
  <si>
    <t>Haut-Lomami; Bukama; S10/25, S10/26</t>
  </si>
  <si>
    <t>00889/CAB.MIN/MINES/01/2023</t>
  </si>
  <si>
    <t>Haut-Katanga; Kambove; S11/26</t>
  </si>
  <si>
    <t>00893/CAB.MIN/MINES/01/2023</t>
  </si>
  <si>
    <t>Haut-Katanga; Kipushi; S12/27</t>
  </si>
  <si>
    <t>00892/CAB.MIN/MINES/01/2023</t>
  </si>
  <si>
    <t>Haut-Katanga; Kambove, Kipushi; S12/27</t>
  </si>
  <si>
    <t>00894/CAB.MIN/MINES/01/2023</t>
  </si>
  <si>
    <t>Haut-Katanga; Kambove, Kasenga; S12/27</t>
  </si>
  <si>
    <t>00049/CAB.MIN/MINES/01/2023</t>
  </si>
  <si>
    <t>Lualaba; Kolwezi, Mutshatsha; S11/25</t>
  </si>
  <si>
    <t>Lualaba; Mutshatsha; S11/25</t>
  </si>
  <si>
    <t>00679/CAB.MIN/MINES/01/2023</t>
  </si>
  <si>
    <t>Lualaba; Kolwezi; S11/25</t>
  </si>
  <si>
    <t>00680/CAB.MIN/MINES/01/2023</t>
  </si>
  <si>
    <t>00014/CAB.MIN/MINES/01/2023</t>
  </si>
  <si>
    <t>00073/CAB.MIN/MINES/01/2023</t>
  </si>
  <si>
    <t>Haut-Katanga; Kasenga; S12/27</t>
  </si>
  <si>
    <t>00076/CAB.MIN/MINES/01/2024</t>
  </si>
  <si>
    <t>00896/CAB.MIN/MINES/01/2023</t>
  </si>
  <si>
    <t>Haut-Katanga; Kambove; S11/26, S11/27</t>
  </si>
  <si>
    <t>Annexe 7.1 - Liste des Titres miniers avec le statut actif dont la date d'octroi est en 2024</t>
  </si>
  <si>
    <t>Annexe 7.2 - Liste des Titres miniers avec le statut actif dont la date d'expiration est antérieure ou identique à la date d'octroi</t>
  </si>
  <si>
    <t>DEMANDE DE PR/ARPC</t>
  </si>
  <si>
    <t>Nouvelle Demande</t>
  </si>
  <si>
    <t>Demande</t>
  </si>
  <si>
    <t>Statut initial à la réception du dossier</t>
  </si>
  <si>
    <t>Demande en attente d'une autre demande</t>
  </si>
  <si>
    <t>Statut intermédiaire en cas d'empiètement d'une demande défavorable</t>
  </si>
  <si>
    <t>Demande Approuvée</t>
  </si>
  <si>
    <t>Enregistrement des Preuves de paiement des Droits superficiaires Prorata Temporis et annuels</t>
  </si>
  <si>
    <t>Droit Caduc</t>
  </si>
  <si>
    <t>Inactif</t>
  </si>
  <si>
    <t>Non-paiement des Droits superficiaires Prorata Temporis dans les delais</t>
  </si>
  <si>
    <t>Demande Refusée</t>
  </si>
  <si>
    <t>Rejeté</t>
  </si>
  <si>
    <t>Inscription de l'Arrêté portant Refus d'Octroi</t>
  </si>
  <si>
    <t>DEMANDE PE (TRANSFORMATION PR EN PE)</t>
  </si>
  <si>
    <t>Encodage de la Demande de transformation de PR en PE</t>
  </si>
  <si>
    <t>Avis cadastral et Notification favorables, Avis technique et Certificat environnemental et projet d'Arrêté d'octroi transmis au Cabinet du Ministre des Mines National ou Provincial</t>
  </si>
  <si>
    <t>Preuves de paiement des Droits superficiaires Prorata Temporis</t>
  </si>
  <si>
    <t>DEMANDE PEPM (TRANSFORMATION PR EN PEPM)</t>
  </si>
  <si>
    <t>Encodage de la Demande de transformation de PR en PEPM</t>
  </si>
  <si>
    <t>Avis cadastral favorable et projet d'Arrêté d'octroi transmis au Cabinet du Ministre</t>
  </si>
  <si>
    <t>Droit Octroyé PR-&gt;PEPM</t>
  </si>
  <si>
    <t>PROCEDURES DE DECHEANCE (NON-PAIEMENT/NON-COMMENCEMENT/NON-RESPECT DES OBLIGATIONS)</t>
  </si>
  <si>
    <t>Constat par la Direction Financière du Non-paiement des Droits superficiaires annuels</t>
  </si>
  <si>
    <t>A déchoir pour Non Commencement</t>
  </si>
  <si>
    <t>Réception de la Direction des Mines du PV de Constat de Non-Commencement des travaux de Recherches ou de Développement</t>
  </si>
  <si>
    <t>A déchoir pour Non-Respect des Obligations sociales</t>
  </si>
  <si>
    <t>Réception du PV de Constat de Non-Respect Obligations Sociales</t>
  </si>
  <si>
    <t>Avis cadastral favorable et projet d'Arrêté de Déchéance transmis au Cabinet du Ministre</t>
  </si>
  <si>
    <t>Actif en Déchéance pour Non Respect Obligations Sociétales</t>
  </si>
  <si>
    <t>Réception de l'Arrêté portant Déchéance</t>
  </si>
  <si>
    <t>Actif en Report de Déchéance</t>
  </si>
  <si>
    <t>Transmission, après recours favorable, du Projet d'Arrêté portant report de la Déchéance</t>
  </si>
  <si>
    <t>Droit Retiré</t>
  </si>
  <si>
    <t>Réception de l'Arrêté portant Retrait du droit</t>
  </si>
  <si>
    <t>TRANSFORMATION PE EN PEPM ET PEPM EN PE</t>
  </si>
  <si>
    <t>Encodage de la Demande de transformation de PEPM en PE</t>
  </si>
  <si>
    <t>Actif en Transformation de PE en PEPM (PE to PEPM)</t>
  </si>
  <si>
    <t>Encodage de la Demande de transformation de PE en PEPM</t>
  </si>
  <si>
    <t>Avis cadastral favorable et projet d'Arrêté d'octroi du PE transmis au Cabinet du Ministre National</t>
  </si>
  <si>
    <t>Demande PE -&gt; PEPM Approuvée</t>
  </si>
  <si>
    <t>Avis cadastral favorable et projet d'Arrêté d'octroi du PEPM transmis au Cabinet du Ministre National</t>
  </si>
  <si>
    <t>Droit Octroyé PE-&gt;PEPM</t>
  </si>
  <si>
    <t>Droit Octroyé PEPM-&gt;PE</t>
  </si>
  <si>
    <t>AUTRES STATUTS</t>
  </si>
  <si>
    <t>Demande en Transformation en Multiple</t>
  </si>
  <si>
    <t>Droit valide en renonciation partielle</t>
  </si>
  <si>
    <t>Droit valide en Force Majeure</t>
  </si>
  <si>
    <t>Réception de la demande de transformation en multiples permis</t>
  </si>
  <si>
    <t>Réception de l'Arrêté portant Renouvellement</t>
  </si>
  <si>
    <t>Droit valide en cours de Cession partielle</t>
  </si>
  <si>
    <t>Réception de la notification de Cessation de la force majeure</t>
  </si>
  <si>
    <t>Récepton de la demande de Transformation partielle en PE/PEPM/AECP</t>
  </si>
  <si>
    <t>Demande en Cession Partielle</t>
  </si>
  <si>
    <t>Nouveau droit issu de la Cession partielle</t>
  </si>
  <si>
    <t>Droit Expiré</t>
  </si>
  <si>
    <t>Droit expiré notifié</t>
  </si>
  <si>
    <t>Annulé</t>
  </si>
  <si>
    <t>Ancien statut des droits retirés</t>
  </si>
  <si>
    <t>Radiation en cours</t>
  </si>
  <si>
    <t>Droits expiré en attente de la notification</t>
  </si>
  <si>
    <t>Droits des Sociétés d'Etat reclamés pour réhabilitation</t>
  </si>
  <si>
    <t>Actif en Convention</t>
  </si>
  <si>
    <t>Ancien statut des droits en Convention</t>
  </si>
  <si>
    <t>Droit en cours de renonciation</t>
  </si>
  <si>
    <t>Droit en renouvellement</t>
  </si>
  <si>
    <t>Droit Renoncé</t>
  </si>
  <si>
    <t>Réception de la Décision portant renonciation</t>
  </si>
  <si>
    <t>Demande en Transformation Partielle</t>
  </si>
  <si>
    <t>Nouveau droit issu de la Transformation partielle</t>
  </si>
  <si>
    <t>Annexe 5 - Légende de définition des différents statuts de titres qui figurent dans le registre des droits miniers :</t>
  </si>
  <si>
    <t>409916,033 USD</t>
  </si>
  <si>
    <t xml:space="preserve">Construction du Poulailler </t>
  </si>
  <si>
    <t xml:space="preserve">Réhabilitation de l'Hopital Général </t>
  </si>
  <si>
    <t>ouverture du terrain champ Lukangaba Customs</t>
  </si>
  <si>
    <t>ouverture du terrain champ Kaloko</t>
  </si>
  <si>
    <t xml:space="preserve">Forage et installation de puits d'irrigation </t>
  </si>
  <si>
    <t>Contruction de la cloture à l'hopital général de Sakania</t>
  </si>
  <si>
    <t>Coopérative Chawama</t>
  </si>
  <si>
    <t xml:space="preserve">Kimfumpa _Sec de Balamba _Gpt Katala </t>
  </si>
  <si>
    <t>Frontier</t>
  </si>
  <si>
    <t>BEC</t>
  </si>
  <si>
    <t>Coopérative Intulo</t>
  </si>
  <si>
    <t xml:space="preserve">Lukangaba Custom-Sec de Balamba -Gpt Katala </t>
  </si>
  <si>
    <t>SBS</t>
  </si>
  <si>
    <t>Coopérative Tuibombele</t>
  </si>
  <si>
    <t xml:space="preserve">Sakania- Sec de Balamba -Gpt Katala </t>
  </si>
  <si>
    <t>Coopérative Eden</t>
  </si>
  <si>
    <t xml:space="preserve">Lukangaba Mashimu-Sec de Balamba -Gpt Katala </t>
  </si>
  <si>
    <t>Cooperative Twimine Pamo</t>
  </si>
  <si>
    <t xml:space="preserve">Kaloko-Sec de Balamba -Gpt Katala </t>
  </si>
  <si>
    <t>Coopérative Buyantashi</t>
  </si>
  <si>
    <t xml:space="preserve">Kabumba- Sec de Balamba -Gpt Katala </t>
  </si>
  <si>
    <t>Sakania</t>
  </si>
  <si>
    <t>Rubatek/Dev solaire</t>
  </si>
  <si>
    <t xml:space="preserve">En cour </t>
  </si>
  <si>
    <t>16/11/2023</t>
  </si>
  <si>
    <t>30/03/2023</t>
  </si>
  <si>
    <t>Nous avons les contractants enregistrés dans le système</t>
  </si>
  <si>
    <t>985 650 895 USD</t>
  </si>
  <si>
    <t>PER 652</t>
  </si>
  <si>
    <t>LUALABA  /KINGAMYAMBO</t>
  </si>
  <si>
    <t>Détail</t>
  </si>
  <si>
    <t>L'entreprise est-elle cotée en bourse, ou filiale à 100% d'une entreprise cotée en bourse ?</t>
  </si>
  <si>
    <t>Barrick Gold et ANGLO GOLD</t>
  </si>
  <si>
    <t>Glencore</t>
  </si>
  <si>
    <t>ALPHAMIN RESOURCES LTD et ALPHAMIN RESOURCES CORP</t>
  </si>
  <si>
    <t xml:space="preserve">NC </t>
  </si>
  <si>
    <t>China Molybdenum Co.Ltd. (PRC)(Côtée en bourse english.sse.com.cn. - hkex.com.hk. )(%)</t>
  </si>
  <si>
    <t>CHINA RAILWAY RESSOUCES UNIVERSAL LIMITES Est une filiale de China Railways Group Limited qui est une societe chinoise cotee sur les place bourssiere de Shanghai et Hong Kong. Source: www.crecg.com</t>
  </si>
  <si>
    <t>La société Katanga Mining Finance Ltd, qui détient 75 % du capital de KCC, appartient au groupe Glencore International AG, une société cotée en bourse.</t>
  </si>
  <si>
    <t>La scoiété TF Holding qui détient 80% du TFM , appartient à CMOC Ltd , une société cotée à la Bourse de Hong Kong (HK3993) et à la Bourse de Shanghai (SH603993).</t>
  </si>
  <si>
    <t>Annexe 15.1 - Liste des PR transformés en PE en 2022</t>
  </si>
  <si>
    <t>Annexe 15.2 - Liste des PR transformés en PE en 2023</t>
  </si>
  <si>
    <t>NATURE 2023</t>
  </si>
  <si>
    <t>STATUT 2023</t>
  </si>
  <si>
    <t>270 245 773,56 USD</t>
  </si>
  <si>
    <t>LUBUMBASHI  et KOLWEZI</t>
  </si>
  <si>
    <t>HAUT KATANGA, LUALABA</t>
  </si>
  <si>
    <t>TANGANYIKA</t>
  </si>
  <si>
    <t>Non répondu</t>
  </si>
  <si>
    <t>La société ne dispose pas de politique de lutte contre la corruption.</t>
  </si>
  <si>
    <t>Annexe 1.1 - Politique de lutte contre la corruption des sociétés Miniéres</t>
  </si>
  <si>
    <t xml:space="preserve">Annexe 1.2 - Politique de lutte contre la corruption </t>
  </si>
  <si>
    <t>N/A : Non appliqué (défaut déclaration)</t>
  </si>
  <si>
    <t>lien non communiqué</t>
  </si>
  <si>
    <t>Titulaire</t>
  </si>
  <si>
    <t>N°Droit</t>
  </si>
  <si>
    <t>Nature</t>
  </si>
  <si>
    <t>Carrés</t>
  </si>
  <si>
    <t>Octroi</t>
  </si>
  <si>
    <t>Expiration</t>
  </si>
  <si>
    <t>Statut</t>
  </si>
  <si>
    <t>Libellé de Statut</t>
  </si>
  <si>
    <t>Explication</t>
  </si>
  <si>
    <t>N/A (Entreprise publique)</t>
  </si>
  <si>
    <t>L’entreprise a-t-elle fourni sa déclaration relative à la structure du capital ? (Oui / Non)</t>
  </si>
  <si>
    <t>N/A : EP</t>
  </si>
  <si>
    <t>N/C : Information Non Communiquée</t>
  </si>
  <si>
    <t>N/A (Entreprise de l'état)</t>
  </si>
  <si>
    <t xml:space="preserve"> </t>
  </si>
  <si>
    <t>Questionnaire Rempli</t>
  </si>
  <si>
    <t>Lien non communiqué</t>
  </si>
  <si>
    <t>N/R :</t>
  </si>
  <si>
    <t xml:space="preserve">Date </t>
  </si>
  <si>
    <t>Description</t>
  </si>
  <si>
    <t xml:space="preserve">Lieu d'exécution </t>
  </si>
  <si>
    <t xml:space="preserve">Bénéficiare </t>
  </si>
  <si>
    <t>Coût total 
du Projet</t>
  </si>
  <si>
    <t xml:space="preserve">Montant de la dépense </t>
  </si>
  <si>
    <t>Nom du fournisseur ou prestataire</t>
  </si>
  <si>
    <t>Pièce justificative de la depense (numéro de facture et date)</t>
  </si>
  <si>
    <t>Référence juridique de la depense
(contrat, accord, protocole,instruction..)</t>
  </si>
  <si>
    <t>Observations
sur la depense</t>
  </si>
  <si>
    <t>En CDF</t>
  </si>
  <si>
    <t>CHEFFERIE DES BAYEKE</t>
  </si>
  <si>
    <t>dette sociale</t>
  </si>
  <si>
    <t>Dettes commerciales(fournisseurs des biens et prestations</t>
  </si>
  <si>
    <t>Dettes  financieres(remboursement d'interets bancaires)</t>
  </si>
  <si>
    <t>traitement de base du Personnel contractuel</t>
  </si>
  <si>
    <t>Agents Chefferie, Régies</t>
  </si>
  <si>
    <t>indemnité de transport</t>
  </si>
  <si>
    <t>primes et indemnités permanentes</t>
  </si>
  <si>
    <t>primes, gratifications et indemnités non permanentes</t>
  </si>
  <si>
    <t>fournitures et petits matériels</t>
  </si>
  <si>
    <t>matériaux de construction et de quincaillerie</t>
  </si>
  <si>
    <t>pièces de rechange pour matériels roulants</t>
  </si>
  <si>
    <t>produits chimiques et organiques</t>
  </si>
  <si>
    <t>Semences agricoles et produits agro alimentaires</t>
  </si>
  <si>
    <t>fournitures énergétiques</t>
  </si>
  <si>
    <t>textiles et tissus</t>
  </si>
  <si>
    <t>communication et télécommunication</t>
  </si>
  <si>
    <t>location satellite</t>
  </si>
  <si>
    <t>alimentation en energie eletrique</t>
  </si>
  <si>
    <t>publicité</t>
  </si>
  <si>
    <t>impression, réproduction, reliure et conservation</t>
  </si>
  <si>
    <t>imprimes de valeurs</t>
  </si>
  <si>
    <t>location et affrètement des moyens de transport</t>
  </si>
  <si>
    <t>titres de voyage à l'intérieur</t>
  </si>
  <si>
    <t>titres de voyage à l'exterieur</t>
  </si>
  <si>
    <t>location immobilière</t>
  </si>
  <si>
    <t>frais d'hebergement</t>
  </si>
  <si>
    <t>location d'équipement et de matériel</t>
  </si>
  <si>
    <t>entretien de matériels et d'équipements</t>
  </si>
  <si>
    <t>réparation de matériels et d'équipements</t>
  </si>
  <si>
    <t>entretien, décoration et réparation d'édifices</t>
  </si>
  <si>
    <t>entretien d'ouvrages hydro-électriques et voies 
de communication</t>
  </si>
  <si>
    <t>frais de mission à l'intérieur</t>
  </si>
  <si>
    <t>frais secrets de recherche</t>
  </si>
  <si>
    <t>Frais d'assurance</t>
  </si>
  <si>
    <t>commissions bancaires</t>
  </si>
  <si>
    <t>autres prestations…</t>
  </si>
  <si>
    <t>Subventions a l'Universite de Bunkeya</t>
  </si>
  <si>
    <t>bourse d'etudes</t>
  </si>
  <si>
    <t xml:space="preserve">rétrocession </t>
  </si>
  <si>
    <t>fonds special d'intervention</t>
  </si>
  <si>
    <t>aide, secours, indemnisation et assistance judiciaire</t>
  </si>
  <si>
    <t>Intervention pour catastrophes naturelles, calamites 
et accidents majeurs</t>
  </si>
  <si>
    <t>interventions économiques, sociales, scientifiques et
 culturelles</t>
  </si>
  <si>
    <t>frais médicaux et pharmaceutiques</t>
  </si>
  <si>
    <t>frais funéraires</t>
  </si>
  <si>
    <t>acquisition d'équipements informatiques</t>
  </si>
  <si>
    <t>acquisition d'equipements industriels et electronique</t>
  </si>
  <si>
    <t>acquisition d'équipements téléphoniques</t>
  </si>
  <si>
    <t>acquisition d'equipements photographiques</t>
  </si>
  <si>
    <t>acquisition d'équipements divers</t>
  </si>
  <si>
    <t>construction d'édifices et de bâtiments</t>
  </si>
  <si>
    <t>construction des routes, pistes, ponts, ports, 
aéroports et rails</t>
  </si>
  <si>
    <t>Total CHEFFERIE DES BAYEKE</t>
  </si>
  <si>
    <t>Secteur LUILU</t>
  </si>
  <si>
    <t>Construction du Bureau de Quartier KAWAMA</t>
  </si>
  <si>
    <t>KASANIA</t>
  </si>
  <si>
    <t>KAWAMA</t>
  </si>
  <si>
    <t>Construction batiment administratif</t>
  </si>
  <si>
    <t>TSHITU SARL</t>
  </si>
  <si>
    <t>CONTRAT</t>
  </si>
  <si>
    <t>Construction du Bureau de Quartier SAPATELO</t>
  </si>
  <si>
    <t>SAPATELO</t>
  </si>
  <si>
    <t>BRAKEKERY SARL</t>
  </si>
  <si>
    <t>Construction du Bureau de Quartier TSHAMUNDENDA</t>
  </si>
  <si>
    <t>TSHAMUDENDA</t>
  </si>
  <si>
    <t>BIG SERVICES SARL</t>
  </si>
  <si>
    <t>Réhabilitation du Bureau de Quartier N'ZILO</t>
  </si>
  <si>
    <t>N'ZILO</t>
  </si>
  <si>
    <t>YANN ET FRERES SARL</t>
  </si>
  <si>
    <t>Construction du grand marché MUSOMPO</t>
  </si>
  <si>
    <t>LUPUNDU</t>
  </si>
  <si>
    <t>Construction marché</t>
  </si>
  <si>
    <t>Q.S.S SARL</t>
  </si>
  <si>
    <t>Construction d'un centre de santé à MPWENE</t>
  </si>
  <si>
    <t>MPWENE</t>
  </si>
  <si>
    <t>construction centre de sante</t>
  </si>
  <si>
    <t>AIKULI ETOILE BUSINESS SARL</t>
  </si>
  <si>
    <t>Réhabilitation des routes d'agglomèration à Lualaba-Gare (20km)</t>
  </si>
  <si>
    <t>LUALABA-GARE</t>
  </si>
  <si>
    <t>Réhabilitation des avenues dans le chef lieu</t>
  </si>
  <si>
    <t>NEW COMPANY MULTI-SERVICES SARL</t>
  </si>
  <si>
    <t>Réhabilitation des routes dans les 4 groupements du Secteur de Luilu</t>
  </si>
  <si>
    <t>KAZEMBE ET MWANFWE</t>
  </si>
  <si>
    <t>Réhabilitation dans les chefs lieux des groupements</t>
  </si>
  <si>
    <t>SOGETRAC  SARL</t>
  </si>
  <si>
    <t>Réhabilitation des routes dans le village MUSOMPO</t>
  </si>
  <si>
    <t>MUSOMPO</t>
  </si>
  <si>
    <t>Réhabilitation des avenues au Village Musompo</t>
  </si>
  <si>
    <t>PRECIOUS COMPANY AND LOGISTIC SARL</t>
  </si>
  <si>
    <t>Construction des drains (5km) à Lualaba-Mupanja</t>
  </si>
  <si>
    <t>LUALABA-MUPANJA</t>
  </si>
  <si>
    <t>construction canniveaux</t>
  </si>
  <si>
    <t>NAISA ENGINEERING SARL</t>
  </si>
  <si>
    <t xml:space="preserve">Electrification des grandes arters du Secteur (1500 poteaux) à Lualaba-Mupanja </t>
  </si>
  <si>
    <t>Lampadaires solaires (éclairage public)</t>
  </si>
  <si>
    <t>NEW WAVE ENERGY SARL</t>
  </si>
  <si>
    <t>Dessouchement d'un terrain de 200 hectares au champ pilote au village LENGE</t>
  </si>
  <si>
    <t>LENGE</t>
  </si>
  <si>
    <t>Dessouchement de terre pour l'agriculture des mais</t>
  </si>
  <si>
    <t>JOKAB SARL</t>
  </si>
  <si>
    <t>Acquisition des 4 jeeps pour les services techniques</t>
  </si>
  <si>
    <t>moyen de deplacement</t>
  </si>
  <si>
    <t>BISH WORLD SARL</t>
  </si>
  <si>
    <t>Acquisition d'un bus pour le transport du personnel</t>
  </si>
  <si>
    <t>Acquisition d'un camion d'assainissement</t>
  </si>
  <si>
    <t>4 GROUPEMENTS</t>
  </si>
  <si>
    <t>Assainissement</t>
  </si>
  <si>
    <t xml:space="preserve">Acquisition d'une jeep 4x4x full option </t>
  </si>
  <si>
    <t>Acquisition des équipements agro-sylvo pastauraux</t>
  </si>
  <si>
    <t>CHAMP PILOTE LENGE</t>
  </si>
  <si>
    <t>Acquisition des tracteurs et accessoires</t>
  </si>
  <si>
    <t>Abonnement Internet des bureaux du Secteur de Luilu</t>
  </si>
  <si>
    <t>connexion internet</t>
  </si>
  <si>
    <t>MICROCOM SARL</t>
  </si>
  <si>
    <t>ANNULE</t>
  </si>
  <si>
    <t>Fourniture du carburant</t>
  </si>
  <si>
    <t>gazoil et essence</t>
  </si>
  <si>
    <t>ABIGA SERVICES SARL</t>
  </si>
  <si>
    <t>Acquisition des produits chimiques et organiques (NPK 10-20-10, UREE 46%, HERBICIDES,PESTICIDES et SEMENCES AMELIORES 647</t>
  </si>
  <si>
    <t>Intrants pour la culture des mais</t>
  </si>
  <si>
    <t>ICT COORPORATION SARL</t>
  </si>
  <si>
    <t>Entretien de materiels et équipement roulants</t>
  </si>
  <si>
    <t>Entretien des véhicules</t>
  </si>
  <si>
    <t xml:space="preserve">MERCURY </t>
  </si>
  <si>
    <t>Traitement médicale du personnel du Secteur de Luilu à l’hôpital général de référence de Lualaba-Mupanja</t>
  </si>
  <si>
    <t>Soins médicaux des agents</t>
  </si>
  <si>
    <t>HGR MUPANJA</t>
  </si>
  <si>
    <t>Avenant au contrat de la construction d'une école de 6 locaux, bureau administratif plus latrines à PUMBA</t>
  </si>
  <si>
    <t>PUMBA</t>
  </si>
  <si>
    <t>OMEGA SERVICES SARL</t>
  </si>
  <si>
    <t>Avenant au contrat de la construction d'un collecteur des eaux de pluies à LUALABA-MUPANJA (2km)</t>
  </si>
  <si>
    <t>WAKE SERVICES SARL</t>
  </si>
  <si>
    <t>Total Secteur LUILU</t>
  </si>
  <si>
    <t>RETROCESSION A LA MAIRIE DE KOLWEZI</t>
  </si>
  <si>
    <t>OBLIGATION DU DECRET</t>
  </si>
  <si>
    <t>Ordre de payement automatique</t>
  </si>
  <si>
    <t>Instruction juridique</t>
  </si>
  <si>
    <t>RETROCESSION A LA COMMUNE DE MANIKA</t>
  </si>
  <si>
    <t>APPUI POUR LA LUTTE CONTRE LE DEVELOPPEMENT A DOUBLE VITESSE</t>
  </si>
  <si>
    <t>Protocole d'accord politique</t>
  </si>
  <si>
    <t xml:space="preserve">RETROCESSION DE 15% AU  FONDS URBAIN </t>
  </si>
  <si>
    <t>VILLE DE KOLWEZI</t>
  </si>
  <si>
    <t>FONDS CONSENTIS POUR L'ASPHALTAGE DES ROUTES DE LA VILLE DE KOLWEZI</t>
  </si>
  <si>
    <t>RETROCESSION A LA DIVISION DES MINES</t>
  </si>
  <si>
    <t>DIVISION DES MINES</t>
  </si>
  <si>
    <t>OBLIGATION LEGALE ET JURIDIQUE</t>
  </si>
  <si>
    <t>DECRET ET ORDONNANCE</t>
  </si>
  <si>
    <t>PUBLICITE</t>
  </si>
  <si>
    <t>CHAINE DES TELEVISIONS</t>
  </si>
  <si>
    <t>RENDRE PUBLIQUE LES ACTIONS DE LA COMMUNE</t>
  </si>
  <si>
    <t>FACTURE ET OP</t>
  </si>
  <si>
    <t>CONTRATS</t>
  </si>
  <si>
    <t>PAIE SALAIRE MOIS DE JANVIER 2023</t>
  </si>
  <si>
    <t>AGENTS DE LA COMMUNE DE DILALA</t>
  </si>
  <si>
    <t>ASSURER LE FONCTIONNEMENT DES SERVICES PUBLICS</t>
  </si>
  <si>
    <t>LISTE DE PAIE ET OP</t>
  </si>
  <si>
    <t>ACTES DE NOMINANTION DU PERSONNEL CONCERNE</t>
  </si>
  <si>
    <t xml:space="preserve">PAIE SALAIRE FEVRIER D/O COM DILALA </t>
  </si>
  <si>
    <t xml:space="preserve">PAIE AGNTS FEV 2023 COM DILALA </t>
  </si>
  <si>
    <t>PAIE SALAIRE FEVRIER 2023 DU BOURGMETRE  ADJOINT</t>
  </si>
  <si>
    <t>PAIE SALAIRE FEVRIER 2023 DU BOURGMETRE</t>
  </si>
  <si>
    <t xml:space="preserve">PAIE DES FONCTIONNAIRES ET AGENTS </t>
  </si>
  <si>
    <t xml:space="preserve">PAIE AGENT FEV 2023 </t>
  </si>
  <si>
    <t>PAIE AGENTS</t>
  </si>
  <si>
    <t>REGULARISATION DE LA  PAIE FEV 2023 DE L'AGENT KINTUGWA VUVU</t>
  </si>
  <si>
    <t>PAIE DES FONCTIONNAIRES ET AGENTS</t>
  </si>
  <si>
    <t xml:space="preserve">PAIE MAI 2023 DE MADAME NGOIE NGALULA </t>
  </si>
  <si>
    <t xml:space="preserve">PAIE DILALA MAI 2023 </t>
  </si>
  <si>
    <t>FRAIS DE TRANSPORT POUR LE DEPLACEMENT CONTENEUR</t>
  </si>
  <si>
    <t>MUSKA</t>
  </si>
  <si>
    <t>FACTURE</t>
  </si>
  <si>
    <t>PAIE DES FONCTIONNAIRES ET AGENTS JUIN 2023</t>
  </si>
  <si>
    <t>PAIE DES AGENTS ET FONCTIONNAIRES DE LA COMMUNE JUILLE</t>
  </si>
  <si>
    <t>FRS SCOLAIRE POUR AGENTS DE LA COMMUNE DILALA</t>
  </si>
  <si>
    <t>PAIE DES AGENTS ET FONCTIONNAIRES COMMUNE DILALA AOUT</t>
  </si>
  <si>
    <t>PAIE SEPTEMBRE D/O COM DILALA O</t>
  </si>
  <si>
    <t>PRIME TRAVAUX DES TRAVAUX INTENSIFS</t>
  </si>
  <si>
    <t xml:space="preserve">TRAITEMENT DES PERSONNELS OCTOBRE 2023 </t>
  </si>
  <si>
    <t>TRAITEMENT DE BASE DU PERSONNEL NOVEMBRE 2023</t>
  </si>
  <si>
    <t>TRAITEMENT PERSONEL DEC 23</t>
  </si>
  <si>
    <t xml:space="preserve">GRATIFICATION DU 13EME MOIS 2023 AGTS DILALA </t>
  </si>
  <si>
    <t>PAYEMENT IPR</t>
  </si>
  <si>
    <t>REPONDRE A L'OBLIGATION FISCALE</t>
  </si>
  <si>
    <t>DECLARATION DGI ET OP:</t>
  </si>
  <si>
    <t>CODE DES IMPOTS</t>
  </si>
  <si>
    <t>PAYEMENT DE LA TVA</t>
  </si>
  <si>
    <t>ACQUISITION DES FOURNITURES ENERGETIQUES</t>
  </si>
  <si>
    <t xml:space="preserve">EXOIL </t>
  </si>
  <si>
    <t xml:space="preserve">ASSURER LE FONCTIONNEMENT DU CHARROI AUTOMOBILE ET LE FONCTIONNEMENT </t>
  </si>
  <si>
    <t>STATION EXPRESS OIL</t>
  </si>
  <si>
    <t>FACTURE ET BON DE LIVRESON</t>
  </si>
  <si>
    <t>Contrat</t>
  </si>
  <si>
    <t>OP4165744</t>
  </si>
  <si>
    <t>ACHAT DE LA PARCELLE AU QUARTIER LUILU</t>
  </si>
  <si>
    <t>VENDEUR</t>
  </si>
  <si>
    <t>DISPOSER DES TERRAINS SUR LESQUELS SERONT ERIGES LES PROJETS</t>
  </si>
  <si>
    <t>ACTE DE VENTE</t>
  </si>
  <si>
    <t>DOCUMENTS CADASTRAUX ET TITRES FONCIERS</t>
  </si>
  <si>
    <t>ACHAT PARCELLE AU QUARTIER BEL AIR</t>
  </si>
  <si>
    <t>ACQUISITION PARCELLE AU Q LUILU</t>
  </si>
  <si>
    <t>ACHAT DES MACHINES A COUDRE ELECT ET MANUELLE</t>
  </si>
  <si>
    <t>APPUYER LE DEVELOPEMENT DE LA COMMUNE</t>
  </si>
  <si>
    <t>CONSTRUCTION 3EME PHASE DE LA CITE DE LA COMMUNE</t>
  </si>
  <si>
    <t>MES SARL</t>
  </si>
  <si>
    <t>MES</t>
  </si>
  <si>
    <t>PAIEFEV 2023 COM DILALA OP3212935</t>
  </si>
  <si>
    <t>PAIE DE  SERVICE DE NETTOYAGE FEV ET MARS 2023</t>
  </si>
  <si>
    <t>HEMIR SARL</t>
  </si>
  <si>
    <t>nettoyage des bureaux admnistratif et autres</t>
  </si>
  <si>
    <t>HEMIR</t>
  </si>
  <si>
    <t>CONTRAT DE PRESTATION DE  SERVICE</t>
  </si>
  <si>
    <t>MENSUEL</t>
  </si>
  <si>
    <t>PAIE DE SERVICE DE GARDIENNAGE FEVRIER ET MARS</t>
  </si>
  <si>
    <t>gardiennage des bureaux admnistratif</t>
  </si>
  <si>
    <t>CONTRAT DE PRESTATION DE SERVICE</t>
  </si>
  <si>
    <t>PAIE  DE SERVICE DE GARDIENNAGE AVRIL 2</t>
  </si>
  <si>
    <t>PAIE  DE NETTOYAGE AVRIL 2023</t>
  </si>
  <si>
    <t xml:space="preserve">PMT DE SERVICE DE GARDIENNAGE JANV 2023 </t>
  </si>
  <si>
    <t>PAIE  PRESTATION DE SERVICE DE NETTOYAGE MAI 2023</t>
  </si>
  <si>
    <t>PAIE DE SERVICE DE GARDIENNAGE MAI  2023</t>
  </si>
  <si>
    <t>PYT  EN FAV DE UTUKUFU JANVIER 2023</t>
  </si>
  <si>
    <t>UTUKUFU SARL</t>
  </si>
  <si>
    <t>UTUKUFU</t>
  </si>
  <si>
    <t>CONTRAT (dette commerciale)</t>
  </si>
  <si>
    <t>PYT FACT MUSKA CONST IPANGA</t>
  </si>
  <si>
    <t>MUSKA SARL</t>
  </si>
  <si>
    <t>PAIEMENT DE GARDIENNAGE POUR JUIN 2023</t>
  </si>
  <si>
    <t>CONTRAT MENSUEL</t>
  </si>
  <si>
    <t>PYT FACT DE NETTOYAGE EN FAV DE HEMIRS JUIN 2023</t>
  </si>
  <si>
    <t>PYT FACT TRAVAUX CONSTRUC ECOLE IPANGA Q MUSONOIE D/</t>
  </si>
  <si>
    <t>PYT FACT CONSTRUCT BUR POLICE ET Q MUSONOIE D/O C DILAL</t>
  </si>
  <si>
    <t>TSHITU</t>
  </si>
  <si>
    <t xml:space="preserve">PYT FACT TRAV ASPHALTE AV KALUBUNDA ET MUMBA D/O COM </t>
  </si>
  <si>
    <t>PYT FACT REHABIL EN TERRE BATT AVUE NTAMBWE MUNUNA D/</t>
  </si>
  <si>
    <t>PYT FACT CONSTRUCTION TOILLETTE PUB Q KANINA</t>
  </si>
  <si>
    <t>CONTRAT N06/CDLLA/2023</t>
  </si>
  <si>
    <t>PMT CONCT TOILETTE PUB Q BIASHARA D/O COM DILALA P/C ISC</t>
  </si>
  <si>
    <t>ISC SARL</t>
  </si>
  <si>
    <t>ISC</t>
  </si>
  <si>
    <t>CONTRAT N°07/CDLLA/2023</t>
  </si>
  <si>
    <t xml:space="preserve">PYT FACT MUSKA PT TRAV REAH DES AV CUIV LBA LUE D/O COM </t>
  </si>
  <si>
    <t>CONTRAT N°013/CDLLA/2023</t>
  </si>
  <si>
    <t xml:space="preserve">PYT FACT CONSTR D UNE ECOLE SEC Q/KANINI D/O COM DILALA </t>
  </si>
  <si>
    <t xml:space="preserve">PYT FACT MUSKA ASPHAL ET DRAIN AV KULUB D/O COM DILALA </t>
  </si>
  <si>
    <t>PYT FACT MUSKA ENG PR TRAV REHB AV LIF D/O COM DIL P/C M</t>
  </si>
  <si>
    <t>PYT FACT MUSKA TRAV REAH AV NTAMB WE MUN D/O COM DILAL</t>
  </si>
  <si>
    <t>PYT FACT MUSKA TRAV REAH AV CITE DE LA COM D/O COM DILA</t>
  </si>
  <si>
    <t>CONTRAT N°024/CDLLA/20232</t>
  </si>
  <si>
    <t xml:space="preserve">PYT FACT MUSKA TRAV ASPHAL AV LUK KAJ MANG D/O COM DIL </t>
  </si>
  <si>
    <t>CONTRAT N°011/CDLLA/2023</t>
  </si>
  <si>
    <t>PYT FACT MUSKA REAH AV BAM LUP LOM MUTO D/O COM DIL P/C</t>
  </si>
  <si>
    <t>SERMAC SARL</t>
  </si>
  <si>
    <t>SERMAC</t>
  </si>
  <si>
    <t>PYT FACT MUSKA TRAV REAHB AV EL SHAD RUA</t>
  </si>
  <si>
    <t>PYT SOLDE DE 20% SUR TVAUX CONSTRUC BUREAUX  Q ET POLI</t>
  </si>
  <si>
    <t xml:space="preserve">FACTURE PR TVAUX REHAB EN TERRE BATTUE  DES AV MUMBA </t>
  </si>
  <si>
    <t xml:space="preserve">PYT FACT COCTAIL LORS DE L'INAUGURA TION INGA D/O COMM </t>
  </si>
  <si>
    <t>PYT FACT DE NETTOYAGE 2023 AOUT 80%</t>
  </si>
  <si>
    <t>PAIEMENT FACT DE GARDIENNAGE AOUT  2023 80%</t>
  </si>
  <si>
    <t>PAIEMENT FACT DE GARDIENNAGE JUILLET 2023</t>
  </si>
  <si>
    <t>FACT TRAVAUX CONSTRUCT BUREAUX POLICE AU Q KANINA</t>
  </si>
  <si>
    <t>ENERGIK SOLUTIONS SARL SARL</t>
  </si>
  <si>
    <t>ENERGIK SOLUTIONS SARL</t>
  </si>
  <si>
    <t>CONTRAT N°029/CDLLA/2023</t>
  </si>
  <si>
    <t>PYT FACT DE NETTOYAGE JUILLET 2023 80%</t>
  </si>
  <si>
    <t>PAIE SOLDE 20% DE LA FACTURE A MUSKA D/O COM DILALA OP4</t>
  </si>
  <si>
    <t xml:space="preserve">PYT FACT SOLDE 20% A MUSKA D/O COM DILALA </t>
  </si>
  <si>
    <t xml:space="preserve">PYT  SOLDE DE 20% EN FAV DE MUSKA D/O COM DILALA  </t>
  </si>
  <si>
    <t xml:space="preserve">PYT  SOLDE DE 20%  DE LA FACTURE A MUSKA D/O COM DILALA  </t>
  </si>
  <si>
    <t>PYT  SOLDE DE 20% A L'ENTREPR MUSKA D/O COM DILALA OP416</t>
  </si>
  <si>
    <t>PYT  SOLDE DE 20% EN FAV MUSKA D/O COM DILALA OP4165711</t>
  </si>
  <si>
    <t>PYT  SOLDE DE 20% DE LA FACTURE A MUSKA D/O COM DILALA O</t>
  </si>
  <si>
    <t>PYT  SOLDE DE 20% EN FAVEUR DE MUSKA D/O COM DILALA OP4</t>
  </si>
  <si>
    <t>PYT  SOLDE DE 20% DE LA FACTURE SERMAC D/O COM DILALA O</t>
  </si>
  <si>
    <t>PYT  SOLDE DE 20% EN FAVEUR DE  GETRAS D/O COM DILALA O</t>
  </si>
  <si>
    <t>GETRAS SARL</t>
  </si>
  <si>
    <t>GETRAS</t>
  </si>
  <si>
    <t>CONTRAT N°015/CDLLA/2023</t>
  </si>
  <si>
    <t>PYT FACTURE  EN FAVEUR  DE NTE EXPERTISE IMMOBILIER</t>
  </si>
  <si>
    <t>NTEC SARL</t>
  </si>
  <si>
    <t>NTEC</t>
  </si>
  <si>
    <t>PYT SOLDE DE 20% A MUSKA CFR PL20 BON 8/28 D/O COM DILALA</t>
  </si>
  <si>
    <t>PYT DETTE COM REF EN TB AV D L ESE ET AV ISTM D/O COM DIL</t>
  </si>
  <si>
    <t xml:space="preserve"> MUSKA SARL</t>
  </si>
  <si>
    <t>PYT SOLDE DE 20% A MUSKA CFR PL20 BON 7/17 D/O COM DILALA</t>
  </si>
  <si>
    <t>PYT FACT TRAV ASP CONS DR  AV LUK  KAJ MANG D/O COM DIL P</t>
  </si>
  <si>
    <t>PYT FACTURE TRAVAUX REHABILITATION AV DU CUNRE  LUALAB</t>
  </si>
  <si>
    <t>PYT FACT TRAV CONST EP MUSONOIE D/O COM DILALA P/C MUS</t>
  </si>
  <si>
    <t>PYT FACTURE REHAB ET REFECTION AV FRANCOISE ET LIFE D/O</t>
  </si>
  <si>
    <t xml:space="preserve">PYT FACT REHAB REFECT EN TER D AV ELS RUAS MAS OAS D/O </t>
  </si>
  <si>
    <t>PYT FACTCONSTRU ECOLE SECONDAIRE /12 CLASS BUR BLOC S</t>
  </si>
  <si>
    <t>PYT FACT TRAV REHA EN TB ANT CONS DR DAL AV NTAM D/O C D</t>
  </si>
  <si>
    <t>PYT FACT TRAV ASP ET CONS DR AV KALU ET MUMBA D/O C DILA</t>
  </si>
  <si>
    <t>PYT 80% FACTURE REHAB  REFECTION AV MUMB  ET METHO D/O</t>
  </si>
  <si>
    <t>PYT FACT PRESTATION SERVICE NETTOYAGE SEPT 2023</t>
  </si>
  <si>
    <t>PYT FACT PRESTATION SERVICE GARDIENNAGE SEPT 2023</t>
  </si>
  <si>
    <t xml:space="preserve">PYT SOLDE 20% HEMIR SEC AOUT 2023 </t>
  </si>
  <si>
    <t>PYT SOLDE 20% HEMIR SVT PL 17 JUIN 2023</t>
  </si>
  <si>
    <t>PYT SOLDE 20 % HEMIR SEC NETTOYAGE JUILLET 2023</t>
  </si>
  <si>
    <t xml:space="preserve">PYT SOLDE 20% HEMIR SEC </t>
  </si>
  <si>
    <t xml:space="preserve">PYT FACT TRAVAUX CONST BUREAUX POLICE  Q LUILU D/O COM </t>
  </si>
  <si>
    <t>BUSINESS ELOHIM SARL</t>
  </si>
  <si>
    <t>BUSINESS ELOHIM</t>
  </si>
  <si>
    <t>CONTRAT N°027/CDLLA/2023</t>
  </si>
  <si>
    <t>PYT 80% DE FACT CONST BR DE Q MUSONOIE A TSHITU SARL</t>
  </si>
  <si>
    <t>PYT 80% FACT REHABILITATION REFECT AV ISTA 1 2 D/O COM DIL</t>
  </si>
  <si>
    <t>CONTRAT N°019/CDLLA/2023</t>
  </si>
  <si>
    <t>PYT DE CONSTR FACT SOLDE DE 20% A TSHITU SARL</t>
  </si>
  <si>
    <t>PYT 80% FACTURE REHABILITATION ECOL PRIM KIMBANGU D/O C</t>
  </si>
  <si>
    <t>CONTRAT N° 030/CDLLA/2023</t>
  </si>
  <si>
    <t>PYT 80% FACT REHABILIT REFECT AV SAINT DAVID D/O COM DILA</t>
  </si>
  <si>
    <t>CONTRAT N°22/CDLLA/2023</t>
  </si>
  <si>
    <t xml:space="preserve">PYT NOTE HONORAIRE AVRIL MAI JUIN JUIL FACT 80% FACT D/O </t>
  </si>
  <si>
    <t>CABINE BLM SARL</t>
  </si>
  <si>
    <t>CABINE BLM</t>
  </si>
  <si>
    <t>PYT FACT TRAVAU REHAB BATT AV CITE DE LA COMMUNE D/O C</t>
  </si>
  <si>
    <t>PYT FACTURE TRAVAUX D'EXPERTISES SUR ACHAT PARCELLE A</t>
  </si>
  <si>
    <t xml:space="preserve">PYT SOLDE 20% HEMIR SVT PL 17 </t>
  </si>
  <si>
    <t xml:space="preserve">PYT SOLDE 20% A HEMIR SEC </t>
  </si>
  <si>
    <t xml:space="preserve">P YT SOLDE 20 HEMIR SEC </t>
  </si>
  <si>
    <t>TVAUX REHAB  AV LUPUNGU LOMAMI MUTOMBO MUSOKA  ET M</t>
  </si>
  <si>
    <t>PYT FACT TRAVAUX REHAB AV MSIRI 80% D/O COM DILALA P/C  G</t>
  </si>
  <si>
    <t>CONTRAT N°018/CDLLA/2023</t>
  </si>
  <si>
    <t>PYT FACT POUR FOURN DES BR D/O COM DILALA P/C ETS LE GR</t>
  </si>
  <si>
    <t>LE GRAND SARL</t>
  </si>
  <si>
    <t>LE GRAND</t>
  </si>
  <si>
    <t>PYT FACTURE  GARDIENNAGE  A HEMIR SECURITY/ NOVEMBRE 2</t>
  </si>
  <si>
    <t xml:space="preserve">PYT FACT DE NETTOYAGE  A HEMIR SECURITY NOVEMBRE  2023 </t>
  </si>
  <si>
    <t>PYT 80 % FABRICATION ET LIVRAISON 250 BANCS</t>
  </si>
  <si>
    <t>WINAWINA SARL</t>
  </si>
  <si>
    <t>WINAWINA</t>
  </si>
  <si>
    <t>CONTRAT N°034/CDLLA/2023</t>
  </si>
  <si>
    <t>PYT DU SOLDE DE 20%  A HEMIR SEC CFR PLAN NO 25 BDN 01 11</t>
  </si>
  <si>
    <t>PYT SOLDE DE 20%  A HEMIR SEC CFR PLAN NO 25 BDN 02 11</t>
  </si>
  <si>
    <t>PYT  DU SOLDE  DE 20% A ISC  SARL CFR PL NO 22 BON  DE DEP</t>
  </si>
  <si>
    <t>Total COMMUNE DE DILALA</t>
  </si>
  <si>
    <t xml:space="preserve">CHEFFERIE DES BASANGA </t>
  </si>
  <si>
    <t xml:space="preserve"> 27/01/2025</t>
  </si>
  <si>
    <t>Paiement fournisseur</t>
  </si>
  <si>
    <t>Kabungu</t>
  </si>
  <si>
    <t>Acauisition d' equipement de transport (Achat deux land Cruisers)</t>
  </si>
  <si>
    <t>Paul business CAR</t>
  </si>
  <si>
    <t>N°007 et le 28/01/2023</t>
  </si>
  <si>
    <t>Accord Grand chef</t>
  </si>
  <si>
    <t>Acquisition d'equipement de contraction (Achat Bomaq)</t>
  </si>
  <si>
    <t xml:space="preserve">Kanu equipement </t>
  </si>
  <si>
    <t>N° PL 00014 et  le 26/01/2023</t>
  </si>
  <si>
    <t>Acquisition d'equipement de Transport (Achat trois howo)</t>
  </si>
  <si>
    <t>Congo best sarl</t>
  </si>
  <si>
    <t>N°1543 et le 28/01/2023</t>
  </si>
  <si>
    <t>Acquisition d'equipement de contraction (Achat chargeuse, poste char et lowbed)</t>
  </si>
  <si>
    <t>Victoria General Trading</t>
  </si>
  <si>
    <t xml:space="preserve"> 03/02/2023</t>
  </si>
  <si>
    <t>paiement Contrat d'etude</t>
  </si>
  <si>
    <t>Contrat d'etude</t>
  </si>
  <si>
    <t>JFGE</t>
  </si>
  <si>
    <t>N° 01/JFGE/CDB-KBU/2023 et le 02/02/2023</t>
  </si>
  <si>
    <t xml:space="preserve"> 06/02/2023</t>
  </si>
  <si>
    <t>Construction diverse</t>
  </si>
  <si>
    <t>Mukumbi</t>
  </si>
  <si>
    <t>Population</t>
  </si>
  <si>
    <t>Construction diverse ( construction d'un marché moderne)</t>
  </si>
  <si>
    <t>SNK</t>
  </si>
  <si>
    <t>N°006/SNK et le 03/02/2023</t>
  </si>
  <si>
    <t xml:space="preserve">Fonds special d'intervation </t>
  </si>
  <si>
    <t>Fonds special d'intervation (5% Divission de mines)</t>
  </si>
  <si>
    <t>Acquisition d'equipement de transport</t>
  </si>
  <si>
    <t>Chefferie</t>
  </si>
  <si>
    <t>Acquisition d'equipement de transport (Achat deux land cruiser)</t>
  </si>
  <si>
    <t>Ets AGRIZEX</t>
  </si>
  <si>
    <t>N°202302-377 et le 06/02/2023</t>
  </si>
  <si>
    <t xml:space="preserve"> 09/02/2023</t>
  </si>
  <si>
    <t xml:space="preserve">Acquisition d'equipement de transport (Achat Land cruiser ambulance) </t>
  </si>
  <si>
    <t>N°202302-379 et le 09/02/2023</t>
  </si>
  <si>
    <t xml:space="preserve">  11/02/2023</t>
  </si>
  <si>
    <t>Polices</t>
  </si>
  <si>
    <t>Acquisition de deux Land Cruiser V6 et V8</t>
  </si>
  <si>
    <t>Ets TOKYO</t>
  </si>
  <si>
    <t>N°0101 et le 11/02/2023</t>
  </si>
  <si>
    <t xml:space="preserve"> 23/02/2023</t>
  </si>
  <si>
    <t>Soins de protection et de l'environnement</t>
  </si>
  <si>
    <t xml:space="preserve">Projet de reboissement </t>
  </si>
  <si>
    <t>ZBS</t>
  </si>
  <si>
    <t>N° ZBS001 et le 21/02/2023</t>
  </si>
  <si>
    <t xml:space="preserve"> 02/03/2023</t>
  </si>
  <si>
    <t>Bourse d'etude</t>
  </si>
  <si>
    <t>Etudiant</t>
  </si>
  <si>
    <t>bourse d'etude UMK</t>
  </si>
  <si>
    <t>UMK</t>
  </si>
  <si>
    <t>Cfr N° OP</t>
  </si>
  <si>
    <t>bourse d'etude ISPT</t>
  </si>
  <si>
    <t>ISPT</t>
  </si>
  <si>
    <t>bourse d'etude UNILI</t>
  </si>
  <si>
    <t>UNILI</t>
  </si>
  <si>
    <t xml:space="preserve"> 16/03/2023</t>
  </si>
  <si>
    <t>Achat Ambulance</t>
  </si>
  <si>
    <t>N°202303-381 et le 17/03/2023</t>
  </si>
  <si>
    <t xml:space="preserve"> 21/03/2023</t>
  </si>
  <si>
    <t xml:space="preserve">Administration </t>
  </si>
  <si>
    <t>Division de mines</t>
  </si>
  <si>
    <t xml:space="preserve"> 17/04/2023</t>
  </si>
  <si>
    <t xml:space="preserve">Construction d'ediffice et bâtiments </t>
  </si>
  <si>
    <t>Education</t>
  </si>
  <si>
    <t xml:space="preserve">Construction Ecole Tecnique </t>
  </si>
  <si>
    <t>LULU Company</t>
  </si>
  <si>
    <t>N°556/039 et le 14/04/2023</t>
  </si>
  <si>
    <t xml:space="preserve">Acquisition d'équipemnt médico-chirurgicaux, de diagnostic et hospitaliers </t>
  </si>
  <si>
    <t xml:space="preserve">Acquisition d'equipement bloc opératoire et divers </t>
  </si>
  <si>
    <t>ASC</t>
  </si>
  <si>
    <t>N°20/2023 et le 17/04/2023</t>
  </si>
  <si>
    <t>Lwambo</t>
  </si>
  <si>
    <t>Construction d'une ecole à Lwambo</t>
  </si>
  <si>
    <t>BECOLI</t>
  </si>
  <si>
    <t>le 15/04/2023</t>
  </si>
  <si>
    <t>Construction palais royal</t>
  </si>
  <si>
    <t>SSIM</t>
  </si>
  <si>
    <t>Le 17/04/2023</t>
  </si>
  <si>
    <t xml:space="preserve"> 18/04/2023</t>
  </si>
  <si>
    <t>Lumba Kinsese</t>
  </si>
  <si>
    <t>Construction d'une ecole a Lumba kinsese</t>
  </si>
  <si>
    <t>PENIEL</t>
  </si>
  <si>
    <t>le 18/04/2023</t>
  </si>
  <si>
    <t>Ditengwa</t>
  </si>
  <si>
    <t>Construction d'une ecole a Ditengwa</t>
  </si>
  <si>
    <t>MUZKAP</t>
  </si>
  <si>
    <t>Le 18/04/2023</t>
  </si>
  <si>
    <t xml:space="preserve"> 19/04/2023</t>
  </si>
  <si>
    <t>Kamiyange</t>
  </si>
  <si>
    <t>Construction d'une ecole a Kamiyange</t>
  </si>
  <si>
    <t>Africa service</t>
  </si>
  <si>
    <t>Le 19/04/2023</t>
  </si>
  <si>
    <t xml:space="preserve">5% Division de mine </t>
  </si>
  <si>
    <t>le 19/04/2023</t>
  </si>
  <si>
    <t xml:space="preserve"> 25/04/2023</t>
  </si>
  <si>
    <t>Construction diverses</t>
  </si>
  <si>
    <t>Katuzembe</t>
  </si>
  <si>
    <t xml:space="preserve">Amenangement du cimetiere Katuzembe </t>
  </si>
  <si>
    <t>le 25/04/2023</t>
  </si>
  <si>
    <t xml:space="preserve"> 26/04/2023</t>
  </si>
  <si>
    <t xml:space="preserve">Construction de batiment bureau Administratif </t>
  </si>
  <si>
    <t>GCC</t>
  </si>
  <si>
    <t>le 26/04/2023</t>
  </si>
  <si>
    <t xml:space="preserve"> 04/05/2023</t>
  </si>
  <si>
    <t>Mura</t>
  </si>
  <si>
    <t xml:space="preserve">Construction passerelle riviere MURA </t>
  </si>
  <si>
    <t>GENIE MILITAIRE</t>
  </si>
  <si>
    <t>le 04/05/2023</t>
  </si>
  <si>
    <t xml:space="preserve"> 11/05/2023</t>
  </si>
  <si>
    <t>Nsaya</t>
  </si>
  <si>
    <t>Construction ecole Nsaya</t>
  </si>
  <si>
    <t>le 11/05/2023</t>
  </si>
  <si>
    <t xml:space="preserve"> 15/05/2023</t>
  </si>
  <si>
    <t xml:space="preserve">Construction d'un centre pour handicap </t>
  </si>
  <si>
    <t>WMS</t>
  </si>
  <si>
    <t>le 15/05/2023</t>
  </si>
  <si>
    <t>Construction divese</t>
  </si>
  <si>
    <t>Construction morque Disanga II</t>
  </si>
  <si>
    <t>KMS</t>
  </si>
  <si>
    <t xml:space="preserve"> 16/05/2023</t>
  </si>
  <si>
    <t>Construction d'ouvrage Hydraulique</t>
  </si>
  <si>
    <t>construction station kabungu</t>
  </si>
  <si>
    <t>NCMS</t>
  </si>
  <si>
    <t>le 16/05/2023</t>
  </si>
  <si>
    <t>Forage de puits ETD</t>
  </si>
  <si>
    <t>ECOGEC</t>
  </si>
  <si>
    <t xml:space="preserve"> 24/05/2023</t>
  </si>
  <si>
    <t>Construction de ligne electrique</t>
  </si>
  <si>
    <t>SMS</t>
  </si>
  <si>
    <t>le 24/05/2023</t>
  </si>
  <si>
    <t>Contruction ecole Lwambo</t>
  </si>
  <si>
    <t xml:space="preserve"> 02/06/2025</t>
  </si>
  <si>
    <t>Ndakata</t>
  </si>
  <si>
    <t xml:space="preserve">Construction d'une ecole </t>
  </si>
  <si>
    <t>EAGK</t>
  </si>
  <si>
    <t>le 02/06/2025</t>
  </si>
  <si>
    <t>Swanapoelle</t>
  </si>
  <si>
    <t>Construction d'une ecole</t>
  </si>
  <si>
    <t xml:space="preserve"> 02/06/2023</t>
  </si>
  <si>
    <t>le 02/06/2023</t>
  </si>
  <si>
    <t xml:space="preserve"> 09/06/2023</t>
  </si>
  <si>
    <t>Soins de protection de l'envirronement</t>
  </si>
  <si>
    <t>Environnement</t>
  </si>
  <si>
    <t>le 09/06/2023</t>
  </si>
  <si>
    <t xml:space="preserve"> 20/06/2023</t>
  </si>
  <si>
    <t xml:space="preserve">Forage de 8 puits </t>
  </si>
  <si>
    <t>le 20/06/2023</t>
  </si>
  <si>
    <t>Construction d'une ecole Nsaya</t>
  </si>
  <si>
    <t>PECS</t>
  </si>
  <si>
    <t xml:space="preserve"> 27/06/2023</t>
  </si>
  <si>
    <t xml:space="preserve"> 28/06/2023</t>
  </si>
  <si>
    <t>Construction Marché Lwambo</t>
  </si>
  <si>
    <t>MAG</t>
  </si>
  <si>
    <t>Santé</t>
  </si>
  <si>
    <t>Construction Centre de Santé Disanga II</t>
  </si>
  <si>
    <t>AGC</t>
  </si>
  <si>
    <t>Sport</t>
  </si>
  <si>
    <t>Construction Stade Lwambo</t>
  </si>
  <si>
    <t xml:space="preserve">Réhabilitation Cours Traditionnel </t>
  </si>
  <si>
    <t>KALU Service</t>
  </si>
  <si>
    <t>le 26/06/2023</t>
  </si>
  <si>
    <t xml:space="preserve">Kamiyange </t>
  </si>
  <si>
    <t>Construction d'une ecole kamiyange</t>
  </si>
  <si>
    <t>le 28/06/2023</t>
  </si>
  <si>
    <t xml:space="preserve"> 03/07/2023</t>
  </si>
  <si>
    <t>Kimano et Kubitwe</t>
  </si>
  <si>
    <t xml:space="preserve">Construction trois salles de calsses site kimano et Kubitwe </t>
  </si>
  <si>
    <t>ROCKAS</t>
  </si>
  <si>
    <t>Le 03/07/2023</t>
  </si>
  <si>
    <t xml:space="preserve"> 04/07/2023</t>
  </si>
  <si>
    <t>Mulungwishi</t>
  </si>
  <si>
    <t>Bourse d'etudes</t>
  </si>
  <si>
    <t>Le 04/07/2023</t>
  </si>
  <si>
    <t xml:space="preserve"> 05/07/2023</t>
  </si>
  <si>
    <t>Le 05/07/2023</t>
  </si>
  <si>
    <t xml:space="preserve"> 06/07/2023</t>
  </si>
  <si>
    <t>Le 06/07/2023</t>
  </si>
  <si>
    <t>Acquisition d'un tracteur</t>
  </si>
  <si>
    <t>Trap Mine Ecore</t>
  </si>
  <si>
    <t xml:space="preserve"> 13/07/2023</t>
  </si>
  <si>
    <t>Rehabilitation et reffection de route, piste, pont et rail</t>
  </si>
  <si>
    <t>Rehabilitation route Katepe</t>
  </si>
  <si>
    <t>Rehabilitation d'ouvrage hydraulique</t>
  </si>
  <si>
    <t>Katepe</t>
  </si>
  <si>
    <t>Rehabilitation de puits d'eau</t>
  </si>
  <si>
    <t>Jobas</t>
  </si>
  <si>
    <t>population</t>
  </si>
  <si>
    <t xml:space="preserve">Travaux de finition guest houses </t>
  </si>
  <si>
    <t xml:space="preserve"> 17/07/2023</t>
  </si>
  <si>
    <t xml:space="preserve"> 20/07/2023</t>
  </si>
  <si>
    <t xml:space="preserve">Réhabilitation du pont sur la riviere Ditengwa </t>
  </si>
  <si>
    <t>Rehabilitation et reffection d'ouvrge d'ediffice</t>
  </si>
  <si>
    <t>Rehabilitation du bureau d'etat civil à Lwambo</t>
  </si>
  <si>
    <t xml:space="preserve"> 24/07/2023</t>
  </si>
  <si>
    <t>Rehabilitation d'une ecole Karitase à Lwambo</t>
  </si>
  <si>
    <t>GES</t>
  </si>
  <si>
    <t>Construction d'une ecole à Nsaya</t>
  </si>
  <si>
    <t xml:space="preserve"> 25/07/2023</t>
  </si>
  <si>
    <t xml:space="preserve">construction station de carburant </t>
  </si>
  <si>
    <t>Réhabilitation d'institut Kitabataba</t>
  </si>
  <si>
    <t xml:space="preserve"> 31/07/2023</t>
  </si>
  <si>
    <t>Kabale</t>
  </si>
  <si>
    <t xml:space="preserve">Rehabilitation d'une ecole de 3 classes </t>
  </si>
  <si>
    <t>MS</t>
  </si>
  <si>
    <t xml:space="preserve"> 04/08/2023</t>
  </si>
  <si>
    <t xml:space="preserve">Soins de protection de l'environnement </t>
  </si>
  <si>
    <t xml:space="preserve">Kanyanina </t>
  </si>
  <si>
    <t xml:space="preserve"> 07/08/2023</t>
  </si>
  <si>
    <t>Kitemena</t>
  </si>
  <si>
    <t>Construction d'une ecole à Kitemena</t>
  </si>
  <si>
    <t>Esquisse sarl</t>
  </si>
  <si>
    <t>Kipesé</t>
  </si>
  <si>
    <t>Construction d'un centre de santé à Kipesé</t>
  </si>
  <si>
    <t xml:space="preserve"> 09/08/2023</t>
  </si>
  <si>
    <t>Rehabilitation et reffection d'ouvrge d'hydraulique</t>
  </si>
  <si>
    <t>Rehabilitation de puits d'eau dans la chefferie des basanga</t>
  </si>
  <si>
    <t>JOBAS</t>
  </si>
  <si>
    <t xml:space="preserve"> 18/08/2023</t>
  </si>
  <si>
    <t>KYABA</t>
  </si>
  <si>
    <t>Construction centre de santé à KYABA</t>
  </si>
  <si>
    <t>KALCED</t>
  </si>
  <si>
    <t>Rehabilitation et reffection d'ouvrage d'édiffice</t>
  </si>
  <si>
    <t xml:space="preserve">Rehabilitation institut Kitabataba </t>
  </si>
  <si>
    <t xml:space="preserve">Rehabilitation route, piste pont, rail et aeroport </t>
  </si>
  <si>
    <t>Rehabilitation et reffection d'ouvre d'ediffice</t>
  </si>
  <si>
    <t>Rehabilitation Ep Kulutwe</t>
  </si>
  <si>
    <t>TECH Service</t>
  </si>
  <si>
    <t xml:space="preserve">Rehabilitation Ep Tukingwe </t>
  </si>
  <si>
    <t xml:space="preserve"> 28/08/2023</t>
  </si>
  <si>
    <t>Kiponto Ngelegwa</t>
  </si>
  <si>
    <t xml:space="preserve">Acquisition d'equipement educatif </t>
  </si>
  <si>
    <t xml:space="preserve">Fourniture des bancs scolaire </t>
  </si>
  <si>
    <t>HCS</t>
  </si>
  <si>
    <t>Rehabilitation des routes à Lwambo</t>
  </si>
  <si>
    <t xml:space="preserve">Réhabilitation d'une ecole Karitas </t>
  </si>
  <si>
    <t xml:space="preserve">Réhabilitation puits d'eau potable </t>
  </si>
  <si>
    <t>Construction d'une ecole à Kimano et kibitwe</t>
  </si>
  <si>
    <t>Acquisition d'equipement educatif</t>
  </si>
  <si>
    <t>Achat de bancs scolaire</t>
  </si>
  <si>
    <t>Atelier Kashita</t>
  </si>
  <si>
    <t>Luba kisesse</t>
  </si>
  <si>
    <t>Contruction ecole</t>
  </si>
  <si>
    <t xml:space="preserve"> 04/09/2023</t>
  </si>
  <si>
    <t xml:space="preserve"> 05/09/2023</t>
  </si>
  <si>
    <t xml:space="preserve"> 11/09/2023</t>
  </si>
  <si>
    <t>Construction centre de santé Disanga III</t>
  </si>
  <si>
    <t>Contruction et refection de route, pont, rail</t>
  </si>
  <si>
    <t xml:space="preserve">Construction pont Ditengwa </t>
  </si>
  <si>
    <t>sports</t>
  </si>
  <si>
    <t>Réhabitation bureau d'etat civil Lwambo</t>
  </si>
  <si>
    <t xml:space="preserve"> 15/09/2023</t>
  </si>
  <si>
    <t xml:space="preserve">Réhabiilition d'une ecole </t>
  </si>
  <si>
    <t>Réhabilitation d'une ecole</t>
  </si>
  <si>
    <t xml:space="preserve"> 18/09/2023</t>
  </si>
  <si>
    <t xml:space="preserve">ESQUISSE </t>
  </si>
  <si>
    <t xml:space="preserve"> 29/09/2023</t>
  </si>
  <si>
    <t xml:space="preserve">Acquisition equipement éducatif </t>
  </si>
  <si>
    <t>Acquisition equipement éducatif (bancs)</t>
  </si>
  <si>
    <t xml:space="preserve"> 27/09/2023</t>
  </si>
  <si>
    <t>Likasi</t>
  </si>
  <si>
    <t>Bourses d'études</t>
  </si>
  <si>
    <t xml:space="preserve"> 30/09/2023</t>
  </si>
  <si>
    <t>construction diverses</t>
  </si>
  <si>
    <t>Police</t>
  </si>
  <si>
    <t>Construction poste de police Mulungwishi</t>
  </si>
  <si>
    <t>REBEKUT</t>
  </si>
  <si>
    <t xml:space="preserve"> 06/10/2023</t>
  </si>
  <si>
    <t xml:space="preserve"> 25/10/2023</t>
  </si>
  <si>
    <t>TCH Service</t>
  </si>
  <si>
    <t xml:space="preserve"> 26/10/2023</t>
  </si>
  <si>
    <t>Redevence minier Commune de Likasi 10%</t>
  </si>
  <si>
    <t>Commune de likasi</t>
  </si>
  <si>
    <t xml:space="preserve"> 27/10/2023</t>
  </si>
  <si>
    <t>Semence agricol et produit agro alimentaire</t>
  </si>
  <si>
    <t>Maison Benedja</t>
  </si>
  <si>
    <t>Construction étalage marché Lwambo</t>
  </si>
  <si>
    <t xml:space="preserve"> 11/01/2023</t>
  </si>
  <si>
    <t>likasi</t>
  </si>
  <si>
    <t>Redevence minier Commune de panda 20%</t>
  </si>
  <si>
    <t>Commune de panda</t>
  </si>
  <si>
    <t xml:space="preserve"> 04/11/2023</t>
  </si>
  <si>
    <t xml:space="preserve"> 14/11/2023</t>
  </si>
  <si>
    <t>Acquisition d'equipement educatif (bancs)</t>
  </si>
  <si>
    <t xml:space="preserve"> 23/11/2023</t>
  </si>
  <si>
    <t>Construction d'une ecole Word Vision</t>
  </si>
  <si>
    <t xml:space="preserve"> 28/11/2023</t>
  </si>
  <si>
    <t>Redevence minier Commune de likasi 10%</t>
  </si>
  <si>
    <t xml:space="preserve"> 29/11/2023</t>
  </si>
  <si>
    <t xml:space="preserve">5% Division de mines </t>
  </si>
  <si>
    <t xml:space="preserve"> 30/11/2023</t>
  </si>
  <si>
    <t xml:space="preserve"> 12/12/2023</t>
  </si>
  <si>
    <t xml:space="preserve">Construction poste la police </t>
  </si>
  <si>
    <t>Ets REBEKUT</t>
  </si>
  <si>
    <t xml:space="preserve"> 13/12/2023</t>
  </si>
  <si>
    <t>Mulungwishi/KYABA</t>
  </si>
  <si>
    <t xml:space="preserve">Construction centre de santé KYABA </t>
  </si>
  <si>
    <t xml:space="preserve"> 27/12/2023</t>
  </si>
  <si>
    <t xml:space="preserve"> 29/12/2023</t>
  </si>
  <si>
    <t xml:space="preserve">Total CHEFFERIE DES BASANGA </t>
  </si>
  <si>
    <t>Secteur de la Lufira</t>
  </si>
  <si>
    <t>02/01/2023</t>
  </si>
  <si>
    <t>5% de la retrocession division des Mines</t>
  </si>
  <si>
    <t>Division des mines</t>
  </si>
  <si>
    <t>Division des Mines</t>
  </si>
  <si>
    <t>DECHARGE</t>
  </si>
  <si>
    <t>CIRCULAIRE</t>
  </si>
  <si>
    <t xml:space="preserve">Paiement Entrepreneur </t>
  </si>
  <si>
    <t>Katanga et Mangombo</t>
  </si>
  <si>
    <t xml:space="preserve">La population </t>
  </si>
  <si>
    <t xml:space="preserve">Rehabilitation des puits d'eau </t>
  </si>
  <si>
    <t>ANED</t>
  </si>
  <si>
    <t>03/01/2023</t>
  </si>
  <si>
    <t>06/01/2023</t>
  </si>
  <si>
    <t xml:space="preserve">Katanga </t>
  </si>
  <si>
    <t xml:space="preserve">Construction d'un centre d'alphabetisation </t>
  </si>
  <si>
    <t>NDC</t>
  </si>
  <si>
    <t>Makanda</t>
  </si>
  <si>
    <t>Reboissement et arrosage des plantules</t>
  </si>
  <si>
    <t>PROCAPARMA</t>
  </si>
  <si>
    <t>Protocole d'accord</t>
  </si>
  <si>
    <t xml:space="preserve">Construction d'un marche </t>
  </si>
  <si>
    <t xml:space="preserve">AMARIAH </t>
  </si>
  <si>
    <t>Tanga 1 vers Shinangwa</t>
  </si>
  <si>
    <t>Rehabilitation de la route</t>
  </si>
  <si>
    <t>WEB MASTER</t>
  </si>
  <si>
    <t>09/01/2023</t>
  </si>
  <si>
    <t>Rehabilitation du pont Lwafi</t>
  </si>
  <si>
    <t xml:space="preserve">Lwisha </t>
  </si>
  <si>
    <t>Construction d'un centre de formation et maison d'herbergement</t>
  </si>
  <si>
    <t>Katoto</t>
  </si>
  <si>
    <t>Construction d'un centre de sante</t>
  </si>
  <si>
    <t>MKM</t>
  </si>
  <si>
    <t>11/01/2023</t>
  </si>
  <si>
    <t>Kyembe</t>
  </si>
  <si>
    <t>LUZA</t>
  </si>
  <si>
    <t>Kibangu</t>
  </si>
  <si>
    <t>Construction d'EP Meneka</t>
  </si>
  <si>
    <t>SAMUKI ET FILS</t>
  </si>
  <si>
    <t>Kapolowe-gare</t>
  </si>
  <si>
    <t>Achat des poteaux pour la ligne moyenne tension</t>
  </si>
  <si>
    <t>AMM</t>
  </si>
  <si>
    <t>13/01/2023</t>
  </si>
  <si>
    <t>bureau kibangu</t>
  </si>
  <si>
    <t xml:space="preserve">Construction des canniveaux </t>
  </si>
  <si>
    <t>PATCO</t>
  </si>
  <si>
    <t>construction bureau technique</t>
  </si>
  <si>
    <t>JC SARL</t>
  </si>
  <si>
    <t>Kidimudilo</t>
  </si>
  <si>
    <t>Constructionun point de perception</t>
  </si>
  <si>
    <t>Mwadingusha</t>
  </si>
  <si>
    <t xml:space="preserve">Construction batiment scolaire </t>
  </si>
  <si>
    <t>COENS</t>
  </si>
  <si>
    <t xml:space="preserve">Construction d'un centre hospitalier </t>
  </si>
  <si>
    <t>AFRICA SERVICE</t>
  </si>
  <si>
    <t>Construction d'une EP Makutano</t>
  </si>
  <si>
    <t>FABACOM</t>
  </si>
  <si>
    <t>Lukumba</t>
  </si>
  <si>
    <t>Construction d'une EP Lukumba</t>
  </si>
  <si>
    <t>TUJENGE CONGO</t>
  </si>
  <si>
    <t>14/01/2023</t>
  </si>
  <si>
    <t>Kashipo- Mwana</t>
  </si>
  <si>
    <t xml:space="preserve">Construction d'une route </t>
  </si>
  <si>
    <t>KILMA</t>
  </si>
  <si>
    <t>18/01/2023</t>
  </si>
  <si>
    <t xml:space="preserve">forage des puits d'eaux </t>
  </si>
  <si>
    <t>LUCODEV</t>
  </si>
  <si>
    <t>20/01/2023</t>
  </si>
  <si>
    <t>23/01/2023</t>
  </si>
  <si>
    <t>Kijiba Myangwe</t>
  </si>
  <si>
    <t>Construction d'un batiment scolaire</t>
  </si>
  <si>
    <t>KIAS</t>
  </si>
  <si>
    <t>Kibwe</t>
  </si>
  <si>
    <t>KIC</t>
  </si>
  <si>
    <t>Construction d'un centre des personnes vivant avec handicapes</t>
  </si>
  <si>
    <t xml:space="preserve">DECHARGE </t>
  </si>
  <si>
    <t>Construction d'un bureau PNC</t>
  </si>
  <si>
    <t>GTL</t>
  </si>
  <si>
    <t>25/01/2023</t>
  </si>
  <si>
    <t xml:space="preserve">LWAFI </t>
  </si>
  <si>
    <t>Rehabilitation des ponts</t>
  </si>
  <si>
    <t>30/01/2023</t>
  </si>
  <si>
    <t>Kamikolo</t>
  </si>
  <si>
    <t>Kapolowe-Mission</t>
  </si>
  <si>
    <t>Construction d'un batiment de jeune</t>
  </si>
  <si>
    <t>Fonctionnement</t>
  </si>
  <si>
    <t>BORDEREAUX</t>
  </si>
  <si>
    <t>Insruction</t>
  </si>
  <si>
    <t>SHILATEMBO</t>
  </si>
  <si>
    <t>Construction des puits d'eaux</t>
  </si>
  <si>
    <t>Construction d'un Centre de sante</t>
  </si>
  <si>
    <t>Construction d'un hangar au Marche Shilatembo</t>
  </si>
  <si>
    <t>BANKAL</t>
  </si>
  <si>
    <t>Mwana kulema</t>
  </si>
  <si>
    <t xml:space="preserve">ARC EN CIEL </t>
  </si>
  <si>
    <t>Rehabilitation des routes</t>
  </si>
  <si>
    <t>Tenke</t>
  </si>
  <si>
    <t>FMC</t>
  </si>
  <si>
    <t>02/02/2023</t>
  </si>
  <si>
    <t>kibangu</t>
  </si>
  <si>
    <t xml:space="preserve">Construction d'un batiment administratif </t>
  </si>
  <si>
    <t>Shinangwa</t>
  </si>
  <si>
    <t>JPC</t>
  </si>
  <si>
    <t>03/02/2023</t>
  </si>
  <si>
    <t>06/02/2023</t>
  </si>
  <si>
    <t xml:space="preserve">Paiement Retrocession </t>
  </si>
  <si>
    <t>5% division des Mines</t>
  </si>
  <si>
    <t>14/02/2023</t>
  </si>
  <si>
    <t>KATANGA</t>
  </si>
  <si>
    <t>Construction de la salle polyvalente</t>
  </si>
  <si>
    <t>KIBWE</t>
  </si>
  <si>
    <t>Construction des routes</t>
  </si>
  <si>
    <t>construction bureau PNC</t>
  </si>
  <si>
    <t>15/02/2023</t>
  </si>
  <si>
    <t>KIMO</t>
  </si>
  <si>
    <t xml:space="preserve">Reboissement et arrosage </t>
  </si>
  <si>
    <t>16/02/2023</t>
  </si>
  <si>
    <t>21/02/2023</t>
  </si>
  <si>
    <t xml:space="preserve">Construction d'un poste de perception </t>
  </si>
  <si>
    <t>22/02/2023</t>
  </si>
  <si>
    <t>Paiement Maison</t>
  </si>
  <si>
    <t>Achat de maison de l'Etat-civil</t>
  </si>
  <si>
    <t>Chadrack</t>
  </si>
  <si>
    <t>katanga</t>
  </si>
  <si>
    <t>Rehabilitation des ponts Lwafi</t>
  </si>
  <si>
    <t>BETSALEEL</t>
  </si>
  <si>
    <t xml:space="preserve">construction d'un marche </t>
  </si>
  <si>
    <t>AMG</t>
  </si>
  <si>
    <t>23/02/2023</t>
  </si>
  <si>
    <t xml:space="preserve">53 Km </t>
  </si>
  <si>
    <t>NEW AGETC</t>
  </si>
  <si>
    <t>Reboissement et arrosage</t>
  </si>
  <si>
    <t>secteur de la lufira</t>
  </si>
  <si>
    <t>Construction et forage des puits</t>
  </si>
  <si>
    <t>27/02/2023</t>
  </si>
  <si>
    <t>PCL</t>
  </si>
  <si>
    <t>DIEFI</t>
  </si>
  <si>
    <t>28/02/2023</t>
  </si>
  <si>
    <t xml:space="preserve">INSTRUCTION </t>
  </si>
  <si>
    <t>03/03/2023</t>
  </si>
  <si>
    <t>Kaiye</t>
  </si>
  <si>
    <t>10/03/2023</t>
  </si>
  <si>
    <t>Construction de la ligne electrique moyenne tension</t>
  </si>
  <si>
    <t>FREMAK</t>
  </si>
  <si>
    <t>11/03/2023</t>
  </si>
  <si>
    <t>Construction centre de Sante</t>
  </si>
  <si>
    <t>13/03/2023</t>
  </si>
  <si>
    <t xml:space="preserve">Paiement Fournisseur  </t>
  </si>
  <si>
    <t>Secteur de la lufira</t>
  </si>
  <si>
    <t>Acquisition de 150 Bancs scolaires</t>
  </si>
  <si>
    <t>14/03/2023</t>
  </si>
  <si>
    <t>kapolowe</t>
  </si>
  <si>
    <t>Construction des puits et installation des pompes</t>
  </si>
  <si>
    <t>Construction d'un bureau de service technique</t>
  </si>
  <si>
    <t>15/03/2023</t>
  </si>
  <si>
    <t>Mazembe</t>
  </si>
  <si>
    <t>IGEAC</t>
  </si>
  <si>
    <t>17/03/2023</t>
  </si>
  <si>
    <t>20/03/2023</t>
  </si>
  <si>
    <t>Reboissement et orossage des plantules</t>
  </si>
  <si>
    <t>kakila</t>
  </si>
  <si>
    <t>pose des panneaux signalitiques</t>
  </si>
  <si>
    <t>22/03/2023</t>
  </si>
  <si>
    <t>Katanga- Katoto</t>
  </si>
  <si>
    <t>Rehabilitation et refection des routes</t>
  </si>
  <si>
    <t>MATELEM</t>
  </si>
  <si>
    <t>Kasketi</t>
  </si>
  <si>
    <t>Kansalabwe</t>
  </si>
  <si>
    <t>Acquisition de Bancs scolaires</t>
  </si>
  <si>
    <t>HARDIESSE</t>
  </si>
  <si>
    <t>23/03/2023</t>
  </si>
  <si>
    <t>kapolowe-gare</t>
  </si>
  <si>
    <t>Construction morgue</t>
  </si>
  <si>
    <t>AFRICA GOLD</t>
  </si>
  <si>
    <t>kibwe</t>
  </si>
  <si>
    <t>Construction d'une salle polyvalente</t>
  </si>
  <si>
    <t>MUBAS</t>
  </si>
  <si>
    <t>shanangwa- katoto</t>
  </si>
  <si>
    <t>Construction des ponts</t>
  </si>
  <si>
    <t>kaiye</t>
  </si>
  <si>
    <t>dettes commerciale sur la rehabilitation</t>
  </si>
  <si>
    <t>Meneka</t>
  </si>
  <si>
    <t>Construction bureau des services techniques</t>
  </si>
  <si>
    <t>reboissement et arossage des plantules</t>
  </si>
  <si>
    <t>Construction d'un bureau des jeunes</t>
  </si>
  <si>
    <t>Mangombo</t>
  </si>
  <si>
    <t>Ngalu</t>
  </si>
  <si>
    <t>SHILATEMBO 2</t>
  </si>
  <si>
    <t>CGS</t>
  </si>
  <si>
    <t>03/04/2023</t>
  </si>
  <si>
    <t>05/04/2023</t>
  </si>
  <si>
    <t>Construction des batiment administratif</t>
  </si>
  <si>
    <t>18/04/2023</t>
  </si>
  <si>
    <t>21/04/2023</t>
  </si>
  <si>
    <t>Acquisition Jeep Prado</t>
  </si>
  <si>
    <t>MULOMBA WILLY</t>
  </si>
  <si>
    <t>katanga - katoto</t>
  </si>
  <si>
    <t>GMS</t>
  </si>
  <si>
    <t>24/04/2023</t>
  </si>
  <si>
    <t>reboissement de arrosage des plantules</t>
  </si>
  <si>
    <t>construction et refection des routes</t>
  </si>
  <si>
    <t>Construction de batiment des jeunes</t>
  </si>
  <si>
    <t>25/04/2023</t>
  </si>
  <si>
    <t xml:space="preserve">katanga </t>
  </si>
  <si>
    <t>Construction d'un bureau du Chef de Groupement</t>
  </si>
  <si>
    <t>Construction d'un mur de cloture</t>
  </si>
  <si>
    <t>PACT CONSULTING</t>
  </si>
  <si>
    <t xml:space="preserve">Construction d'un mur de cloture </t>
  </si>
  <si>
    <t>27/04/2023</t>
  </si>
  <si>
    <t>acquisition des bancs scolaires</t>
  </si>
  <si>
    <t>MULUNDA NDALA</t>
  </si>
  <si>
    <t>MUTOMBO MONGA</t>
  </si>
  <si>
    <t>acquisition de 100 bancs scolaires</t>
  </si>
  <si>
    <t>tenke</t>
  </si>
  <si>
    <t>28/04/2023</t>
  </si>
  <si>
    <t xml:space="preserve">Construction d'un centre de sante </t>
  </si>
  <si>
    <t>30/04/2023</t>
  </si>
  <si>
    <t>08/05/2023</t>
  </si>
  <si>
    <t>reboisement et arrosage des plantules</t>
  </si>
  <si>
    <t>construction d'un batiment des jeunes</t>
  </si>
  <si>
    <t>10/05/2023</t>
  </si>
  <si>
    <t>24/05/2023</t>
  </si>
  <si>
    <t>25/05/2023</t>
  </si>
  <si>
    <t>Achat dynamo et installation des kits</t>
  </si>
  <si>
    <t>achat d'un vehicule Land cruiser</t>
  </si>
  <si>
    <t>KIS BUSINESS</t>
  </si>
  <si>
    <t xml:space="preserve">kaiye </t>
  </si>
  <si>
    <t>26/05/2023</t>
  </si>
  <si>
    <t>ETS  VINELLE</t>
  </si>
  <si>
    <t>27/05/2023</t>
  </si>
  <si>
    <t>29/05/2023</t>
  </si>
  <si>
    <t>Rehabilitation et refection d'ouvrage hydraulique</t>
  </si>
  <si>
    <t>45 Km</t>
  </si>
  <si>
    <t>Reboissement et arossage des plantules</t>
  </si>
  <si>
    <t>shilatembo</t>
  </si>
  <si>
    <t>HAUT-KATANGA</t>
  </si>
  <si>
    <t>Retrocession</t>
  </si>
  <si>
    <t>SECTEUR DE LA LUFIRA</t>
  </si>
  <si>
    <t>Decharge</t>
  </si>
  <si>
    <t>Paiement Entrepreneur</t>
  </si>
  <si>
    <t>Facture</t>
  </si>
  <si>
    <t>Reboisement des plantules et entretien jardin scolaire</t>
  </si>
  <si>
    <t xml:space="preserve">LWISHA </t>
  </si>
  <si>
    <t>Construction d'une Ligne electrique moyenne tension</t>
  </si>
  <si>
    <t>Construction batiment scolaire EP TUPENDANE2</t>
  </si>
  <si>
    <t>KAPULWA</t>
  </si>
  <si>
    <t>Construction centre de sante</t>
  </si>
  <si>
    <t>CAPSTONE MULTI SERVICE</t>
  </si>
  <si>
    <t>Construction batiment scolaire EP SHILATEMBO2</t>
  </si>
  <si>
    <t>CGS/MUKAZO</t>
  </si>
  <si>
    <t>MAKANDA</t>
  </si>
  <si>
    <t>Reboisement des plantules</t>
  </si>
  <si>
    <t>MWADINGUSHA</t>
  </si>
  <si>
    <t>RENEDI</t>
  </si>
  <si>
    <t>Rehabilitation et refection Bureau Administratif du SECTEUR DE LA LUFIRA</t>
  </si>
  <si>
    <t>LWISHA,MWADINGUSHA</t>
  </si>
  <si>
    <t xml:space="preserve">Forage et construction des puits d'eau </t>
  </si>
  <si>
    <t>Forage et construction des puits</t>
  </si>
  <si>
    <t>Construction batiment scolaire</t>
  </si>
  <si>
    <t>ARC-EN-CIEL</t>
  </si>
  <si>
    <t>Construction mur de cloture au centre de sante KATANGA</t>
  </si>
  <si>
    <t>KWINGSANG/PACT</t>
  </si>
  <si>
    <t>Paiement Fournisseur</t>
  </si>
  <si>
    <t>LWISHA</t>
  </si>
  <si>
    <t>Achat dynamo et installation Kit</t>
  </si>
  <si>
    <t>Construction batiment scolaire EP LUKOSHI</t>
  </si>
  <si>
    <t>KAMIKOLO</t>
  </si>
  <si>
    <t>Construction centre de Centre hospitalier</t>
  </si>
  <si>
    <t>Acquisition de 100 bancs scolaires</t>
  </si>
  <si>
    <t>ETS VINELLE SERVICES</t>
  </si>
  <si>
    <t>Achat des pieces de rechange pour forage des puits</t>
  </si>
  <si>
    <t>Bon de commande</t>
  </si>
  <si>
    <t>Paiement Prestataire</t>
  </si>
  <si>
    <t>Entretien d'ouvrage hydraulique</t>
  </si>
  <si>
    <t>TSHINEVA</t>
  </si>
  <si>
    <t>KIDIMUDILO-TENKE</t>
  </si>
  <si>
    <t>Rehabilitation route</t>
  </si>
  <si>
    <t>BUYAMBA KIPAMPE DIDIER</t>
  </si>
  <si>
    <t>KABWE MUTEJ WILLIAMS</t>
  </si>
  <si>
    <t>Acquisition des bancs scolaires</t>
  </si>
  <si>
    <t>HARDIESSE CONSTRUCTION SERVICE</t>
  </si>
  <si>
    <t>Construction de centre de sante</t>
  </si>
  <si>
    <t>Construction batiment</t>
  </si>
  <si>
    <t>KAMUGA KUYENALO</t>
  </si>
  <si>
    <t>KIJIBA MYANGWE</t>
  </si>
  <si>
    <t>KATOTO</t>
  </si>
  <si>
    <t>Construction d'un mur de cloture EP KATOTO</t>
  </si>
  <si>
    <t>SHINANGWA</t>
  </si>
  <si>
    <t>MUZICAP</t>
  </si>
  <si>
    <t>LUKUMBA</t>
  </si>
  <si>
    <t>KAIYE</t>
  </si>
  <si>
    <t>Dettes commerciales sur Rehabilitation route</t>
  </si>
  <si>
    <t>KASHIPO MWANA</t>
  </si>
  <si>
    <t>Construction route</t>
  </si>
  <si>
    <t>TENKE</t>
  </si>
  <si>
    <t>Construction d 'un centre de sante</t>
  </si>
  <si>
    <t>Construction d 'un batiment scolaire</t>
  </si>
  <si>
    <t>KASKETI</t>
  </si>
  <si>
    <t>Construction d’ouvrage hydraulique</t>
  </si>
  <si>
    <t>Paiement prestataire</t>
  </si>
  <si>
    <t>Achat de 50 bancs scolaires</t>
  </si>
  <si>
    <t>ESQUISSE</t>
  </si>
  <si>
    <t>Reboisemet des plantules ,coupe feu et sarclage</t>
  </si>
  <si>
    <t>KIBANGU</t>
  </si>
  <si>
    <t>Rehabilitation et refection du Bureau du secteur de la lufira</t>
  </si>
  <si>
    <t>Paiement</t>
  </si>
  <si>
    <t>Retrocession division des mines</t>
  </si>
  <si>
    <t>Forage de 4 puits</t>
  </si>
  <si>
    <t>RIEN N'EST IMPOSSIBLE A DIEU</t>
  </si>
  <si>
    <t>Paiement des services moteurs ,citernes</t>
  </si>
  <si>
    <t>Construction de deux modules de 3 salles,1 bureau de direction, 1 bloc sanitaire</t>
  </si>
  <si>
    <t>MBALAKA, KATANGA</t>
  </si>
  <si>
    <t xml:space="preserve">Rehabilitation et refection de 2 puits d'eau </t>
  </si>
  <si>
    <t>KAPOLOWE MISSION</t>
  </si>
  <si>
    <t>Construction bureau des jeunes</t>
  </si>
  <si>
    <t>contrat</t>
  </si>
  <si>
    <t>KAKILA</t>
  </si>
  <si>
    <t>Construction centre hospitalier</t>
  </si>
  <si>
    <t>REHOBOT</t>
  </si>
  <si>
    <t>Construction Mur de cloture pour E-P TUPENDANE2</t>
  </si>
  <si>
    <t xml:space="preserve">ConstructIon route </t>
  </si>
  <si>
    <t>Acquisition de 400 Bancs scolaires</t>
  </si>
  <si>
    <t>ConstructIon Salle polyvalente et alphabetisation</t>
  </si>
  <si>
    <t>SHILATEMBO1 a 45km</t>
  </si>
  <si>
    <t>Construction Hangar Marche</t>
  </si>
  <si>
    <t>Construction batiment et rehabilitation de 4 salles de classe construites par IRC et equipements E-P KAPULWA</t>
  </si>
  <si>
    <t>REBKUT</t>
  </si>
  <si>
    <t>PROCARMA</t>
  </si>
  <si>
    <t>Construction Bureau PNC</t>
  </si>
  <si>
    <t>Construction</t>
  </si>
  <si>
    <t>MUTOMBO MONGA SATSHOVA</t>
  </si>
  <si>
    <t>Construction bureau technique</t>
  </si>
  <si>
    <t>Construction batiment scolaire de 4 salles de classe E-P MENEKA</t>
  </si>
  <si>
    <t>NGALU</t>
  </si>
  <si>
    <t>Construction batiment scolaire EP NGALU</t>
  </si>
  <si>
    <t>Construction batiment scolaire de 3 salles de classe</t>
  </si>
  <si>
    <t>axe TANGA1 et SHINANGWA</t>
  </si>
  <si>
    <t>Rehabilitation bureau administratif du SECTEUR</t>
  </si>
  <si>
    <t>TUJENGE DEVELOPPEMENT</t>
  </si>
  <si>
    <t>NEW AGTEC</t>
  </si>
  <si>
    <t>THREE EAGLES SYNERGY SARL</t>
  </si>
  <si>
    <t>Construction de deux modules de 3 salles,1bureau de direction 1 bloc sanitaire E-P SHILATEMBO</t>
  </si>
  <si>
    <t>Construction d'un mur de cloture au centre de sante</t>
  </si>
  <si>
    <t>PACT CONSULTING SARL</t>
  </si>
  <si>
    <t>PNC</t>
  </si>
  <si>
    <t xml:space="preserve">Achat de 3 chaises,tables et dix plastiques pour SCIAT/PNC </t>
  </si>
  <si>
    <t>Construction batiment pour les personnes vivant avec handicap</t>
  </si>
  <si>
    <t>KIDIMULO et LWISHA</t>
  </si>
  <si>
    <t>MAZEMBE</t>
  </si>
  <si>
    <t xml:space="preserve">Forage des puits d'eau </t>
  </si>
  <si>
    <t>Reboisemet et arrosage des plantules</t>
  </si>
  <si>
    <t>Forages de puits d'eau</t>
  </si>
  <si>
    <t>MAZEMBE et KAPOLOWE MISSION</t>
  </si>
  <si>
    <t>Construction bureau Administratif du secteur</t>
  </si>
  <si>
    <t>Construction bureau PNC</t>
  </si>
  <si>
    <t>Achat vehicule</t>
  </si>
  <si>
    <t>AGIROCK'S</t>
  </si>
  <si>
    <t>Construction puit d'eau</t>
  </si>
  <si>
    <t>Construction bureau de perception</t>
  </si>
  <si>
    <t>Secteur lufira</t>
  </si>
  <si>
    <t>LWANZO</t>
  </si>
  <si>
    <t>Construction d'une Ecole primaire</t>
  </si>
  <si>
    <t>Construction batiment scolaire EP KATANGA</t>
  </si>
  <si>
    <t>KISUNKA et KATANGA</t>
  </si>
  <si>
    <t>Construcion forages des puits d'eau</t>
  </si>
  <si>
    <t>Rehabilitation et refection d'eau</t>
  </si>
  <si>
    <t>Rehabilitation et forages de puits</t>
  </si>
  <si>
    <t>Accord</t>
  </si>
  <si>
    <t>Construction de 3 salles de classe</t>
  </si>
  <si>
    <t>division de Mines</t>
  </si>
  <si>
    <t>Achat vehicule Land cruiser</t>
  </si>
  <si>
    <t>Construction de Batiment scolaire LWANZO4</t>
  </si>
  <si>
    <t>Construction de Batiment sanitaire</t>
  </si>
  <si>
    <t>Construction de Batiment scolaire EP KATANGA</t>
  </si>
  <si>
    <t>Rehabilitation centre de sante</t>
  </si>
  <si>
    <t xml:space="preserve">AFRIKA SERVICE </t>
  </si>
  <si>
    <t>Construction et finission puits d'eau</t>
  </si>
  <si>
    <t>Construction de Batiment scolaire EP TUPENDANE2</t>
  </si>
  <si>
    <t>MWANAKULEMA</t>
  </si>
  <si>
    <t>Contribution a l'agriculture dans les groupements du Secteur</t>
  </si>
  <si>
    <t xml:space="preserve">Document comptable </t>
  </si>
  <si>
    <t>paiement chef de groupement</t>
  </si>
  <si>
    <t>paiement chef de secteur sortant</t>
  </si>
  <si>
    <t>MR DOMINIQUE SAVIO MWEWA LUBUNGA NSAMBO</t>
  </si>
  <si>
    <t>Paiement indemnite de sortie de carriere</t>
  </si>
  <si>
    <t>Acquisition des Bancs scolaires</t>
  </si>
  <si>
    <t>ABS</t>
  </si>
  <si>
    <t>Payement sur les dettes commerciales</t>
  </si>
  <si>
    <t>CMS(MDK)</t>
  </si>
  <si>
    <t>Paiement Chef de groupement</t>
  </si>
  <si>
    <t>CHEF DE GROUPEMENT</t>
  </si>
  <si>
    <t>Achat des pieces de rechange</t>
  </si>
  <si>
    <t>Construction du bureau des jeunes</t>
  </si>
  <si>
    <t>Construction d'un MOTEL</t>
  </si>
  <si>
    <t>Construction d'un centre des personnes vivant avec handicap</t>
  </si>
  <si>
    <t>Finission de batiment scolaire</t>
  </si>
  <si>
    <t>INGENIERIE GESTION ELEVAGE ET CONSTRUCTION</t>
  </si>
  <si>
    <t>LWISHA-KATANGA</t>
  </si>
  <si>
    <t>Construction ligne electrique</t>
  </si>
  <si>
    <t>Construction d'un batiment scolaire LWANZO</t>
  </si>
  <si>
    <t>Contribution a la journee internationale des handicapes physiques</t>
  </si>
  <si>
    <t>SIFA KABALA RUTH</t>
  </si>
  <si>
    <t>Achat des bancs scolaires</t>
  </si>
  <si>
    <t>KANSALABWE</t>
  </si>
  <si>
    <t>Construction batiment scolaire EP2 LUFIRA</t>
  </si>
  <si>
    <t>Achat vehicule LAND CRUISER</t>
  </si>
  <si>
    <t>Dettes commerciales sur rehabilitation route cimetieres</t>
  </si>
  <si>
    <t>Total Secteur de la Lufira</t>
  </si>
  <si>
    <t xml:space="preserve">Construction Marché </t>
  </si>
  <si>
    <t>quartier Joli Site</t>
  </si>
  <si>
    <t>Habitant du quartier</t>
  </si>
  <si>
    <t>construction du marché 
Maman Denise Nyakeru</t>
  </si>
  <si>
    <t>Entreprise Général  des 
Services Techniques et 
de Production (GESTEP)</t>
  </si>
  <si>
    <t>OP 3880296</t>
  </si>
  <si>
    <t xml:space="preserve">Forage </t>
  </si>
  <si>
    <t xml:space="preserve">Forage des bornes 
fontaines </t>
  </si>
  <si>
    <t>AKV</t>
  </si>
  <si>
    <t>OP 3880298</t>
  </si>
  <si>
    <t>Construction Ecole</t>
  </si>
  <si>
    <t>Construction de l'Ecole 
NEEMA</t>
  </si>
  <si>
    <t>Association d'Encadrement
des jeunes du Katanga (EJK)</t>
  </si>
  <si>
    <t>OP 3880299</t>
  </si>
  <si>
    <t xml:space="preserve">Acquisition des terrains </t>
  </si>
  <si>
    <t>quartier Kisanga</t>
  </si>
  <si>
    <t xml:space="preserve">Identifé du Vendeur </t>
  </si>
  <si>
    <t>Construction du marché 
Maman Denise Nyakeru</t>
  </si>
  <si>
    <t>OP 3880308</t>
  </si>
  <si>
    <t>OP 4099846</t>
  </si>
  <si>
    <t>OP 4099850</t>
  </si>
  <si>
    <t>Prestation Intellectuelle</t>
  </si>
  <si>
    <t xml:space="preserve">Commune </t>
  </si>
  <si>
    <t xml:space="preserve">Agent </t>
  </si>
  <si>
    <t xml:space="preserve">Formation des agents </t>
  </si>
  <si>
    <t>OP 4845351</t>
  </si>
  <si>
    <t>OP 8175434</t>
  </si>
  <si>
    <t>OP 8175437</t>
  </si>
  <si>
    <t>OP 8175436</t>
  </si>
  <si>
    <t>Construction Ecole 
Kasangiri</t>
  </si>
  <si>
    <t>Construction Ecole 
TWATASHA</t>
  </si>
  <si>
    <t>FRISCA</t>
  </si>
  <si>
    <t>OP 4845331</t>
  </si>
  <si>
    <t>OP 4845336</t>
  </si>
  <si>
    <t xml:space="preserve">Achat Lampadaires </t>
  </si>
  <si>
    <t>quartier Kasapa</t>
  </si>
  <si>
    <t xml:space="preserve">Installation Eclairage Public </t>
  </si>
  <si>
    <t>OP 4845335</t>
  </si>
  <si>
    <t>OP 4845334</t>
  </si>
  <si>
    <t>Total COMMUNE ANNEXE</t>
  </si>
  <si>
    <t xml:space="preserve"> SECTEUR DE BALAMBA</t>
  </si>
  <si>
    <t>Produits médicaux 1ere tranche</t>
  </si>
  <si>
    <t>village deTshinsenda</t>
  </si>
  <si>
    <t>communauté de tshisenda</t>
  </si>
  <si>
    <t>ACHAT</t>
  </si>
  <si>
    <t>PAMOJA ANDPARTNERS</t>
  </si>
  <si>
    <t>ACK/008/B'MBA</t>
  </si>
  <si>
    <t>executé</t>
  </si>
  <si>
    <t>2eme tranche</t>
  </si>
  <si>
    <t>ACK09</t>
  </si>
  <si>
    <t>Construction guest house 1ere tranche</t>
  </si>
  <si>
    <t>SECTEUR de balamba</t>
  </si>
  <si>
    <t>construction d une guest house</t>
  </si>
  <si>
    <t>002/B'MBA</t>
  </si>
  <si>
    <t>projet encours</t>
  </si>
  <si>
    <t>009/B'MBA O5899008</t>
  </si>
  <si>
    <t>5ème tranche</t>
  </si>
  <si>
    <t>O5344443</t>
  </si>
  <si>
    <t>rehabilitation route pungwe 1ere tranche</t>
  </si>
  <si>
    <t>village de pungwe</t>
  </si>
  <si>
    <t>CONSTRUCTION route de 20km?</t>
  </si>
  <si>
    <t>LUZA Sarl</t>
  </si>
  <si>
    <t>008/B'MBA O5899012</t>
  </si>
  <si>
    <t>009/B'MBAO5899009</t>
  </si>
  <si>
    <t>3ème tranche</t>
  </si>
  <si>
    <t>010/B'MBA O5899018</t>
  </si>
  <si>
    <t>4ème tranche</t>
  </si>
  <si>
    <t>011/B'MBA O4937530</t>
  </si>
  <si>
    <t>004/B'MBA</t>
  </si>
  <si>
    <t>6ème tranche</t>
  </si>
  <si>
    <t>7ème tranche</t>
  </si>
  <si>
    <t>12/B'MBA O5344443</t>
  </si>
  <si>
    <t>8ème tranche</t>
  </si>
  <si>
    <t>03/B'MBA</t>
  </si>
  <si>
    <t>rehabilitaion route mulyashi 1ere tranche</t>
  </si>
  <si>
    <t>village mulyashi</t>
  </si>
  <si>
    <t>GEPRIP</t>
  </si>
  <si>
    <t>001/8/B'MBA</t>
  </si>
  <si>
    <t>004/06/GE</t>
  </si>
  <si>
    <t>3eme tranche</t>
  </si>
  <si>
    <t>008/8/GE</t>
  </si>
  <si>
    <t>Centre de sante de mbofu</t>
  </si>
  <si>
    <t xml:space="preserve"> village MBOFU</t>
  </si>
  <si>
    <t>communauté de mbofu</t>
  </si>
  <si>
    <t>construction</t>
  </si>
  <si>
    <t>PRODUIT medicaux 1ere tranche</t>
  </si>
  <si>
    <t>village de TSHINSENDA</t>
  </si>
  <si>
    <t>ACTION DE DEVELOPPRMENT</t>
  </si>
  <si>
    <t>OO7</t>
  </si>
  <si>
    <t>OO2</t>
  </si>
  <si>
    <t>village kimpe</t>
  </si>
  <si>
    <t>communaute de kimpe</t>
  </si>
  <si>
    <t>CONSTRUCTION</t>
  </si>
  <si>
    <t>BUSINESS ELOHIM CONSTRUCTION Sarl</t>
  </si>
  <si>
    <t>OO2/SEC/23 O6O12914</t>
  </si>
  <si>
    <t>03/SEC/23 O5899024</t>
  </si>
  <si>
    <t>04/SEC/23 O5899025</t>
  </si>
  <si>
    <t>O2/SEC/23 O5899030</t>
  </si>
  <si>
    <t>ECOLE kipukula 1ere tranche</t>
  </si>
  <si>
    <t>village de KIPULA</t>
  </si>
  <si>
    <t>communauté de kipukula</t>
  </si>
  <si>
    <t>ECM</t>
  </si>
  <si>
    <t>OO1/SE/23</t>
  </si>
  <si>
    <t>OO2/SEC/23</t>
  </si>
  <si>
    <t>003/SEC/23</t>
  </si>
  <si>
    <t>residence kipilingu 1ere tranche</t>
  </si>
  <si>
    <t>village de Kipilingu</t>
  </si>
  <si>
    <t>SGM LIMITED</t>
  </si>
  <si>
    <t>OO2/23</t>
  </si>
  <si>
    <t>village  KIPILNGU</t>
  </si>
  <si>
    <t>OO1/23</t>
  </si>
  <si>
    <t>ECOLE mwelushi 1ERE TRANCHE</t>
  </si>
  <si>
    <t>village MWELUSHI</t>
  </si>
  <si>
    <t>communauté de mwelushi</t>
  </si>
  <si>
    <t>TRADE KING INTERNATIONAL sarl</t>
  </si>
  <si>
    <t>TKI01</t>
  </si>
  <si>
    <t>ECOLE miriashi</t>
  </si>
  <si>
    <t>village MIRIASHI</t>
  </si>
  <si>
    <t>communauté de miriashi</t>
  </si>
  <si>
    <t>TKI03</t>
  </si>
  <si>
    <t xml:space="preserve">ACHAT des semences </t>
  </si>
  <si>
    <t>village TSHINSENDA</t>
  </si>
  <si>
    <t>SEMENCE AGRICOLE ET intrants</t>
  </si>
  <si>
    <t>OO4/SEC/23</t>
  </si>
  <si>
    <t>protocole</t>
  </si>
  <si>
    <t>ACHAT 1ere tranche</t>
  </si>
  <si>
    <t>TRACTEUR(4)</t>
  </si>
  <si>
    <t>SAFETY AND GENERALCONTRACTORS</t>
  </si>
  <si>
    <t>O5899039</t>
  </si>
  <si>
    <t>O5899038</t>
  </si>
  <si>
    <t>village de MULYASHI</t>
  </si>
  <si>
    <t>CONSTRUCTION digue</t>
  </si>
  <si>
    <t>OO1/SEC</t>
  </si>
  <si>
    <t>12 mois</t>
  </si>
  <si>
    <t>division des mines</t>
  </si>
  <si>
    <t>transfert  au service deconcentré</t>
  </si>
  <si>
    <t>arreté</t>
  </si>
  <si>
    <t>fonctionnement</t>
  </si>
  <si>
    <t>solde</t>
  </si>
  <si>
    <t>Total  SECTEUR DE BALAMBA</t>
  </si>
  <si>
    <t>rehabilitation route  1ere tranche du solde 2022</t>
  </si>
  <si>
    <t xml:space="preserve">villageKinika busanga </t>
  </si>
  <si>
    <t>communauté kinika busanga</t>
  </si>
  <si>
    <t xml:space="preserve">Réhabilitation route (85Km)  </t>
  </si>
  <si>
    <t>DRIDA sarl</t>
  </si>
  <si>
    <t>decharges</t>
  </si>
  <si>
    <t>projet executé</t>
  </si>
  <si>
    <t>rehabilitation route 2eme tranchesolde 2022</t>
  </si>
  <si>
    <t>villageKIJIBA MINGOMBA</t>
  </si>
  <si>
    <t>communauté benati</t>
  </si>
  <si>
    <t>Réhabilitation route</t>
  </si>
  <si>
    <t>309TCAC230390001</t>
  </si>
  <si>
    <t>construction digue de kishinka 1ere tranche</t>
  </si>
  <si>
    <t>village kishinka</t>
  </si>
  <si>
    <t>communauté kishinka</t>
  </si>
  <si>
    <t>construction dingue</t>
  </si>
  <si>
    <t>309TCAC2315100002</t>
  </si>
  <si>
    <t>construction digue de kishinka 2ème tranche</t>
  </si>
  <si>
    <t>309TCAC2319100006</t>
  </si>
  <si>
    <t>construction digue de kishinka 3ème tranche</t>
  </si>
  <si>
    <t>309TCAC2320500001</t>
  </si>
  <si>
    <t>construction digue de kishinka  5ème tranche</t>
  </si>
  <si>
    <t>309TCAC2326400004</t>
  </si>
  <si>
    <t>construction digue de kishinka 6ème tranche</t>
  </si>
  <si>
    <t>300TCAC232700019</t>
  </si>
  <si>
    <t>construction bureau kalulako 1ERE tranche</t>
  </si>
  <si>
    <t>village kalulako</t>
  </si>
  <si>
    <t>communauté kalulako</t>
  </si>
  <si>
    <t>construction bureau kalulako</t>
  </si>
  <si>
    <t>304INFT230650021</t>
  </si>
  <si>
    <t>construction bureau kalulako 2eme tranche</t>
  </si>
  <si>
    <t>304INFT231280028</t>
  </si>
  <si>
    <t>construction bureau kalulako 3eme tranche</t>
  </si>
  <si>
    <t>304INFT231170006</t>
  </si>
  <si>
    <t>rehabilitation route texas tobala 1ere tranche</t>
  </si>
  <si>
    <t>village texas tobala</t>
  </si>
  <si>
    <t>communauté texas tobala</t>
  </si>
  <si>
    <t>rehabilitation route texas tobala 7,2km</t>
  </si>
  <si>
    <t>300TENA231430071</t>
  </si>
  <si>
    <t>rehabilitation route texas tobala 2eme tranche</t>
  </si>
  <si>
    <t>300INFT231450566</t>
  </si>
  <si>
    <t>rehabilitation route texas tobala 3eme tranche</t>
  </si>
  <si>
    <t>300INFT232540602</t>
  </si>
  <si>
    <t>rehabilitation route texas tobala 4eme tranche</t>
  </si>
  <si>
    <t>304INFT232300013</t>
  </si>
  <si>
    <t>rehabilitation route texas tobala5éme tranche</t>
  </si>
  <si>
    <t>300INFT232120080</t>
  </si>
  <si>
    <t>REHABILITATION PUITS D'EAU 1ére tranche</t>
  </si>
  <si>
    <t>groupement shindaika</t>
  </si>
  <si>
    <t>communauté de shindaika</t>
  </si>
  <si>
    <t>rehabilitation puits d eau</t>
  </si>
  <si>
    <t>NTUMBA A1</t>
  </si>
  <si>
    <t>306CQWL230130002</t>
  </si>
  <si>
    <t>REHABILITATION PUITS D'EAU 2eme tranche</t>
  </si>
  <si>
    <t>communauté de MAMBA</t>
  </si>
  <si>
    <t>NTUMBA A2</t>
  </si>
  <si>
    <t>306INFT232370007</t>
  </si>
  <si>
    <t>REHABILITATION PUITS D'EAU 3eme tranche</t>
  </si>
  <si>
    <t>NTUMBA A3</t>
  </si>
  <si>
    <t>DECHARGES</t>
  </si>
  <si>
    <t>REHABILITATION POMPE 4éme tranche</t>
  </si>
  <si>
    <t>village Mamba</t>
  </si>
  <si>
    <t>rehabilitation pompe</t>
  </si>
  <si>
    <t>NTUMBA A4</t>
  </si>
  <si>
    <t>REHABILITATION PUITS D'EAU 1ere tranche</t>
  </si>
  <si>
    <t>illage kalulako</t>
  </si>
  <si>
    <t>KOJ NTUMBA</t>
  </si>
  <si>
    <t>309INFT230950013</t>
  </si>
  <si>
    <t>30ACQWL230270002</t>
  </si>
  <si>
    <t>ACQUISITION BANCS SCOLAIRES Ep Maksem 1ere tranche</t>
  </si>
  <si>
    <t>village maksem</t>
  </si>
  <si>
    <t>communauté de MAKSEM</t>
  </si>
  <si>
    <t>acquisition equipement scolaire</t>
  </si>
  <si>
    <t>BIG 4 KINAMA</t>
  </si>
  <si>
    <t>300INFT230130543</t>
  </si>
  <si>
    <t>ACQUISITION EQUIPEMENT SCOLAIRE Ep kibuye 2eme tranche</t>
  </si>
  <si>
    <t>village kibuye</t>
  </si>
  <si>
    <t>communauté de KIBUYE</t>
  </si>
  <si>
    <t>309INFT232540019</t>
  </si>
  <si>
    <t>ACQUISITION EQUIPEMENT SCOLAIRE Ep tumbwe 3eme tranche</t>
  </si>
  <si>
    <t>village tumbwe</t>
  </si>
  <si>
    <t>communauté de TUMBWE</t>
  </si>
  <si>
    <t>309INFT231170015</t>
  </si>
  <si>
    <t>ACQUISITION EQUIPENMENT bureauEP londe 4eme tranche</t>
  </si>
  <si>
    <t>village londe</t>
  </si>
  <si>
    <t>communauté de LONDE</t>
  </si>
  <si>
    <t>309INFT231670010</t>
  </si>
  <si>
    <t>ACQUISITION EQUIPENMENT Ep londe 5eme tranche</t>
  </si>
  <si>
    <t>300INFT232700589</t>
  </si>
  <si>
    <t>INTRANT AGRICOLE  SECTEUR  BUKANDA</t>
  </si>
  <si>
    <t>secteur bukanda</t>
  </si>
  <si>
    <t>10 menages</t>
  </si>
  <si>
    <t>acompagnement agricole</t>
  </si>
  <si>
    <t>300INFT231870139</t>
  </si>
  <si>
    <t>INTRANT AGRICOLE  SECTEUR BUKANDA</t>
  </si>
  <si>
    <t>10menages</t>
  </si>
  <si>
    <t>300INFT230240077</t>
  </si>
  <si>
    <t>300INFT230240078</t>
  </si>
  <si>
    <t>300INFT230240079</t>
  </si>
  <si>
    <t xml:space="preserve"> REHABILITATION ROUTE MAMBA -kalubamba</t>
  </si>
  <si>
    <t>village mamba et kyalubamba</t>
  </si>
  <si>
    <t xml:space="preserve"> comunauté de MAMBA KYALU</t>
  </si>
  <si>
    <t>ACSA THETHE</t>
  </si>
  <si>
    <t>300INFT230130581</t>
  </si>
  <si>
    <t>projet en cours</t>
  </si>
  <si>
    <t>300TENA231450566</t>
  </si>
  <si>
    <t>300TENA231290019</t>
  </si>
  <si>
    <t>300TENA2317100008</t>
  </si>
  <si>
    <t>300TENA231870011</t>
  </si>
  <si>
    <t>300TENA232070029</t>
  </si>
  <si>
    <t>PEINTURE SOKOTELA (c de santé)</t>
  </si>
  <si>
    <t>village sokotela</t>
  </si>
  <si>
    <t>communauté de SOKOTELA</t>
  </si>
  <si>
    <t>peinture</t>
  </si>
  <si>
    <t>NGOIE MUSASA NDC</t>
  </si>
  <si>
    <t>300cqwl230400026</t>
  </si>
  <si>
    <t>CONSTRUCTION BUREAU KAWAMA</t>
  </si>
  <si>
    <t>village kawama</t>
  </si>
  <si>
    <t>communauté de KAWAMA</t>
  </si>
  <si>
    <t xml:space="preserve">CONSTRUCTION </t>
  </si>
  <si>
    <t>300inft230650427</t>
  </si>
  <si>
    <t>300cqwl231090057</t>
  </si>
  <si>
    <t>300inft231280571</t>
  </si>
  <si>
    <t>300inft231580433</t>
  </si>
  <si>
    <t>300inft233270629</t>
  </si>
  <si>
    <t>CONS TOILLETTE EP KAWAMA</t>
  </si>
  <si>
    <t>300inft233350112</t>
  </si>
  <si>
    <t>banza numbi</t>
  </si>
  <si>
    <t>304cqwl231560001</t>
  </si>
  <si>
    <t>prestation</t>
  </si>
  <si>
    <t>ACHAT MATERIEL RCB</t>
  </si>
  <si>
    <t>village kakana</t>
  </si>
  <si>
    <t>communauté de KAKANA</t>
  </si>
  <si>
    <t>achat</t>
  </si>
  <si>
    <t xml:space="preserve">MATHIEU TECHNICIEN </t>
  </si>
  <si>
    <t>300inft230400376</t>
  </si>
  <si>
    <t>ACHAT BATTERIE RCB</t>
  </si>
  <si>
    <t>RTNC</t>
  </si>
  <si>
    <t>300inft230930099</t>
  </si>
  <si>
    <t>construction Ecole primaire KAMAFWESA</t>
  </si>
  <si>
    <t>village kamafwesa</t>
  </si>
  <si>
    <t xml:space="preserve"> communauté de KAMAFWESA</t>
  </si>
  <si>
    <t>PRECIOUS</t>
  </si>
  <si>
    <t>300tcac230520001</t>
  </si>
  <si>
    <t>300inft230650033</t>
  </si>
  <si>
    <t>300tcac231280009</t>
  </si>
  <si>
    <t>300tcac23210036</t>
  </si>
  <si>
    <t>construction ecole primaire kayeye</t>
  </si>
  <si>
    <t>village kayeye</t>
  </si>
  <si>
    <t>communauté de KAYEYE</t>
  </si>
  <si>
    <t>30binft233350003</t>
  </si>
  <si>
    <t>3009inft233620017</t>
  </si>
  <si>
    <t>CONSTRUCTION BUREAU SHINDAIKA</t>
  </si>
  <si>
    <t>village shindaika</t>
  </si>
  <si>
    <t>personnel du groupement shindaika</t>
  </si>
  <si>
    <t>ADD</t>
  </si>
  <si>
    <t>304inft230650018</t>
  </si>
  <si>
    <t>protocole d accord</t>
  </si>
  <si>
    <t>CONS RESIDENCE SHINDAIKA</t>
  </si>
  <si>
    <t>chef  de groupement shindaika</t>
  </si>
  <si>
    <t>304inft231280029</t>
  </si>
  <si>
    <t>304inft231670009</t>
  </si>
  <si>
    <t>300inft232070377</t>
  </si>
  <si>
    <t>304inft233270008</t>
  </si>
  <si>
    <t>PARACHEVEMENT CONS SHINDAIKA</t>
  </si>
  <si>
    <t>300inft231140016</t>
  </si>
  <si>
    <t>CONS TOILLETTE ET PONT RADIO</t>
  </si>
  <si>
    <t>communauté de kakana</t>
  </si>
  <si>
    <t>300inft231590124</t>
  </si>
  <si>
    <t>CONSTRUCTION EP KINIKA</t>
  </si>
  <si>
    <t>village kinika</t>
  </si>
  <si>
    <t>communauté de KINIKA BUSANGA</t>
  </si>
  <si>
    <t>TOBELIEVE</t>
  </si>
  <si>
    <t>300inft230650428</t>
  </si>
  <si>
    <t>300inft2323320470</t>
  </si>
  <si>
    <t>REPARATION FISSURE Residence CHEF Secteur</t>
  </si>
  <si>
    <t>village de kikanda</t>
  </si>
  <si>
    <t>chef de scteur</t>
  </si>
  <si>
    <t>300inft230950066</t>
  </si>
  <si>
    <t>CONS RESIDENCE SECTEUR solde 2022</t>
  </si>
  <si>
    <t>300incq231170001</t>
  </si>
  <si>
    <t>ACQUISITION EQUIPEMENT (centre de santé)</t>
  </si>
  <si>
    <t>SECTEUR bukanda</t>
  </si>
  <si>
    <t>JMM/TN</t>
  </si>
  <si>
    <t>301inft230950043</t>
  </si>
  <si>
    <t>ACQUISITION EQUIPEMENT SOINS</t>
  </si>
  <si>
    <t>secteur de bukanda</t>
  </si>
  <si>
    <t>300inft231420509</t>
  </si>
  <si>
    <t>CONSTRUCTION EP TUMBWE</t>
  </si>
  <si>
    <t xml:space="preserve"> communauté de TUMBWE</t>
  </si>
  <si>
    <t>CHAN CONSTRUCTION</t>
  </si>
  <si>
    <t>300cqwl230660025</t>
  </si>
  <si>
    <t>300tena231280020</t>
  </si>
  <si>
    <t>300tena232070028</t>
  </si>
  <si>
    <t>300tena232410005</t>
  </si>
  <si>
    <t>TOILLETTES EP TUMBWE</t>
  </si>
  <si>
    <t>300tena231890001</t>
  </si>
  <si>
    <t>CONS GUEST HOUSE SECTEUR</t>
  </si>
  <si>
    <t>village kikanda</t>
  </si>
  <si>
    <t>300inft230660202</t>
  </si>
  <si>
    <t>300inft231280540</t>
  </si>
  <si>
    <t>300inft232540605</t>
  </si>
  <si>
    <t>CONS RESIDENCE GPMENT KASONGO</t>
  </si>
  <si>
    <t>village kyembo</t>
  </si>
  <si>
    <t>chef de groupement kasongo</t>
  </si>
  <si>
    <t>UDEVCO</t>
  </si>
  <si>
    <t>300inft230670303</t>
  </si>
  <si>
    <t>300inft231300266</t>
  </si>
  <si>
    <t>304inft231670007</t>
  </si>
  <si>
    <t>300inft231010050</t>
  </si>
  <si>
    <t>300inft232080062</t>
  </si>
  <si>
    <t>300inft232140169</t>
  </si>
  <si>
    <t>33inft233270617</t>
  </si>
  <si>
    <t>REHABILITATION EP KITANDA</t>
  </si>
  <si>
    <t>village kitanda</t>
  </si>
  <si>
    <t>communaute de KITANDA</t>
  </si>
  <si>
    <t>rehabilitation</t>
  </si>
  <si>
    <t>FMCmwepu yav</t>
  </si>
  <si>
    <t>300cqwl230670028</t>
  </si>
  <si>
    <t>300cqwl231330040</t>
  </si>
  <si>
    <t>CONS HANGARE MORGUE TUMBWE</t>
  </si>
  <si>
    <t>PODEFIP</t>
  </si>
  <si>
    <t>300inft231510573</t>
  </si>
  <si>
    <t>303inft231840526</t>
  </si>
  <si>
    <t>300inft232350465</t>
  </si>
  <si>
    <t>ACQUISITION CINQ MOTOS</t>
  </si>
  <si>
    <t>personnel du secteur de bukanda</t>
  </si>
  <si>
    <t>UAC</t>
  </si>
  <si>
    <t>300inft232700110</t>
  </si>
  <si>
    <t>facture</t>
  </si>
  <si>
    <t>REHABILITATION C SANTE SHINDAIKA</t>
  </si>
  <si>
    <t>villge shindaika</t>
  </si>
  <si>
    <t>GOLDE TRAIDE</t>
  </si>
  <si>
    <t>304inft232660046</t>
  </si>
  <si>
    <t>304inft233180009</t>
  </si>
  <si>
    <t>304inft233270013</t>
  </si>
  <si>
    <t>************</t>
  </si>
  <si>
    <t>304inft233110021</t>
  </si>
  <si>
    <t>CONS BUREAU SECT GPMT KASONGO</t>
  </si>
  <si>
    <t>groupement kasongo</t>
  </si>
  <si>
    <t>304inft233330014</t>
  </si>
  <si>
    <t>304inft233610026</t>
  </si>
  <si>
    <t>REHABILI PUITS D'EAU centre de santé de TUMBWE</t>
  </si>
  <si>
    <t>JOYCE</t>
  </si>
  <si>
    <t>300inft233250063</t>
  </si>
  <si>
    <t>300cswl233570317</t>
  </si>
  <si>
    <t>300inft233510099</t>
  </si>
  <si>
    <t>CONStruction MAISON de PENITENTION SECT BUKanda</t>
  </si>
  <si>
    <t>SHINE  UP</t>
  </si>
  <si>
    <t>300tena233400010</t>
  </si>
  <si>
    <t>REHABILITATION MAISON D'ETAT SECTeur de bukanda</t>
  </si>
  <si>
    <t>DONAT KIBULA</t>
  </si>
  <si>
    <t>300tena233613</t>
  </si>
  <si>
    <t>ACQUISITION DES MOBILIERS R, C/Se</t>
  </si>
  <si>
    <t>SECTEUR kikanda</t>
  </si>
  <si>
    <t>ACQUISITION 2 JEEP SECTEUR</t>
  </si>
  <si>
    <t>deux jeep</t>
  </si>
  <si>
    <t>Agrisex</t>
  </si>
  <si>
    <t>300inft233140009</t>
  </si>
  <si>
    <t>300inft233430497</t>
  </si>
  <si>
    <t>FACTURE ORNEMENT POLICE</t>
  </si>
  <si>
    <t>ornement</t>
  </si>
  <si>
    <t>gold traide</t>
  </si>
  <si>
    <t>304inft233240022</t>
  </si>
  <si>
    <t>ACHAT PIECES RECHANGE</t>
  </si>
  <si>
    <t>300inft233420142</t>
  </si>
  <si>
    <t>REHABILITATION PUITS D'EAU</t>
  </si>
  <si>
    <t>joyce</t>
  </si>
  <si>
    <t>REHABILI D'OUVRAGE HYDRAULIQUE</t>
  </si>
  <si>
    <t>REHABILITAT° BUREAU GPT KASONGO</t>
  </si>
  <si>
    <t>REHAB EP MINGONBA &amp; CS KIKOLOMA</t>
  </si>
  <si>
    <t>village kikoloma</t>
  </si>
  <si>
    <t>communauté de kikoloma</t>
  </si>
  <si>
    <t>Rehabilitation  Centre de santé de Reference de TUMBWE</t>
  </si>
  <si>
    <t>village de tumbwe</t>
  </si>
  <si>
    <t>CONSTRUCTION PONT KANSALAMBA</t>
  </si>
  <si>
    <t>villgekasalamba</t>
  </si>
  <si>
    <t>communauté de kasalamba</t>
  </si>
  <si>
    <t>CONS POSTE SANTE SOKOTELA</t>
  </si>
  <si>
    <t>village de sokotela</t>
  </si>
  <si>
    <t>communauté de sokotela</t>
  </si>
  <si>
    <t>TRAVAUX FINISSAGE CS SOKOTELA</t>
  </si>
  <si>
    <t>travaux</t>
  </si>
  <si>
    <t>CONSTRUCTION BLOC TOILETTE</t>
  </si>
  <si>
    <t>personnel de lANR dekikanda</t>
  </si>
  <si>
    <t>CONS  TOILETTE BUREAU ANR</t>
  </si>
  <si>
    <t>devis estimatif//decharges</t>
  </si>
  <si>
    <t>PLAQUES ENSEIGNE</t>
  </si>
  <si>
    <t>construction centre de santé sokotela</t>
  </si>
  <si>
    <t>PRESTATAIRE PAPY</t>
  </si>
  <si>
    <t>devis estimatif/decharges</t>
  </si>
  <si>
    <t>CONS DALE C SANTE SOKOTELA</t>
  </si>
  <si>
    <t>CONSTRUCTION MAISON POLICIER</t>
  </si>
  <si>
    <t>policier de kikanda</t>
  </si>
  <si>
    <t>CONS BLOC LATRINE</t>
  </si>
  <si>
    <t>PRESTATAIRE KYUNGU</t>
  </si>
  <si>
    <t>POSTE DE PERCEPTION</t>
  </si>
  <si>
    <t>village de kalulako</t>
  </si>
  <si>
    <t>communauté de kalulako</t>
  </si>
  <si>
    <t>PRESTATAIRE JERRY</t>
  </si>
  <si>
    <t>CONSTRUCTION DALOTS</t>
  </si>
  <si>
    <t>PRESTATAIRE PRINCE</t>
  </si>
  <si>
    <t>REHABILITATION BUREAU SECTEUR</t>
  </si>
  <si>
    <t>personnel du scteur de bukanda</t>
  </si>
  <si>
    <t>PAYEMENT DETTE acquisition bancs scolaire</t>
  </si>
  <si>
    <t>309inft230950012</t>
  </si>
  <si>
    <t>ACHAT 5 MOTOS SECTEUR</t>
  </si>
  <si>
    <t>300inft231390104</t>
  </si>
  <si>
    <t>ACQUISITION EQUIPET RADIO RCB</t>
  </si>
  <si>
    <t>village de kakana</t>
  </si>
  <si>
    <t>la communauté de kakana</t>
  </si>
  <si>
    <t>acquisition</t>
  </si>
  <si>
    <t>SECTEUR de bukanda</t>
  </si>
  <si>
    <t>ACQUISITION EQUIP INFORMATIQUE</t>
  </si>
  <si>
    <t>le personnel du bureau a kikanda</t>
  </si>
  <si>
    <t>bon de sortie</t>
  </si>
  <si>
    <t>ACQUISITION EQUIP TELEPHONIQUE</t>
  </si>
  <si>
    <t>ACQUISITION EQUIP ELECTRIQUE</t>
  </si>
  <si>
    <t>ACQUISITION EQUIP EDUCATIFS</t>
  </si>
  <si>
    <t>ACQUISITION  TERRAINS (EGL METH)</t>
  </si>
  <si>
    <t>ACQUISITION 2 TERRAINS</t>
  </si>
  <si>
    <t>ACQUISITION DES TERRAINS</t>
  </si>
  <si>
    <t>bon de sortie /decharges</t>
  </si>
  <si>
    <t>ACQUISITION EQUIPEMENT SPORTIFS</t>
  </si>
  <si>
    <t>transfert aux services deconcentrées</t>
  </si>
  <si>
    <t>ville de lubumbashi</t>
  </si>
  <si>
    <t>division des mines 5%</t>
  </si>
  <si>
    <t>transfert</t>
  </si>
  <si>
    <t>decret loi</t>
  </si>
  <si>
    <t>commune annexe</t>
  </si>
  <si>
    <t>entité commune annexe 15% retrocession</t>
  </si>
  <si>
    <t>village kaponda</t>
  </si>
  <si>
    <t>entité chefferie kaponda 15% retrocession</t>
  </si>
  <si>
    <t>chefferie kaponda</t>
  </si>
  <si>
    <t>FONCTIONNEMENT</t>
  </si>
  <si>
    <t>SOLDE</t>
  </si>
  <si>
    <t>Total SECTEUR DE BUKANDA</t>
  </si>
  <si>
    <t>Annexe 59 : Déclaration des affectations de la redevance miniére par les ETD pour l'annee 2023</t>
  </si>
  <si>
    <t>Non renseigné</t>
  </si>
  <si>
    <t>Total FONTIER SA</t>
  </si>
  <si>
    <t>L’entreprise a-t-elle fourni sa déclaration relative au Bénéficiare effectif? (Oui / Non)</t>
  </si>
  <si>
    <t>N/A : société détenue par La société Katanga Mining Finance Ltd, qui détient 75 % du capital de KCC, appartient au groupe Glencore International AG, une société cotée en bourse.</t>
  </si>
  <si>
    <t>N/A : La scoiété TF Holding qui détient 80% du TFM , appartient à CMOC Ltd , une société cotée à la Bourse de Hong Kong (HK3993) et à la Bourse de Shanghai (SH603993).</t>
  </si>
  <si>
    <t>Non : information incomplète (la société a repris les mêmes données de structure du capital).</t>
  </si>
  <si>
    <t>N/A : La société a déclaré qu’elle est contrôlée par Barrick Gold et AngloGold, détenant chacun 45 % du capital, ces deux sociétés étant cotées en bourse.</t>
  </si>
  <si>
    <t xml:space="preserve">N/A : Entreprise Publique </t>
  </si>
  <si>
    <t>N/A : la société est contrôlée par group glencore (côté en bourse)</t>
  </si>
  <si>
    <t>N/A: La société a déclaré qu’elle est contrôlée par ALPHAMIN RESOURCES LTD détenant  84 % du capital, cette société est côté en bourse.</t>
  </si>
  <si>
    <t>N/A : La société a confirmé qu’elle est cotée en bourse ou appartient à une filiale cotée, sans fournir de détails.</t>
  </si>
  <si>
    <t>N/A:La société Kisanfu Holdings Ltd qui détient  94,44 % du CMOC, appartient à China Molybdenum Co.Ltd. (PRC) une société côté en bourse</t>
  </si>
  <si>
    <t xml:space="preserve">N/A : EP </t>
  </si>
  <si>
    <t>N/A : Côté en bourse ou filiale à 100% d'une société côté en bourse</t>
  </si>
  <si>
    <t>L’entreprise a-t-elle fourni sa déclaration relative au Bénéficiare effectif? (Oui / Non )</t>
  </si>
  <si>
    <t>N/A / : c'est une Entreprise publique</t>
  </si>
  <si>
    <t>N/A : société filiale de deux groupes public chinois :
* CHINA RAILWAY China Railway Group Limited (41,72%).
* POWER CHINA Resources Limited (25,28%).</t>
  </si>
  <si>
    <t>N/A : société filiale d’un groupe public chinois :
* CHINA RAILWAY China Railway Group Limited (72%)</t>
  </si>
  <si>
    <t>Payes de résidence</t>
  </si>
  <si>
    <t xml:space="preserve"> 14-B0500-N20448J</t>
  </si>
  <si>
    <t>PE3011800</t>
  </si>
  <si>
    <t>CHINOIS</t>
  </si>
  <si>
    <t>RDCONGO</t>
  </si>
  <si>
    <t>R.D. CONGO</t>
  </si>
  <si>
    <t>05-B0500-N57128B</t>
  </si>
  <si>
    <t>EC1013925</t>
  </si>
  <si>
    <t>EJ2688776</t>
  </si>
  <si>
    <t>chine</t>
  </si>
  <si>
    <t>MOZAMBIQUE</t>
  </si>
  <si>
    <t>N/A : la société est controlée par POWER CHINA Resources Limited (80,2%) côté en bourse</t>
  </si>
  <si>
    <t>NEHEMA COPPER Sarlu</t>
  </si>
  <si>
    <t>Pénalités et Amendes Transactionnelles pour la DGDA</t>
  </si>
  <si>
    <t>Autres flux perçus</t>
  </si>
  <si>
    <t>Frais d'Analyses</t>
  </si>
  <si>
    <t>Pénalités versées à la DGRAD</t>
  </si>
  <si>
    <t>Pénalités versées Trésor</t>
  </si>
  <si>
    <t xml:space="preserve"> Total général </t>
  </si>
  <si>
    <t>Total MACROLINK JIAYUAN MINING (MJM)</t>
  </si>
  <si>
    <t>Total IVANHOE MINES RDC SARL (EX. SOCIETE IVAN PLATS SERVICES DRC)</t>
  </si>
  <si>
    <t>Total SOCIETE MINIERE DE KASONTA SARL</t>
  </si>
  <si>
    <t>Total SOCIETE UNITED COMINIERE SAS</t>
  </si>
  <si>
    <t>Total TANGANYIKA MINING COMPANY</t>
  </si>
  <si>
    <t>Total YA FEI MINING SPRL</t>
  </si>
  <si>
    <t>Total STE LAMILU SPRL</t>
  </si>
  <si>
    <t>Total MURUMBI MINERALS SPRL</t>
  </si>
  <si>
    <t>Total SOCIETE COPROCO GROUP SARL</t>
  </si>
  <si>
    <t>Total MINOCOM MINING SAS</t>
  </si>
  <si>
    <t>Total SASE MINING SPRL</t>
  </si>
  <si>
    <t>Total SOCIETE SURYA MINES SARL</t>
  </si>
  <si>
    <t>Total TSHISANGAMA SIMEON MINING</t>
  </si>
  <si>
    <t>Total STAR METALS COMPANY SARL</t>
  </si>
  <si>
    <t>Total NOVCORP SARLU</t>
  </si>
  <si>
    <t>Total SOCIETE LUALABA MINING RESOURCES SAS</t>
  </si>
  <si>
    <t>Total DATHCOM MINING SAS</t>
  </si>
  <si>
    <t>Total BENDERA MINING COMPANY SARL</t>
  </si>
  <si>
    <t>Total SOCIETE D EXPLOITATION MINIERE DE MUSOSHI SA</t>
  </si>
  <si>
    <t>Total COOPERATIVE MINIERE DE DEVELOPPEMENT COMMUNAUTAIRE</t>
  </si>
  <si>
    <t>Total KABE SARL</t>
  </si>
  <si>
    <t>Total KIVU MINERAL RESOURCES SARLU</t>
  </si>
  <si>
    <t>Total SOCIETE D EXPLOITATION DE SHAMITUMBA SAS</t>
  </si>
  <si>
    <t>Total KIPUSHI CORPORATION SA (KICO)</t>
  </si>
  <si>
    <t>Total KAMPEMBA CORPORATION Sas</t>
  </si>
  <si>
    <t>Total WILLEM MINERALS COMPANY "WMC"</t>
  </si>
  <si>
    <t>Total COOPERATIVE DES ARTISANAUX MINIERS DU CONGO (CDMC)</t>
  </si>
  <si>
    <t>Total BORA MINERALS SARL</t>
  </si>
  <si>
    <t>Total BUKWASHI MINING COMPANY SARL</t>
  </si>
  <si>
    <t>Total DIESEL MINING &amp; CONSULTANT SARL</t>
  </si>
  <si>
    <t>Total YASH TRADING Sarl</t>
  </si>
  <si>
    <t>Total ADVANCE INDUSTRY CONGO SARL</t>
  </si>
  <si>
    <t>Attestation de dépôt des Efs</t>
  </si>
  <si>
    <t>Annexe 5 - Légende de définition des différents statuts de titres qui figurent dans le registre des droits miniers</t>
  </si>
  <si>
    <t>Annexe 15 - Liste des PR transformés en PE en 2023</t>
  </si>
  <si>
    <t>N/A : société filiale d’un groupe public étranger</t>
  </si>
  <si>
    <t>Non déclaré : la société a repris les mêmes données de structure du capital</t>
  </si>
  <si>
    <t>Description du projet associé</t>
  </si>
  <si>
    <t xml:space="preserve">Lien non fonctionnel </t>
  </si>
  <si>
    <t>Total Recettes déclarées par l'Etat 2023 USD</t>
  </si>
  <si>
    <t>FD / EFs 2023 certifiés par auditeur</t>
  </si>
  <si>
    <t>SECTEUR DE MANGBUTU</t>
  </si>
  <si>
    <t>Dépenses de fonctionnement</t>
  </si>
  <si>
    <t>Agents de la Commune</t>
  </si>
  <si>
    <t>Liste déclarative de paie</t>
  </si>
  <si>
    <t>Instruction</t>
  </si>
  <si>
    <t>Transfert</t>
  </si>
  <si>
    <t>**</t>
  </si>
  <si>
    <t>Commissions bancaires</t>
  </si>
  <si>
    <t>Construction de lignes électriques</t>
  </si>
  <si>
    <t>Morgue Hakika</t>
  </si>
  <si>
    <t>Population de la Commune</t>
  </si>
  <si>
    <t>Raccordement des lignes électriques</t>
  </si>
  <si>
    <t>Entretien d'ouvrages hydrauliques</t>
  </si>
  <si>
    <t>LT Hodari</t>
  </si>
  <si>
    <t>Elèves du lycée</t>
  </si>
  <si>
    <t>Réparation de la fontaine</t>
  </si>
  <si>
    <t>Intervention pour catastrophe naturelle</t>
  </si>
  <si>
    <t>Quartier Kalaukluku</t>
  </si>
  <si>
    <t>Familles victimes des inondations</t>
  </si>
  <si>
    <t>Eboulement dans la carriere de l'entreprise Ruashi Mining</t>
  </si>
  <si>
    <t>Construction de caniveaux</t>
  </si>
  <si>
    <t>Quartier Congo</t>
  </si>
  <si>
    <t>Construction d'un caniveau sur l'Avenue Dilolo</t>
  </si>
  <si>
    <t>Materiels de construction</t>
  </si>
  <si>
    <t>Population du quartier</t>
  </si>
  <si>
    <t>Réparation de la fontaine du quartier</t>
  </si>
  <si>
    <t>Construction d'un pont</t>
  </si>
  <si>
    <t>Population du quartier kanamba</t>
  </si>
  <si>
    <t>Batiment administratif</t>
  </si>
  <si>
    <t>N°421/08/2023</t>
  </si>
  <si>
    <t>N°42 22 de sept 2023</t>
  </si>
  <si>
    <t>Construction d'ouvrages hydrauliques</t>
  </si>
  <si>
    <t>Construction de 15 bornes fontaines dans 15 quartiers de la Commune</t>
  </si>
  <si>
    <t>Implantation de lampadaires dans les quartiers sur l'Avenue Kundelungu, Colonel Tshatshi, Mwanke, Du Solvey</t>
  </si>
  <si>
    <t>Total COMMUNE DE RUASHI</t>
  </si>
  <si>
    <t>COMMUNE LUBUMBASHI</t>
  </si>
  <si>
    <t xml:space="preserve">Réhabilitation Bureaux Bourgmestre &amp; Bourgmestre Adjoint et Protocole  </t>
  </si>
  <si>
    <t>Bureau Communal</t>
  </si>
  <si>
    <t>Administration Commune</t>
  </si>
  <si>
    <t>Modification circuit électrique, plomberie, menuiserie en Bois et peinture de trois Bureaux</t>
  </si>
  <si>
    <t xml:space="preserve">Ilmut  Services </t>
  </si>
  <si>
    <t>Facture Ilmut Services N°076/02/2023</t>
  </si>
  <si>
    <t>Bon de paiement du 03/02/2024</t>
  </si>
  <si>
    <t>Réhabilité</t>
  </si>
  <si>
    <t>Acquisition équipements de Bureaux du Bourgmestre et Bourgmestre Adjoint</t>
  </si>
  <si>
    <t xml:space="preserve">Bureau Communale </t>
  </si>
  <si>
    <t xml:space="preserve">Administration Commune </t>
  </si>
  <si>
    <t xml:space="preserve">Climatisation + Accessoires, 5 chaises visiteurs 1 rideau,2 frigos, 2 tables salon, 2 porte-manteaux, 2 pendules, 2 chaises bureaux, 2 TV Samsung, 2 armoires et 2 stabilisateurs </t>
  </si>
  <si>
    <t>Ilmut Services ETS MA2 UAC SARL</t>
  </si>
  <si>
    <t>Facture N°075/02/2023 Ilmut Services. Facture N°FRLB2104231 du 01/02/2023 ETS MAZ Factures  UAC N°2023/001570 du 01/02/2023, N°2023/001658, N°2023/001653 du 03/02/2023. Facture ETS LA PROMESSE N°609 du 03/02/2023, Facture ETS SAM N°1635 du 03/02/2023. Facture N° du 01/02/2023 et Facture N° du 03/02/2023 Sté SHAZIA SARL</t>
  </si>
  <si>
    <t>Bon de paiement du 04/02/2023</t>
  </si>
  <si>
    <t>En Usage</t>
  </si>
  <si>
    <t>Equipement Canai +</t>
  </si>
  <si>
    <t xml:space="preserve">Autorités, Agents et Visiteurs de la Commune Lubumbashi </t>
  </si>
  <si>
    <t xml:space="preserve">Equipement bureau </t>
  </si>
  <si>
    <t>Canal +</t>
  </si>
  <si>
    <t>Facture d’installation CANAL+ N° du 09/02/2023 et N° du 21/03/2023, Facture d’abonnement ACCES N° du 18/03/2023 Contrat d’abonnement du 09/02/2023</t>
  </si>
  <si>
    <t>CONTRAT D’ABONNEMENT du 09/02/2023</t>
  </si>
  <si>
    <t>Acquisition équipements de Bureau</t>
  </si>
  <si>
    <t>Administration Communale</t>
  </si>
  <si>
    <t>Matériels Informatiques Bureaux</t>
  </si>
  <si>
    <t>ZENITH INFO-RDC</t>
  </si>
  <si>
    <t>Facture N°4390 du 12/05/2023</t>
  </si>
  <si>
    <t>Etat des sommes à payer du 31/03/2023</t>
  </si>
  <si>
    <t>Achat 4 tricycles</t>
  </si>
  <si>
    <t>Commune Lubumbashi</t>
  </si>
  <si>
    <t>Population commune Lubumbashi</t>
  </si>
  <si>
    <t>Assainissement de la commune</t>
  </si>
  <si>
    <t>Maison LEOPARD MONGTAI CONGO INDUSTRIAL SARL</t>
  </si>
  <si>
    <t>Facture Maison LEOPARD du 06/06/2023</t>
  </si>
  <si>
    <t>Bon de paiement du 30/05/2023</t>
  </si>
  <si>
    <t>En utilisation</t>
  </si>
  <si>
    <t xml:space="preserve">Achat équipements informatiques </t>
  </si>
  <si>
    <t>Bureau communal</t>
  </si>
  <si>
    <t>Administration commune</t>
  </si>
  <si>
    <t xml:space="preserve">Equipement bureau commune Lubumbashi </t>
  </si>
  <si>
    <t>ETS AKI SHOP ETS MOBITECH</t>
  </si>
  <si>
    <t>Facture N°0480 du 21/06/2023 ETS Aki shop Facture N°2022 du 21/06/2023 ETS MOBITECH</t>
  </si>
  <si>
    <t>Bon de paiement du 20/2023</t>
  </si>
  <si>
    <t>En usage</t>
  </si>
  <si>
    <t>Acquisition d’une terrain sur Avenue NGOIE GUSTAVE N°18 Q/GAMBELA 3 C/Lubumbashi Redressement</t>
  </si>
  <si>
    <t xml:space="preserve">N°18, AV NGOIE GUSTAVE Q/GAMBELA </t>
  </si>
  <si>
    <t>Population de la commune et du quartier Gambela 3</t>
  </si>
  <si>
    <t>Infrastructure construction centre de santé et bureau zone de santé</t>
  </si>
  <si>
    <t>Madame SALAMA REHEMA et CABINET Mé MASUDI AVOCAT</t>
  </si>
  <si>
    <t>Chèques N°06887741 du 03/10/2023 ; N°06887743 du 03/10/2023 ; N°06887744 du 04/10/2023 ; N°06887745 du 05/10/2023 et N°06887746 du 06/10/2023</t>
  </si>
  <si>
    <t>Acte de reconnaissance du 05/10/2023</t>
  </si>
  <si>
    <t xml:space="preserve">Acquit </t>
  </si>
  <si>
    <t>Acquisition Equipement Informatiques</t>
  </si>
  <si>
    <t xml:space="preserve">Administration commune </t>
  </si>
  <si>
    <t xml:space="preserve">1 Laptop, 1 Webcam, 1 video projecteur 1 Ecran 1 WIFI F25 </t>
  </si>
  <si>
    <t>ETS ULTRACOM</t>
  </si>
  <si>
    <t>Facture N°1237 du 27/10/2023</t>
  </si>
  <si>
    <t>Bon de Paiement du 27/10/2023</t>
  </si>
  <si>
    <t xml:space="preserve">En Usage </t>
  </si>
  <si>
    <t>Achat matériel Informatique</t>
  </si>
  <si>
    <t>1 Unité Centrale, 2 Ordinateurs</t>
  </si>
  <si>
    <t>ETS AKI SHOP</t>
  </si>
  <si>
    <t>Facture N°0364 du 15/12/2023 ETS AKI SHOP</t>
  </si>
  <si>
    <t>Bon de paiement du 15/12/2024</t>
  </si>
  <si>
    <t>Paiement acompte Travaux de Réhabilitation  Routes</t>
  </si>
  <si>
    <t>Q/CRAA, C/LUBUMBASHI</t>
  </si>
  <si>
    <t>Population Q/ CRAA, C/Lubumbashi et ville de Lubumbashi</t>
  </si>
  <si>
    <t>Urbanisation Q/CRAA et de la commune Lubumbashi</t>
  </si>
  <si>
    <t>STRONG GLOBAL BUSINESS</t>
  </si>
  <si>
    <t>OP N°3877599 du 18/12/2023</t>
  </si>
  <si>
    <t xml:space="preserve">OP N°3877599 DU 18/12/2023 </t>
  </si>
  <si>
    <t xml:space="preserve">En Chantier </t>
  </si>
  <si>
    <t xml:space="preserve">Paiement Travaux de réhabilitation Routes </t>
  </si>
  <si>
    <t>Quartier CRAA C/Lubumbashi</t>
  </si>
  <si>
    <t xml:space="preserve">Population Q/CRAA, C/Lubumbashi et ville de Lubumbashi </t>
  </si>
  <si>
    <t>Urbanisation Q/CRAA et de la C/ Lubumbashi</t>
  </si>
  <si>
    <t>STONG GLOBAL BUSINESS</t>
  </si>
  <si>
    <t>OP N°3877602 du 27/12/2023</t>
  </si>
  <si>
    <t>Bon d paiement du 27/12/2023</t>
  </si>
  <si>
    <t>Paiement Achat véhicule CFAO</t>
  </si>
  <si>
    <t>Autorité communal</t>
  </si>
  <si>
    <t>Moyen de transport du Bourgmestre</t>
  </si>
  <si>
    <t>OP N°3877601</t>
  </si>
  <si>
    <t>Bon de paiement du 27/12/2023</t>
  </si>
  <si>
    <t xml:space="preserve">En utilisation </t>
  </si>
  <si>
    <t xml:space="preserve">Acquisition des mobiliers, équipements de bureau et électroménagers bureau </t>
  </si>
  <si>
    <t>Administration communale</t>
  </si>
  <si>
    <t xml:space="preserve">10 tables bureaux, 10 chaises bureaux et 1 armoire métallique </t>
  </si>
  <si>
    <t xml:space="preserve">NICOLAS KABENGELE </t>
  </si>
  <si>
    <t xml:space="preserve">Facture N°78 du 28/12/2023 société SHAZIA Facture N°2276 du 28/12/2023 société PRESTIGE GROUPE CONGO </t>
  </si>
  <si>
    <t>EN Usage</t>
  </si>
  <si>
    <t>Total COMMUNE LUBUMBASHI</t>
  </si>
  <si>
    <t>Aquisition d'un vehicule toyota 
LAND CRUISER</t>
  </si>
  <si>
    <t>ETD KAMPEMBA</t>
  </si>
  <si>
    <t>KAMPEMBA</t>
  </si>
  <si>
    <t>Construction d'une passerelle 
au quartier KIMUTSHI</t>
  </si>
  <si>
    <t>POPULATION</t>
  </si>
  <si>
    <t>Construction d'une passerelle 
au quartier BONGONGA</t>
  </si>
  <si>
    <t>Construction d'un pont 
Quartier CHINE</t>
  </si>
  <si>
    <t>CURAGE DE LA RIVIERE 
NAVIUNDU</t>
  </si>
  <si>
    <t>Total COMMUNE DE KAMPEMBA</t>
  </si>
  <si>
    <t xml:space="preserve">Paiement Quotité 5% Service des mines sur RM </t>
  </si>
  <si>
    <t>DOKO/ Durba</t>
  </si>
  <si>
    <t>Quotité de 5% de la redevance minière pour services drendus</t>
  </si>
  <si>
    <t>CA mines Blaise Mohla</t>
  </si>
  <si>
    <t>Poursuite construction EP/Mondogi à Ngangazo</t>
  </si>
  <si>
    <t>Ngangazo</t>
  </si>
  <si>
    <t>Communauté</t>
  </si>
  <si>
    <t>construction EP/Mondogi</t>
  </si>
  <si>
    <t>CTIS Sarl de Djimi Gani</t>
  </si>
  <si>
    <t xml:space="preserve">Contrat </t>
  </si>
  <si>
    <t>Travaux inachevés</t>
  </si>
  <si>
    <t xml:space="preserve">Poursuite construction PS Bugutali </t>
  </si>
  <si>
    <t>Bugutali</t>
  </si>
  <si>
    <t>construction PS</t>
  </si>
  <si>
    <t>Mari-Minza Business company sarl</t>
  </si>
  <si>
    <t>En cours d'évolution</t>
  </si>
  <si>
    <t>Construction et equipement d'une station Radio à Moku</t>
  </si>
  <si>
    <t>Moku</t>
  </si>
  <si>
    <t>construction et equipement d'une station RAMA</t>
  </si>
  <si>
    <t>ULPC/B.E.C.O/construction sarl</t>
  </si>
  <si>
    <t>Facture equipement et electrification maternité CSR Moku</t>
  </si>
  <si>
    <t>facture equipement et electrification CSR Moku</t>
  </si>
  <si>
    <t>PPC sarl de Mbunza Ebao</t>
  </si>
  <si>
    <t>Achevé</t>
  </si>
  <si>
    <t>Facture avenant et rassemblement materiels et equipement CSR Moku</t>
  </si>
  <si>
    <t>rassemblement materiels et equipement CSR Moku</t>
  </si>
  <si>
    <t>Jacques MARAKA ASIRATE (Recom)</t>
  </si>
  <si>
    <t>Acquisitions 9 Motos: solde facture</t>
  </si>
  <si>
    <t>chefferie</t>
  </si>
  <si>
    <t>acquisitions 9 Motos: solde facture</t>
  </si>
  <si>
    <t>Benjamin ANGONDE MOLORU</t>
  </si>
  <si>
    <t>Exécuté</t>
  </si>
  <si>
    <t>Assistance, paiement, appuis: frais d'etude et academique aux etudiants</t>
  </si>
  <si>
    <t>institutions</t>
  </si>
  <si>
    <t>assistance, paiement et appuis frais d'etude</t>
  </si>
  <si>
    <t>Innocent GBAIKANGA MAGALA</t>
  </si>
  <si>
    <t>Achat equipement supplementaire, pieces entretien vehicul de la chefferie et dotation EP/YABU</t>
  </si>
  <si>
    <t>achat equipement supplementaire et dotation</t>
  </si>
  <si>
    <t>paiement credit frais abonnement cabinet avocal conseil Bakomito</t>
  </si>
  <si>
    <t>cabinet avocal</t>
  </si>
  <si>
    <t>paiement credit frais abonnement cabinet avocal</t>
  </si>
  <si>
    <t>Isaac DEGBA EGBOKO</t>
  </si>
  <si>
    <t>Achat 5 motos: dont 1 haojue pour le village centre moku et 4 senke pour le bureau de la chefferie et outils infor 2 ordinateurs</t>
  </si>
  <si>
    <t>achat 5 motos et outils informatiques</t>
  </si>
  <si>
    <t>Paiement facture creation d'une ferme du gros betail de la chefferie mari-minza au village Osso</t>
  </si>
  <si>
    <t>Osso</t>
  </si>
  <si>
    <t>paiement facture creation d'une ferme au village Osso</t>
  </si>
  <si>
    <t>GVD sarl DG Robert MADRAKELE</t>
  </si>
  <si>
    <t>Achat 10 motos senke: dont bureau chefferie 7, village Andra, Osso et Yayi; + don à l'ITM Watsa</t>
  </si>
  <si>
    <t>achat 10 motos chefferie</t>
  </si>
  <si>
    <t>Frais secret de recherche delegation commission assemnblée provinciale du haut-uélé du 27 mai 2023</t>
  </si>
  <si>
    <t>AP Haut-uélé</t>
  </si>
  <si>
    <t>delegation</t>
  </si>
  <si>
    <t>frais secret de recherche delegation assemblée provinciale</t>
  </si>
  <si>
    <t>Lievin MAGAMA KOMA et Medard LIKI</t>
  </si>
  <si>
    <t>Achat vehicule HILUX SURF pour l'Administration de la chefferie: achat, declaration, document et transport</t>
  </si>
  <si>
    <t>achat vehicule HILUX SURF pour l'Administration de la chefferie</t>
  </si>
  <si>
    <t>Achat vehicule HILUX Land cruser de Chef de chefferie: achat, declaration, document et transport</t>
  </si>
  <si>
    <t>achat vehicule HILUX Land cruser de Chef de chefferie</t>
  </si>
  <si>
    <t>Paiement prét sur frais d'abonnement avocat conseil chefferie</t>
  </si>
  <si>
    <t>avocat</t>
  </si>
  <si>
    <t>paiement prét sur frais d'abonnement avocat conseil chefferie</t>
  </si>
  <si>
    <t>Charles EDEMA BANANGANA</t>
  </si>
  <si>
    <t>Amenagement de 10 sources d'eau potable dans la chefferie Mari-Minza</t>
  </si>
  <si>
    <t>village</t>
  </si>
  <si>
    <t>amenagement de 10 sources d'eau potable dans la chefferie MM</t>
  </si>
  <si>
    <t>MAEMAC sarl de Solange DAKO</t>
  </si>
  <si>
    <t xml:space="preserve">Paiement facture evaluation des infranstructure hydroliques Moku et Ngangazo projet cahier de cherge (Mungu ni mwema) prestation intellectuele avec GVD sarl </t>
  </si>
  <si>
    <t>Moku et Ngangazo</t>
  </si>
  <si>
    <t>paiement facture evaluation des infranstructure hydroliques Moku et Ngangazo</t>
  </si>
  <si>
    <t>Achat pieces de rechanges vehicules et autres materiels et equipements</t>
  </si>
  <si>
    <t>bureau chefferie</t>
  </si>
  <si>
    <t>achat pieces de rechanges vehicules et autres materiels et equipements</t>
  </si>
  <si>
    <t>Frais secret de recherche: equipe de facilitateurs redevance miniere</t>
  </si>
  <si>
    <t>chef Dieudonné</t>
  </si>
  <si>
    <t>frais secret de recherche: equipe de facilitateurs redevance miniere</t>
  </si>
  <si>
    <t>Chef Dieudonné SURUR ELUBWATIMA</t>
  </si>
  <si>
    <t>Frais de fonctionnement 2023</t>
  </si>
  <si>
    <t>frais de fonctionnement 2023</t>
  </si>
  <si>
    <t>Total charge de periode janvier à decembre 2023</t>
  </si>
  <si>
    <t>Frais bancaires 2023</t>
  </si>
  <si>
    <t>Relevé bancaire Rawbank</t>
  </si>
  <si>
    <t>Total CHEFFERIE DE MARIMINZA</t>
  </si>
  <si>
    <t>Traitement de base du personnel permanent</t>
  </si>
  <si>
    <t>Prime et indemnité permanant</t>
  </si>
  <si>
    <t>Prime, gratification et indemnité non permanant</t>
  </si>
  <si>
    <t>Fournitures et petits matériels</t>
  </si>
  <si>
    <t>Produit médicaux, vétérinaire</t>
  </si>
  <si>
    <t>Matériaux de construction et de quincaillerie</t>
  </si>
  <si>
    <t>Pièces de rechange pour matériel roulant</t>
  </si>
  <si>
    <t>Pièce de rechange pour autres équipements</t>
  </si>
  <si>
    <t>Semence agricoles et produits agro alimentaires</t>
  </si>
  <si>
    <t>Fournitures énergétiques</t>
  </si>
  <si>
    <t>Textile et tissus</t>
  </si>
  <si>
    <t>Communication et télécommunication</t>
  </si>
  <si>
    <t>Location satellite</t>
  </si>
  <si>
    <t>Publicité</t>
  </si>
  <si>
    <t>Impression, reliure et conservation</t>
  </si>
  <si>
    <t>Imprimés de valeur</t>
  </si>
  <si>
    <t>Location et affrètement de moyen de transport</t>
  </si>
  <si>
    <t>Frais d'hébergement</t>
  </si>
  <si>
    <t>Location équipement et de matériels</t>
  </si>
  <si>
    <t>Entretien matériels et équipement</t>
  </si>
  <si>
    <t>Entretient d'ouvrage hydroélectriques</t>
  </si>
  <si>
    <t>Réparation des matériels et d'équipement</t>
  </si>
  <si>
    <t>Frais de mission à l'intérieur</t>
  </si>
  <si>
    <t>Frais de mission à l'extérieur</t>
  </si>
  <si>
    <t>Frais de secrets de recherche</t>
  </si>
  <si>
    <t>Prestation intellectuelle</t>
  </si>
  <si>
    <t>Frais bancaire</t>
  </si>
  <si>
    <t>Fonds spécial d'intervention</t>
  </si>
  <si>
    <t>Aides, secours</t>
  </si>
  <si>
    <t>Contribution diverses</t>
  </si>
  <si>
    <t>Frais médicaux et pharmaceutiques</t>
  </si>
  <si>
    <t>Frais funéraires</t>
  </si>
  <si>
    <t>Acquisition des mobiliers d'équipement de bureau</t>
  </si>
  <si>
    <t>Acquisition d'équipements informatiques</t>
  </si>
  <si>
    <t>Acquisition d'équipements médicaux chirurgicaux</t>
  </si>
  <si>
    <t>Acquisition d'équipements éducatifs, culturels et sportifs</t>
  </si>
  <si>
    <t>Acquisition agro-sylvano pastoraux</t>
  </si>
  <si>
    <t>Acquisition d'équipements industriel et électrique</t>
  </si>
  <si>
    <t>Acquisition d'équipement de transport</t>
  </si>
  <si>
    <t>Construction d'édifices et des bâtiments</t>
  </si>
  <si>
    <t>Construction d'ouvrage hydraulique</t>
  </si>
  <si>
    <t>Construction des routes, ponts, pistes</t>
  </si>
  <si>
    <t>Réhabilitation et réfection des édifices</t>
  </si>
  <si>
    <t>Réhabilitation et réfection ouvrage hydraulique</t>
  </si>
  <si>
    <t>Réhabilitation et réfection des routes</t>
  </si>
  <si>
    <t>Total CHEFFERIE DE KAPONDA</t>
  </si>
  <si>
    <t>CHEFFERIE DE KIONA-NGOIE</t>
  </si>
  <si>
    <t>Contribution 5% Division des Mines</t>
  </si>
  <si>
    <t>Frais bancaires</t>
  </si>
  <si>
    <t>Banque</t>
  </si>
  <si>
    <t>Construction du pont Kavubwe</t>
  </si>
  <si>
    <t>Kavubwe</t>
  </si>
  <si>
    <t>Total CHEFFERIE DE KIONA-NGOIE</t>
  </si>
  <si>
    <t>Annexe 59.1 : Déclaration des affectations de la redevance miniére par les ETD Principales pour l'annee 2023</t>
  </si>
  <si>
    <t>Dibungi</t>
  </si>
  <si>
    <t>Secteur</t>
  </si>
  <si>
    <t>Construction Edifice et Bâtiments</t>
  </si>
  <si>
    <t>Acquisition Equipement éducatif (pupitres)</t>
  </si>
  <si>
    <t>Acquisition bancs, pupitres, tables et chaises</t>
  </si>
  <si>
    <t>Acquisition équipent éducatif (pupitres)</t>
  </si>
  <si>
    <t>Paiement frais Avocat</t>
  </si>
  <si>
    <t>Primes et indemnité non permanente</t>
  </si>
  <si>
    <t>Paiement de la supervision des travaux de construction Ecole à Bakwa Mbuyi</t>
  </si>
  <si>
    <t>Paiement de la supervision des travaux de construction Guest house</t>
  </si>
  <si>
    <t>Arriéré sur les dépenses du personnel</t>
  </si>
  <si>
    <t>Total SECTEUR DE KAKANGAYI</t>
  </si>
  <si>
    <t>commune de miabi</t>
  </si>
  <si>
    <t>Construction d'une salle polyvalente en cours</t>
  </si>
  <si>
    <t>ETS etoile SARL</t>
  </si>
  <si>
    <t>OP n°05268289 FT1+FT2</t>
  </si>
  <si>
    <t>Travaux de carrelage de la salle polyvalente de MIABI</t>
  </si>
  <si>
    <t xml:space="preserve">En cours </t>
  </si>
  <si>
    <t>Total COMMUNE DE MIABI</t>
  </si>
  <si>
    <t xml:space="preserve">Construction d'une salle </t>
  </si>
  <si>
    <t>ETS etoile construction SARL</t>
  </si>
  <si>
    <t>Total SECTEUR DE MPEMBA</t>
  </si>
  <si>
    <t>Annexe 59.2 : Déclaration des affectations de la redevance miniére par les ETD secondaires pour l'annee 2023</t>
  </si>
  <si>
    <t>Acquisition de 12 véhiculesde service (2 jeeps de commandement et 10 pick-up 12/06/2023 pour la Mairie</t>
  </si>
  <si>
    <t>Mairie de kolwezi</t>
  </si>
  <si>
    <t>cadres et agents de la mairie</t>
  </si>
  <si>
    <t>Groupe MIKAS</t>
  </si>
  <si>
    <t>N'001/VK/BM/CGPMP/2023</t>
  </si>
  <si>
    <t xml:space="preserve">Parachèvement de travaux 
construction du tribunal de
 paix et du parquet secondaire </t>
  </si>
  <si>
    <t>kolwezi</t>
  </si>
  <si>
    <t>MICO CONGO</t>
  </si>
  <si>
    <t>N°003/VK/BM/2022</t>
  </si>
  <si>
    <t>Réhabilitation en asphalte de
1 Km de route de l'avenue
des cimétières rellant Sapins
 1 à Sapins 2</t>
  </si>
  <si>
    <t>N°004/VK/CGMP/DAO/2023</t>
  </si>
  <si>
    <t xml:space="preserve"> 28/07/2023</t>
  </si>
  <si>
    <t>Réhabilitation dans le ville de Kolwezi (LOT II) 2,691 Km des avenues foyer 1èr.maniema, dikulwe, kliashi, kongolo, kabalo, des rails et wamba aux quartiers kayekeet munuka dans la commune de manika</t>
  </si>
  <si>
    <t>Z-BUSINESS SARLU</t>
  </si>
  <si>
    <t>N°92/MIN/BUDPL/KSIM/08/PLB
A/2023</t>
  </si>
  <si>
    <t>Construction en terre battue
et des drains de l'avenue
maman KAJ long de 670
mètres dans la commune de
 Dilaia</t>
  </si>
  <si>
    <t>MUSKA ENGENERING</t>
  </si>
  <si>
    <t>N°003/VK/BM/CGPMP/2023</t>
  </si>
  <si>
    <t>Réhabilitation réfection et
asphaltage sur l'avenue
chemin public (2) long 3,900
mètres dans la commune de 23 Dilala</t>
  </si>
  <si>
    <t>N°002/VK/CGPMP/2023</t>
  </si>
  <si>
    <t>Total MAIRIE DE KOLWEZI</t>
  </si>
  <si>
    <t>COMINIERE SA</t>
  </si>
  <si>
    <t>Groupe de Statut</t>
  </si>
  <si>
    <t>Avis cadastral et Notification favorables suivis d'un projet d'Arrêté d'octroi transmis au Cabinet du Ministre des Mines National ou Provincial</t>
  </si>
  <si>
    <t>Inscription de l'Arrêté portant Octroi du PR/ARPC
Inscription à la suite de la décision d'Inscription d'office
Inscription à la suite du Jugement
Dossier en attente de notification pour déterminer la validité du droit.</t>
  </si>
  <si>
    <t>Avis cadastral et Notification défavorables suivi d'un projet d'Arrêté de Refus d'octroi transmis au Cabinet du Ministre</t>
  </si>
  <si>
    <t>Inscription de l'Arrêté portant Octroi du PE
Inscription à la suite de la décision d'Inscription d'office
Inscription à la suite du Jugement
Dossier en attente de notification pour déterminer la validité du droit.</t>
  </si>
  <si>
    <t>Inscription de l'Arrêté portant Octroi
Inscription à la suite de la décision d'Inscription d'office
Inscription à la suite du Jugement
Dossier en attente de notification pour déterminer la validité du droit.</t>
  </si>
  <si>
    <t>Inscription de l'Arrêté portant Octroi du PEPM
Inscription à la suite de la décision d'Inscription d'office
Inscription à la suite du Jugement
Dossier en attente de notification pour déterminer la validité du droit.</t>
  </si>
  <si>
    <t>Nouveaux droits issus de la Transformation en multiple permis</t>
  </si>
  <si>
    <t>Droit valide en cours de Cession totale</t>
  </si>
  <si>
    <t>Annexe 8 - Liste des Titres miniers dont la date d'octroi et la date d'expiration sont vides</t>
  </si>
  <si>
    <t>Annexe 48 : La liste des sociétés ayant constitué la sûreté financière au cours de l'année 2023 selon les données mises à la disposition par la DPEM</t>
  </si>
  <si>
    <t>COMPAGNIE MINIERE DE LUISHA SAS</t>
  </si>
  <si>
    <t>CONGO ASTRAL COMPANY "CAC"</t>
  </si>
  <si>
    <t>ENTREPRISE ALL BUSINESS AFRICA SARL</t>
  </si>
  <si>
    <t>ENTREPRISE EDIM</t>
  </si>
  <si>
    <t>ENTREPRISE EMT</t>
  </si>
  <si>
    <t>ENTREPRISE ILUNGA BUDIMBO BAUDOUIN</t>
  </si>
  <si>
    <r>
      <t xml:space="preserve">BIAVULA </t>
    </r>
    <r>
      <rPr>
        <b/>
        <sz val="8"/>
        <color rgb="FF0C0C0C"/>
        <rFont val="Arial"/>
        <family val="2"/>
      </rPr>
      <t>service</t>
    </r>
  </si>
  <si>
    <r>
      <t xml:space="preserve">ENTREPRISE </t>
    </r>
    <r>
      <rPr>
        <b/>
        <sz val="8"/>
        <color rgb="FF0C0C0C"/>
        <rFont val="Arial"/>
        <family val="2"/>
      </rPr>
      <t>ANELIA</t>
    </r>
  </si>
  <si>
    <r>
      <t xml:space="preserve">ENTREPRISE </t>
    </r>
    <r>
      <rPr>
        <b/>
        <sz val="8"/>
        <color rgb="FF0C0C0C"/>
        <rFont val="Arial"/>
        <family val="2"/>
      </rPr>
      <t>AUGUSTIN KABANG</t>
    </r>
  </si>
  <si>
    <r>
      <t xml:space="preserve">ENTREPRISE </t>
    </r>
    <r>
      <rPr>
        <b/>
        <sz val="8"/>
        <color rgb="FF0C0C0C"/>
        <rFont val="Arial"/>
        <family val="2"/>
      </rPr>
      <t>GENERALE TUMBA MABILU</t>
    </r>
  </si>
  <si>
    <r>
      <t xml:space="preserve">ENTREPRISE </t>
    </r>
    <r>
      <rPr>
        <b/>
        <sz val="8"/>
        <color rgb="FF0C0C0C"/>
        <rFont val="Arial"/>
        <family val="2"/>
      </rPr>
      <t>KABI</t>
    </r>
  </si>
  <si>
    <r>
      <t xml:space="preserve">ENTREPRISE </t>
    </r>
    <r>
      <rPr>
        <b/>
        <sz val="8"/>
        <color rgb="FF0C0C0C"/>
        <rFont val="Arial"/>
        <family val="2"/>
      </rPr>
      <t>KAYEMBE MUJIKE</t>
    </r>
  </si>
  <si>
    <r>
      <t xml:space="preserve">ENTREPRISE </t>
    </r>
    <r>
      <rPr>
        <b/>
        <sz val="8"/>
        <color rgb="FF0C0C0C"/>
        <rFont val="Arial"/>
        <family val="2"/>
      </rPr>
      <t>KNC</t>
    </r>
  </si>
  <si>
    <t>ENTREPRISE LOMB	KA WIKA</t>
  </si>
  <si>
    <t xml:space="preserve">	ENTREPRISE TASHI NZINGA MASAKU</t>
  </si>
  <si>
    <t>ERBEC</t>
  </si>
  <si>
    <t>EREF</t>
  </si>
  <si>
    <t>ETS AUGUSTIN KABANG</t>
  </si>
  <si>
    <t xml:space="preserve">ETS MUTOMBO MUJIKE MWANANSHIYE </t>
  </si>
  <si>
    <t>ETABLISSEMENT EVYKAM</t>
  </si>
  <si>
    <t>ETS TSHALUKAMBO</t>
  </si>
  <si>
    <t>GENERCO</t>
  </si>
  <si>
    <t>GLOBAL SUPPLY</t>
  </si>
  <si>
    <t>HUACHIN SA METAL LEACH</t>
  </si>
  <si>
    <t>INTERNATIONAL SYSTEMS SARL</t>
  </si>
  <si>
    <r>
      <t xml:space="preserve">WAKE </t>
    </r>
    <r>
      <rPr>
        <b/>
        <sz val="8"/>
        <color rgb="FF131313"/>
        <rFont val="Arial"/>
        <family val="2"/>
      </rPr>
      <t>SERVICES SPRL</t>
    </r>
  </si>
  <si>
    <r>
      <rPr>
        <b/>
        <sz val="8"/>
        <color rgb="FF282828"/>
        <rFont val="Arial"/>
        <family val="2"/>
      </rPr>
      <t xml:space="preserve">KALIMBA </t>
    </r>
    <r>
      <rPr>
        <b/>
        <sz val="8"/>
        <color rgb="FF131313"/>
        <rFont val="Arial"/>
        <family val="2"/>
      </rPr>
      <t>SERV</t>
    </r>
    <r>
      <rPr>
        <b/>
        <sz val="8"/>
        <color rgb="FF3D3D3D"/>
        <rFont val="Arial"/>
        <family val="2"/>
      </rPr>
      <t>ICE</t>
    </r>
    <r>
      <rPr>
        <b/>
        <sz val="8"/>
        <color rgb="FF131313"/>
        <rFont val="Arial"/>
        <family val="2"/>
      </rPr>
      <t>S</t>
    </r>
  </si>
  <si>
    <t>KIBWE KILUFYA</t>
  </si>
  <si>
    <r>
      <rPr>
        <b/>
        <sz val="8"/>
        <color rgb="FF282828"/>
        <rFont val="Arial"/>
        <family val="2"/>
      </rPr>
      <t xml:space="preserve">KINGDOM </t>
    </r>
    <r>
      <rPr>
        <b/>
        <sz val="8"/>
        <color rgb="FF131313"/>
        <rFont val="Arial"/>
        <family val="2"/>
      </rPr>
      <t>PROTECTION &amp; SECURITY</t>
    </r>
  </si>
  <si>
    <r>
      <rPr>
        <b/>
        <sz val="8"/>
        <color rgb="FF282828"/>
        <rFont val="Arial"/>
        <family val="2"/>
      </rPr>
      <t xml:space="preserve">KWETU </t>
    </r>
    <r>
      <rPr>
        <b/>
        <sz val="8"/>
        <color rgb="FF131313"/>
        <rFont val="Arial"/>
        <family val="2"/>
      </rPr>
      <t>BUSINESS</t>
    </r>
  </si>
  <si>
    <r>
      <rPr>
        <b/>
        <sz val="8"/>
        <color rgb="FF282828"/>
        <rFont val="Arial"/>
        <family val="2"/>
      </rPr>
      <t xml:space="preserve">MAISON </t>
    </r>
    <r>
      <rPr>
        <b/>
        <sz val="8"/>
        <color rgb="FF131313"/>
        <rFont val="Arial"/>
        <family val="2"/>
      </rPr>
      <t>SALEH SHABA</t>
    </r>
  </si>
  <si>
    <t>SEKAM CONGO COMPANY</t>
  </si>
  <si>
    <r>
      <rPr>
        <b/>
        <sz val="8"/>
        <color rgb="FF131313"/>
        <rFont val="Arial"/>
        <family val="2"/>
      </rPr>
      <t>SOC</t>
    </r>
    <r>
      <rPr>
        <b/>
        <sz val="8"/>
        <color rgb="FF3D3D3D"/>
        <rFont val="Arial"/>
        <family val="2"/>
      </rPr>
      <t>I</t>
    </r>
    <r>
      <rPr>
        <b/>
        <sz val="8"/>
        <color rgb="FF131313"/>
        <rFont val="Arial"/>
        <family val="2"/>
      </rPr>
      <t>ETE MINIERE DE GRAND LAC</t>
    </r>
  </si>
  <si>
    <r>
      <rPr>
        <b/>
        <sz val="8"/>
        <color rgb="FF131313"/>
        <rFont val="Arial"/>
        <family val="2"/>
      </rPr>
      <t xml:space="preserve">STAR </t>
    </r>
    <r>
      <rPr>
        <b/>
        <sz val="8"/>
        <color rgb="FF282828"/>
        <rFont val="Arial"/>
        <family val="2"/>
      </rPr>
      <t xml:space="preserve">CLEAN </t>
    </r>
    <r>
      <rPr>
        <b/>
        <sz val="8"/>
        <color rgb="FF131313"/>
        <rFont val="Arial"/>
        <family val="2"/>
      </rPr>
      <t>SARL</t>
    </r>
  </si>
  <si>
    <t>ETS BOMEL</t>
  </si>
  <si>
    <t>Catégorie 1 : Sociétés titulaires de Contrats et plusieurs titres</t>
  </si>
  <si>
    <t>Contrats et titre concernés</t>
  </si>
  <si>
    <t>Contrats</t>
  </si>
  <si>
    <t>Titres</t>
  </si>
  <si>
    <t>Recettes (En USD)</t>
  </si>
  <si>
    <t xml:space="preserve">https://datawarehouse.ctcpm.cd/emine/cadre/juridique/contrat/principal/details/6/tc </t>
  </si>
  <si>
    <t>Convention d’actionnaires du 28 sept2005 -Convention minière du 28 sept 2005</t>
  </si>
  <si>
    <t>PE 123</t>
  </si>
  <si>
    <t>PE 159</t>
  </si>
  <si>
    <t>PE 4728</t>
  </si>
  <si>
    <t>PE 4729</t>
  </si>
  <si>
    <t>PE 9707</t>
  </si>
  <si>
    <t>PE 9708</t>
  </si>
  <si>
    <t xml:space="preserve">Mining-Datawarehouse -Contrat miniers-CONVENTION DE JOINT-VENTURE AMENDEE, CONSOLIDEE ET REFORMULEE ENTRE LA GENERALE DES CARRIERES ET DES MINES ET KFL LTD, GLOBAL ENTERPRISES CORPORATE LTD ET EN PRESENCE DE SIMCO ET KCC SARL, KATANGA MINING HOLDING LTD ET KATANGA MINING FINANCE LTD ET DRC COPPER AND COBALT SARL ET KML (BVI) HOLDCO LTD RELATIVE, EN PARTICULIER, A L'EXPLOITATION DES MINES DE KAMOTO, DE MASHAMBA , DE KOV NORD, DE TILWEZEMBE, DE KANANGA ET DE T17 ET A LA LOCATION DES EQUIPEMENTS ET INSTALLATIONS LOUES DONT LE CONCENTRATEUR DE KAMOTO (KTC) ET LES USINES HYDROMETALLURGIQUES ET D'ELECTRO-RAFFINAGE DE LUILU </t>
  </si>
  <si>
    <t>Convention de JV N° 656/6755/SG/GC/2004 du 09 septembre 2004, Convention JVACR n° 1014/19238/SG/GC/2009 du 25 juillet 2009 et avenant n°3 à JVACR du 12 juin 2018</t>
  </si>
  <si>
    <t>PE 525</t>
  </si>
  <si>
    <t>PE 4961</t>
  </si>
  <si>
    <t>PE 11602</t>
  </si>
  <si>
    <t xml:space="preserve">https://datawarehouse.ctcpm.cd/emine/cadre/juridique/contrat/relatif/71/tc </t>
  </si>
  <si>
    <t>Contrat de création N°1230/19230/SG/GC/2011 du 15 avril 2011</t>
  </si>
  <si>
    <t>PE 12092</t>
  </si>
  <si>
    <t>PE 12093</t>
  </si>
  <si>
    <t>Mining-Datawarehouse -Société Minière de Deziwa et Ecaille-Documents rélatifs</t>
  </si>
  <si>
    <t>Convention de JV N° 1612/12033/SG/GC/2016 du 13 juin 2016</t>
  </si>
  <si>
    <t>PE 660</t>
  </si>
  <si>
    <t>PE 8841</t>
  </si>
  <si>
    <t>Mining-Datawarehouse -METALKOL-Contrats miniers</t>
  </si>
  <si>
    <t>Contrat d'association pour l'exploitation des rejets de kinganyambo dans la valéee de MUSONOIE et KOSABANTU</t>
  </si>
  <si>
    <t>PE 652</t>
  </si>
  <si>
    <t>PE 7044</t>
  </si>
  <si>
    <t>Mining-Datawarehouse -COMPAGNIE MINIERE DE KAMBOVE-Contrats miniers</t>
  </si>
  <si>
    <t>Convention de JV N° 951/22805/SG/GC/2008 du 18 septembre 2008</t>
  </si>
  <si>
    <t>PE 11516</t>
  </si>
  <si>
    <t>PE 11517</t>
  </si>
  <si>
    <t>Mining-Datawarehouse -SICOMINES, LA SINO-CONGOLAISE DES MINES SA-Contrats miniers</t>
  </si>
  <si>
    <t>Convention de JV N° 814/11199/SG/GC/2008 du 22 avril 2008</t>
  </si>
  <si>
    <t>Mining-Datawarehouse -MMG Kinsevere (ex Anvil Mining Concentrate Kinsevere) (MMG (ex-AMCK))-Documents rélatifs</t>
  </si>
  <si>
    <t>Contrat d’amodiation avec MMG N° 722/10525/SG/GC/2005 du 08 décembre 2005</t>
  </si>
  <si>
    <t>PE 539</t>
  </si>
  <si>
    <t>Contrat de création N° 718/10520/SG/GC/2005 du 07 avril 2006</t>
  </si>
  <si>
    <t>Contrat de création N° 377/6713/SG/GC/2000  du 09 juin 2000</t>
  </si>
  <si>
    <t>Contrat d'amodiation avec CNMC HM No 1817/7138/sg/gc/2019</t>
  </si>
  <si>
    <t>Contrat d’amodiation avec CHEMAF N° 1170/20712/SG/GC/2010 du 08 septembre 2010, Contrat d’amodiation avec CHEMAF N° 1543/12624/SG/GC/2015  de juin 2015
Plus de 60 permis</t>
  </si>
  <si>
    <t>Plus de 60 PE et PR</t>
  </si>
  <si>
    <t>Contrat d'association sur le PE 101 avec SODIMICO</t>
  </si>
  <si>
    <t>Mining-Datawarehouse -KISANFU MINING SPRL-Documents rélatifs</t>
  </si>
  <si>
    <t>Détentrice des PE,Aucun contrat</t>
  </si>
  <si>
    <t>PE 661</t>
  </si>
  <si>
    <t>Catégorie 2 : Sociétés titulaires de plusieurs titres sans contrats</t>
  </si>
  <si>
    <t>PE 815</t>
  </si>
  <si>
    <t>PE 13155</t>
  </si>
  <si>
    <t>PE 13080</t>
  </si>
  <si>
    <t>PEPM 13258</t>
  </si>
  <si>
    <t>PR 13392</t>
  </si>
  <si>
    <t>PEPM 13813</t>
  </si>
  <si>
    <t>PE 15596</t>
  </si>
  <si>
    <t>PE 15597</t>
  </si>
  <si>
    <t>Catégorie 3 : Sociétés titulaires d'un seul titre</t>
  </si>
  <si>
    <t>KALONGWE MINING SARL</t>
  </si>
  <si>
    <t>NEW MINERAL INVESTMENT</t>
  </si>
  <si>
    <t>SHITURU MINING CORPORATION "SMCO"</t>
  </si>
  <si>
    <t>Entité de Traitement catégorie B</t>
  </si>
  <si>
    <t>Régie</t>
  </si>
  <si>
    <t>Recettes (rapport ITIE)</t>
  </si>
  <si>
    <t>Recettes certifiéés (rapport IGF)</t>
  </si>
  <si>
    <t>Ecart initial</t>
  </si>
  <si>
    <t>Ajustements ITIE</t>
  </si>
  <si>
    <t>Ecart final</t>
  </si>
  <si>
    <t>Écart non significatif.</t>
  </si>
  <si>
    <t>Flux non tranmi à l'IGF pour certification (Recette propore de la régie)</t>
  </si>
  <si>
    <t>Ajustements ITIE non pris en compte dans les recettes transmises à l'IGF pour certification</t>
  </si>
  <si>
    <t>Ajustements ITIE non pris en compte dans les recettes transmises à l'IGF pour certification
Écart résiduel  non significatif.</t>
  </si>
  <si>
    <t>Ok</t>
  </si>
  <si>
    <t>DTE</t>
  </si>
  <si>
    <t>DTI</t>
  </si>
  <si>
    <t>Ecarts non justifiés</t>
  </si>
  <si>
    <t>Annexe 50 - Détails paiements flux "Impôt Spécial sur le profit excédentaire (ISPE)"</t>
  </si>
  <si>
    <t>DOT SOCIETE DE TRAITEMENT DU TERRIL DE LUBUMBASHI SARL</t>
  </si>
  <si>
    <t>DOT LA MINIERE DE KALUMBWE MYUNGA</t>
  </si>
  <si>
    <t>DOT RUBAMIN SARL</t>
  </si>
  <si>
    <t xml:space="preserve">DOT MACROLINK JIAYUAN MINING SPRL </t>
  </si>
  <si>
    <t>DOT Golden Africa Ressources</t>
  </si>
  <si>
    <t>DOT SOCIETE ANHUE D'INVESTISSEMENT MINIER</t>
  </si>
  <si>
    <t>DOT OM METAL RESSOURCES</t>
  </si>
  <si>
    <t>Total TLMC MINING SAU</t>
  </si>
  <si>
    <r>
      <t>Annexe 50 - Détails paiements flux "</t>
    </r>
    <r>
      <rPr>
        <b/>
        <sz val="10.8"/>
        <rFont val="Trebuchet MS"/>
        <family val="2"/>
      </rPr>
      <t>Impôt Spécial sur le profit excédentaire (ISPE)</t>
    </r>
    <r>
      <rPr>
        <b/>
        <sz val="12"/>
        <rFont val="Trebuchet MS"/>
        <family val="2"/>
      </rPr>
      <t>"</t>
    </r>
  </si>
  <si>
    <t>Ecarts significatifs non expliquées</t>
  </si>
  <si>
    <t xml:space="preserve">Annexe 28 - Données de l'APCSC et de l'ACGTrapprochées au titre des décaissements dans les projets d'infrastructures  </t>
  </si>
  <si>
    <t>Haut-Uélé</t>
  </si>
  <si>
    <t>Nord kivu</t>
  </si>
  <si>
    <t>DRP
ETD
DOT</t>
  </si>
  <si>
    <t>Ecart global non significatif</t>
  </si>
  <si>
    <t>Ecart qui se compense (affectation par province)</t>
  </si>
  <si>
    <t>Annexe 62.2 : Rapport de certification de la Cour des Comptes</t>
  </si>
  <si>
    <t>Annexe 62.1 : Rapports de certification de l'IGF</t>
  </si>
  <si>
    <t>Annexe 60-1 : Illustration de la déclaration des recettes par Projet/ secteur minier</t>
  </si>
  <si>
    <t>Nif de l'Entreprise</t>
  </si>
  <si>
    <t>Nom de l'Entreprise</t>
  </si>
  <si>
    <t>Date de paiement</t>
  </si>
  <si>
    <t>N° Note de Taxation</t>
  </si>
  <si>
    <t>Attestation de preuve de paiement</t>
  </si>
  <si>
    <t>Banque perceptrice</t>
  </si>
  <si>
    <t>Montant versé en Cdf</t>
  </si>
  <si>
    <t>Montant versé en Usd</t>
  </si>
  <si>
    <t>N° Titre</t>
  </si>
  <si>
    <t>A0800967A</t>
  </si>
  <si>
    <t>00573</t>
  </si>
  <si>
    <t>01042</t>
  </si>
  <si>
    <t>FbnBank</t>
  </si>
  <si>
    <t>07085</t>
  </si>
  <si>
    <t>01829</t>
  </si>
  <si>
    <t>01710</t>
  </si>
  <si>
    <t>01830</t>
  </si>
  <si>
    <t>01650</t>
  </si>
  <si>
    <t>01831</t>
  </si>
  <si>
    <t>01712</t>
  </si>
  <si>
    <t>01810</t>
  </si>
  <si>
    <t>01733</t>
  </si>
  <si>
    <t>09/06/2023</t>
  </si>
  <si>
    <t>01837</t>
  </si>
  <si>
    <t>01780</t>
  </si>
  <si>
    <t>01838</t>
  </si>
  <si>
    <t>01779</t>
  </si>
  <si>
    <t>01839</t>
  </si>
  <si>
    <t>01778</t>
  </si>
  <si>
    <t>04/08/2023</t>
  </si>
  <si>
    <t>01884</t>
  </si>
  <si>
    <t>01978</t>
  </si>
  <si>
    <t>05/09/2023</t>
  </si>
  <si>
    <t>01911</t>
  </si>
  <si>
    <t>02094</t>
  </si>
  <si>
    <t>ADUMBI MINING S.A</t>
  </si>
  <si>
    <t>00147</t>
  </si>
  <si>
    <t>00903</t>
  </si>
  <si>
    <t>09691</t>
  </si>
  <si>
    <t>00148</t>
  </si>
  <si>
    <t>00935</t>
  </si>
  <si>
    <t>09692</t>
  </si>
  <si>
    <t>A1621091T</t>
  </si>
  <si>
    <t>17/02/2023</t>
  </si>
  <si>
    <t>00117</t>
  </si>
  <si>
    <t/>
  </si>
  <si>
    <t>00138</t>
  </si>
  <si>
    <t>00120</t>
  </si>
  <si>
    <t>09695</t>
  </si>
  <si>
    <t>A1818636 H</t>
  </si>
  <si>
    <t>29/03/2023</t>
  </si>
  <si>
    <t>00574</t>
  </si>
  <si>
    <t>00584</t>
  </si>
  <si>
    <t>16/06/2023</t>
  </si>
  <si>
    <t>00575</t>
  </si>
  <si>
    <t>01817</t>
  </si>
  <si>
    <t>14032</t>
  </si>
  <si>
    <t>00576</t>
  </si>
  <si>
    <t>01818</t>
  </si>
  <si>
    <t>14034</t>
  </si>
  <si>
    <t>01/11/2023</t>
  </si>
  <si>
    <t>01917</t>
  </si>
  <si>
    <t>02301</t>
  </si>
  <si>
    <t>01916</t>
  </si>
  <si>
    <t>02299</t>
  </si>
  <si>
    <t>A1814622P</t>
  </si>
  <si>
    <t>AFRICAN CONGO MINING Sarl</t>
  </si>
  <si>
    <t>01795</t>
  </si>
  <si>
    <t>01588</t>
  </si>
  <si>
    <t>19/01/2023</t>
  </si>
  <si>
    <t>24/10/2023</t>
  </si>
  <si>
    <t>01965</t>
  </si>
  <si>
    <t>02291</t>
  </si>
  <si>
    <t>AGAPAO GLOBAL BUSINESS Sarl</t>
  </si>
  <si>
    <t>28/03/2023</t>
  </si>
  <si>
    <t>00577</t>
  </si>
  <si>
    <t>00525</t>
  </si>
  <si>
    <t>13607</t>
  </si>
  <si>
    <t>00092</t>
  </si>
  <si>
    <t>00523</t>
  </si>
  <si>
    <t>00578</t>
  </si>
  <si>
    <t>00526</t>
  </si>
  <si>
    <t>13709</t>
  </si>
  <si>
    <t>00100</t>
  </si>
  <si>
    <t>00524</t>
  </si>
  <si>
    <t>00579</t>
  </si>
  <si>
    <t>00527</t>
  </si>
  <si>
    <t>AGRO-PASTORALE ET MINIERE DU KIVU Sarl</t>
  </si>
  <si>
    <t>00580</t>
  </si>
  <si>
    <t>01087</t>
  </si>
  <si>
    <t>13700</t>
  </si>
  <si>
    <t>00581</t>
  </si>
  <si>
    <t>01088</t>
  </si>
  <si>
    <t>14229</t>
  </si>
  <si>
    <t>00582</t>
  </si>
  <si>
    <t>01084</t>
  </si>
  <si>
    <t>00583</t>
  </si>
  <si>
    <t>01085</t>
  </si>
  <si>
    <t>00585</t>
  </si>
  <si>
    <t>01082</t>
  </si>
  <si>
    <t>12/05/2023</t>
  </si>
  <si>
    <t>01723</t>
  </si>
  <si>
    <t>01604</t>
  </si>
  <si>
    <t>12/09/2023</t>
  </si>
  <si>
    <t>02130</t>
  </si>
  <si>
    <t>14568</t>
  </si>
  <si>
    <t>A1716759L</t>
  </si>
  <si>
    <t>AIR MARINE AFRICA Sarl</t>
  </si>
  <si>
    <t>00589</t>
  </si>
  <si>
    <t>00609</t>
  </si>
  <si>
    <t>00590</t>
  </si>
  <si>
    <t>00610</t>
  </si>
  <si>
    <t>00586</t>
  </si>
  <si>
    <t>00911</t>
  </si>
  <si>
    <t>00587</t>
  </si>
  <si>
    <t>00914</t>
  </si>
  <si>
    <t>00588</t>
  </si>
  <si>
    <t>00913</t>
  </si>
  <si>
    <t>00591</t>
  </si>
  <si>
    <t>00918</t>
  </si>
  <si>
    <t>18/09/2023</t>
  </si>
  <si>
    <t>01935</t>
  </si>
  <si>
    <t>02146</t>
  </si>
  <si>
    <t>A1217719Z</t>
  </si>
  <si>
    <t>AITEO MINING CONGO LTD Sarl</t>
  </si>
  <si>
    <t>01/06/2023</t>
  </si>
  <si>
    <t>00592</t>
  </si>
  <si>
    <t>01751</t>
  </si>
  <si>
    <t>13309</t>
  </si>
  <si>
    <t>00045</t>
  </si>
  <si>
    <t>01750</t>
  </si>
  <si>
    <t>00593</t>
  </si>
  <si>
    <t>00607</t>
  </si>
  <si>
    <t>00594</t>
  </si>
  <si>
    <t>00606</t>
  </si>
  <si>
    <t>00149</t>
  </si>
  <si>
    <t>00990</t>
  </si>
  <si>
    <t>01704</t>
  </si>
  <si>
    <t>01526</t>
  </si>
  <si>
    <t>01705</t>
  </si>
  <si>
    <t>01580</t>
  </si>
  <si>
    <t>20/10/2023</t>
  </si>
  <si>
    <t>01980</t>
  </si>
  <si>
    <t>02280</t>
  </si>
  <si>
    <t>09/11/2023</t>
  </si>
  <si>
    <t>01987</t>
  </si>
  <si>
    <t>02308</t>
  </si>
  <si>
    <t>02024</t>
  </si>
  <si>
    <t>02361</t>
  </si>
  <si>
    <t>02023</t>
  </si>
  <si>
    <t>02362</t>
  </si>
  <si>
    <t>02022</t>
  </si>
  <si>
    <t>02364</t>
  </si>
  <si>
    <t>02025</t>
  </si>
  <si>
    <t>02363</t>
  </si>
  <si>
    <t>ALOKANI  MINING &amp; INVESTMENTS SARL</t>
  </si>
  <si>
    <t>00597</t>
  </si>
  <si>
    <t>01639</t>
  </si>
  <si>
    <t>00598</t>
  </si>
  <si>
    <t>01641</t>
  </si>
  <si>
    <t>00595</t>
  </si>
  <si>
    <t>01642</t>
  </si>
  <si>
    <t>00596</t>
  </si>
  <si>
    <t>01643</t>
  </si>
  <si>
    <t>01709</t>
  </si>
  <si>
    <t>01644</t>
  </si>
  <si>
    <t>00599</t>
  </si>
  <si>
    <t>05266</t>
  </si>
  <si>
    <t>00600</t>
  </si>
  <si>
    <t>01136</t>
  </si>
  <si>
    <t>05267</t>
  </si>
  <si>
    <t>00601</t>
  </si>
  <si>
    <t>01134</t>
  </si>
  <si>
    <t>10346</t>
  </si>
  <si>
    <t>00150</t>
  </si>
  <si>
    <t>01135</t>
  </si>
  <si>
    <t>A1720662D</t>
  </si>
  <si>
    <t>ALVA RESOURCES Sarl</t>
  </si>
  <si>
    <t>21/08/2023</t>
  </si>
  <si>
    <t>00602</t>
  </si>
  <si>
    <t>02051</t>
  </si>
  <si>
    <t>00603</t>
  </si>
  <si>
    <t>02050</t>
  </si>
  <si>
    <t>00604</t>
  </si>
  <si>
    <t>02049</t>
  </si>
  <si>
    <t>00605</t>
  </si>
  <si>
    <t>02048</t>
  </si>
  <si>
    <t>02046</t>
  </si>
  <si>
    <t>02047</t>
  </si>
  <si>
    <t>AMANI MINERALS KATANGA Sarl</t>
  </si>
  <si>
    <t>00515</t>
  </si>
  <si>
    <t>00322</t>
  </si>
  <si>
    <t xml:space="preserve"> A2159138E</t>
  </si>
  <si>
    <t>AMANI Sarlu</t>
  </si>
  <si>
    <t>00608</t>
  </si>
  <si>
    <t>02043</t>
  </si>
  <si>
    <t>02041</t>
  </si>
  <si>
    <t>02042</t>
  </si>
  <si>
    <t>A1912526M</t>
  </si>
  <si>
    <t>00611</t>
  </si>
  <si>
    <t>00927</t>
  </si>
  <si>
    <t>00612</t>
  </si>
  <si>
    <t>00932</t>
  </si>
  <si>
    <t>00613</t>
  </si>
  <si>
    <t>00929</t>
  </si>
  <si>
    <t>00614</t>
  </si>
  <si>
    <t>00926</t>
  </si>
  <si>
    <t>A1215056E</t>
  </si>
  <si>
    <t>01602</t>
  </si>
  <si>
    <t>00552</t>
  </si>
  <si>
    <t>01613</t>
  </si>
  <si>
    <t>00551</t>
  </si>
  <si>
    <t>A1504660H</t>
  </si>
  <si>
    <t>ANHUA CONSTRUCTION CONGO Sarl</t>
  </si>
  <si>
    <t>00002</t>
  </si>
  <si>
    <t>00630</t>
  </si>
  <si>
    <t>A0906765P</t>
  </si>
  <si>
    <t>00001</t>
  </si>
  <si>
    <t>00629</t>
  </si>
  <si>
    <t>ANHUI CONGO D INVESTISSEMENT MINIER Sprl</t>
  </si>
  <si>
    <t>00152</t>
  </si>
  <si>
    <t>01198</t>
  </si>
  <si>
    <t>10/04/2023</t>
  </si>
  <si>
    <t>00151</t>
  </si>
  <si>
    <t>01201</t>
  </si>
  <si>
    <t>08/08/2023</t>
  </si>
  <si>
    <t>00615</t>
  </si>
  <si>
    <t>01984</t>
  </si>
  <si>
    <t>00616</t>
  </si>
  <si>
    <t>01983</t>
  </si>
  <si>
    <t xml:space="preserve"> A1828400Q</t>
  </si>
  <si>
    <t>00003</t>
  </si>
  <si>
    <t>00738</t>
  </si>
  <si>
    <t>00004</t>
  </si>
  <si>
    <t>00741</t>
  </si>
  <si>
    <t>00005</t>
  </si>
  <si>
    <t>00744</t>
  </si>
  <si>
    <t>00006</t>
  </si>
  <si>
    <t>00746</t>
  </si>
  <si>
    <t>00007</t>
  </si>
  <si>
    <t>00747</t>
  </si>
  <si>
    <t>00008</t>
  </si>
  <si>
    <t>00751</t>
  </si>
  <si>
    <t>00009</t>
  </si>
  <si>
    <t>00749</t>
  </si>
  <si>
    <t>01472</t>
  </si>
  <si>
    <t>00754</t>
  </si>
  <si>
    <t>15096</t>
  </si>
  <si>
    <t>01473</t>
  </si>
  <si>
    <t>00759</t>
  </si>
  <si>
    <t>15097</t>
  </si>
  <si>
    <t>00617</t>
  </si>
  <si>
    <t>00658</t>
  </si>
  <si>
    <t>01959</t>
  </si>
  <si>
    <t>00618</t>
  </si>
  <si>
    <t>00659</t>
  </si>
  <si>
    <t>01960</t>
  </si>
  <si>
    <t>00619</t>
  </si>
  <si>
    <t>00660</t>
  </si>
  <si>
    <t>01961</t>
  </si>
  <si>
    <t>00158</t>
  </si>
  <si>
    <t>00661</t>
  </si>
  <si>
    <t>01962</t>
  </si>
  <si>
    <t>00620</t>
  </si>
  <si>
    <t>00662</t>
  </si>
  <si>
    <t>02133</t>
  </si>
  <si>
    <t>00621</t>
  </si>
  <si>
    <t>00663</t>
  </si>
  <si>
    <t>02136</t>
  </si>
  <si>
    <t>00622</t>
  </si>
  <si>
    <t>00664</t>
  </si>
  <si>
    <t>02150</t>
  </si>
  <si>
    <t>00623</t>
  </si>
  <si>
    <t>00665</t>
  </si>
  <si>
    <t>02151</t>
  </si>
  <si>
    <t>00624</t>
  </si>
  <si>
    <t>00666</t>
  </si>
  <si>
    <t>02152</t>
  </si>
  <si>
    <t>00625</t>
  </si>
  <si>
    <t>00667</t>
  </si>
  <si>
    <t>02154</t>
  </si>
  <si>
    <t>00626</t>
  </si>
  <si>
    <t>00668</t>
  </si>
  <si>
    <t>02156</t>
  </si>
  <si>
    <t>00627</t>
  </si>
  <si>
    <t>00669</t>
  </si>
  <si>
    <t>02215</t>
  </si>
  <si>
    <t>00628</t>
  </si>
  <si>
    <t>00670</t>
  </si>
  <si>
    <t>02216</t>
  </si>
  <si>
    <t>00671</t>
  </si>
  <si>
    <t>02508</t>
  </si>
  <si>
    <t>00672</t>
  </si>
  <si>
    <t>02509</t>
  </si>
  <si>
    <t>00631</t>
  </si>
  <si>
    <t>00673</t>
  </si>
  <si>
    <t>02511</t>
  </si>
  <si>
    <t>00632</t>
  </si>
  <si>
    <t>00674</t>
  </si>
  <si>
    <t>02512</t>
  </si>
  <si>
    <t>00633</t>
  </si>
  <si>
    <t>00675</t>
  </si>
  <si>
    <t>02513</t>
  </si>
  <si>
    <t>00156</t>
  </si>
  <si>
    <t>00657</t>
  </si>
  <si>
    <t>00155</t>
  </si>
  <si>
    <t>00656</t>
  </si>
  <si>
    <t>01589</t>
  </si>
  <si>
    <t>01819</t>
  </si>
  <si>
    <t>03873</t>
  </si>
  <si>
    <t>00635</t>
  </si>
  <si>
    <t>01153</t>
  </si>
  <si>
    <t>14325</t>
  </si>
  <si>
    <t>00636</t>
  </si>
  <si>
    <t>01152</t>
  </si>
  <si>
    <t>14326</t>
  </si>
  <si>
    <t>00637</t>
  </si>
  <si>
    <t>01151</t>
  </si>
  <si>
    <t>14327</t>
  </si>
  <si>
    <t>A1622626M</t>
  </si>
  <si>
    <t>BENDERA MINING COMPANY Sarl</t>
  </si>
  <si>
    <t>01621</t>
  </si>
  <si>
    <t>00067</t>
  </si>
  <si>
    <t>00159</t>
  </si>
  <si>
    <t>01350</t>
  </si>
  <si>
    <t>01790</t>
  </si>
  <si>
    <t>01582</t>
  </si>
  <si>
    <t>01791</t>
  </si>
  <si>
    <t>01581</t>
  </si>
  <si>
    <t>01792</t>
  </si>
  <si>
    <t>01583</t>
  </si>
  <si>
    <t>BIENVIEW MINING Sarl</t>
  </si>
  <si>
    <t>00160</t>
  </si>
  <si>
    <t>00376</t>
  </si>
  <si>
    <t>01729</t>
  </si>
  <si>
    <t>01618</t>
  </si>
  <si>
    <t>A1827087N</t>
  </si>
  <si>
    <t>00638</t>
  </si>
  <si>
    <t>00324</t>
  </si>
  <si>
    <t>14559</t>
  </si>
  <si>
    <t>A1713357N</t>
  </si>
  <si>
    <t>09/08/2023</t>
  </si>
  <si>
    <t>01868</t>
  </si>
  <si>
    <t>01986</t>
  </si>
  <si>
    <t>01867</t>
  </si>
  <si>
    <t>01985</t>
  </si>
  <si>
    <t xml:space="preserve"> A1622167N</t>
  </si>
  <si>
    <t>15/04/2023</t>
  </si>
  <si>
    <t>01684</t>
  </si>
  <si>
    <t>01273</t>
  </si>
  <si>
    <t>00052</t>
  </si>
  <si>
    <t>13370</t>
  </si>
  <si>
    <t>00053</t>
  </si>
  <si>
    <t>13371</t>
  </si>
  <si>
    <t>00054</t>
  </si>
  <si>
    <t>01789</t>
  </si>
  <si>
    <t>13372</t>
  </si>
  <si>
    <t>00055</t>
  </si>
  <si>
    <t>01788</t>
  </si>
  <si>
    <t>13893</t>
  </si>
  <si>
    <t>00646</t>
  </si>
  <si>
    <t>01787</t>
  </si>
  <si>
    <t>12/04/2023</t>
  </si>
  <si>
    <t>00161</t>
  </si>
  <si>
    <t>01250</t>
  </si>
  <si>
    <t>09468</t>
  </si>
  <si>
    <t>00162</t>
  </si>
  <si>
    <t>00307</t>
  </si>
  <si>
    <t>05148</t>
  </si>
  <si>
    <t>A0702402U</t>
  </si>
  <si>
    <t>01533</t>
  </si>
  <si>
    <t>05278</t>
  </si>
  <si>
    <t>BOMPANZE ENGOMBE SARL</t>
  </si>
  <si>
    <t>01695</t>
  </si>
  <si>
    <t>01532</t>
  </si>
  <si>
    <t>00047</t>
  </si>
  <si>
    <t>01531</t>
  </si>
  <si>
    <t>01608</t>
  </si>
  <si>
    <t>18/05/2023</t>
  </si>
  <si>
    <t>00648</t>
  </si>
  <si>
    <t>01622</t>
  </si>
  <si>
    <t>24/08/2023</t>
  </si>
  <si>
    <t>00649</t>
  </si>
  <si>
    <t>02075</t>
  </si>
  <si>
    <t>00163</t>
  </si>
  <si>
    <t>01065</t>
  </si>
  <si>
    <t>00463</t>
  </si>
  <si>
    <t>00164</t>
  </si>
  <si>
    <t>01066</t>
  </si>
  <si>
    <t>00467</t>
  </si>
  <si>
    <t>00165</t>
  </si>
  <si>
    <t>01067</t>
  </si>
  <si>
    <t>00468</t>
  </si>
  <si>
    <t>00166</t>
  </si>
  <si>
    <t>01064</t>
  </si>
  <si>
    <t>00469</t>
  </si>
  <si>
    <t>00167</t>
  </si>
  <si>
    <t>01068</t>
  </si>
  <si>
    <t>02589</t>
  </si>
  <si>
    <t>01821</t>
  </si>
  <si>
    <t>01726</t>
  </si>
  <si>
    <t>01689</t>
  </si>
  <si>
    <t>01727</t>
  </si>
  <si>
    <t>01820</t>
  </si>
  <si>
    <t>01728</t>
  </si>
  <si>
    <t>03/07/2023</t>
  </si>
  <si>
    <t>01835</t>
  </si>
  <si>
    <t>01891</t>
  </si>
  <si>
    <t>A2045086E</t>
  </si>
  <si>
    <t>BRAINSTORM MINING SARL</t>
  </si>
  <si>
    <t>00650</t>
  </si>
  <si>
    <t>00232</t>
  </si>
  <si>
    <t>BRAVURA CONGO Sa</t>
  </si>
  <si>
    <t>00651</t>
  </si>
  <si>
    <t>01745</t>
  </si>
  <si>
    <t>13944</t>
  </si>
  <si>
    <t>00107</t>
  </si>
  <si>
    <t>01749</t>
  </si>
  <si>
    <t>01475</t>
  </si>
  <si>
    <t>01746</t>
  </si>
  <si>
    <t>13945</t>
  </si>
  <si>
    <t>01476</t>
  </si>
  <si>
    <t>01748</t>
  </si>
  <si>
    <t>13946</t>
  </si>
  <si>
    <t>00652</t>
  </si>
  <si>
    <t>01747</t>
  </si>
  <si>
    <t>13993</t>
  </si>
  <si>
    <t>00653</t>
  </si>
  <si>
    <t>01744</t>
  </si>
  <si>
    <t>13998</t>
  </si>
  <si>
    <t>A2035306Z</t>
  </si>
  <si>
    <t>BRIDGE MINING SARL</t>
  </si>
  <si>
    <t>22/08/2023</t>
  </si>
  <si>
    <t>01899</t>
  </si>
  <si>
    <t>02054</t>
  </si>
  <si>
    <t>00168</t>
  </si>
  <si>
    <t>00798</t>
  </si>
  <si>
    <t>14096</t>
  </si>
  <si>
    <t>00655</t>
  </si>
  <si>
    <t>01021</t>
  </si>
  <si>
    <t>14097</t>
  </si>
  <si>
    <t>A1212178B</t>
  </si>
  <si>
    <t>00169</t>
  </si>
  <si>
    <t>01213</t>
  </si>
  <si>
    <t>BTC MINING AND SERVICES Sarl</t>
  </si>
  <si>
    <t>00203</t>
  </si>
  <si>
    <t>A1803245Y</t>
  </si>
  <si>
    <t>00556</t>
  </si>
  <si>
    <t>14519</t>
  </si>
  <si>
    <t>00557</t>
  </si>
  <si>
    <t>14520</t>
  </si>
  <si>
    <t>A1801524S</t>
  </si>
  <si>
    <t>BULABA BUETU BIUMA Sarl</t>
  </si>
  <si>
    <t>00010</t>
  </si>
  <si>
    <t>00995</t>
  </si>
  <si>
    <t>A1906075A</t>
  </si>
  <si>
    <t>BUSINESS KAMANDI MINING Sarl</t>
  </si>
  <si>
    <t>27/03/2023</t>
  </si>
  <si>
    <t>00389</t>
  </si>
  <si>
    <t>00390</t>
  </si>
  <si>
    <t>00392</t>
  </si>
  <si>
    <t>00388</t>
  </si>
  <si>
    <t>00391</t>
  </si>
  <si>
    <t>00387</t>
  </si>
  <si>
    <t>BUTA Sarl</t>
  </si>
  <si>
    <t>00814</t>
  </si>
  <si>
    <t>14387</t>
  </si>
  <si>
    <t>00816</t>
  </si>
  <si>
    <t>14388</t>
  </si>
  <si>
    <t>00819</t>
  </si>
  <si>
    <t>14389</t>
  </si>
  <si>
    <t>00820</t>
  </si>
  <si>
    <t>14390</t>
  </si>
  <si>
    <t>00823</t>
  </si>
  <si>
    <t>14572</t>
  </si>
  <si>
    <t>00824</t>
  </si>
  <si>
    <t>14573</t>
  </si>
  <si>
    <t>00843</t>
  </si>
  <si>
    <t>14574</t>
  </si>
  <si>
    <t>00841</t>
  </si>
  <si>
    <t>14575</t>
  </si>
  <si>
    <t>00840</t>
  </si>
  <si>
    <t>14576</t>
  </si>
  <si>
    <t>00845</t>
  </si>
  <si>
    <t>14577</t>
  </si>
  <si>
    <t>00844</t>
  </si>
  <si>
    <t>14578</t>
  </si>
  <si>
    <t>00676</t>
  </si>
  <si>
    <t>00826</t>
  </si>
  <si>
    <t>14579</t>
  </si>
  <si>
    <t>00677</t>
  </si>
  <si>
    <t>00847</t>
  </si>
  <si>
    <t>14580</t>
  </si>
  <si>
    <t>00678</t>
  </si>
  <si>
    <t>00849</t>
  </si>
  <si>
    <t>14581</t>
  </si>
  <si>
    <t>00679</t>
  </si>
  <si>
    <t>00851</t>
  </si>
  <si>
    <t>14582</t>
  </si>
  <si>
    <t>00680</t>
  </si>
  <si>
    <t>00855</t>
  </si>
  <si>
    <t>14583</t>
  </si>
  <si>
    <t>00681</t>
  </si>
  <si>
    <t>00853</t>
  </si>
  <si>
    <t>14584</t>
  </si>
  <si>
    <t>00682</t>
  </si>
  <si>
    <t>00857</t>
  </si>
  <si>
    <t>14585</t>
  </si>
  <si>
    <t>00683</t>
  </si>
  <si>
    <t>00829</t>
  </si>
  <si>
    <t>14586</t>
  </si>
  <si>
    <t>00684</t>
  </si>
  <si>
    <t>00878</t>
  </si>
  <si>
    <t>14587</t>
  </si>
  <si>
    <t>00685</t>
  </si>
  <si>
    <t>00863</t>
  </si>
  <si>
    <t>14588</t>
  </si>
  <si>
    <t>00686</t>
  </si>
  <si>
    <t>00832</t>
  </si>
  <si>
    <t>14589</t>
  </si>
  <si>
    <t>00687</t>
  </si>
  <si>
    <t>00865</t>
  </si>
  <si>
    <t>14590</t>
  </si>
  <si>
    <t>00688</t>
  </si>
  <si>
    <t>14591</t>
  </si>
  <si>
    <t>00689</t>
  </si>
  <si>
    <t>00835</t>
  </si>
  <si>
    <t>14592</t>
  </si>
  <si>
    <t>00690</t>
  </si>
  <si>
    <t>00877</t>
  </si>
  <si>
    <t>14593</t>
  </si>
  <si>
    <t>00691</t>
  </si>
  <si>
    <t>00867</t>
  </si>
  <si>
    <t>14594</t>
  </si>
  <si>
    <t>00692</t>
  </si>
  <si>
    <t>00868</t>
  </si>
  <si>
    <t>14595</t>
  </si>
  <si>
    <t>00693</t>
  </si>
  <si>
    <t>00869</t>
  </si>
  <si>
    <t>14596</t>
  </si>
  <si>
    <t>00694</t>
  </si>
  <si>
    <t>00838</t>
  </si>
  <si>
    <t>14597</t>
  </si>
  <si>
    <t>00695</t>
  </si>
  <si>
    <t>00875</t>
  </si>
  <si>
    <t>14598</t>
  </si>
  <si>
    <t>00696</t>
  </si>
  <si>
    <t>00871</t>
  </si>
  <si>
    <t>14599</t>
  </si>
  <si>
    <t>00697</t>
  </si>
  <si>
    <t>00872</t>
  </si>
  <si>
    <t>14600</t>
  </si>
  <si>
    <t>A2301874N</t>
  </si>
  <si>
    <t>BVK  INDUSTRIALS SARL</t>
  </si>
  <si>
    <t>01997</t>
  </si>
  <si>
    <t>02374</t>
  </si>
  <si>
    <t>C.N.M.C HUACHIN MABENDE MINING</t>
  </si>
  <si>
    <t>00170</t>
  </si>
  <si>
    <t>00505</t>
  </si>
  <si>
    <t>A0807944U</t>
  </si>
  <si>
    <t>CAILLASSE DU CONGO CDC SPRL</t>
  </si>
  <si>
    <t>13/04/2023</t>
  </si>
  <si>
    <t>00011</t>
  </si>
  <si>
    <t>01267</t>
  </si>
  <si>
    <t>05601</t>
  </si>
  <si>
    <t>A1304478H</t>
  </si>
  <si>
    <t>CARRI CONGO SPRL</t>
  </si>
  <si>
    <t>00012</t>
  </si>
  <si>
    <t>00333</t>
  </si>
  <si>
    <t>11426</t>
  </si>
  <si>
    <t>A0910356S</t>
  </si>
  <si>
    <t>CARRIEKIN</t>
  </si>
  <si>
    <t>00013</t>
  </si>
  <si>
    <t>00323</t>
  </si>
  <si>
    <t>05548</t>
  </si>
  <si>
    <t>A0911813B</t>
  </si>
  <si>
    <t>CARRIERE DE GRES ET DE SABLES Sarl</t>
  </si>
  <si>
    <t>00014</t>
  </si>
  <si>
    <t>01828</t>
  </si>
  <si>
    <t>CARRIERE DE LUALABA SPRL</t>
  </si>
  <si>
    <t>00016</t>
  </si>
  <si>
    <t>11766</t>
  </si>
  <si>
    <t>00015</t>
  </si>
  <si>
    <t>11765</t>
  </si>
  <si>
    <t>11767</t>
  </si>
  <si>
    <t>00017</t>
  </si>
  <si>
    <t>00018</t>
  </si>
  <si>
    <t>11769</t>
  </si>
  <si>
    <t>A1504590G</t>
  </si>
  <si>
    <t>00019</t>
  </si>
  <si>
    <t>00499</t>
  </si>
  <si>
    <t>09662</t>
  </si>
  <si>
    <t>A1623009D</t>
  </si>
  <si>
    <t>CARRIERES REUNIES DU KIVU Sarl</t>
  </si>
  <si>
    <t>00143</t>
  </si>
  <si>
    <t>01467</t>
  </si>
  <si>
    <t>14045</t>
  </si>
  <si>
    <t>00020</t>
  </si>
  <si>
    <t>00794</t>
  </si>
  <si>
    <t>00132</t>
  </si>
  <si>
    <t>A1000223F</t>
  </si>
  <si>
    <t>00516</t>
  </si>
  <si>
    <t>01515</t>
  </si>
  <si>
    <t>07373</t>
  </si>
  <si>
    <t>A2038044A</t>
  </si>
  <si>
    <t>01661</t>
  </si>
  <si>
    <t>11/04/2023</t>
  </si>
  <si>
    <t>00698</t>
  </si>
  <si>
    <t>01241</t>
  </si>
  <si>
    <t>12108</t>
  </si>
  <si>
    <t>00699</t>
  </si>
  <si>
    <t>01242</t>
  </si>
  <si>
    <t>14128</t>
  </si>
  <si>
    <t>00700</t>
  </si>
  <si>
    <t>01244</t>
  </si>
  <si>
    <t>14129</t>
  </si>
  <si>
    <t>00701</t>
  </si>
  <si>
    <t>01245</t>
  </si>
  <si>
    <t>14130</t>
  </si>
  <si>
    <t>00702</t>
  </si>
  <si>
    <t>01247</t>
  </si>
  <si>
    <t>00703</t>
  </si>
  <si>
    <t>01243</t>
  </si>
  <si>
    <t>00704</t>
  </si>
  <si>
    <t>01239</t>
  </si>
  <si>
    <t>00705</t>
  </si>
  <si>
    <t>01236</t>
  </si>
  <si>
    <t>00706</t>
  </si>
  <si>
    <t>01235</t>
  </si>
  <si>
    <t>00707</t>
  </si>
  <si>
    <t>01232</t>
  </si>
  <si>
    <t>00517</t>
  </si>
  <si>
    <t>01240</t>
  </si>
  <si>
    <t>00708</t>
  </si>
  <si>
    <t>01234</t>
  </si>
  <si>
    <t>00709</t>
  </si>
  <si>
    <t>01231</t>
  </si>
  <si>
    <t>01665</t>
  </si>
  <si>
    <t>01647</t>
  </si>
  <si>
    <t>01666</t>
  </si>
  <si>
    <t>01649</t>
  </si>
  <si>
    <t>01667</t>
  </si>
  <si>
    <t>01648</t>
  </si>
  <si>
    <t>A1214818W</t>
  </si>
  <si>
    <t>CHEMAF KATANGA MINING Sprl</t>
  </si>
  <si>
    <t>00710</t>
  </si>
  <si>
    <t>02211</t>
  </si>
  <si>
    <t>02477</t>
  </si>
  <si>
    <t>00711</t>
  </si>
  <si>
    <t>02212</t>
  </si>
  <si>
    <t>12744</t>
  </si>
  <si>
    <t>A1214813Q</t>
  </si>
  <si>
    <t>CHEMAF SARL</t>
  </si>
  <si>
    <t>01597</t>
  </si>
  <si>
    <t>00062/00900</t>
  </si>
  <si>
    <t>01601</t>
  </si>
  <si>
    <t>00066</t>
  </si>
  <si>
    <t>15596</t>
  </si>
  <si>
    <t>01600</t>
  </si>
  <si>
    <t>00065</t>
  </si>
  <si>
    <t>01598</t>
  </si>
  <si>
    <t>00063/00901</t>
  </si>
  <si>
    <t>01599</t>
  </si>
  <si>
    <t>00064</t>
  </si>
  <si>
    <t>A1301460C</t>
  </si>
  <si>
    <t>00712</t>
  </si>
  <si>
    <t>00882</t>
  </si>
  <si>
    <t>01438</t>
  </si>
  <si>
    <t>A1214816T</t>
  </si>
  <si>
    <t>00713</t>
  </si>
  <si>
    <t>00883</t>
  </si>
  <si>
    <t>01440</t>
  </si>
  <si>
    <t>00714</t>
  </si>
  <si>
    <t>00884</t>
  </si>
  <si>
    <t>01444</t>
  </si>
  <si>
    <t>00715</t>
  </si>
  <si>
    <t>00885</t>
  </si>
  <si>
    <t>01734</t>
  </si>
  <si>
    <t>00716</t>
  </si>
  <si>
    <t>00886</t>
  </si>
  <si>
    <t>00717</t>
  </si>
  <si>
    <t>00887</t>
  </si>
  <si>
    <t>00718</t>
  </si>
  <si>
    <t>00888</t>
  </si>
  <si>
    <t>01887</t>
  </si>
  <si>
    <t>00719</t>
  </si>
  <si>
    <t>00889</t>
  </si>
  <si>
    <t>01995</t>
  </si>
  <si>
    <t>00720</t>
  </si>
  <si>
    <t>00890</t>
  </si>
  <si>
    <t>02061</t>
  </si>
  <si>
    <t>00721</t>
  </si>
  <si>
    <t>00891</t>
  </si>
  <si>
    <t>02120</t>
  </si>
  <si>
    <t>00722</t>
  </si>
  <si>
    <t>00892</t>
  </si>
  <si>
    <t>02142</t>
  </si>
  <si>
    <t>00723</t>
  </si>
  <si>
    <t>00893</t>
  </si>
  <si>
    <t>02192</t>
  </si>
  <si>
    <t>A0700299J</t>
  </si>
  <si>
    <t>00724</t>
  </si>
  <si>
    <t>00894</t>
  </si>
  <si>
    <t>02765</t>
  </si>
  <si>
    <t>00725</t>
  </si>
  <si>
    <t>00895</t>
  </si>
  <si>
    <t>12370</t>
  </si>
  <si>
    <t>00726</t>
  </si>
  <si>
    <t>00896</t>
  </si>
  <si>
    <t>12371</t>
  </si>
  <si>
    <t>00727</t>
  </si>
  <si>
    <t>00897</t>
  </si>
  <si>
    <t>12372</t>
  </si>
  <si>
    <t>00728</t>
  </si>
  <si>
    <t>00898</t>
  </si>
  <si>
    <t>12373</t>
  </si>
  <si>
    <t>00729</t>
  </si>
  <si>
    <t>00899</t>
  </si>
  <si>
    <t>12424</t>
  </si>
  <si>
    <t>00114</t>
  </si>
  <si>
    <t>02213</t>
  </si>
  <si>
    <t>14037</t>
  </si>
  <si>
    <t>00021</t>
  </si>
  <si>
    <t>02214</t>
  </si>
  <si>
    <t>00115</t>
  </si>
  <si>
    <t>14038</t>
  </si>
  <si>
    <t>00022</t>
  </si>
  <si>
    <t>00116</t>
  </si>
  <si>
    <t>02217</t>
  </si>
  <si>
    <t>14039</t>
  </si>
  <si>
    <t>00023</t>
  </si>
  <si>
    <t>02218</t>
  </si>
  <si>
    <t>00024</t>
  </si>
  <si>
    <t>02219</t>
  </si>
  <si>
    <t>14062</t>
  </si>
  <si>
    <t>00025</t>
  </si>
  <si>
    <t>02220</t>
  </si>
  <si>
    <t>14063</t>
  </si>
  <si>
    <t>00026</t>
  </si>
  <si>
    <t>02221</t>
  </si>
  <si>
    <t>14064</t>
  </si>
  <si>
    <t>00027</t>
  </si>
  <si>
    <t>02222</t>
  </si>
  <si>
    <t>14065</t>
  </si>
  <si>
    <t>00028</t>
  </si>
  <si>
    <t>02223</t>
  </si>
  <si>
    <t>14066</t>
  </si>
  <si>
    <t>00029</t>
  </si>
  <si>
    <t>02224</t>
  </si>
  <si>
    <t>14067</t>
  </si>
  <si>
    <t>00193</t>
  </si>
  <si>
    <t>01293</t>
  </si>
  <si>
    <t>00194</t>
  </si>
  <si>
    <t>01297</t>
  </si>
  <si>
    <t>01411</t>
  </si>
  <si>
    <t>00195</t>
  </si>
  <si>
    <t>01292</t>
  </si>
  <si>
    <t>01430</t>
  </si>
  <si>
    <t>00196</t>
  </si>
  <si>
    <t>01304</t>
  </si>
  <si>
    <t>01431</t>
  </si>
  <si>
    <t>00171</t>
  </si>
  <si>
    <t>01295</t>
  </si>
  <si>
    <t>01432</t>
  </si>
  <si>
    <t>00172</t>
  </si>
  <si>
    <t>01294</t>
  </si>
  <si>
    <t>01434</t>
  </si>
  <si>
    <t>00173</t>
  </si>
  <si>
    <t>01300</t>
  </si>
  <si>
    <t>01435</t>
  </si>
  <si>
    <t>00174</t>
  </si>
  <si>
    <t>01298</t>
  </si>
  <si>
    <t>01524</t>
  </si>
  <si>
    <t>A1214811N</t>
  </si>
  <si>
    <t>00175</t>
  </si>
  <si>
    <t>01305</t>
  </si>
  <si>
    <t>00176</t>
  </si>
  <si>
    <t>01301</t>
  </si>
  <si>
    <t>01538</t>
  </si>
  <si>
    <t>00177</t>
  </si>
  <si>
    <t>01302</t>
  </si>
  <si>
    <t>00178</t>
  </si>
  <si>
    <t>01303</t>
  </si>
  <si>
    <t>02115</t>
  </si>
  <si>
    <t>00179</t>
  </si>
  <si>
    <t>01311</t>
  </si>
  <si>
    <t>02116</t>
  </si>
  <si>
    <t>00180</t>
  </si>
  <si>
    <t>01299</t>
  </si>
  <si>
    <t>02752</t>
  </si>
  <si>
    <t>00181</t>
  </si>
  <si>
    <t>01291</t>
  </si>
  <si>
    <t>02756</t>
  </si>
  <si>
    <t>00182</t>
  </si>
  <si>
    <t>01290</t>
  </si>
  <si>
    <t>02760</t>
  </si>
  <si>
    <t>00183</t>
  </si>
  <si>
    <t>01289</t>
  </si>
  <si>
    <t>02769</t>
  </si>
  <si>
    <t>00184</t>
  </si>
  <si>
    <t>01288</t>
  </si>
  <si>
    <t>02774</t>
  </si>
  <si>
    <t>00185</t>
  </si>
  <si>
    <t>01287</t>
  </si>
  <si>
    <t>02775</t>
  </si>
  <si>
    <t>00186</t>
  </si>
  <si>
    <t>01286</t>
  </si>
  <si>
    <t>02778</t>
  </si>
  <si>
    <t>00187</t>
  </si>
  <si>
    <t>01306</t>
  </si>
  <si>
    <t>04613</t>
  </si>
  <si>
    <t>00188</t>
  </si>
  <si>
    <t>01296</t>
  </si>
  <si>
    <t>00189</t>
  </si>
  <si>
    <t>01310</t>
  </si>
  <si>
    <t>00190</t>
  </si>
  <si>
    <t>01309</t>
  </si>
  <si>
    <t>12745</t>
  </si>
  <si>
    <t>00191</t>
  </si>
  <si>
    <t>01308</t>
  </si>
  <si>
    <t>00192</t>
  </si>
  <si>
    <t>01307</t>
  </si>
  <si>
    <t>03/08/2023</t>
  </si>
  <si>
    <t>01958</t>
  </si>
  <si>
    <t>01427</t>
  </si>
  <si>
    <t>01957</t>
  </si>
  <si>
    <t>00154</t>
  </si>
  <si>
    <t>02758</t>
  </si>
  <si>
    <t>03859</t>
  </si>
  <si>
    <t>CHENGTUN CONGO RESSOURCES</t>
  </si>
  <si>
    <t>00197</t>
  </si>
  <si>
    <t>00320</t>
  </si>
  <si>
    <t>06/07/2023</t>
  </si>
  <si>
    <t>01477</t>
  </si>
  <si>
    <t>01906</t>
  </si>
  <si>
    <t>15085</t>
  </si>
  <si>
    <t>07/07/2023</t>
  </si>
  <si>
    <t>01478</t>
  </si>
  <si>
    <t>01912</t>
  </si>
  <si>
    <t>15086</t>
  </si>
  <si>
    <t>00730</t>
  </si>
  <si>
    <t>02070</t>
  </si>
  <si>
    <t>00731</t>
  </si>
  <si>
    <t>02071</t>
  </si>
  <si>
    <t>A1008638B</t>
  </si>
  <si>
    <t>Cie ENGINEERING &amp;  NEGOCE</t>
  </si>
  <si>
    <t>04964</t>
  </si>
  <si>
    <t>00032</t>
  </si>
  <si>
    <t>04972</t>
  </si>
  <si>
    <t>04965</t>
  </si>
  <si>
    <t>04966</t>
  </si>
  <si>
    <t>04967</t>
  </si>
  <si>
    <t>04968</t>
  </si>
  <si>
    <t>04969</t>
  </si>
  <si>
    <t>00030</t>
  </si>
  <si>
    <t>04970</t>
  </si>
  <si>
    <t>00031</t>
  </si>
  <si>
    <t>04971</t>
  </si>
  <si>
    <t>05/07/2023</t>
  </si>
  <si>
    <t>01898</t>
  </si>
  <si>
    <t>01900</t>
  </si>
  <si>
    <t>01860</t>
  </si>
  <si>
    <t>01859</t>
  </si>
  <si>
    <t>01896</t>
  </si>
  <si>
    <t>00051</t>
  </si>
  <si>
    <t>01897</t>
  </si>
  <si>
    <t>01901</t>
  </si>
  <si>
    <t>16/08/2023</t>
  </si>
  <si>
    <t>02026</t>
  </si>
  <si>
    <t>02009</t>
  </si>
  <si>
    <t>01892</t>
  </si>
  <si>
    <t>02019</t>
  </si>
  <si>
    <t>00071</t>
  </si>
  <si>
    <t>02011</t>
  </si>
  <si>
    <t>02018</t>
  </si>
  <si>
    <t>01893</t>
  </si>
  <si>
    <t>02014</t>
  </si>
  <si>
    <t>00070</t>
  </si>
  <si>
    <t>02013</t>
  </si>
  <si>
    <t>02015</t>
  </si>
  <si>
    <t>02012</t>
  </si>
  <si>
    <t>00069</t>
  </si>
  <si>
    <t>02017</t>
  </si>
  <si>
    <t>01894</t>
  </si>
  <si>
    <t>02016</t>
  </si>
  <si>
    <t>01895</t>
  </si>
  <si>
    <t>02008</t>
  </si>
  <si>
    <t>00068</t>
  </si>
  <si>
    <t>02005</t>
  </si>
  <si>
    <t>00001b</t>
  </si>
  <si>
    <t>02006</t>
  </si>
  <si>
    <t>02021</t>
  </si>
  <si>
    <t>02020</t>
  </si>
  <si>
    <t>02010</t>
  </si>
  <si>
    <t>A0700256M</t>
  </si>
  <si>
    <t>CILU</t>
  </si>
  <si>
    <t>01223</t>
  </si>
  <si>
    <t>00091</t>
  </si>
  <si>
    <t>01221</t>
  </si>
  <si>
    <t>00105</t>
  </si>
  <si>
    <t>01224</t>
  </si>
  <si>
    <t>00106</t>
  </si>
  <si>
    <t>00033</t>
  </si>
  <si>
    <t>01216</t>
  </si>
  <si>
    <t>00034</t>
  </si>
  <si>
    <t>01214</t>
  </si>
  <si>
    <t>11598</t>
  </si>
  <si>
    <t>00035</t>
  </si>
  <si>
    <t>01220</t>
  </si>
  <si>
    <t>13252</t>
  </si>
  <si>
    <t>00036</t>
  </si>
  <si>
    <t>01215</t>
  </si>
  <si>
    <t>A0811593L</t>
  </si>
  <si>
    <t>CIMENKAT SAS</t>
  </si>
  <si>
    <t>01479</t>
  </si>
  <si>
    <t>00486</t>
  </si>
  <si>
    <t>14755</t>
  </si>
  <si>
    <t>01480</t>
  </si>
  <si>
    <t>00487</t>
  </si>
  <si>
    <t>14762</t>
  </si>
  <si>
    <t>01713</t>
  </si>
  <si>
    <t>01413</t>
  </si>
  <si>
    <t>14756</t>
  </si>
  <si>
    <t>01412</t>
  </si>
  <si>
    <t>01759</t>
  </si>
  <si>
    <t>01708</t>
  </si>
  <si>
    <t>14753</t>
  </si>
  <si>
    <t>01760</t>
  </si>
  <si>
    <t>14754</t>
  </si>
  <si>
    <t>01761</t>
  </si>
  <si>
    <t>01707</t>
  </si>
  <si>
    <t>14757</t>
  </si>
  <si>
    <t>01762</t>
  </si>
  <si>
    <t>01706</t>
  </si>
  <si>
    <t>14758</t>
  </si>
  <si>
    <t>01763</t>
  </si>
  <si>
    <t>14759</t>
  </si>
  <si>
    <t>01764</t>
  </si>
  <si>
    <t>14760</t>
  </si>
  <si>
    <t>01765</t>
  </si>
  <si>
    <t>01703</t>
  </si>
  <si>
    <t>14761</t>
  </si>
  <si>
    <t>A0803612J</t>
  </si>
  <si>
    <t>CIMENTERIE DU CONGO "CICO" SPRL</t>
  </si>
  <si>
    <t>01593</t>
  </si>
  <si>
    <t>10175</t>
  </si>
  <si>
    <t>00037</t>
  </si>
  <si>
    <t>00640</t>
  </si>
  <si>
    <t>10176</t>
  </si>
  <si>
    <t>00038</t>
  </si>
  <si>
    <t>00641</t>
  </si>
  <si>
    <t>10177</t>
  </si>
  <si>
    <t>00039</t>
  </si>
  <si>
    <t>00647</t>
  </si>
  <si>
    <t>10178</t>
  </si>
  <si>
    <t>00040</t>
  </si>
  <si>
    <t>00639</t>
  </si>
  <si>
    <t>10179</t>
  </si>
  <si>
    <t>00041</t>
  </si>
  <si>
    <t>00644</t>
  </si>
  <si>
    <t>10180</t>
  </si>
  <si>
    <t>00042</t>
  </si>
  <si>
    <t>00645</t>
  </si>
  <si>
    <t>10181</t>
  </si>
  <si>
    <t>00043</t>
  </si>
  <si>
    <t>10182</t>
  </si>
  <si>
    <t>00044</t>
  </si>
  <si>
    <t>00642</t>
  </si>
  <si>
    <t>10183</t>
  </si>
  <si>
    <t>00643</t>
  </si>
  <si>
    <t>10184</t>
  </si>
  <si>
    <t>A1001396E</t>
  </si>
  <si>
    <t>CIMENTERIE DU KIVU</t>
  </si>
  <si>
    <t>00046</t>
  </si>
  <si>
    <t>00771</t>
  </si>
  <si>
    <t>13320</t>
  </si>
  <si>
    <t>00779</t>
  </si>
  <si>
    <t>00780</t>
  </si>
  <si>
    <t>13324</t>
  </si>
  <si>
    <t>00764</t>
  </si>
  <si>
    <t>00048</t>
  </si>
  <si>
    <t>00786</t>
  </si>
  <si>
    <t>13326</t>
  </si>
  <si>
    <t>00768</t>
  </si>
  <si>
    <t>00049</t>
  </si>
  <si>
    <t>00783</t>
  </si>
  <si>
    <t>13327</t>
  </si>
  <si>
    <t>00775</t>
  </si>
  <si>
    <t>00050</t>
  </si>
  <si>
    <t>00755</t>
  </si>
  <si>
    <t>13328</t>
  </si>
  <si>
    <t>00772</t>
  </si>
  <si>
    <t>00758</t>
  </si>
  <si>
    <t>A0700198Z</t>
  </si>
  <si>
    <t>CINAT</t>
  </si>
  <si>
    <t>00118</t>
  </si>
  <si>
    <t>00095</t>
  </si>
  <si>
    <t>01883</t>
  </si>
  <si>
    <t>18/12/2023</t>
  </si>
  <si>
    <t>01975</t>
  </si>
  <si>
    <t>02452</t>
  </si>
  <si>
    <t>00732</t>
  </si>
  <si>
    <t>00733</t>
  </si>
  <si>
    <t>01222</t>
  </si>
  <si>
    <t>09838</t>
  </si>
  <si>
    <t>CMOC KISANFU MINING Sarl</t>
  </si>
  <si>
    <t>00198</t>
  </si>
  <si>
    <t>00215</t>
  </si>
  <si>
    <t>00815</t>
  </si>
  <si>
    <t>00735</t>
  </si>
  <si>
    <t>00217</t>
  </si>
  <si>
    <t>00734</t>
  </si>
  <si>
    <t>01619</t>
  </si>
  <si>
    <t>CODEMA Sarl</t>
  </si>
  <si>
    <t>00199</t>
  </si>
  <si>
    <t>00937</t>
  </si>
  <si>
    <t>04981</t>
  </si>
  <si>
    <t>A1512773B</t>
  </si>
  <si>
    <t>00736</t>
  </si>
  <si>
    <t>00936</t>
  </si>
  <si>
    <t>01885</t>
  </si>
  <si>
    <t>02069</t>
  </si>
  <si>
    <t>A1816241Z</t>
  </si>
  <si>
    <t>COM GNL PHARM HOPIT ET IND DU LUALABA Sarl</t>
  </si>
  <si>
    <t>09/03/2023</t>
  </si>
  <si>
    <t>00737</t>
  </si>
  <si>
    <t>00087</t>
  </si>
  <si>
    <t>00086</t>
  </si>
  <si>
    <t>00739</t>
  </si>
  <si>
    <t>00085</t>
  </si>
  <si>
    <t>00740</t>
  </si>
  <si>
    <t>01272</t>
  </si>
  <si>
    <t>13961</t>
  </si>
  <si>
    <t>00200</t>
  </si>
  <si>
    <t>00379</t>
  </si>
  <si>
    <t>02606</t>
  </si>
  <si>
    <t>00383</t>
  </si>
  <si>
    <t>00384</t>
  </si>
  <si>
    <t>02607</t>
  </si>
  <si>
    <t>00201</t>
  </si>
  <si>
    <t>00380</t>
  </si>
  <si>
    <t>00385</t>
  </si>
  <si>
    <t>02608</t>
  </si>
  <si>
    <t>00202</t>
  </si>
  <si>
    <t>00381</t>
  </si>
  <si>
    <t>00382</t>
  </si>
  <si>
    <t>12715</t>
  </si>
  <si>
    <t>00386</t>
  </si>
  <si>
    <t>20/04/2023</t>
  </si>
  <si>
    <t>01681</t>
  </si>
  <si>
    <t>01355</t>
  </si>
  <si>
    <t>01682</t>
  </si>
  <si>
    <t>01354</t>
  </si>
  <si>
    <t>COMISA SPRL</t>
  </si>
  <si>
    <t>00859</t>
  </si>
  <si>
    <t>00834</t>
  </si>
  <si>
    <t>00742</t>
  </si>
  <si>
    <t>00858</t>
  </si>
  <si>
    <t>00743</t>
  </si>
  <si>
    <t>00864</t>
  </si>
  <si>
    <t>00846</t>
  </si>
  <si>
    <t>00915</t>
  </si>
  <si>
    <t>00745</t>
  </si>
  <si>
    <t>00862</t>
  </si>
  <si>
    <t>00848</t>
  </si>
  <si>
    <t>00910</t>
  </si>
  <si>
    <t>00860</t>
  </si>
  <si>
    <t>00850</t>
  </si>
  <si>
    <t>00748</t>
  </si>
  <si>
    <t>00933</t>
  </si>
  <si>
    <t>COMMUS SPRL</t>
  </si>
  <si>
    <t>00204</t>
  </si>
  <si>
    <t>01001</t>
  </si>
  <si>
    <t>12092</t>
  </si>
  <si>
    <t>00205</t>
  </si>
  <si>
    <t>00987</t>
  </si>
  <si>
    <t>12093</t>
  </si>
  <si>
    <t>A1410032W</t>
  </si>
  <si>
    <t>COMP.MINIERE DE DEVELOP  ET DE  RECONSTRUCTION</t>
  </si>
  <si>
    <t>00964</t>
  </si>
  <si>
    <t>00750</t>
  </si>
  <si>
    <t>00963</t>
  </si>
  <si>
    <t>13736</t>
  </si>
  <si>
    <t>00966</t>
  </si>
  <si>
    <t>13836</t>
  </si>
  <si>
    <t>00752</t>
  </si>
  <si>
    <t>00965</t>
  </si>
  <si>
    <t>13837</t>
  </si>
  <si>
    <t>A1210124 T</t>
  </si>
  <si>
    <t>14/07/2023</t>
  </si>
  <si>
    <t>00753</t>
  </si>
  <si>
    <t>01920</t>
  </si>
  <si>
    <t>A0814810H</t>
  </si>
  <si>
    <t>01865</t>
  </si>
  <si>
    <t>03198</t>
  </si>
  <si>
    <t>01864</t>
  </si>
  <si>
    <t>03199</t>
  </si>
  <si>
    <t>01869</t>
  </si>
  <si>
    <t>04282</t>
  </si>
  <si>
    <t>00056</t>
  </si>
  <si>
    <t>01866</t>
  </si>
  <si>
    <t>04283</t>
  </si>
  <si>
    <t>00057</t>
  </si>
  <si>
    <t>04284</t>
  </si>
  <si>
    <t>00058</t>
  </si>
  <si>
    <t>04285</t>
  </si>
  <si>
    <t>00059</t>
  </si>
  <si>
    <t>01863</t>
  </si>
  <si>
    <t>04286</t>
  </si>
  <si>
    <t>COMPAGNIE MINIERE DE DEZIWA SAS</t>
  </si>
  <si>
    <t>00206</t>
  </si>
  <si>
    <t>01185</t>
  </si>
  <si>
    <t>14/04/2023</t>
  </si>
  <si>
    <t>00518</t>
  </si>
  <si>
    <t>01268</t>
  </si>
  <si>
    <t>13096</t>
  </si>
  <si>
    <t>O1100211S</t>
  </si>
  <si>
    <t>00207</t>
  </si>
  <si>
    <t>01063</t>
  </si>
  <si>
    <t>00208</t>
  </si>
  <si>
    <t>01059</t>
  </si>
  <si>
    <t>COMPAGNIE MINIERE DE KATOTO Sarl</t>
  </si>
  <si>
    <t>14391</t>
  </si>
  <si>
    <t>A1800549S</t>
  </si>
  <si>
    <t>00209</t>
  </si>
  <si>
    <t>01119</t>
  </si>
  <si>
    <t>00756</t>
  </si>
  <si>
    <t>01128</t>
  </si>
  <si>
    <t>00757</t>
  </si>
  <si>
    <t>01126</t>
  </si>
  <si>
    <t>01129</t>
  </si>
  <si>
    <t>01122</t>
  </si>
  <si>
    <t>14182</t>
  </si>
  <si>
    <t>00760</t>
  </si>
  <si>
    <t>01123</t>
  </si>
  <si>
    <t>14183</t>
  </si>
  <si>
    <t>00761</t>
  </si>
  <si>
    <t>01127</t>
  </si>
  <si>
    <t>14184</t>
  </si>
  <si>
    <t>00762</t>
  </si>
  <si>
    <t>01125</t>
  </si>
  <si>
    <t>14185</t>
  </si>
  <si>
    <t>00763</t>
  </si>
  <si>
    <t>01120</t>
  </si>
  <si>
    <t>14186</t>
  </si>
  <si>
    <t>01121</t>
  </si>
  <si>
    <t>14187</t>
  </si>
  <si>
    <t>00765</t>
  </si>
  <si>
    <t>01124</t>
  </si>
  <si>
    <t>14188</t>
  </si>
  <si>
    <t>00210</t>
  </si>
  <si>
    <t>01171</t>
  </si>
  <si>
    <t>00211</t>
  </si>
  <si>
    <t>01169</t>
  </si>
  <si>
    <t>00212</t>
  </si>
  <si>
    <t>01415</t>
  </si>
  <si>
    <t>00535</t>
  </si>
  <si>
    <t>A0701147D</t>
  </si>
  <si>
    <t>00213</t>
  </si>
  <si>
    <t>14051</t>
  </si>
  <si>
    <t>00214</t>
  </si>
  <si>
    <t>01433</t>
  </si>
  <si>
    <t>A2176826F</t>
  </si>
  <si>
    <t>15/09/2023</t>
  </si>
  <si>
    <t>02141</t>
  </si>
  <si>
    <t>A1503563Q</t>
  </si>
  <si>
    <t>COMPAGNIE MINIERE MIKUBA RESSOURCES Sarl</t>
  </si>
  <si>
    <t>15/08/2023</t>
  </si>
  <si>
    <t>00766</t>
  </si>
  <si>
    <t>02004</t>
  </si>
  <si>
    <t>A2162432K</t>
  </si>
  <si>
    <t>01875</t>
  </si>
  <si>
    <t>01990</t>
  </si>
  <si>
    <t>01879</t>
  </si>
  <si>
    <t>01989</t>
  </si>
  <si>
    <t>01880</t>
  </si>
  <si>
    <t>01988</t>
  </si>
  <si>
    <t>01874</t>
  </si>
  <si>
    <t>A1100319K</t>
  </si>
  <si>
    <t>01256</t>
  </si>
  <si>
    <t>00769</t>
  </si>
  <si>
    <t>01255</t>
  </si>
  <si>
    <t>00767</t>
  </si>
  <si>
    <t>02201</t>
  </si>
  <si>
    <t>01468</t>
  </si>
  <si>
    <t>14677</t>
  </si>
  <si>
    <t>01512</t>
  </si>
  <si>
    <t>14678</t>
  </si>
  <si>
    <t>00773</t>
  </si>
  <si>
    <t>01513</t>
  </si>
  <si>
    <t>14680</t>
  </si>
  <si>
    <t>31/07/2023</t>
  </si>
  <si>
    <t>00770</t>
  </si>
  <si>
    <t>01949</t>
  </si>
  <si>
    <t>00774</t>
  </si>
  <si>
    <t>01953</t>
  </si>
  <si>
    <t>01951</t>
  </si>
  <si>
    <t>00776</t>
  </si>
  <si>
    <t>01952</t>
  </si>
  <si>
    <t>00060</t>
  </si>
  <si>
    <t>11562</t>
  </si>
  <si>
    <t>01934</t>
  </si>
  <si>
    <t>02304</t>
  </si>
  <si>
    <t>A1810170A</t>
  </si>
  <si>
    <t>CONGO CHENGTUN NEW MATERIALS</t>
  </si>
  <si>
    <t>00777</t>
  </si>
  <si>
    <t>00311</t>
  </si>
  <si>
    <t>00778</t>
  </si>
  <si>
    <t>00312</t>
  </si>
  <si>
    <t>14956</t>
  </si>
  <si>
    <t>CONGO COBALT CORPORATION "CCC Sprl"</t>
  </si>
  <si>
    <t>01002</t>
  </si>
  <si>
    <t>00495</t>
  </si>
  <si>
    <t>00216</t>
  </si>
  <si>
    <t>01003</t>
  </si>
  <si>
    <t>00496</t>
  </si>
  <si>
    <t>A1511582G</t>
  </si>
  <si>
    <t>CONGO CONSTRUCTION INVESTMENTS Sarl</t>
  </si>
  <si>
    <t>00061</t>
  </si>
  <si>
    <t>00789</t>
  </si>
  <si>
    <t>13900</t>
  </si>
  <si>
    <t>13901</t>
  </si>
  <si>
    <t>00781</t>
  </si>
  <si>
    <t>13903</t>
  </si>
  <si>
    <t>00782</t>
  </si>
  <si>
    <t>13904</t>
  </si>
  <si>
    <t>13905</t>
  </si>
  <si>
    <t>00784</t>
  </si>
  <si>
    <t>13907</t>
  </si>
  <si>
    <t>00785</t>
  </si>
  <si>
    <t>13908</t>
  </si>
  <si>
    <t>13909</t>
  </si>
  <si>
    <t>00787</t>
  </si>
  <si>
    <t>13910</t>
  </si>
  <si>
    <t>00788</t>
  </si>
  <si>
    <t>13911</t>
  </si>
  <si>
    <t>13912</t>
  </si>
  <si>
    <t>00790</t>
  </si>
  <si>
    <t>13913</t>
  </si>
  <si>
    <t>00791</t>
  </si>
  <si>
    <t>00108</t>
  </si>
  <si>
    <t>13947</t>
  </si>
  <si>
    <t>00792</t>
  </si>
  <si>
    <t>00793</t>
  </si>
  <si>
    <t>13950</t>
  </si>
  <si>
    <t>13952</t>
  </si>
  <si>
    <t>00109</t>
  </si>
  <si>
    <t>00795</t>
  </si>
  <si>
    <t>13954</t>
  </si>
  <si>
    <t>00796</t>
  </si>
  <si>
    <t>13958</t>
  </si>
  <si>
    <t>31/05/2023</t>
  </si>
  <si>
    <t>13487</t>
  </si>
  <si>
    <t>A2300377L</t>
  </si>
  <si>
    <t>CONGO CONSTRUCTION MATERIALS Sarl</t>
  </si>
  <si>
    <t>02379</t>
  </si>
  <si>
    <t>02383</t>
  </si>
  <si>
    <t>02378</t>
  </si>
  <si>
    <t>02385</t>
  </si>
  <si>
    <t>02384</t>
  </si>
  <si>
    <t>02380</t>
  </si>
  <si>
    <t>02381</t>
  </si>
  <si>
    <t>02382</t>
  </si>
  <si>
    <t>02377</t>
  </si>
  <si>
    <t>A0704877K</t>
  </si>
  <si>
    <t>CONGO DONGFANG INTERNATIONAL MINING Sas</t>
  </si>
  <si>
    <t>00271</t>
  </si>
  <si>
    <t>00797</t>
  </si>
  <si>
    <t>00270</t>
  </si>
  <si>
    <t>00269</t>
  </si>
  <si>
    <t>00799</t>
  </si>
  <si>
    <t>00220</t>
  </si>
  <si>
    <t>00800</t>
  </si>
  <si>
    <t>00219</t>
  </si>
  <si>
    <t>00801</t>
  </si>
  <si>
    <t>00218</t>
  </si>
  <si>
    <t>00802</t>
  </si>
  <si>
    <t>00223</t>
  </si>
  <si>
    <t>00803</t>
  </si>
  <si>
    <t>00222</t>
  </si>
  <si>
    <t>00804</t>
  </si>
  <si>
    <t>00221</t>
  </si>
  <si>
    <t>A2304747L</t>
  </si>
  <si>
    <t>01936</t>
  </si>
  <si>
    <t>02143</t>
  </si>
  <si>
    <t>01937</t>
  </si>
  <si>
    <t>02144</t>
  </si>
  <si>
    <t>04/04/2023</t>
  </si>
  <si>
    <t>01111</t>
  </si>
  <si>
    <t>01110</t>
  </si>
  <si>
    <t>00076</t>
  </si>
  <si>
    <t>T62119C</t>
  </si>
  <si>
    <t>CONGO GENERAL DEALERS SPRL</t>
  </si>
  <si>
    <t>00062</t>
  </si>
  <si>
    <t>08959</t>
  </si>
  <si>
    <t>00063</t>
  </si>
  <si>
    <t>08960</t>
  </si>
  <si>
    <t>00805</t>
  </si>
  <si>
    <t>00806</t>
  </si>
  <si>
    <t>00807</t>
  </si>
  <si>
    <t>A1513741E</t>
  </si>
  <si>
    <t>CONGO GEOLOGICAL SURVEY SPRL</t>
  </si>
  <si>
    <t>06575</t>
  </si>
  <si>
    <t>00808</t>
  </si>
  <si>
    <t>01254</t>
  </si>
  <si>
    <t>09/05/2023</t>
  </si>
  <si>
    <t>01793</t>
  </si>
  <si>
    <t>01565</t>
  </si>
  <si>
    <t>01794</t>
  </si>
  <si>
    <t>01566</t>
  </si>
  <si>
    <t>A1603640A</t>
  </si>
  <si>
    <t>CONGO INVESTMENTS Sarl</t>
  </si>
  <si>
    <t>01637</t>
  </si>
  <si>
    <t>01175</t>
  </si>
  <si>
    <t>13550</t>
  </si>
  <si>
    <t>01178</t>
  </si>
  <si>
    <t>13552</t>
  </si>
  <si>
    <t>01638</t>
  </si>
  <si>
    <t>01176</t>
  </si>
  <si>
    <t>13553</t>
  </si>
  <si>
    <t>01184</t>
  </si>
  <si>
    <t>13554</t>
  </si>
  <si>
    <t>01640</t>
  </si>
  <si>
    <t>01177</t>
  </si>
  <si>
    <t>14644</t>
  </si>
  <si>
    <t>00088</t>
  </si>
  <si>
    <t>01429</t>
  </si>
  <si>
    <t>13547</t>
  </si>
  <si>
    <t>01481</t>
  </si>
  <si>
    <t>00089</t>
  </si>
  <si>
    <t>01418</t>
  </si>
  <si>
    <t>13548</t>
  </si>
  <si>
    <t>01482</t>
  </si>
  <si>
    <t>01419</t>
  </si>
  <si>
    <t>01483</t>
  </si>
  <si>
    <t>01425</t>
  </si>
  <si>
    <t>01484</t>
  </si>
  <si>
    <t>01424</t>
  </si>
  <si>
    <t>13551</t>
  </si>
  <si>
    <t>00090</t>
  </si>
  <si>
    <t>01422</t>
  </si>
  <si>
    <t>01485</t>
  </si>
  <si>
    <t>01426</t>
  </si>
  <si>
    <t>01486</t>
  </si>
  <si>
    <t>01420</t>
  </si>
  <si>
    <t>01487</t>
  </si>
  <si>
    <t>01423</t>
  </si>
  <si>
    <t>01421</t>
  </si>
  <si>
    <t>01488</t>
  </si>
  <si>
    <t>01428</t>
  </si>
  <si>
    <t>01107</t>
  </si>
  <si>
    <t>09469</t>
  </si>
  <si>
    <t>A1621472H</t>
  </si>
  <si>
    <t>CONGO MANAGEMENT Sarl</t>
  </si>
  <si>
    <t>01489</t>
  </si>
  <si>
    <t>01806</t>
  </si>
  <si>
    <t>14070</t>
  </si>
  <si>
    <t>01490</t>
  </si>
  <si>
    <t>01805</t>
  </si>
  <si>
    <t>14071</t>
  </si>
  <si>
    <t>01491</t>
  </si>
  <si>
    <t>01807</t>
  </si>
  <si>
    <t>14072</t>
  </si>
  <si>
    <t>00809</t>
  </si>
  <si>
    <t>01808</t>
  </si>
  <si>
    <t>00810</t>
  </si>
  <si>
    <t>01804</t>
  </si>
  <si>
    <t>A1001110T</t>
  </si>
  <si>
    <t>CONGO MINING AND MINERALS RESSOURCES SARL</t>
  </si>
  <si>
    <t>11179</t>
  </si>
  <si>
    <t>21/06/2023</t>
  </si>
  <si>
    <t>00811</t>
  </si>
  <si>
    <t>00812</t>
  </si>
  <si>
    <t>00813</t>
  </si>
  <si>
    <t>15190</t>
  </si>
  <si>
    <t>02372</t>
  </si>
  <si>
    <t>02371</t>
  </si>
  <si>
    <t>02370</t>
  </si>
  <si>
    <t>A22008688F</t>
  </si>
  <si>
    <t>02226</t>
  </si>
  <si>
    <t>01943</t>
  </si>
  <si>
    <t>02233</t>
  </si>
  <si>
    <t>01944</t>
  </si>
  <si>
    <t>02234</t>
  </si>
  <si>
    <t>01945</t>
  </si>
  <si>
    <t>02235</t>
  </si>
  <si>
    <t>00336</t>
  </si>
  <si>
    <t>00335</t>
  </si>
  <si>
    <t>A1807510J</t>
  </si>
  <si>
    <t>CONGO NEW MINING VISION Sarl</t>
  </si>
  <si>
    <t>29/08/2023</t>
  </si>
  <si>
    <t>00818</t>
  </si>
  <si>
    <t>02083</t>
  </si>
  <si>
    <t>02084</t>
  </si>
  <si>
    <t>18/08/2023</t>
  </si>
  <si>
    <t>02034</t>
  </si>
  <si>
    <t>00821</t>
  </si>
  <si>
    <t>02035</t>
  </si>
  <si>
    <t>A1302497E</t>
  </si>
  <si>
    <t>CONGO ROOFING Sarl</t>
  </si>
  <si>
    <t>01492</t>
  </si>
  <si>
    <t>01186</t>
  </si>
  <si>
    <t>14036</t>
  </si>
  <si>
    <t>A1721306D</t>
  </si>
  <si>
    <t>01320</t>
  </si>
  <si>
    <t>CONGOLAISE D EXPLOITATION MINIERE</t>
  </si>
  <si>
    <t>01913</t>
  </si>
  <si>
    <t>12452</t>
  </si>
  <si>
    <t>00224</t>
  </si>
  <si>
    <t>00949</t>
  </si>
  <si>
    <t>13247</t>
  </si>
  <si>
    <t>01058</t>
  </si>
  <si>
    <t>12453</t>
  </si>
  <si>
    <t>01954</t>
  </si>
  <si>
    <t>19/10/2023</t>
  </si>
  <si>
    <t>01982</t>
  </si>
  <si>
    <t>02271</t>
  </si>
  <si>
    <t>23/10/2023</t>
  </si>
  <si>
    <t>01974</t>
  </si>
  <si>
    <t>02288</t>
  </si>
  <si>
    <t>21/12/2023</t>
  </si>
  <si>
    <t>01973</t>
  </si>
  <si>
    <t>02455</t>
  </si>
  <si>
    <t>A1725817X</t>
  </si>
  <si>
    <t>CONGOLESE COBALT MANAGEMENT Sarl</t>
  </si>
  <si>
    <t>00822</t>
  </si>
  <si>
    <t>01563</t>
  </si>
  <si>
    <t>01562</t>
  </si>
  <si>
    <t>01561</t>
  </si>
  <si>
    <t>A1301156X</t>
  </si>
  <si>
    <t>CONSTRUCTION COMPANY Sarl</t>
  </si>
  <si>
    <t>00225</t>
  </si>
  <si>
    <t>00873</t>
  </si>
  <si>
    <t>A2295838X</t>
  </si>
  <si>
    <t>COOP MINIERE BONHEUR POUR TOUS Sas</t>
  </si>
  <si>
    <t>01527</t>
  </si>
  <si>
    <t>A1702410P</t>
  </si>
  <si>
    <t>COOPERATION GRAND KATANGA POUR LE DEV.</t>
  </si>
  <si>
    <t>00825</t>
  </si>
  <si>
    <t>02076</t>
  </si>
  <si>
    <t>02078</t>
  </si>
  <si>
    <t>00827</t>
  </si>
  <si>
    <t>02077</t>
  </si>
  <si>
    <t>A0492011G</t>
  </si>
  <si>
    <t>COOPERATIVE ARTISANAUX MINIERS DU CONGO ENTITE Sar</t>
  </si>
  <si>
    <t>00226</t>
  </si>
  <si>
    <t>01089</t>
  </si>
  <si>
    <t>00227</t>
  </si>
  <si>
    <t>01091</t>
  </si>
  <si>
    <t>01651</t>
  </si>
  <si>
    <t>01525</t>
  </si>
  <si>
    <t>01824</t>
  </si>
  <si>
    <t>01825</t>
  </si>
  <si>
    <t>01711</t>
  </si>
  <si>
    <t>01826</t>
  </si>
  <si>
    <t>01714</t>
  </si>
  <si>
    <t>COOPERATIVE DES EXPLOIT. ARTISAN. MIN. DE MASISI</t>
  </si>
  <si>
    <t>00828</t>
  </si>
  <si>
    <t>02303</t>
  </si>
  <si>
    <t>02302</t>
  </si>
  <si>
    <t>A1920228J</t>
  </si>
  <si>
    <t>COOPERATIVE MIN PR EXPLOIT ARTISANALE Sarl</t>
  </si>
  <si>
    <t>02053</t>
  </si>
  <si>
    <t>02052</t>
  </si>
  <si>
    <t>00830</t>
  </si>
  <si>
    <t>02007</t>
  </si>
  <si>
    <t>00831</t>
  </si>
  <si>
    <t>13624</t>
  </si>
  <si>
    <t>A1907871C</t>
  </si>
  <si>
    <t>10/10/2023</t>
  </si>
  <si>
    <t>00519</t>
  </si>
  <si>
    <t>02245</t>
  </si>
  <si>
    <t>00520</t>
  </si>
  <si>
    <t>02246</t>
  </si>
  <si>
    <t>00521</t>
  </si>
  <si>
    <t>02248</t>
  </si>
  <si>
    <t>A2037697X</t>
  </si>
  <si>
    <t>19/05/2023</t>
  </si>
  <si>
    <t>01736</t>
  </si>
  <si>
    <t>01628</t>
  </si>
  <si>
    <t>00833</t>
  </si>
  <si>
    <t>00265</t>
  </si>
  <si>
    <t>A1900538G</t>
  </si>
  <si>
    <t>CPZ MINING Sarl</t>
  </si>
  <si>
    <t>01676</t>
  </si>
  <si>
    <t>00988</t>
  </si>
  <si>
    <t>CROWN MINING SPRL</t>
  </si>
  <si>
    <t>00228</t>
  </si>
  <si>
    <t>00948</t>
  </si>
  <si>
    <t>00984</t>
  </si>
  <si>
    <t>04072</t>
  </si>
  <si>
    <t>00986</t>
  </si>
  <si>
    <t>04076</t>
  </si>
  <si>
    <t>A1301803A</t>
  </si>
  <si>
    <t>00836</t>
  </si>
  <si>
    <t>12724</t>
  </si>
  <si>
    <t>00837</t>
  </si>
  <si>
    <t>12725</t>
  </si>
  <si>
    <t>01635</t>
  </si>
  <si>
    <t>00999</t>
  </si>
  <si>
    <t>01217</t>
  </si>
  <si>
    <t>17/08/2023</t>
  </si>
  <si>
    <t>02030</t>
  </si>
  <si>
    <t>14813</t>
  </si>
  <si>
    <t>02031</t>
  </si>
  <si>
    <t>02033</t>
  </si>
  <si>
    <t>02032</t>
  </si>
  <si>
    <t xml:space="preserve"> A2162526M</t>
  </si>
  <si>
    <t>D&amp;W MINING SARL</t>
  </si>
  <si>
    <t>23/08/2023</t>
  </si>
  <si>
    <t>00839</t>
  </si>
  <si>
    <t>02068</t>
  </si>
  <si>
    <t>DA FEI MINING Sprl</t>
  </si>
  <si>
    <t>00522</t>
  </si>
  <si>
    <t>00290</t>
  </si>
  <si>
    <t>12356</t>
  </si>
  <si>
    <t>01586</t>
  </si>
  <si>
    <t>12358</t>
  </si>
  <si>
    <t>01587</t>
  </si>
  <si>
    <t>12359</t>
  </si>
  <si>
    <t>00861</t>
  </si>
  <si>
    <t>13920</t>
  </si>
  <si>
    <t>13925</t>
  </si>
  <si>
    <t>00842</t>
  </si>
  <si>
    <t>00854</t>
  </si>
  <si>
    <t>13926</t>
  </si>
  <si>
    <t>13927</t>
  </si>
  <si>
    <t>00856</t>
  </si>
  <si>
    <t>13928</t>
  </si>
  <si>
    <t>A1309578B</t>
  </si>
  <si>
    <t>DECO ROOM Sarl</t>
  </si>
  <si>
    <t>01493</t>
  </si>
  <si>
    <t>01078</t>
  </si>
  <si>
    <t>14233</t>
  </si>
  <si>
    <t>A0702309T</t>
  </si>
  <si>
    <t>DES IDEES QUI VALENT DE L OR Sarl</t>
  </si>
  <si>
    <t>00957</t>
  </si>
  <si>
    <t>A1825799N</t>
  </si>
  <si>
    <t>DES MINES et  CARR PR L EMERGENCE DU CONGO Sarl</t>
  </si>
  <si>
    <t>01396</t>
  </si>
  <si>
    <t>01397</t>
  </si>
  <si>
    <t>A0805718C</t>
  </si>
  <si>
    <t>DESTINYS MERCY MINING Sarl</t>
  </si>
  <si>
    <t>02/06/2023</t>
  </si>
  <si>
    <t>00101</t>
  </si>
  <si>
    <t>13728</t>
  </si>
  <si>
    <t>00102</t>
  </si>
  <si>
    <t>13729</t>
  </si>
  <si>
    <t>00103</t>
  </si>
  <si>
    <t>13730</t>
  </si>
  <si>
    <t>01766</t>
  </si>
  <si>
    <t>01767</t>
  </si>
  <si>
    <t xml:space="preserve"> A2036632Q</t>
  </si>
  <si>
    <t>DIESEL MINING &amp; CONSULTANTS Sarl</t>
  </si>
  <si>
    <t>00968</t>
  </si>
  <si>
    <t>A0804236P</t>
  </si>
  <si>
    <t>00229</t>
  </si>
  <si>
    <t>00634</t>
  </si>
  <si>
    <t>06445</t>
  </si>
  <si>
    <t>DRC MINING EXPLORATION AND FACILITY BUSINESS Sarl</t>
  </si>
  <si>
    <t>00852</t>
  </si>
  <si>
    <t>01072</t>
  </si>
  <si>
    <t>A1720555M</t>
  </si>
  <si>
    <t>01494</t>
  </si>
  <si>
    <t>01073</t>
  </si>
  <si>
    <t>14170</t>
  </si>
  <si>
    <t>01071</t>
  </si>
  <si>
    <t>A1721214D</t>
  </si>
  <si>
    <t>DU CHARBONNAGE DE MAKALA SAS</t>
  </si>
  <si>
    <t>00230</t>
  </si>
  <si>
    <t>00356</t>
  </si>
  <si>
    <t>A1302568G</t>
  </si>
  <si>
    <t>E 29 RESOURCES</t>
  </si>
  <si>
    <t>30/08/2023</t>
  </si>
  <si>
    <t>00231</t>
  </si>
  <si>
    <t>02085</t>
  </si>
  <si>
    <t>02342</t>
  </si>
  <si>
    <t>02038</t>
  </si>
  <si>
    <t>02391</t>
  </si>
  <si>
    <t>A1827474J</t>
  </si>
  <si>
    <t>01233</t>
  </si>
  <si>
    <t>14049</t>
  </si>
  <si>
    <t>A1407360R</t>
  </si>
  <si>
    <t>EDWALL ENTREPRISE Sarl</t>
  </si>
  <si>
    <t>06585</t>
  </si>
  <si>
    <t>A0814445L</t>
  </si>
  <si>
    <t>07619</t>
  </si>
  <si>
    <t>07659</t>
  </si>
  <si>
    <t>A1809112A</t>
  </si>
  <si>
    <t>ELIKA BUSINESS Sarl</t>
  </si>
  <si>
    <t>00122</t>
  </si>
  <si>
    <t>14977</t>
  </si>
  <si>
    <t>01495</t>
  </si>
  <si>
    <t>00123</t>
  </si>
  <si>
    <t>14978</t>
  </si>
  <si>
    <t>01496</t>
  </si>
  <si>
    <t xml:space="preserve"> A2030258W</t>
  </si>
  <si>
    <t>01781</t>
  </si>
  <si>
    <t>01591</t>
  </si>
  <si>
    <t>01782</t>
  </si>
  <si>
    <t>01590</t>
  </si>
  <si>
    <t>01783</t>
  </si>
  <si>
    <t>01592</t>
  </si>
  <si>
    <t>01784</t>
  </si>
  <si>
    <t>01497</t>
  </si>
  <si>
    <t>14477</t>
  </si>
  <si>
    <t>01498</t>
  </si>
  <si>
    <t>14478</t>
  </si>
  <si>
    <t>01499</t>
  </si>
  <si>
    <t>14479</t>
  </si>
  <si>
    <t>01500</t>
  </si>
  <si>
    <t>14481</t>
  </si>
  <si>
    <t>01501</t>
  </si>
  <si>
    <t>15059</t>
  </si>
  <si>
    <t>01719</t>
  </si>
  <si>
    <t>01720</t>
  </si>
  <si>
    <t>01718</t>
  </si>
  <si>
    <t>A1714567G</t>
  </si>
  <si>
    <t>EMPIRE RESSOURCES Sarl</t>
  </si>
  <si>
    <t>01595</t>
  </si>
  <si>
    <t>14437</t>
  </si>
  <si>
    <t>01596</t>
  </si>
  <si>
    <t>14633</t>
  </si>
  <si>
    <t>ENTREPRISE COMM. MIN. AGRICOLE ET DE SECURITE Sarl</t>
  </si>
  <si>
    <t>07/09/2023</t>
  </si>
  <si>
    <t>02102</t>
  </si>
  <si>
    <t>02103</t>
  </si>
  <si>
    <t>02101</t>
  </si>
  <si>
    <t>A0700518X</t>
  </si>
  <si>
    <t>02458</t>
  </si>
  <si>
    <t>04719</t>
  </si>
  <si>
    <t>04720</t>
  </si>
  <si>
    <t>00072</t>
  </si>
  <si>
    <t>04721</t>
  </si>
  <si>
    <t>00073</t>
  </si>
  <si>
    <t>05324</t>
  </si>
  <si>
    <t>00074</t>
  </si>
  <si>
    <t>06587</t>
  </si>
  <si>
    <t>00075</t>
  </si>
  <si>
    <t>06588</t>
  </si>
  <si>
    <t>06589</t>
  </si>
  <si>
    <t>00133</t>
  </si>
  <si>
    <t>06590</t>
  </si>
  <si>
    <t>00077</t>
  </si>
  <si>
    <t>00078</t>
  </si>
  <si>
    <t>09213</t>
  </si>
  <si>
    <t>00144</t>
  </si>
  <si>
    <t>09214</t>
  </si>
  <si>
    <t>01732</t>
  </si>
  <si>
    <t>01620</t>
  </si>
  <si>
    <t>01731</t>
  </si>
  <si>
    <t>01659</t>
  </si>
  <si>
    <t>01730</t>
  </si>
  <si>
    <t>04/10/2023</t>
  </si>
  <si>
    <t>02237</t>
  </si>
  <si>
    <t>A1607285M</t>
  </si>
  <si>
    <t>EUGO INVESTMENT Sarl</t>
  </si>
  <si>
    <t>01502</t>
  </si>
  <si>
    <t>00712/01024/1206</t>
  </si>
  <si>
    <t>14249</t>
  </si>
  <si>
    <t>01025</t>
  </si>
  <si>
    <t>13394</t>
  </si>
  <si>
    <t>01023</t>
  </si>
  <si>
    <t>13395</t>
  </si>
  <si>
    <t>01028</t>
  </si>
  <si>
    <t>13396</t>
  </si>
  <si>
    <t>02072</t>
  </si>
  <si>
    <t>02073</t>
  </si>
  <si>
    <t>02074</t>
  </si>
  <si>
    <t>EVERBRIGHT MINING Sarl</t>
  </si>
  <si>
    <t>00233</t>
  </si>
  <si>
    <t>00366</t>
  </si>
  <si>
    <t>A1820620J</t>
  </si>
  <si>
    <t>00866</t>
  </si>
  <si>
    <t>EVEREST MINING Sarl</t>
  </si>
  <si>
    <t>00870</t>
  </si>
  <si>
    <t>01269</t>
  </si>
  <si>
    <t>A0906500B</t>
  </si>
  <si>
    <t>00234</t>
  </si>
  <si>
    <t>00975</t>
  </si>
  <si>
    <t>04881</t>
  </si>
  <si>
    <t>N57031W</t>
  </si>
  <si>
    <t>01263</t>
  </si>
  <si>
    <t>13569</t>
  </si>
  <si>
    <t>01260</t>
  </si>
  <si>
    <t>01262</t>
  </si>
  <si>
    <t>13570</t>
  </si>
  <si>
    <t>00874</t>
  </si>
  <si>
    <t>01265</t>
  </si>
  <si>
    <t>00126</t>
  </si>
  <si>
    <t>01261</t>
  </si>
  <si>
    <t>00876</t>
  </si>
  <si>
    <t>01264</t>
  </si>
  <si>
    <t>01379</t>
  </si>
  <si>
    <t>01376</t>
  </si>
  <si>
    <t>01377</t>
  </si>
  <si>
    <t>00879</t>
  </si>
  <si>
    <t>01378</t>
  </si>
  <si>
    <t>EXTRA MADURA Sarl</t>
  </si>
  <si>
    <t>00098</t>
  </si>
  <si>
    <t>00494</t>
  </si>
  <si>
    <t>13628</t>
  </si>
  <si>
    <t>00880</t>
  </si>
  <si>
    <t>00493</t>
  </si>
  <si>
    <t>A1304707G</t>
  </si>
  <si>
    <t>FAST SERVICE COMPANY Sarl</t>
  </si>
  <si>
    <t>01503</t>
  </si>
  <si>
    <t>00970</t>
  </si>
  <si>
    <t>13731</t>
  </si>
  <si>
    <t>01504</t>
  </si>
  <si>
    <t>00967</t>
  </si>
  <si>
    <t>13752</t>
  </si>
  <si>
    <t>A0707210F</t>
  </si>
  <si>
    <t>FEREXFOR NKV SPRL</t>
  </si>
  <si>
    <t>00079</t>
  </si>
  <si>
    <t>01929</t>
  </si>
  <si>
    <t>09607</t>
  </si>
  <si>
    <t>00080</t>
  </si>
  <si>
    <t>01930</t>
  </si>
  <si>
    <t>09608</t>
  </si>
  <si>
    <t>00081</t>
  </si>
  <si>
    <t>01932</t>
  </si>
  <si>
    <t>09609</t>
  </si>
  <si>
    <t>00082</t>
  </si>
  <si>
    <t>01931</t>
  </si>
  <si>
    <t>09610</t>
  </si>
  <si>
    <t>A1800794J</t>
  </si>
  <si>
    <t>FEZA PENETEBA MINING Sarl</t>
  </si>
  <si>
    <t>00881</t>
  </si>
  <si>
    <t>14177</t>
  </si>
  <si>
    <t>A1904827T</t>
  </si>
  <si>
    <t>00989</t>
  </si>
  <si>
    <t>A2037443X</t>
  </si>
  <si>
    <t>01505</t>
  </si>
  <si>
    <t>14983</t>
  </si>
  <si>
    <t>20/07/2023</t>
  </si>
  <si>
    <t>00124</t>
  </si>
  <si>
    <t>01924</t>
  </si>
  <si>
    <t>A1211608O</t>
  </si>
  <si>
    <t>00083</t>
  </si>
  <si>
    <t>10850</t>
  </si>
  <si>
    <t>00274</t>
  </si>
  <si>
    <t>05160</t>
  </si>
  <si>
    <t>00273</t>
  </si>
  <si>
    <t>05273</t>
  </si>
  <si>
    <t>05162</t>
  </si>
  <si>
    <t>02227</t>
  </si>
  <si>
    <t>04004</t>
  </si>
  <si>
    <t>02228</t>
  </si>
  <si>
    <t>08139</t>
  </si>
  <si>
    <t>A1112270A</t>
  </si>
  <si>
    <t>00528</t>
  </si>
  <si>
    <t>02229</t>
  </si>
  <si>
    <t>13079</t>
  </si>
  <si>
    <t>A2165700M</t>
  </si>
  <si>
    <t>A1107280B</t>
  </si>
  <si>
    <t>FORTUNE CONSTRUCTION CONGO Sarl</t>
  </si>
  <si>
    <t>00084</t>
  </si>
  <si>
    <t>00541</t>
  </si>
  <si>
    <t>12293</t>
  </si>
  <si>
    <t>07/06/2023</t>
  </si>
  <si>
    <t>01771</t>
  </si>
  <si>
    <t>A2291155G</t>
  </si>
  <si>
    <t>07/03/2023</t>
  </si>
  <si>
    <t>01631</t>
  </si>
  <si>
    <t>A0705327Z</t>
  </si>
  <si>
    <t>FRETIN CONSTRUCT Sarl</t>
  </si>
  <si>
    <t>01076</t>
  </si>
  <si>
    <t>04127</t>
  </si>
  <si>
    <t>01506</t>
  </si>
  <si>
    <t>01909</t>
  </si>
  <si>
    <t>04128</t>
  </si>
  <si>
    <t>FRONTIER SPRL</t>
  </si>
  <si>
    <t>00235</t>
  </si>
  <si>
    <t>01056</t>
  </si>
  <si>
    <t>A1205579D</t>
  </si>
  <si>
    <t>28/09/2023</t>
  </si>
  <si>
    <t>00238</t>
  </si>
  <si>
    <t>02209</t>
  </si>
  <si>
    <t>00236</t>
  </si>
  <si>
    <t>00237</t>
  </si>
  <si>
    <t>02357</t>
  </si>
  <si>
    <t xml:space="preserve"> A2152606E</t>
  </si>
  <si>
    <t>15099</t>
  </si>
  <si>
    <t>05/01/2023</t>
  </si>
  <si>
    <t>01915</t>
  </si>
  <si>
    <t>00262</t>
  </si>
  <si>
    <t>01060</t>
  </si>
  <si>
    <t>00240</t>
  </si>
  <si>
    <t>00393</t>
  </si>
  <si>
    <t>00241</t>
  </si>
  <si>
    <t>00394</t>
  </si>
  <si>
    <t>00119</t>
  </si>
  <si>
    <t>00242</t>
  </si>
  <si>
    <t>00395</t>
  </si>
  <si>
    <t>00243</t>
  </si>
  <si>
    <t>00396</t>
  </si>
  <si>
    <t>00121</t>
  </si>
  <si>
    <t>00244</t>
  </si>
  <si>
    <t>00397</t>
  </si>
  <si>
    <t>00464</t>
  </si>
  <si>
    <t>00245</t>
  </si>
  <si>
    <t>00398</t>
  </si>
  <si>
    <t>00481</t>
  </si>
  <si>
    <t>00246</t>
  </si>
  <si>
    <t>00399</t>
  </si>
  <si>
    <t>00247</t>
  </si>
  <si>
    <t>00400</t>
  </si>
  <si>
    <t>00249</t>
  </si>
  <si>
    <t>00401</t>
  </si>
  <si>
    <t>00529</t>
  </si>
  <si>
    <t>00250</t>
  </si>
  <si>
    <t>00402</t>
  </si>
  <si>
    <t>00530</t>
  </si>
  <si>
    <t>00251</t>
  </si>
  <si>
    <t>00403</t>
  </si>
  <si>
    <t>00531</t>
  </si>
  <si>
    <t>00252</t>
  </si>
  <si>
    <t>00404</t>
  </si>
  <si>
    <t>00532</t>
  </si>
  <si>
    <t>00253</t>
  </si>
  <si>
    <t>00405</t>
  </si>
  <si>
    <t>00536</t>
  </si>
  <si>
    <t>00254</t>
  </si>
  <si>
    <t>00406</t>
  </si>
  <si>
    <t>00537</t>
  </si>
  <si>
    <t>00258</t>
  </si>
  <si>
    <t>00407</t>
  </si>
  <si>
    <t>01050</t>
  </si>
  <si>
    <t>00259</t>
  </si>
  <si>
    <t>00408</t>
  </si>
  <si>
    <t>01052</t>
  </si>
  <si>
    <t>00260</t>
  </si>
  <si>
    <t>00409</t>
  </si>
  <si>
    <t>01054</t>
  </si>
  <si>
    <t>00261</t>
  </si>
  <si>
    <t>00410</t>
  </si>
  <si>
    <t>00263</t>
  </si>
  <si>
    <t>00411</t>
  </si>
  <si>
    <t>00264</t>
  </si>
  <si>
    <t>00412</t>
  </si>
  <si>
    <t>00266</t>
  </si>
  <si>
    <t>00413</t>
  </si>
  <si>
    <t>00267</t>
  </si>
  <si>
    <t>00414</t>
  </si>
  <si>
    <t>01074</t>
  </si>
  <si>
    <t>00268</t>
  </si>
  <si>
    <t>00415</t>
  </si>
  <si>
    <t>01075</t>
  </si>
  <si>
    <t>00416</t>
  </si>
  <si>
    <t>00417</t>
  </si>
  <si>
    <t>00272</t>
  </si>
  <si>
    <t>00418</t>
  </si>
  <si>
    <t>01079</t>
  </si>
  <si>
    <t>00419</t>
  </si>
  <si>
    <t>00420</t>
  </si>
  <si>
    <t>01086</t>
  </si>
  <si>
    <t>00275</t>
  </si>
  <si>
    <t>00421</t>
  </si>
  <si>
    <t>00276</t>
  </si>
  <si>
    <t>00422</t>
  </si>
  <si>
    <t>00277</t>
  </si>
  <si>
    <t>00424</t>
  </si>
  <si>
    <t>01090</t>
  </si>
  <si>
    <t>00278</t>
  </si>
  <si>
    <t>00423</t>
  </si>
  <si>
    <t>01776</t>
  </si>
  <si>
    <t>00279</t>
  </si>
  <si>
    <t>00425</t>
  </si>
  <si>
    <t>02347</t>
  </si>
  <si>
    <t>00280</t>
  </si>
  <si>
    <t>00426</t>
  </si>
  <si>
    <t>02348</t>
  </si>
  <si>
    <t>00281</t>
  </si>
  <si>
    <t>00427</t>
  </si>
  <si>
    <t>02349</t>
  </si>
  <si>
    <t>00282</t>
  </si>
  <si>
    <t>00428</t>
  </si>
  <si>
    <t>02350</t>
  </si>
  <si>
    <t>00283</t>
  </si>
  <si>
    <t>00429</t>
  </si>
  <si>
    <t>02351</t>
  </si>
  <si>
    <t>00284</t>
  </si>
  <si>
    <t>00430</t>
  </si>
  <si>
    <t>02352</t>
  </si>
  <si>
    <t>00285</t>
  </si>
  <si>
    <t>00431</t>
  </si>
  <si>
    <t>02353</t>
  </si>
  <si>
    <t>00286</t>
  </si>
  <si>
    <t>00432</t>
  </si>
  <si>
    <t>02354</t>
  </si>
  <si>
    <t>00287</t>
  </si>
  <si>
    <t>00433</t>
  </si>
  <si>
    <t>02355</t>
  </si>
  <si>
    <t>00288</t>
  </si>
  <si>
    <t>00434</t>
  </si>
  <si>
    <t>02356</t>
  </si>
  <si>
    <t>00289</t>
  </si>
  <si>
    <t>00435</t>
  </si>
  <si>
    <t>00436</t>
  </si>
  <si>
    <t>02358</t>
  </si>
  <si>
    <t>00291</t>
  </si>
  <si>
    <t>00437</t>
  </si>
  <si>
    <t>02359</t>
  </si>
  <si>
    <t>00292</t>
  </si>
  <si>
    <t>00438</t>
  </si>
  <si>
    <t>02360</t>
  </si>
  <si>
    <t>00293</t>
  </si>
  <si>
    <t>00439</t>
  </si>
  <si>
    <t>00294</t>
  </si>
  <si>
    <t>00440</t>
  </si>
  <si>
    <t>00441</t>
  </si>
  <si>
    <t>00296</t>
  </si>
  <si>
    <t>00442</t>
  </si>
  <si>
    <t>02603</t>
  </si>
  <si>
    <t>00298</t>
  </si>
  <si>
    <t>00443</t>
  </si>
  <si>
    <t>02605</t>
  </si>
  <si>
    <t>00300</t>
  </si>
  <si>
    <t>00444</t>
  </si>
  <si>
    <t>02809</t>
  </si>
  <si>
    <t>00301</t>
  </si>
  <si>
    <t>00445</t>
  </si>
  <si>
    <t>02810</t>
  </si>
  <si>
    <t>00302</t>
  </si>
  <si>
    <t>00446</t>
  </si>
  <si>
    <t>02811</t>
  </si>
  <si>
    <t>A1010504E</t>
  </si>
  <si>
    <t>00447</t>
  </si>
  <si>
    <t>04018</t>
  </si>
  <si>
    <t>00303</t>
  </si>
  <si>
    <t>00448</t>
  </si>
  <si>
    <t>04886</t>
  </si>
  <si>
    <t>00304</t>
  </si>
  <si>
    <t>00449</t>
  </si>
  <si>
    <t>04958</t>
  </si>
  <si>
    <t>00305</t>
  </si>
  <si>
    <t>00450</t>
  </si>
  <si>
    <t>04962</t>
  </si>
  <si>
    <t>00451</t>
  </si>
  <si>
    <t>07571</t>
  </si>
  <si>
    <t>00308</t>
  </si>
  <si>
    <t>00452</t>
  </si>
  <si>
    <t>08841</t>
  </si>
  <si>
    <t>00558</t>
  </si>
  <si>
    <t>00453</t>
  </si>
  <si>
    <t>09683</t>
  </si>
  <si>
    <t>00559</t>
  </si>
  <si>
    <t>00454</t>
  </si>
  <si>
    <t>09684</t>
  </si>
  <si>
    <t>00560</t>
  </si>
  <si>
    <t>00455</t>
  </si>
  <si>
    <t>09685</t>
  </si>
  <si>
    <t>00561</t>
  </si>
  <si>
    <t>00456</t>
  </si>
  <si>
    <t>09687</t>
  </si>
  <si>
    <t>00309</t>
  </si>
  <si>
    <t>00457</t>
  </si>
  <si>
    <t>00310</t>
  </si>
  <si>
    <t>00458</t>
  </si>
  <si>
    <t>00459</t>
  </si>
  <si>
    <t>00460</t>
  </si>
  <si>
    <t>00313</t>
  </si>
  <si>
    <t>00461</t>
  </si>
  <si>
    <t>11229</t>
  </si>
  <si>
    <t>00314</t>
  </si>
  <si>
    <t>00462</t>
  </si>
  <si>
    <t>00316</t>
  </si>
  <si>
    <t>11599</t>
  </si>
  <si>
    <t>00317</t>
  </si>
  <si>
    <t>11600</t>
  </si>
  <si>
    <t>00318</t>
  </si>
  <si>
    <t>01057</t>
  </si>
  <si>
    <t>12094</t>
  </si>
  <si>
    <t>00319</t>
  </si>
  <si>
    <t>01004</t>
  </si>
  <si>
    <t>12133</t>
  </si>
  <si>
    <t>00465</t>
  </si>
  <si>
    <t>12270</t>
  </si>
  <si>
    <t>00321</t>
  </si>
  <si>
    <t>00466</t>
  </si>
  <si>
    <t>12274</t>
  </si>
  <si>
    <t>12275</t>
  </si>
  <si>
    <t>12276</t>
  </si>
  <si>
    <t>00562</t>
  </si>
  <si>
    <t>00470</t>
  </si>
  <si>
    <t>00471</t>
  </si>
  <si>
    <t>00472</t>
  </si>
  <si>
    <t>00563</t>
  </si>
  <si>
    <t>00473</t>
  </si>
  <si>
    <t>00564</t>
  </si>
  <si>
    <t>00474</t>
  </si>
  <si>
    <t>00475</t>
  </si>
  <si>
    <t>00325</t>
  </si>
  <si>
    <t>00476</t>
  </si>
  <si>
    <t>13234</t>
  </si>
  <si>
    <t>00327</t>
  </si>
  <si>
    <t>00477</t>
  </si>
  <si>
    <t>13254</t>
  </si>
  <si>
    <t>00328</t>
  </si>
  <si>
    <t>00478</t>
  </si>
  <si>
    <t>13256</t>
  </si>
  <si>
    <t>00329</t>
  </si>
  <si>
    <t>00479</t>
  </si>
  <si>
    <t>13829</t>
  </si>
  <si>
    <t>00330</t>
  </si>
  <si>
    <t>00480</t>
  </si>
  <si>
    <t>13830</t>
  </si>
  <si>
    <t>00331</t>
  </si>
  <si>
    <t>00332</t>
  </si>
  <si>
    <t>00482</t>
  </si>
  <si>
    <t>00565</t>
  </si>
  <si>
    <t>00483</t>
  </si>
  <si>
    <t>01507</t>
  </si>
  <si>
    <t>00484</t>
  </si>
  <si>
    <t>14771</t>
  </si>
  <si>
    <t>00334</t>
  </si>
  <si>
    <t>00485</t>
  </si>
  <si>
    <t>01283</t>
  </si>
  <si>
    <t>A0800395P</t>
  </si>
  <si>
    <t>00297</t>
  </si>
  <si>
    <t>01284</t>
  </si>
  <si>
    <t>02604</t>
  </si>
  <si>
    <t>00299</t>
  </si>
  <si>
    <t>01285</t>
  </si>
  <si>
    <t>02808</t>
  </si>
  <si>
    <t>00295</t>
  </si>
  <si>
    <t>01106</t>
  </si>
  <si>
    <t>02590</t>
  </si>
  <si>
    <t>01172</t>
  </si>
  <si>
    <t>01077</t>
  </si>
  <si>
    <t>00326</t>
  </si>
  <si>
    <t>01173</t>
  </si>
  <si>
    <t>13235</t>
  </si>
  <si>
    <t>01174</t>
  </si>
  <si>
    <t>14366</t>
  </si>
  <si>
    <t>00248</t>
  </si>
  <si>
    <t>01347</t>
  </si>
  <si>
    <t>00255</t>
  </si>
  <si>
    <t>01348</t>
  </si>
  <si>
    <t>00538</t>
  </si>
  <si>
    <t>00256</t>
  </si>
  <si>
    <t>01349</t>
  </si>
  <si>
    <t>00539</t>
  </si>
  <si>
    <t>00306</t>
  </si>
  <si>
    <t>01517</t>
  </si>
  <si>
    <t>07044</t>
  </si>
  <si>
    <t>01518</t>
  </si>
  <si>
    <t>00315</t>
  </si>
  <si>
    <t>01963</t>
  </si>
  <si>
    <t>11522</t>
  </si>
  <si>
    <t>13/07/2023</t>
  </si>
  <si>
    <t>00257</t>
  </si>
  <si>
    <t>01919</t>
  </si>
  <si>
    <t>00540</t>
  </si>
  <si>
    <t>01964</t>
  </si>
  <si>
    <t>00360</t>
  </si>
  <si>
    <t>01740</t>
  </si>
  <si>
    <t>01741</t>
  </si>
  <si>
    <t>01967</t>
  </si>
  <si>
    <t>01966</t>
  </si>
  <si>
    <t>01742</t>
  </si>
  <si>
    <t>01969</t>
  </si>
  <si>
    <t>00544</t>
  </si>
  <si>
    <t>01968</t>
  </si>
  <si>
    <t>01970</t>
  </si>
  <si>
    <t>10777</t>
  </si>
  <si>
    <t>01743</t>
  </si>
  <si>
    <t>01971</t>
  </si>
  <si>
    <t>00157</t>
  </si>
  <si>
    <t>01972</t>
  </si>
  <si>
    <t>10778</t>
  </si>
  <si>
    <t>01796</t>
  </si>
  <si>
    <t>01797</t>
  </si>
  <si>
    <t>11/10/2023</t>
  </si>
  <si>
    <t>02249</t>
  </si>
  <si>
    <t>A1301588R</t>
  </si>
  <si>
    <t>14/11/2023</t>
  </si>
  <si>
    <t>00337</t>
  </si>
  <si>
    <t>02338</t>
  </si>
  <si>
    <t>02340</t>
  </si>
  <si>
    <t>02339</t>
  </si>
  <si>
    <t>00338</t>
  </si>
  <si>
    <t>02334</t>
  </si>
  <si>
    <t>02337</t>
  </si>
  <si>
    <t>02332</t>
  </si>
  <si>
    <t>00339</t>
  </si>
  <si>
    <t>02335</t>
  </si>
  <si>
    <t>02639</t>
  </si>
  <si>
    <t>02336</t>
  </si>
  <si>
    <t>04093</t>
  </si>
  <si>
    <t>A1620841X</t>
  </si>
  <si>
    <t>GEMICA Sarl</t>
  </si>
  <si>
    <t>00497</t>
  </si>
  <si>
    <t>00498</t>
  </si>
  <si>
    <t>A1916483N</t>
  </si>
  <si>
    <t>00094</t>
  </si>
  <si>
    <t>A0810274C</t>
  </si>
  <si>
    <t>GENERALE CONGOLAISE SPRL</t>
  </si>
  <si>
    <t>01508</t>
  </si>
  <si>
    <t>08891</t>
  </si>
  <si>
    <t>01509</t>
  </si>
  <si>
    <t>08892</t>
  </si>
  <si>
    <t>01510</t>
  </si>
  <si>
    <t>08893</t>
  </si>
  <si>
    <t>A1805365C</t>
  </si>
  <si>
    <t>GENERALE DE CONSULTANCE</t>
  </si>
  <si>
    <t>01029</t>
  </si>
  <si>
    <t>14293</t>
  </si>
  <si>
    <t>01027</t>
  </si>
  <si>
    <t>01081</t>
  </si>
  <si>
    <t>14256</t>
  </si>
  <si>
    <t>14292</t>
  </si>
  <si>
    <t>GENERALE DES CARRIERES ET DES MINES DU CONGO Sarl</t>
  </si>
  <si>
    <t>01735</t>
  </si>
  <si>
    <t>01553</t>
  </si>
  <si>
    <t>01556</t>
  </si>
  <si>
    <t>01798</t>
  </si>
  <si>
    <t>01552</t>
  </si>
  <si>
    <t>01799</t>
  </si>
  <si>
    <t>01554</t>
  </si>
  <si>
    <t>01800</t>
  </si>
  <si>
    <t>01557</t>
  </si>
  <si>
    <t>01801</t>
  </si>
  <si>
    <t>01555</t>
  </si>
  <si>
    <t>A2037334D</t>
  </si>
  <si>
    <t>01634</t>
  </si>
  <si>
    <t>00955</t>
  </si>
  <si>
    <t>00951</t>
  </si>
  <si>
    <t>00900</t>
  </si>
  <si>
    <t>00950</t>
  </si>
  <si>
    <t>00901</t>
  </si>
  <si>
    <t>00956</t>
  </si>
  <si>
    <t>00902</t>
  </si>
  <si>
    <t>00952</t>
  </si>
  <si>
    <t>00904</t>
  </si>
  <si>
    <t>00954</t>
  </si>
  <si>
    <t>00953</t>
  </si>
  <si>
    <t>01914</t>
  </si>
  <si>
    <t>02096</t>
  </si>
  <si>
    <t>02145</t>
  </si>
  <si>
    <t>A1302405E</t>
  </si>
  <si>
    <t>GEOSCIENCE CONGO SERVICES Sprl</t>
  </si>
  <si>
    <t>00340</t>
  </si>
  <si>
    <t>00554</t>
  </si>
  <si>
    <t>04019</t>
  </si>
  <si>
    <t>00341</t>
  </si>
  <si>
    <t>00342</t>
  </si>
  <si>
    <t>00372</t>
  </si>
  <si>
    <t>00343</t>
  </si>
  <si>
    <t>00371</t>
  </si>
  <si>
    <t>00345</t>
  </si>
  <si>
    <t>00374</t>
  </si>
  <si>
    <t>A1622642E</t>
  </si>
  <si>
    <t>00346</t>
  </si>
  <si>
    <t>00373</t>
  </si>
  <si>
    <t>00344</t>
  </si>
  <si>
    <t>A2298118A</t>
  </si>
  <si>
    <t>GICHON LUIZA Sarl</t>
  </si>
  <si>
    <t>01907</t>
  </si>
  <si>
    <t>01725</t>
  </si>
  <si>
    <t>A1216135C</t>
  </si>
  <si>
    <t>00348</t>
  </si>
  <si>
    <t>01199</t>
  </si>
  <si>
    <t>05049</t>
  </si>
  <si>
    <t>00347</t>
  </si>
  <si>
    <t>01205</t>
  </si>
  <si>
    <t>05046</t>
  </si>
  <si>
    <t>A1919434 W</t>
  </si>
  <si>
    <t>00905</t>
  </si>
  <si>
    <t>02240</t>
  </si>
  <si>
    <t>A1609074G</t>
  </si>
  <si>
    <t>00906</t>
  </si>
  <si>
    <t>01154</t>
  </si>
  <si>
    <t>14110</t>
  </si>
  <si>
    <t>00907</t>
  </si>
  <si>
    <t>01155</t>
  </si>
  <si>
    <t>00908</t>
  </si>
  <si>
    <t>01156</t>
  </si>
  <si>
    <t>A1607398K</t>
  </si>
  <si>
    <t>GLOBAL TRADING COMMODITIES Sarl</t>
  </si>
  <si>
    <t>00909</t>
  </si>
  <si>
    <t>02282</t>
  </si>
  <si>
    <t>14084</t>
  </si>
  <si>
    <t>02283</t>
  </si>
  <si>
    <t>14085</t>
  </si>
  <si>
    <t>A1810752H</t>
  </si>
  <si>
    <t>01069</t>
  </si>
  <si>
    <t>00912</t>
  </si>
  <si>
    <t>01070</t>
  </si>
  <si>
    <t>A1302135L</t>
  </si>
  <si>
    <t>00503</t>
  </si>
  <si>
    <t>07812</t>
  </si>
  <si>
    <t>GOLDEN AFRICA RESSOURCES SPRL</t>
  </si>
  <si>
    <t>27/07/2023</t>
  </si>
  <si>
    <t>00533</t>
  </si>
  <si>
    <t>09898</t>
  </si>
  <si>
    <t>00349</t>
  </si>
  <si>
    <t>A1705611T</t>
  </si>
  <si>
    <t>GOLDEN CONSTRUCTION Sarl</t>
  </si>
  <si>
    <t>00919</t>
  </si>
  <si>
    <t>00920</t>
  </si>
  <si>
    <t>00921</t>
  </si>
  <si>
    <t>00922</t>
  </si>
  <si>
    <t>01511</t>
  </si>
  <si>
    <t>14792</t>
  </si>
  <si>
    <t>00916</t>
  </si>
  <si>
    <t>00917</t>
  </si>
  <si>
    <t>01568</t>
  </si>
  <si>
    <t>01768</t>
  </si>
  <si>
    <t>01567</t>
  </si>
  <si>
    <t>01785</t>
  </si>
  <si>
    <t>01564</t>
  </si>
  <si>
    <t>01786</t>
  </si>
  <si>
    <t>01571</t>
  </si>
  <si>
    <t>00923</t>
  </si>
  <si>
    <t>A0702589Y</t>
  </si>
  <si>
    <t>GOLDEN VALLEY (MISUNU BONANA)</t>
  </si>
  <si>
    <t>01675</t>
  </si>
  <si>
    <t>00916/01006</t>
  </si>
  <si>
    <t>04980</t>
  </si>
  <si>
    <t>01674</t>
  </si>
  <si>
    <t>04985</t>
  </si>
  <si>
    <t>01673</t>
  </si>
  <si>
    <t>04986</t>
  </si>
  <si>
    <t>01672</t>
  </si>
  <si>
    <t>04987</t>
  </si>
  <si>
    <t>01671</t>
  </si>
  <si>
    <t>04988</t>
  </si>
  <si>
    <t>01670</t>
  </si>
  <si>
    <t>04989</t>
  </si>
  <si>
    <t>01669</t>
  </si>
  <si>
    <t>00919/01012</t>
  </si>
  <si>
    <t>05023</t>
  </si>
  <si>
    <t>01668</t>
  </si>
  <si>
    <t>05024</t>
  </si>
  <si>
    <t>A2162816C</t>
  </si>
  <si>
    <t>00924</t>
  </si>
  <si>
    <t>15115</t>
  </si>
  <si>
    <t>A1508340H</t>
  </si>
  <si>
    <t>GOLIN MINING INVESTMENT Sarl</t>
  </si>
  <si>
    <t>00925</t>
  </si>
  <si>
    <t>00928</t>
  </si>
  <si>
    <t>A2025794K</t>
  </si>
  <si>
    <t>02/05/2023</t>
  </si>
  <si>
    <t>00941</t>
  </si>
  <si>
    <t>14877</t>
  </si>
  <si>
    <t>01514</t>
  </si>
  <si>
    <t>14863</t>
  </si>
  <si>
    <t>00930</t>
  </si>
  <si>
    <t>01516</t>
  </si>
  <si>
    <t>00931</t>
  </si>
  <si>
    <t>14868</t>
  </si>
  <si>
    <t>00934</t>
  </si>
  <si>
    <t>14870</t>
  </si>
  <si>
    <t>01540</t>
  </si>
  <si>
    <t>14871</t>
  </si>
  <si>
    <t>14872</t>
  </si>
  <si>
    <t>14873</t>
  </si>
  <si>
    <t>00938</t>
  </si>
  <si>
    <t>00939</t>
  </si>
  <si>
    <t>14875</t>
  </si>
  <si>
    <t>00940</t>
  </si>
  <si>
    <t>14876</t>
  </si>
  <si>
    <t>00942</t>
  </si>
  <si>
    <t>00943</t>
  </si>
  <si>
    <t>00944</t>
  </si>
  <si>
    <t>00945</t>
  </si>
  <si>
    <t>00947</t>
  </si>
  <si>
    <t>15186</t>
  </si>
  <si>
    <t>00946</t>
  </si>
  <si>
    <t>15187</t>
  </si>
  <si>
    <t>A1825155N</t>
  </si>
  <si>
    <t>01534</t>
  </si>
  <si>
    <t>A2213662A</t>
  </si>
  <si>
    <t>01853</t>
  </si>
  <si>
    <t>01903</t>
  </si>
  <si>
    <t>01854</t>
  </si>
  <si>
    <t>01905</t>
  </si>
  <si>
    <t>01855</t>
  </si>
  <si>
    <t>01904</t>
  </si>
  <si>
    <t>01857</t>
  </si>
  <si>
    <t>01902</t>
  </si>
  <si>
    <t>A1712779K</t>
  </si>
  <si>
    <t>GRACE ETONNANTE GROUPE Sarl</t>
  </si>
  <si>
    <t>14491</t>
  </si>
  <si>
    <t>A1414611G</t>
  </si>
  <si>
    <t>GRAND KIVU MINING Sarl</t>
  </si>
  <si>
    <t>00110</t>
  </si>
  <si>
    <t>13989</t>
  </si>
  <si>
    <t>13990</t>
  </si>
  <si>
    <t>00111</t>
  </si>
  <si>
    <t>13991</t>
  </si>
  <si>
    <t>00113</t>
  </si>
  <si>
    <t>13992</t>
  </si>
  <si>
    <t>14057</t>
  </si>
  <si>
    <t>A2035153H</t>
  </si>
  <si>
    <t>00112</t>
  </si>
  <si>
    <t>02027</t>
  </si>
  <si>
    <t>02095</t>
  </si>
  <si>
    <t>GRANDE CIMENTERIE DU KATANGA Sprl</t>
  </si>
  <si>
    <t>00992</t>
  </si>
  <si>
    <t>A1709340X</t>
  </si>
  <si>
    <t>28/07/2023</t>
  </si>
  <si>
    <t>01947</t>
  </si>
  <si>
    <t>01948</t>
  </si>
  <si>
    <t>15006</t>
  </si>
  <si>
    <t>A1809163F</t>
  </si>
  <si>
    <t>GREEN  MINING Sarl</t>
  </si>
  <si>
    <t>00958</t>
  </si>
  <si>
    <t>14354</t>
  </si>
  <si>
    <t>A2152330E</t>
  </si>
  <si>
    <t>GROUP  M.S.A SA</t>
  </si>
  <si>
    <t>00959</t>
  </si>
  <si>
    <t>01200</t>
  </si>
  <si>
    <t>A2176473X</t>
  </si>
  <si>
    <t>GROUP OF COMPANIE REKOPANE DRC SARL</t>
  </si>
  <si>
    <t>22/11/2023</t>
  </si>
  <si>
    <t>00960</t>
  </si>
  <si>
    <t>00961</t>
  </si>
  <si>
    <t>A1304245E</t>
  </si>
  <si>
    <t>GROUPE  MUEMA BUSINESS SARL</t>
  </si>
  <si>
    <t>00962</t>
  </si>
  <si>
    <t>A1913712B</t>
  </si>
  <si>
    <t>GROUPE D.M.S. BUSINESS Sarlu</t>
  </si>
  <si>
    <t>A1616309W</t>
  </si>
  <si>
    <t>GROUPE LES LEADERS SERVICE Sarl</t>
  </si>
  <si>
    <t>01113</t>
  </si>
  <si>
    <t>13617</t>
  </si>
  <si>
    <t>A1906717Y</t>
  </si>
  <si>
    <t>GROUPE NEUF COMPANY Sarl</t>
  </si>
  <si>
    <t>13397</t>
  </si>
  <si>
    <t>13398</t>
  </si>
  <si>
    <t>13399</t>
  </si>
  <si>
    <t>13400</t>
  </si>
  <si>
    <t>00969</t>
  </si>
  <si>
    <t>13401</t>
  </si>
  <si>
    <t>13402</t>
  </si>
  <si>
    <t>13408</t>
  </si>
  <si>
    <t>13410</t>
  </si>
  <si>
    <t>13411</t>
  </si>
  <si>
    <t>13412</t>
  </si>
  <si>
    <t>13413</t>
  </si>
  <si>
    <t>13683</t>
  </si>
  <si>
    <t>00971</t>
  </si>
  <si>
    <t>13684</t>
  </si>
  <si>
    <t>00972</t>
  </si>
  <si>
    <t>13685</t>
  </si>
  <si>
    <t>00973</t>
  </si>
  <si>
    <t>A1901069J</t>
  </si>
  <si>
    <t>GROUPE NEUF CONSTRUCTION COMPANY Sarl</t>
  </si>
  <si>
    <t>01519</t>
  </si>
  <si>
    <t>14424</t>
  </si>
  <si>
    <t>01520</t>
  </si>
  <si>
    <t>14903</t>
  </si>
  <si>
    <t>01521</t>
  </si>
  <si>
    <t>14904</t>
  </si>
  <si>
    <t>GROUPE SIX Sarl</t>
  </si>
  <si>
    <t>07381</t>
  </si>
  <si>
    <t>07383</t>
  </si>
  <si>
    <t>07386</t>
  </si>
  <si>
    <t>00093</t>
  </si>
  <si>
    <t>07385</t>
  </si>
  <si>
    <t xml:space="preserve"> A1000223F</t>
  </si>
  <si>
    <t>00974</t>
  </si>
  <si>
    <t>01528</t>
  </si>
  <si>
    <t>01979</t>
  </si>
  <si>
    <t>02279</t>
  </si>
  <si>
    <t>A2032039U</t>
  </si>
  <si>
    <t>01871</t>
  </si>
  <si>
    <t>01981</t>
  </si>
  <si>
    <t>01872</t>
  </si>
  <si>
    <t>0B0770520</t>
  </si>
  <si>
    <t>13330</t>
  </si>
  <si>
    <t>A1905198X</t>
  </si>
  <si>
    <t>HASSAN ALI MOHAMED ABDALLAH</t>
  </si>
  <si>
    <t>01522</t>
  </si>
  <si>
    <t>01041</t>
  </si>
  <si>
    <t>09550</t>
  </si>
  <si>
    <t>01523</t>
  </si>
  <si>
    <t>01034</t>
  </si>
  <si>
    <t>09551</t>
  </si>
  <si>
    <t>01035</t>
  </si>
  <si>
    <t>09553</t>
  </si>
  <si>
    <t>01036</t>
  </si>
  <si>
    <t>09554</t>
  </si>
  <si>
    <t>01039</t>
  </si>
  <si>
    <t>09555</t>
  </si>
  <si>
    <t>01038</t>
  </si>
  <si>
    <t>09556</t>
  </si>
  <si>
    <t>01033</t>
  </si>
  <si>
    <t>09557</t>
  </si>
  <si>
    <t>01529</t>
  </si>
  <si>
    <t>01043</t>
  </si>
  <si>
    <t>09558</t>
  </si>
  <si>
    <t>01530</t>
  </si>
  <si>
    <t>01040</t>
  </si>
  <si>
    <t>09559</t>
  </si>
  <si>
    <t>A1400671W</t>
  </si>
  <si>
    <t>00976</t>
  </si>
  <si>
    <t>01238</t>
  </si>
  <si>
    <t>13881</t>
  </si>
  <si>
    <t>01237</t>
  </si>
  <si>
    <t>A1829267H</t>
  </si>
  <si>
    <t>00977</t>
  </si>
  <si>
    <t>02264</t>
  </si>
  <si>
    <t>00978</t>
  </si>
  <si>
    <t>01203</t>
  </si>
  <si>
    <t>00979</t>
  </si>
  <si>
    <t>00980</t>
  </si>
  <si>
    <t>01204</t>
  </si>
  <si>
    <t>00350</t>
  </si>
  <si>
    <t>00351</t>
  </si>
  <si>
    <t>00352</t>
  </si>
  <si>
    <t>A1822224C</t>
  </si>
  <si>
    <t>HOPE CONNECT MINING Sarl</t>
  </si>
  <si>
    <t>00981</t>
  </si>
  <si>
    <t>02098</t>
  </si>
  <si>
    <t>A1722327N</t>
  </si>
  <si>
    <t>HOPE MINING CONGO Sarl</t>
  </si>
  <si>
    <t>01011</t>
  </si>
  <si>
    <t>13983</t>
  </si>
  <si>
    <t>A0900126Y</t>
  </si>
  <si>
    <t>IMEC CONGO SPRL</t>
  </si>
  <si>
    <t>01271</t>
  </si>
  <si>
    <t>10462</t>
  </si>
  <si>
    <t>00096</t>
  </si>
  <si>
    <t>01270</t>
  </si>
  <si>
    <t>10463</t>
  </si>
  <si>
    <t>A1902132P</t>
  </si>
  <si>
    <t>00982</t>
  </si>
  <si>
    <t>00983</t>
  </si>
  <si>
    <t>00985</t>
  </si>
  <si>
    <t>01738</t>
  </si>
  <si>
    <t>01737</t>
  </si>
  <si>
    <t>01754</t>
  </si>
  <si>
    <t>01578</t>
  </si>
  <si>
    <t>01577</t>
  </si>
  <si>
    <t>25/10/2023</t>
  </si>
  <si>
    <t>02292/02296</t>
  </si>
  <si>
    <t>A0704876J</t>
  </si>
  <si>
    <t>01928</t>
  </si>
  <si>
    <t>15178</t>
  </si>
  <si>
    <t>00353</t>
  </si>
  <si>
    <t>00365</t>
  </si>
  <si>
    <t>00354</t>
  </si>
  <si>
    <t>00363</t>
  </si>
  <si>
    <t>00355</t>
  </si>
  <si>
    <t>00361</t>
  </si>
  <si>
    <t>04871</t>
  </si>
  <si>
    <t>00097</t>
  </si>
  <si>
    <t>00370</t>
  </si>
  <si>
    <t>04878</t>
  </si>
  <si>
    <t>00368</t>
  </si>
  <si>
    <t>04879</t>
  </si>
  <si>
    <t>00099</t>
  </si>
  <si>
    <t>00367</t>
  </si>
  <si>
    <t>06770</t>
  </si>
  <si>
    <t>00362</t>
  </si>
  <si>
    <t>14611</t>
  </si>
  <si>
    <t>00364</t>
  </si>
  <si>
    <t>14735</t>
  </si>
  <si>
    <t>15067</t>
  </si>
  <si>
    <t>00357</t>
  </si>
  <si>
    <t>15092</t>
  </si>
  <si>
    <t>01535</t>
  </si>
  <si>
    <t>15137</t>
  </si>
  <si>
    <t>01536</t>
  </si>
  <si>
    <t>15138</t>
  </si>
  <si>
    <t>15179</t>
  </si>
  <si>
    <t>15180</t>
  </si>
  <si>
    <t>00991</t>
  </si>
  <si>
    <t>15181</t>
  </si>
  <si>
    <t>15182</t>
  </si>
  <si>
    <t>00993</t>
  </si>
  <si>
    <t>15183</t>
  </si>
  <si>
    <t>01537</t>
  </si>
  <si>
    <t>15198</t>
  </si>
  <si>
    <t>26/10/2023</t>
  </si>
  <si>
    <t>02295</t>
  </si>
  <si>
    <t>A1300867H</t>
  </si>
  <si>
    <t>INTERMINES SPRL</t>
  </si>
  <si>
    <t>06136</t>
  </si>
  <si>
    <t>06137</t>
  </si>
  <si>
    <t>06139</t>
  </si>
  <si>
    <t>02056</t>
  </si>
  <si>
    <t>06140</t>
  </si>
  <si>
    <t>02057</t>
  </si>
  <si>
    <t>06141</t>
  </si>
  <si>
    <t>02055</t>
  </si>
  <si>
    <t>06142</t>
  </si>
  <si>
    <t>A0705305A</t>
  </si>
  <si>
    <t>INTERNATIONAL CUSTOMS AGENCY SPRL</t>
  </si>
  <si>
    <t>00549</t>
  </si>
  <si>
    <t>10465</t>
  </si>
  <si>
    <t>01539</t>
  </si>
  <si>
    <t>00550</t>
  </si>
  <si>
    <t>10466</t>
  </si>
  <si>
    <t>A2028250E</t>
  </si>
  <si>
    <t>28/11/2023</t>
  </si>
  <si>
    <t>00994</t>
  </si>
  <si>
    <t>A1305324C</t>
  </si>
  <si>
    <t>13267</t>
  </si>
  <si>
    <t>00996</t>
  </si>
  <si>
    <t>00572</t>
  </si>
  <si>
    <t>13268</t>
  </si>
  <si>
    <t>13273</t>
  </si>
  <si>
    <t>00997</t>
  </si>
  <si>
    <t>13274</t>
  </si>
  <si>
    <t>00998</t>
  </si>
  <si>
    <t>00568</t>
  </si>
  <si>
    <t>13275</t>
  </si>
  <si>
    <t>13276</t>
  </si>
  <si>
    <t>01000</t>
  </si>
  <si>
    <t>00567</t>
  </si>
  <si>
    <t>13277</t>
  </si>
  <si>
    <t>13278</t>
  </si>
  <si>
    <t>00569</t>
  </si>
  <si>
    <t>13279</t>
  </si>
  <si>
    <t>13280</t>
  </si>
  <si>
    <t>01005</t>
  </si>
  <si>
    <t>13281</t>
  </si>
  <si>
    <t>00566</t>
  </si>
  <si>
    <t>01881</t>
  </si>
  <si>
    <t>01006</t>
  </si>
  <si>
    <t>01007</t>
  </si>
  <si>
    <t>01008</t>
  </si>
  <si>
    <t>01009</t>
  </si>
  <si>
    <t>01010</t>
  </si>
  <si>
    <t>01012</t>
  </si>
  <si>
    <t>01013</t>
  </si>
  <si>
    <t>00555</t>
  </si>
  <si>
    <t>12086</t>
  </si>
  <si>
    <t>A1302556T</t>
  </si>
  <si>
    <t>01882</t>
  </si>
  <si>
    <t>12388</t>
  </si>
  <si>
    <t>00136</t>
  </si>
  <si>
    <t>00135</t>
  </si>
  <si>
    <t>12390</t>
  </si>
  <si>
    <t>02327</t>
  </si>
  <si>
    <t>02328</t>
  </si>
  <si>
    <t>A203527P</t>
  </si>
  <si>
    <t>01014</t>
  </si>
  <si>
    <t>01417</t>
  </si>
  <si>
    <t>A0702694M</t>
  </si>
  <si>
    <t>00369</t>
  </si>
  <si>
    <t>A0814681S</t>
  </si>
  <si>
    <t>01015</t>
  </si>
  <si>
    <t>12728</t>
  </si>
  <si>
    <t>01016</t>
  </si>
  <si>
    <t>14940</t>
  </si>
  <si>
    <t>A0900939G</t>
  </si>
  <si>
    <t>00359</t>
  </si>
  <si>
    <t>09261</t>
  </si>
  <si>
    <t>00358</t>
  </si>
  <si>
    <t>09262</t>
  </si>
  <si>
    <t>00506</t>
  </si>
  <si>
    <t>09263</t>
  </si>
  <si>
    <t>A1907410B</t>
  </si>
  <si>
    <t>JIT MINING Sarlu</t>
  </si>
  <si>
    <t>02097</t>
  </si>
  <si>
    <t>A2171841W</t>
  </si>
  <si>
    <t>JK MINERALS SARLU</t>
  </si>
  <si>
    <t>01603</t>
  </si>
  <si>
    <t>00153</t>
  </si>
  <si>
    <t>15395</t>
  </si>
  <si>
    <t>01656</t>
  </si>
  <si>
    <t>15538</t>
  </si>
  <si>
    <t>02036</t>
  </si>
  <si>
    <t>02453</t>
  </si>
  <si>
    <t>02037</t>
  </si>
  <si>
    <t>02454</t>
  </si>
  <si>
    <t xml:space="preserve"> A2152771J</t>
  </si>
  <si>
    <t>14/08/2023</t>
  </si>
  <si>
    <t>01017</t>
  </si>
  <si>
    <t>02000</t>
  </si>
  <si>
    <t xml:space="preserve"> A1720763N</t>
  </si>
  <si>
    <t>01560</t>
  </si>
  <si>
    <t>01559</t>
  </si>
  <si>
    <t>A1301585N</t>
  </si>
  <si>
    <t>01/09/2023</t>
  </si>
  <si>
    <t>00534</t>
  </si>
  <si>
    <t>02091</t>
  </si>
  <si>
    <t>08210</t>
  </si>
  <si>
    <t>A2284514N</t>
  </si>
  <si>
    <t>01625</t>
  </si>
  <si>
    <t>KALIKA MINING Sarl</t>
  </si>
  <si>
    <t>00141</t>
  </si>
  <si>
    <t>01465</t>
  </si>
  <si>
    <t>00142</t>
  </si>
  <si>
    <t>02238</t>
  </si>
  <si>
    <t>02239</t>
  </si>
  <si>
    <t>02594</t>
  </si>
  <si>
    <t>02306</t>
  </si>
  <si>
    <t>02595</t>
  </si>
  <si>
    <t>A2045170W</t>
  </si>
  <si>
    <t>01018</t>
  </si>
  <si>
    <t>00508</t>
  </si>
  <si>
    <t>01019</t>
  </si>
  <si>
    <t>00507</t>
  </si>
  <si>
    <t>01020</t>
  </si>
  <si>
    <t>00509</t>
  </si>
  <si>
    <t>A2213342C</t>
  </si>
  <si>
    <t>01777</t>
  </si>
  <si>
    <t>01605</t>
  </si>
  <si>
    <t>01775</t>
  </si>
  <si>
    <t>01606</t>
  </si>
  <si>
    <t>01607</t>
  </si>
  <si>
    <t>23/06/2023</t>
  </si>
  <si>
    <t>01848</t>
  </si>
  <si>
    <t>01022</t>
  </si>
  <si>
    <t>01847</t>
  </si>
  <si>
    <t>01849</t>
  </si>
  <si>
    <t>15275</t>
  </si>
  <si>
    <t>A1809543T</t>
  </si>
  <si>
    <t>KALORDIA MINING LOG. &amp; SERV. ENTREPRISES Sarl</t>
  </si>
  <si>
    <t>01823</t>
  </si>
  <si>
    <t>A1117102C</t>
  </si>
  <si>
    <t>10237</t>
  </si>
  <si>
    <t>00239</t>
  </si>
  <si>
    <t>26/12/2023</t>
  </si>
  <si>
    <t>01752</t>
  </si>
  <si>
    <t>13230</t>
  </si>
  <si>
    <t>A0700193T</t>
  </si>
  <si>
    <t>A1009556Z</t>
  </si>
  <si>
    <t>29/06/2023</t>
  </si>
  <si>
    <t>01686</t>
  </si>
  <si>
    <t>01844</t>
  </si>
  <si>
    <t>01843</t>
  </si>
  <si>
    <t>01842</t>
  </si>
  <si>
    <t>02066</t>
  </si>
  <si>
    <t>02065</t>
  </si>
  <si>
    <t>KAMOTO COPPER COMPANY</t>
  </si>
  <si>
    <t>04960</t>
  </si>
  <si>
    <t>04961</t>
  </si>
  <si>
    <t>04963</t>
  </si>
  <si>
    <t>11602</t>
  </si>
  <si>
    <t>A1804800N</t>
  </si>
  <si>
    <t>KAMUMER INTER. INVESTMENTS &amp; CONSULTING Sarl</t>
  </si>
  <si>
    <t>01024</t>
  </si>
  <si>
    <t>00377</t>
  </si>
  <si>
    <t>00378</t>
  </si>
  <si>
    <t>KANSONGA MINING</t>
  </si>
  <si>
    <t>00375</t>
  </si>
  <si>
    <t>04135</t>
  </si>
  <si>
    <t>KANUKA MINING</t>
  </si>
  <si>
    <t>01114</t>
  </si>
  <si>
    <t>01803</t>
  </si>
  <si>
    <t>04100</t>
  </si>
  <si>
    <t>03242</t>
  </si>
  <si>
    <t>A1905343E</t>
  </si>
  <si>
    <t>KAPIRI MINING Sarl</t>
  </si>
  <si>
    <t>01026</t>
  </si>
  <si>
    <t>01446</t>
  </si>
  <si>
    <t>01445</t>
  </si>
  <si>
    <t>01441</t>
  </si>
  <si>
    <t>01030</t>
  </si>
  <si>
    <t>01442</t>
  </si>
  <si>
    <t>01031</t>
  </si>
  <si>
    <t>01443</t>
  </si>
  <si>
    <t>01109</t>
  </si>
  <si>
    <t>A1921859G</t>
  </si>
  <si>
    <t>KARIBU CONSULTING Sarl</t>
  </si>
  <si>
    <t>25/09/2023</t>
  </si>
  <si>
    <t>01032</t>
  </si>
  <si>
    <t>02205</t>
  </si>
  <si>
    <t>A1706866H</t>
  </si>
  <si>
    <t>KASAI RESSOURCES Sarl</t>
  </si>
  <si>
    <t>13516</t>
  </si>
  <si>
    <t>A1008293B</t>
  </si>
  <si>
    <t>KATANGA CONSULTING COMPANY SPRL "KCC SPRL"</t>
  </si>
  <si>
    <t>00145</t>
  </si>
  <si>
    <t>00553</t>
  </si>
  <si>
    <t>12481</t>
  </si>
  <si>
    <t>09857</t>
  </si>
  <si>
    <t>A1309641U</t>
  </si>
  <si>
    <t>KATANGA DEVELOPPEMENT ET ASSOCIES SA</t>
  </si>
  <si>
    <t>01541</t>
  </si>
  <si>
    <t>02067</t>
  </si>
  <si>
    <t>13452</t>
  </si>
  <si>
    <t>KATANGA METALS Sarl</t>
  </si>
  <si>
    <t>A2040289Q</t>
  </si>
  <si>
    <t>01252</t>
  </si>
  <si>
    <t>01251</t>
  </si>
  <si>
    <t>01037</t>
  </si>
  <si>
    <t>01249</t>
  </si>
  <si>
    <t>01253</t>
  </si>
  <si>
    <t xml:space="preserve"> A1404687L</t>
  </si>
  <si>
    <t>06997</t>
  </si>
  <si>
    <t>A1403904K</t>
  </si>
  <si>
    <t>01542</t>
  </si>
  <si>
    <t>13707</t>
  </si>
  <si>
    <t>A1900940T</t>
  </si>
  <si>
    <t>00104</t>
  </si>
  <si>
    <t>01550</t>
  </si>
  <si>
    <t>01549</t>
  </si>
  <si>
    <t>01551</t>
  </si>
  <si>
    <t>01812</t>
  </si>
  <si>
    <t>A2204421F</t>
  </si>
  <si>
    <t>02287</t>
  </si>
  <si>
    <t>A0901469Y</t>
  </si>
  <si>
    <t>KGL SOMITURI SPRL</t>
  </si>
  <si>
    <t>00137</t>
  </si>
  <si>
    <t>00140</t>
  </si>
  <si>
    <t>05052</t>
  </si>
  <si>
    <t>05073</t>
  </si>
  <si>
    <t>05088</t>
  </si>
  <si>
    <t>A1906957 J</t>
  </si>
  <si>
    <t>02242</t>
  </si>
  <si>
    <t>02243</t>
  </si>
  <si>
    <t>A2924048Q</t>
  </si>
  <si>
    <t>01836</t>
  </si>
  <si>
    <t>A1904730N</t>
  </si>
  <si>
    <t>01814</t>
  </si>
  <si>
    <t>01044</t>
  </si>
  <si>
    <t>01815</t>
  </si>
  <si>
    <t>01045</t>
  </si>
  <si>
    <t>01811</t>
  </si>
  <si>
    <t>01046</t>
  </si>
  <si>
    <t>01816</t>
  </si>
  <si>
    <t>01047</t>
  </si>
  <si>
    <t>01048</t>
  </si>
  <si>
    <t>01049</t>
  </si>
  <si>
    <t>01813</t>
  </si>
  <si>
    <t>01809</t>
  </si>
  <si>
    <t>10/02/2023</t>
  </si>
  <si>
    <t>14558</t>
  </si>
  <si>
    <t>A2203639E</t>
  </si>
  <si>
    <t>01940</t>
  </si>
  <si>
    <t>02321</t>
  </si>
  <si>
    <t>A2025385Q</t>
  </si>
  <si>
    <t>01051</t>
  </si>
  <si>
    <t>01456</t>
  </si>
  <si>
    <t>01455</t>
  </si>
  <si>
    <t>A2180117H</t>
  </si>
  <si>
    <t>KIMIA GOLIN ORIENTALE RESSOURCES SARL</t>
  </si>
  <si>
    <t>01630</t>
  </si>
  <si>
    <t>01678</t>
  </si>
  <si>
    <t>01388</t>
  </si>
  <si>
    <t>01677</t>
  </si>
  <si>
    <t>01389</t>
  </si>
  <si>
    <t>13269</t>
  </si>
  <si>
    <t>01053</t>
  </si>
  <si>
    <t>13270</t>
  </si>
  <si>
    <t>01055</t>
  </si>
  <si>
    <t>13271</t>
  </si>
  <si>
    <t>13272</t>
  </si>
  <si>
    <t>01061</t>
  </si>
  <si>
    <t>01558</t>
  </si>
  <si>
    <t>A1404979D</t>
  </si>
  <si>
    <t>KIN-BETON Sarl</t>
  </si>
  <si>
    <t>13448</t>
  </si>
  <si>
    <t>01062</t>
  </si>
  <si>
    <t>13449</t>
  </si>
  <si>
    <t>13450</t>
  </si>
  <si>
    <t>A1215367S</t>
  </si>
  <si>
    <t>A0910912X</t>
  </si>
  <si>
    <t>05154</t>
  </si>
  <si>
    <t>KIPUSHI COORPORATION</t>
  </si>
  <si>
    <t>12234</t>
  </si>
  <si>
    <t>12349</t>
  </si>
  <si>
    <t>12350</t>
  </si>
  <si>
    <t>00500</t>
  </si>
  <si>
    <t>00501</t>
  </si>
  <si>
    <t>00654</t>
  </si>
  <si>
    <t>14286</t>
  </si>
  <si>
    <t>14710</t>
  </si>
  <si>
    <t>14891</t>
  </si>
  <si>
    <t>14892</t>
  </si>
  <si>
    <t>01938</t>
  </si>
  <si>
    <t>02324</t>
  </si>
  <si>
    <t>01942</t>
  </si>
  <si>
    <t>02326</t>
  </si>
  <si>
    <t>01939</t>
  </si>
  <si>
    <t>02325</t>
  </si>
  <si>
    <t>KISANFU MINING SPRL</t>
  </si>
  <si>
    <t>00131</t>
  </si>
  <si>
    <t>00502</t>
  </si>
  <si>
    <t>A1113061K</t>
  </si>
  <si>
    <t>KISENGO MINING Sprl</t>
  </si>
  <si>
    <t>01148</t>
  </si>
  <si>
    <t>01149</t>
  </si>
  <si>
    <t>01150</t>
  </si>
  <si>
    <t>01147</t>
  </si>
  <si>
    <t>A2291446Y</t>
  </si>
  <si>
    <t>KIVU RAHA GOLD MINING S,A</t>
  </si>
  <si>
    <t>02322</t>
  </si>
  <si>
    <t>02319</t>
  </si>
  <si>
    <t>A1910487W</t>
  </si>
  <si>
    <t xml:space="preserve"> A2040755X</t>
  </si>
  <si>
    <t>02290</t>
  </si>
  <si>
    <t>A0906375Q</t>
  </si>
  <si>
    <t>KUN TAI CONGO MINING SPRL</t>
  </si>
  <si>
    <t>01353</t>
  </si>
  <si>
    <t>02506</t>
  </si>
  <si>
    <t>A1805419L</t>
  </si>
  <si>
    <t>A0804875J</t>
  </si>
  <si>
    <t>05763</t>
  </si>
  <si>
    <t>A0700314A</t>
  </si>
  <si>
    <t>KWILU BRIQUES</t>
  </si>
  <si>
    <t>11541</t>
  </si>
  <si>
    <t>LA GRACE DE DIEU Sarl</t>
  </si>
  <si>
    <t>02080</t>
  </si>
  <si>
    <t>02081</t>
  </si>
  <si>
    <t>02079</t>
  </si>
  <si>
    <t>A1913929M</t>
  </si>
  <si>
    <t>01873</t>
  </si>
  <si>
    <t>01876</t>
  </si>
  <si>
    <t>02028/02029</t>
  </si>
  <si>
    <t>01469</t>
  </si>
  <si>
    <t>01910</t>
  </si>
  <si>
    <t>14394</t>
  </si>
  <si>
    <t>00130</t>
  </si>
  <si>
    <t>A0811094T</t>
  </si>
  <si>
    <t>01447</t>
  </si>
  <si>
    <t>LA MINIERE DE KISENGE "MANGANESE"</t>
  </si>
  <si>
    <t>01612</t>
  </si>
  <si>
    <t>09090</t>
  </si>
  <si>
    <t>01414</t>
  </si>
  <si>
    <t>LAMILU</t>
  </si>
  <si>
    <t>14/09/2023</t>
  </si>
  <si>
    <t>02139</t>
  </si>
  <si>
    <t>03239</t>
  </si>
  <si>
    <t>02137</t>
  </si>
  <si>
    <t>02135</t>
  </si>
  <si>
    <t>03252</t>
  </si>
  <si>
    <t>02138</t>
  </si>
  <si>
    <t>03253</t>
  </si>
  <si>
    <t>02140</t>
  </si>
  <si>
    <t>LAMILU Sprl</t>
  </si>
  <si>
    <t>03243</t>
  </si>
  <si>
    <t>03245</t>
  </si>
  <si>
    <t>02149</t>
  </si>
  <si>
    <t>02148</t>
  </si>
  <si>
    <t>15090</t>
  </si>
  <si>
    <t>15091</t>
  </si>
  <si>
    <t>02445</t>
  </si>
  <si>
    <t>A0706698P</t>
  </si>
  <si>
    <t>01470</t>
  </si>
  <si>
    <t>LETA MBANVU MINING COMPANY Sarl</t>
  </si>
  <si>
    <t>13343</t>
  </si>
  <si>
    <t>01080</t>
  </si>
  <si>
    <t>13864</t>
  </si>
  <si>
    <t>LIBELA Sarl</t>
  </si>
  <si>
    <t>13701</t>
  </si>
  <si>
    <t>14159</t>
  </si>
  <si>
    <t>01083</t>
  </si>
  <si>
    <t>01724</t>
  </si>
  <si>
    <t>01722</t>
  </si>
  <si>
    <t>A1313500P</t>
  </si>
  <si>
    <t>LIMA Sarl</t>
  </si>
  <si>
    <t>09770</t>
  </si>
  <si>
    <t>09771</t>
  </si>
  <si>
    <t>09772</t>
  </si>
  <si>
    <t>09776</t>
  </si>
  <si>
    <t>09778</t>
  </si>
  <si>
    <t>LIVE IN GROUP Sarlu</t>
  </si>
  <si>
    <t>01683</t>
  </si>
  <si>
    <t>01464</t>
  </si>
  <si>
    <t>01715</t>
  </si>
  <si>
    <t>01716</t>
  </si>
  <si>
    <t>A0709233U</t>
  </si>
  <si>
    <t>LONCOR RESSOURCES CONGO Sarl</t>
  </si>
  <si>
    <t>12/01/2023</t>
  </si>
  <si>
    <t>01615</t>
  </si>
  <si>
    <t>01614</t>
  </si>
  <si>
    <t>01092</t>
  </si>
  <si>
    <t>01093</t>
  </si>
  <si>
    <t>01094</t>
  </si>
  <si>
    <t>01095</t>
  </si>
  <si>
    <t>01096</t>
  </si>
  <si>
    <t>A1711459A</t>
  </si>
  <si>
    <t>LOTUS MINING Sarl</t>
  </si>
  <si>
    <t>01098</t>
  </si>
  <si>
    <t>14105</t>
  </si>
  <si>
    <t>01856</t>
  </si>
  <si>
    <t>01099</t>
  </si>
  <si>
    <t>01100</t>
  </si>
  <si>
    <t>01858</t>
  </si>
  <si>
    <t>01101</t>
  </si>
  <si>
    <t>01102</t>
  </si>
  <si>
    <t>01103</t>
  </si>
  <si>
    <t>01861</t>
  </si>
  <si>
    <t>01104</t>
  </si>
  <si>
    <t>01862</t>
  </si>
  <si>
    <t>A1701997Q</t>
  </si>
  <si>
    <t>LUALABA MULTI SERVICE AGENCE Sarl</t>
  </si>
  <si>
    <t>01105</t>
  </si>
  <si>
    <t>01569</t>
  </si>
  <si>
    <t>01543</t>
  </si>
  <si>
    <t>01570</t>
  </si>
  <si>
    <t>14766</t>
  </si>
  <si>
    <t>A2202387U</t>
  </si>
  <si>
    <t>01636</t>
  </si>
  <si>
    <t>01195</t>
  </si>
  <si>
    <t>01196</t>
  </si>
  <si>
    <t>01187</t>
  </si>
  <si>
    <t>01188</t>
  </si>
  <si>
    <t>01189</t>
  </si>
  <si>
    <t>01190</t>
  </si>
  <si>
    <t>01609</t>
  </si>
  <si>
    <t>01192</t>
  </si>
  <si>
    <t>01721</t>
  </si>
  <si>
    <t>LUAPULA Sarl</t>
  </si>
  <si>
    <t>01662</t>
  </si>
  <si>
    <t>12226</t>
  </si>
  <si>
    <t>14115</t>
  </si>
  <si>
    <t>LUFUPA SASU Sarl</t>
  </si>
  <si>
    <t>01108</t>
  </si>
  <si>
    <t>02601</t>
  </si>
  <si>
    <t>01834</t>
  </si>
  <si>
    <t>02002</t>
  </si>
  <si>
    <t>A2214265F</t>
  </si>
  <si>
    <t>01585</t>
  </si>
  <si>
    <t>A2175104J</t>
  </si>
  <si>
    <t>26/09/2023</t>
  </si>
  <si>
    <t>02206</t>
  </si>
  <si>
    <t>A1900046X</t>
  </si>
  <si>
    <t>00545</t>
  </si>
  <si>
    <t>09187</t>
  </si>
  <si>
    <t>00546</t>
  </si>
  <si>
    <t>09191</t>
  </si>
  <si>
    <t>00547</t>
  </si>
  <si>
    <t>09192</t>
  </si>
  <si>
    <t xml:space="preserve"> A1901013Y</t>
  </si>
  <si>
    <t>LWANZO INVESTISSEMENTS SARL</t>
  </si>
  <si>
    <t>09/02/2023</t>
  </si>
  <si>
    <t>00570</t>
  </si>
  <si>
    <t>A0815386J</t>
  </si>
  <si>
    <t>02204</t>
  </si>
  <si>
    <t>04696</t>
  </si>
  <si>
    <t>01112</t>
  </si>
  <si>
    <t>05725</t>
  </si>
  <si>
    <t xml:space="preserve"> A2291155T</t>
  </si>
  <si>
    <t>MABANGA SHINING Sarlu</t>
  </si>
  <si>
    <t>21/07/2023</t>
  </si>
  <si>
    <t>01927</t>
  </si>
  <si>
    <t>01926</t>
  </si>
  <si>
    <t>01977</t>
  </si>
  <si>
    <t>01976</t>
  </si>
  <si>
    <t>A1217594N</t>
  </si>
  <si>
    <t>MABENDE MINING</t>
  </si>
  <si>
    <t>04884</t>
  </si>
  <si>
    <t>01115</t>
  </si>
  <si>
    <t>01755</t>
  </si>
  <si>
    <t>01116</t>
  </si>
  <si>
    <t>01117</t>
  </si>
  <si>
    <t>01756</t>
  </si>
  <si>
    <t>01118</t>
  </si>
  <si>
    <t>01757</t>
  </si>
  <si>
    <t>04/07/2023</t>
  </si>
  <si>
    <t>01846</t>
  </si>
  <si>
    <t>04690</t>
  </si>
  <si>
    <t>A1313743D</t>
  </si>
  <si>
    <t>MADINI BARAKA Sarl</t>
  </si>
  <si>
    <t>12374</t>
  </si>
  <si>
    <t>MAGHARIBI MINING Sau</t>
  </si>
  <si>
    <t>A2154538E</t>
  </si>
  <si>
    <t>A1116507</t>
  </si>
  <si>
    <t>MAISON LA VICTOIRE/NYIRANGONGO CIMENT</t>
  </si>
  <si>
    <t>01544</t>
  </si>
  <si>
    <t>13869</t>
  </si>
  <si>
    <t>A1909325H</t>
  </si>
  <si>
    <t>14715</t>
  </si>
  <si>
    <t>14716</t>
  </si>
  <si>
    <t>01130</t>
  </si>
  <si>
    <t>01131</t>
  </si>
  <si>
    <t>01877</t>
  </si>
  <si>
    <t>01878</t>
  </si>
  <si>
    <t>01133</t>
  </si>
  <si>
    <t>04091</t>
  </si>
  <si>
    <t>A1414712G</t>
  </si>
  <si>
    <t>13368</t>
  </si>
  <si>
    <t>14244</t>
  </si>
  <si>
    <t>01663</t>
  </si>
  <si>
    <t>01137</t>
  </si>
  <si>
    <t>A1815639U</t>
  </si>
  <si>
    <t>01138</t>
  </si>
  <si>
    <t>02250</t>
  </si>
  <si>
    <t>01139</t>
  </si>
  <si>
    <t>01140</t>
  </si>
  <si>
    <t>MAXIMINES Sarl</t>
  </si>
  <si>
    <t>18/07/2023</t>
  </si>
  <si>
    <t>01141</t>
  </si>
  <si>
    <t>01922</t>
  </si>
  <si>
    <t>01142</t>
  </si>
  <si>
    <t>01923</t>
  </si>
  <si>
    <t>A1702709P</t>
  </si>
  <si>
    <t>MAZAL CORPORATION Sarl</t>
  </si>
  <si>
    <t>01143</t>
  </si>
  <si>
    <t>13870</t>
  </si>
  <si>
    <t>01144</t>
  </si>
  <si>
    <t>13871</t>
  </si>
  <si>
    <t>13872</t>
  </si>
  <si>
    <t>01652</t>
  </si>
  <si>
    <t>02387</t>
  </si>
  <si>
    <t>02105</t>
  </si>
  <si>
    <t>MC TWIGA INDUSTRIES Sarl</t>
  </si>
  <si>
    <t>01545</t>
  </si>
  <si>
    <t>10912</t>
  </si>
  <si>
    <t>01546</t>
  </si>
  <si>
    <t>10913</t>
  </si>
  <si>
    <t>01547</t>
  </si>
  <si>
    <t>10914</t>
  </si>
  <si>
    <t>01548</t>
  </si>
  <si>
    <t>01822</t>
  </si>
  <si>
    <t>10915</t>
  </si>
  <si>
    <t>11034</t>
  </si>
  <si>
    <t xml:space="preserve"> A0909048W</t>
  </si>
  <si>
    <t>01145</t>
  </si>
  <si>
    <t>13629</t>
  </si>
  <si>
    <t>01827</t>
  </si>
  <si>
    <t>01146</t>
  </si>
  <si>
    <t>14277</t>
  </si>
  <si>
    <t>07651</t>
  </si>
  <si>
    <t>07657</t>
  </si>
  <si>
    <t>A2297337B</t>
  </si>
  <si>
    <t>02365</t>
  </si>
  <si>
    <t>01599/01611</t>
  </si>
  <si>
    <t>METAL MINES SPRL</t>
  </si>
  <si>
    <t>02230</t>
  </si>
  <si>
    <t>05152</t>
  </si>
  <si>
    <t>METALKOL SARL</t>
  </si>
  <si>
    <t>MIBA SARL</t>
  </si>
  <si>
    <t>02/03/2023</t>
  </si>
  <si>
    <t>08/06/2023</t>
  </si>
  <si>
    <t>01946</t>
  </si>
  <si>
    <t>MICHEE MINING Sarl</t>
  </si>
  <si>
    <t>01925</t>
  </si>
  <si>
    <t>MIKAS (Société Minière de Kasombo)</t>
  </si>
  <si>
    <t>00571</t>
  </si>
  <si>
    <t>09714</t>
  </si>
  <si>
    <t>09715</t>
  </si>
  <si>
    <t>A1406087H</t>
  </si>
  <si>
    <t>MIMINCO</t>
  </si>
  <si>
    <t>01701</t>
  </si>
  <si>
    <t>01702</t>
  </si>
  <si>
    <t>MINERAL DEVELOPMENT  INVESTMENTS Sarl</t>
  </si>
  <si>
    <t>13416</t>
  </si>
  <si>
    <t>13423</t>
  </si>
  <si>
    <t>13425</t>
  </si>
  <si>
    <t>13439</t>
  </si>
  <si>
    <t>01157</t>
  </si>
  <si>
    <t>13440</t>
  </si>
  <si>
    <t>01158</t>
  </si>
  <si>
    <t>13441</t>
  </si>
  <si>
    <t>01159</t>
  </si>
  <si>
    <t>13445</t>
  </si>
  <si>
    <t>02273</t>
  </si>
  <si>
    <t>01219</t>
  </si>
  <si>
    <t>13422</t>
  </si>
  <si>
    <t>01248</t>
  </si>
  <si>
    <t>A1913288Q</t>
  </si>
  <si>
    <t>MINERAL QUEST Sarl</t>
  </si>
  <si>
    <t>01160</t>
  </si>
  <si>
    <t>A1828753Z</t>
  </si>
  <si>
    <t>01161</t>
  </si>
  <si>
    <t>A1301632P</t>
  </si>
  <si>
    <t>09827</t>
  </si>
  <si>
    <t>MINICO</t>
  </si>
  <si>
    <t>MINIERE BIALA MUKANGA Sarl</t>
  </si>
  <si>
    <t>01162</t>
  </si>
  <si>
    <t>A217822X</t>
  </si>
  <si>
    <t>MINIERE DE L EST DU CONGO SARL</t>
  </si>
  <si>
    <t>11/09/2023</t>
  </si>
  <si>
    <t>02114</t>
  </si>
  <si>
    <t>02117</t>
  </si>
  <si>
    <t>02118</t>
  </si>
  <si>
    <t>02119</t>
  </si>
  <si>
    <t>02113</t>
  </si>
  <si>
    <t>MINIERE DE MITWABA Sprl</t>
  </si>
  <si>
    <t>01163</t>
  </si>
  <si>
    <t>02275</t>
  </si>
  <si>
    <t>12443</t>
  </si>
  <si>
    <t>01164</t>
  </si>
  <si>
    <t>02276</t>
  </si>
  <si>
    <t>12444</t>
  </si>
  <si>
    <t>00125</t>
  </si>
  <si>
    <t>02278</t>
  </si>
  <si>
    <t>12445</t>
  </si>
  <si>
    <t>01165</t>
  </si>
  <si>
    <t>02274</t>
  </si>
  <si>
    <t>A1507555E</t>
  </si>
  <si>
    <t>MINIERE DE NDUBA Sarl</t>
  </si>
  <si>
    <t>01166</t>
  </si>
  <si>
    <t>02090</t>
  </si>
  <si>
    <t>13390</t>
  </si>
  <si>
    <t>02089</t>
  </si>
  <si>
    <t>13887</t>
  </si>
  <si>
    <t>MINIERE ITURI MINERAL Sarl</t>
  </si>
  <si>
    <t>01259</t>
  </si>
  <si>
    <t>01257</t>
  </si>
  <si>
    <t>01258</t>
  </si>
  <si>
    <t>02297</t>
  </si>
  <si>
    <t>MINIERE KIMBANGUISTE Sarl</t>
  </si>
  <si>
    <t>01179</t>
  </si>
  <si>
    <t>01180</t>
  </si>
  <si>
    <t>01181</t>
  </si>
  <si>
    <t>A1302361G</t>
  </si>
  <si>
    <t>20/09/2023</t>
  </si>
  <si>
    <t>02818</t>
  </si>
  <si>
    <t>A2220306X</t>
  </si>
  <si>
    <t>17/10/2023</t>
  </si>
  <si>
    <t>02263</t>
  </si>
  <si>
    <t>A22939715</t>
  </si>
  <si>
    <t>01685</t>
  </si>
  <si>
    <t>02045</t>
  </si>
  <si>
    <t>MINING MINERALS RESOURCES SARL</t>
  </si>
  <si>
    <t>01182</t>
  </si>
  <si>
    <t>01382</t>
  </si>
  <si>
    <t>05227</t>
  </si>
  <si>
    <t>01183</t>
  </si>
  <si>
    <t>01381</t>
  </si>
  <si>
    <t>08565</t>
  </si>
  <si>
    <t>01380</t>
  </si>
  <si>
    <t>08567</t>
  </si>
  <si>
    <t>01386</t>
  </si>
  <si>
    <t>01385</t>
  </si>
  <si>
    <t>01384</t>
  </si>
  <si>
    <t>01383</t>
  </si>
  <si>
    <t>01699</t>
  </si>
  <si>
    <t>13698</t>
  </si>
  <si>
    <t>A1904441Z</t>
  </si>
  <si>
    <t>01941</t>
  </si>
  <si>
    <t xml:space="preserve"> A1904441Z</t>
  </si>
  <si>
    <t>MKM SPRL</t>
  </si>
  <si>
    <t>02106</t>
  </si>
  <si>
    <t>02107</t>
  </si>
  <si>
    <t>10/01/2023</t>
  </si>
  <si>
    <t>13521</t>
  </si>
  <si>
    <t>A0906473W</t>
  </si>
  <si>
    <t>01346</t>
  </si>
  <si>
    <t>01345</t>
  </si>
  <si>
    <t>01191</t>
  </si>
  <si>
    <t>01344</t>
  </si>
  <si>
    <t>14102</t>
  </si>
  <si>
    <t>01753</t>
  </si>
  <si>
    <t>01774</t>
  </si>
  <si>
    <t>01773</t>
  </si>
  <si>
    <t>01193</t>
  </si>
  <si>
    <t>01322</t>
  </si>
  <si>
    <t>13833</t>
  </si>
  <si>
    <t>01321</t>
  </si>
  <si>
    <t>A2168363G</t>
  </si>
  <si>
    <t>06/12/2023</t>
  </si>
  <si>
    <t>02375</t>
  </si>
  <si>
    <t xml:space="preserve"> A0700065E</t>
  </si>
  <si>
    <t>MOBILIERS KOKETUA SPRL</t>
  </si>
  <si>
    <t>01991</t>
  </si>
  <si>
    <t>13891</t>
  </si>
  <si>
    <t>01999</t>
  </si>
  <si>
    <t>09729</t>
  </si>
  <si>
    <t xml:space="preserve"> A0909065P</t>
  </si>
  <si>
    <t>MODERN CONSTRUCTION Sarl</t>
  </si>
  <si>
    <t>00146</t>
  </si>
  <si>
    <t>01933</t>
  </si>
  <si>
    <t>01194</t>
  </si>
  <si>
    <t>00488</t>
  </si>
  <si>
    <t>00491</t>
  </si>
  <si>
    <t>00490</t>
  </si>
  <si>
    <t>01197</t>
  </si>
  <si>
    <t>00489</t>
  </si>
  <si>
    <t>A1801520Y</t>
  </si>
  <si>
    <t>MUBALAMA KABANDA</t>
  </si>
  <si>
    <t>14195</t>
  </si>
  <si>
    <t>31/10/2023</t>
  </si>
  <si>
    <t>02298</t>
  </si>
  <si>
    <t>MUKONO KWA MUKONO MU KAZI GROUPE Sarl</t>
  </si>
  <si>
    <t>00510</t>
  </si>
  <si>
    <t>13622</t>
  </si>
  <si>
    <t>00511</t>
  </si>
  <si>
    <t>00512</t>
  </si>
  <si>
    <t>13703</t>
  </si>
  <si>
    <t>00513</t>
  </si>
  <si>
    <t>00514</t>
  </si>
  <si>
    <t>15114</t>
  </si>
  <si>
    <t>A1617150K</t>
  </si>
  <si>
    <t>13788</t>
  </si>
  <si>
    <t>13789</t>
  </si>
  <si>
    <t>13790</t>
  </si>
  <si>
    <t>01202</t>
  </si>
  <si>
    <t>MUMI SARL</t>
  </si>
  <si>
    <t>04959</t>
  </si>
  <si>
    <t xml:space="preserve"> A0955555E</t>
  </si>
  <si>
    <t>MURUMBI MINERALS Sprl</t>
  </si>
  <si>
    <t>12707</t>
  </si>
  <si>
    <t>12708</t>
  </si>
  <si>
    <t>01687</t>
  </si>
  <si>
    <t>01688</t>
  </si>
  <si>
    <t>MUYA RESSOURCES Sarl</t>
  </si>
  <si>
    <t>01209</t>
  </si>
  <si>
    <t>01210</t>
  </si>
  <si>
    <t>A1600964R</t>
  </si>
  <si>
    <t>01211</t>
  </si>
  <si>
    <t>01996</t>
  </si>
  <si>
    <t>01207</t>
  </si>
  <si>
    <t>01208</t>
  </si>
  <si>
    <t>27/11/2023</t>
  </si>
  <si>
    <t>01206</t>
  </si>
  <si>
    <t>01212</t>
  </si>
  <si>
    <t>A1825466B</t>
  </si>
  <si>
    <t>01657</t>
  </si>
  <si>
    <t>01658</t>
  </si>
  <si>
    <t xml:space="preserve"> A2207390H</t>
  </si>
  <si>
    <t>MWANGAZA Sarl</t>
  </si>
  <si>
    <t>02367</t>
  </si>
  <si>
    <t>02366</t>
  </si>
  <si>
    <t>02028</t>
  </si>
  <si>
    <t>02368</t>
  </si>
  <si>
    <t>A1606152F</t>
  </si>
  <si>
    <t>NAVARRO RESOURCES Sarl</t>
  </si>
  <si>
    <t>14009</t>
  </si>
  <si>
    <t>01616</t>
  </si>
  <si>
    <t>01471</t>
  </si>
  <si>
    <t>11061</t>
  </si>
  <si>
    <t>00128</t>
  </si>
  <si>
    <t>11655</t>
  </si>
  <si>
    <t>11656</t>
  </si>
  <si>
    <t>01218</t>
  </si>
  <si>
    <t>11657</t>
  </si>
  <si>
    <t>11658</t>
  </si>
  <si>
    <t>A1509879F</t>
  </si>
  <si>
    <t>02386</t>
  </si>
  <si>
    <t>A1901280N</t>
  </si>
  <si>
    <t>NEK MINING Sarl</t>
  </si>
  <si>
    <t>00542</t>
  </si>
  <si>
    <t>03/10/2023</t>
  </si>
  <si>
    <t>02236</t>
  </si>
  <si>
    <t>01225</t>
  </si>
  <si>
    <t>01226</t>
  </si>
  <si>
    <t>A1208550H</t>
  </si>
  <si>
    <t>NGOIE MWEPU Jonas</t>
  </si>
  <si>
    <t>12217</t>
  </si>
  <si>
    <t>12218</t>
  </si>
  <si>
    <t>A1007789D</t>
  </si>
  <si>
    <t>NGONDO MINING Sarl</t>
  </si>
  <si>
    <t>12161</t>
  </si>
  <si>
    <t>01228</t>
  </si>
  <si>
    <t>12166</t>
  </si>
  <si>
    <t>01229</t>
  </si>
  <si>
    <t>12167</t>
  </si>
  <si>
    <t>12168</t>
  </si>
  <si>
    <t>12170</t>
  </si>
  <si>
    <t>12174</t>
  </si>
  <si>
    <t>12189</t>
  </si>
  <si>
    <t>01170</t>
  </si>
  <si>
    <t>01227</t>
  </si>
  <si>
    <t>01230</t>
  </si>
  <si>
    <t>12190</t>
  </si>
  <si>
    <t>A1721220K</t>
  </si>
  <si>
    <t>23/05/2023</t>
  </si>
  <si>
    <t>01633</t>
  </si>
  <si>
    <t>01632</t>
  </si>
  <si>
    <t>15066</t>
  </si>
  <si>
    <t xml:space="preserve"> A1828859P</t>
  </si>
  <si>
    <t>NUMBI EXPLOITATION Sarl</t>
  </si>
  <si>
    <t>00548</t>
  </si>
  <si>
    <t>01387</t>
  </si>
  <si>
    <t>14408</t>
  </si>
  <si>
    <t>NYEMAK MINING Sarl</t>
  </si>
  <si>
    <t>01246</t>
  </si>
  <si>
    <t>02134</t>
  </si>
  <si>
    <t>A1002904T</t>
  </si>
  <si>
    <t>NYUMBA YA AKIBA SPRL</t>
  </si>
  <si>
    <t>11737</t>
  </si>
  <si>
    <t>11738</t>
  </si>
  <si>
    <t>11739</t>
  </si>
  <si>
    <t>11942</t>
  </si>
  <si>
    <t>11945</t>
  </si>
  <si>
    <t>11946</t>
  </si>
  <si>
    <t>11947</t>
  </si>
  <si>
    <t>01167</t>
  </si>
  <si>
    <t>12524</t>
  </si>
  <si>
    <t>01168</t>
  </si>
  <si>
    <t>12525</t>
  </si>
  <si>
    <t>A192446F</t>
  </si>
  <si>
    <t>14561</t>
  </si>
  <si>
    <t>14562</t>
  </si>
  <si>
    <t>14563</t>
  </si>
  <si>
    <t>12/10/2023</t>
  </si>
  <si>
    <t>02251</t>
  </si>
  <si>
    <t>02265</t>
  </si>
  <si>
    <t>02268</t>
  </si>
  <si>
    <t>A1909398B</t>
  </si>
  <si>
    <t>01660</t>
  </si>
  <si>
    <t>01664</t>
  </si>
  <si>
    <t>01319</t>
  </si>
  <si>
    <t>01318</t>
  </si>
  <si>
    <t>01317</t>
  </si>
  <si>
    <t>01700</t>
  </si>
  <si>
    <t>01352</t>
  </si>
  <si>
    <t>OM METAL RESOURCES Sarl</t>
  </si>
  <si>
    <t>05480</t>
  </si>
  <si>
    <t>02104</t>
  </si>
  <si>
    <t>ORE BODY PROSPECTING Sarl</t>
  </si>
  <si>
    <t>01770</t>
  </si>
  <si>
    <t>01576</t>
  </si>
  <si>
    <t>01769</t>
  </si>
  <si>
    <t>01575</t>
  </si>
  <si>
    <t>ORIENTALE RESSOURCES CONGO Sarl</t>
  </si>
  <si>
    <t>01623</t>
  </si>
  <si>
    <t>01624</t>
  </si>
  <si>
    <t>01458</t>
  </si>
  <si>
    <t>01459</t>
  </si>
  <si>
    <t>01461</t>
  </si>
  <si>
    <t>14722</t>
  </si>
  <si>
    <t>01450</t>
  </si>
  <si>
    <t>01460</t>
  </si>
  <si>
    <t>01452</t>
  </si>
  <si>
    <t>01451</t>
  </si>
  <si>
    <t>01453</t>
  </si>
  <si>
    <t>01454</t>
  </si>
  <si>
    <t>01457</t>
  </si>
  <si>
    <t>01463</t>
  </si>
  <si>
    <t>01266</t>
  </si>
  <si>
    <t>01449</t>
  </si>
  <si>
    <t>01462</t>
  </si>
  <si>
    <t>01448</t>
  </si>
  <si>
    <t>01717</t>
  </si>
  <si>
    <t>01845</t>
  </si>
  <si>
    <t>02232</t>
  </si>
  <si>
    <t>14879</t>
  </si>
  <si>
    <t>A1913355N</t>
  </si>
  <si>
    <t>OVK MINING Sarl</t>
  </si>
  <si>
    <t>01680</t>
  </si>
  <si>
    <t>01316</t>
  </si>
  <si>
    <t>15130</t>
  </si>
  <si>
    <t>A2286116E</t>
  </si>
  <si>
    <t>01679</t>
  </si>
  <si>
    <t>01416</t>
  </si>
  <si>
    <t>02396</t>
  </si>
  <si>
    <t>07689</t>
  </si>
  <si>
    <t>02388</t>
  </si>
  <si>
    <t>02393</t>
  </si>
  <si>
    <t>02399</t>
  </si>
  <si>
    <t>02390</t>
  </si>
  <si>
    <t>02392</t>
  </si>
  <si>
    <t>07690</t>
  </si>
  <si>
    <t>02389</t>
  </si>
  <si>
    <t>02398</t>
  </si>
  <si>
    <t>02400</t>
  </si>
  <si>
    <t>02451</t>
  </si>
  <si>
    <t>02394</t>
  </si>
  <si>
    <t>A1705734C</t>
  </si>
  <si>
    <t>01646</t>
  </si>
  <si>
    <t>01645</t>
  </si>
  <si>
    <t>A2200962W</t>
  </si>
  <si>
    <t>02092</t>
  </si>
  <si>
    <t>A2039544F</t>
  </si>
  <si>
    <t>01390</t>
  </si>
  <si>
    <t>01393</t>
  </si>
  <si>
    <t>01274</t>
  </si>
  <si>
    <t>01391</t>
  </si>
  <si>
    <t>01275</t>
  </si>
  <si>
    <t>01392</t>
  </si>
  <si>
    <t>01394</t>
  </si>
  <si>
    <t>15140</t>
  </si>
  <si>
    <t>01395</t>
  </si>
  <si>
    <t>15141</t>
  </si>
  <si>
    <t>A1300730J</t>
  </si>
  <si>
    <t>A0700431C</t>
  </si>
  <si>
    <t>07649</t>
  </si>
  <si>
    <t>01276</t>
  </si>
  <si>
    <t>01277</t>
  </si>
  <si>
    <t>02003</t>
  </si>
  <si>
    <t xml:space="preserve"> A2205825G</t>
  </si>
  <si>
    <t>01772</t>
  </si>
  <si>
    <t>08667</t>
  </si>
  <si>
    <t>PROXMIN SPRL</t>
  </si>
  <si>
    <t>A2202569S</t>
  </si>
  <si>
    <t>01617</t>
  </si>
  <si>
    <t>01278</t>
  </si>
  <si>
    <t>A2043360D</t>
  </si>
  <si>
    <t>RATEL METAL CONGO Sarl</t>
  </si>
  <si>
    <t>01626</t>
  </si>
  <si>
    <t>01627</t>
  </si>
  <si>
    <t>01629</t>
  </si>
  <si>
    <t>01279</t>
  </si>
  <si>
    <t>15185</t>
  </si>
  <si>
    <t>01280</t>
  </si>
  <si>
    <t>01436</t>
  </si>
  <si>
    <t>01281</t>
  </si>
  <si>
    <t>01437</t>
  </si>
  <si>
    <t>01282</t>
  </si>
  <si>
    <t>01439</t>
  </si>
  <si>
    <t>A1301147M</t>
  </si>
  <si>
    <t>08348</t>
  </si>
  <si>
    <t>08350</t>
  </si>
  <si>
    <t>01584</t>
  </si>
  <si>
    <t>A2175345W</t>
  </si>
  <si>
    <t>RDC BAOXING Sarlu</t>
  </si>
  <si>
    <t>01655</t>
  </si>
  <si>
    <t>02225</t>
  </si>
  <si>
    <t>02203</t>
  </si>
  <si>
    <t>A2305688J</t>
  </si>
  <si>
    <t>02284</t>
  </si>
  <si>
    <t>00817</t>
  </si>
  <si>
    <t>A1513947C</t>
  </si>
  <si>
    <t>01888</t>
  </si>
  <si>
    <t>04486</t>
  </si>
  <si>
    <t>15311</t>
  </si>
  <si>
    <t>15312</t>
  </si>
  <si>
    <t>A142935G</t>
  </si>
  <si>
    <t>14089</t>
  </si>
  <si>
    <t>RUASHI MINING Sprl</t>
  </si>
  <si>
    <t>13083</t>
  </si>
  <si>
    <t>RUBACO Sarl</t>
  </si>
  <si>
    <t>00134</t>
  </si>
  <si>
    <t>13378</t>
  </si>
  <si>
    <t>01594</t>
  </si>
  <si>
    <t>14658</t>
  </si>
  <si>
    <t>14659</t>
  </si>
  <si>
    <t>14660</t>
  </si>
  <si>
    <t>14664</t>
  </si>
  <si>
    <t>14666</t>
  </si>
  <si>
    <t>14667</t>
  </si>
  <si>
    <t>14748</t>
  </si>
  <si>
    <t>01886</t>
  </si>
  <si>
    <t>02062</t>
  </si>
  <si>
    <t>02063</t>
  </si>
  <si>
    <t>01889</t>
  </si>
  <si>
    <t>02064</t>
  </si>
  <si>
    <t>A0905446F</t>
  </si>
  <si>
    <t>S.A  DRC</t>
  </si>
  <si>
    <t>02315</t>
  </si>
  <si>
    <t>S.E.K.</t>
  </si>
  <si>
    <t>00229/00796</t>
  </si>
  <si>
    <t>S.G.I SPRL</t>
  </si>
  <si>
    <t>08943</t>
  </si>
  <si>
    <t>01890</t>
  </si>
  <si>
    <t xml:space="preserve">A0905441A </t>
  </si>
  <si>
    <t>SABLE ET GRAVIER DE BAYA SARL</t>
  </si>
  <si>
    <t>08064</t>
  </si>
  <si>
    <t>00127</t>
  </si>
  <si>
    <t>08066</t>
  </si>
  <si>
    <t>SABWE MINING</t>
  </si>
  <si>
    <t>12162</t>
  </si>
  <si>
    <t>12172</t>
  </si>
  <si>
    <t>12175</t>
  </si>
  <si>
    <t>12182</t>
  </si>
  <si>
    <t>12183</t>
  </si>
  <si>
    <t>12188</t>
  </si>
  <si>
    <t>12173</t>
  </si>
  <si>
    <t>A2168782M</t>
  </si>
  <si>
    <t>01998</t>
  </si>
  <si>
    <t>02341</t>
  </si>
  <si>
    <t xml:space="preserve"> A0700407B</t>
  </si>
  <si>
    <t>SAFRICAS</t>
  </si>
  <si>
    <t>SAKIMA SARL</t>
  </si>
  <si>
    <t>17/04/2023</t>
  </si>
  <si>
    <t>02598</t>
  </si>
  <si>
    <t>12/06/2023</t>
  </si>
  <si>
    <t>00139</t>
  </si>
  <si>
    <t>02316</t>
  </si>
  <si>
    <t>02317</t>
  </si>
  <si>
    <t>02318</t>
  </si>
  <si>
    <t>SAM ET COMPAGNIE Sarl</t>
  </si>
  <si>
    <t>A0700861U</t>
  </si>
  <si>
    <t>SASO TRANS SPRL</t>
  </si>
  <si>
    <t>16/10/2023</t>
  </si>
  <si>
    <t>02254</t>
  </si>
  <si>
    <t>06957</t>
  </si>
  <si>
    <t>A1200750E</t>
  </si>
  <si>
    <t>SEGMAL SPRL</t>
  </si>
  <si>
    <t>12203</t>
  </si>
  <si>
    <t>12204</t>
  </si>
  <si>
    <t>01132</t>
  </si>
  <si>
    <t>12205</t>
  </si>
  <si>
    <t>A2216119W</t>
  </si>
  <si>
    <t>SERVICELOCAL DE CARRIERE SARL</t>
  </si>
  <si>
    <t>02244</t>
  </si>
  <si>
    <t>00543</t>
  </si>
  <si>
    <t>01921</t>
  </si>
  <si>
    <t>A1008279I</t>
  </si>
  <si>
    <t>04725</t>
  </si>
  <si>
    <t>SILVER BACK RESSOURCES Sarl</t>
  </si>
  <si>
    <t>00504</t>
  </si>
  <si>
    <t>05276</t>
  </si>
  <si>
    <t>A0700536R</t>
  </si>
  <si>
    <t>00129</t>
  </si>
  <si>
    <t>A1409073D</t>
  </si>
  <si>
    <t>14776</t>
  </si>
  <si>
    <t>04380</t>
  </si>
  <si>
    <t>13/11/2023</t>
  </si>
  <si>
    <t>02330</t>
  </si>
  <si>
    <t>02331</t>
  </si>
  <si>
    <t>A2106844P</t>
  </si>
  <si>
    <t>SOCIETE BOLDROCK SARL</t>
  </si>
  <si>
    <t>15321</t>
  </si>
  <si>
    <t>A2214825P</t>
  </si>
  <si>
    <t>24/02/2023</t>
  </si>
  <si>
    <t>01403</t>
  </si>
  <si>
    <t>01404</t>
  </si>
  <si>
    <t>01832</t>
  </si>
  <si>
    <t>01833</t>
  </si>
  <si>
    <t>A0803918T</t>
  </si>
  <si>
    <t>13932</t>
  </si>
  <si>
    <t>13936</t>
  </si>
  <si>
    <t>A1615446H</t>
  </si>
  <si>
    <t>SOCIETE D APPUI LOGISTIQUE DU KATANGA Sarl</t>
  </si>
  <si>
    <t>08440</t>
  </si>
  <si>
    <t>08441</t>
  </si>
  <si>
    <t>08446</t>
  </si>
  <si>
    <t>A1203458Z</t>
  </si>
  <si>
    <t>02256</t>
  </si>
  <si>
    <t>13236</t>
  </si>
  <si>
    <t>02255</t>
  </si>
  <si>
    <t>02257</t>
  </si>
  <si>
    <t>13238</t>
  </si>
  <si>
    <t>02259</t>
  </si>
  <si>
    <t>13239</t>
  </si>
  <si>
    <t>02258</t>
  </si>
  <si>
    <t>13240</t>
  </si>
  <si>
    <t>12271</t>
  </si>
  <si>
    <t>12272</t>
  </si>
  <si>
    <t>12273</t>
  </si>
  <si>
    <t>12277</t>
  </si>
  <si>
    <t>SOCIETE D EXPLOITATION DES GISEMENTS DE KALUKUNDI</t>
  </si>
  <si>
    <t>00905/01157</t>
  </si>
  <si>
    <t>A1801198Y</t>
  </si>
  <si>
    <t>A0700327P</t>
  </si>
  <si>
    <t>Société de Broyage  Africaine.</t>
  </si>
  <si>
    <t>SOCIETE DE CIMENTERIE INDUSTRIELLE DU CONGO Sarl</t>
  </si>
  <si>
    <t>02147</t>
  </si>
  <si>
    <t>08039</t>
  </si>
  <si>
    <t>08040</t>
  </si>
  <si>
    <t>A1825301X</t>
  </si>
  <si>
    <t>A1711779Y</t>
  </si>
  <si>
    <t>14079</t>
  </si>
  <si>
    <t>14081</t>
  </si>
  <si>
    <t>14090</t>
  </si>
  <si>
    <t>14091</t>
  </si>
  <si>
    <t>01323</t>
  </si>
  <si>
    <t>14287</t>
  </si>
  <si>
    <t>01324</t>
  </si>
  <si>
    <t>01850</t>
  </si>
  <si>
    <t>26/06/2023</t>
  </si>
  <si>
    <t>01852</t>
  </si>
  <si>
    <t>01851</t>
  </si>
  <si>
    <t>SOCIETE DES DEVELOPPEMENTS MINIERS Sarl</t>
  </si>
  <si>
    <t>14427</t>
  </si>
  <si>
    <t>14428</t>
  </si>
  <si>
    <t>14429</t>
  </si>
  <si>
    <t>14431</t>
  </si>
  <si>
    <t>14433</t>
  </si>
  <si>
    <t>A2039424A</t>
  </si>
  <si>
    <t>01325</t>
  </si>
  <si>
    <t>01326</t>
  </si>
  <si>
    <t>01327</t>
  </si>
  <si>
    <t>01955</t>
  </si>
  <si>
    <t>01870</t>
  </si>
  <si>
    <t>01956</t>
  </si>
  <si>
    <t>A1829084J</t>
  </si>
  <si>
    <t>02262</t>
  </si>
  <si>
    <t>02261</t>
  </si>
  <si>
    <t>02260</t>
  </si>
  <si>
    <t>Société d'Exploration Minière de Haut Katanga</t>
  </si>
  <si>
    <t>01328</t>
  </si>
  <si>
    <t>01993</t>
  </si>
  <si>
    <t>A1705228C</t>
  </si>
  <si>
    <t>SOCIETE INDUSTRIELLE MINING-INTERNATIONAL SARLU</t>
  </si>
  <si>
    <t>01333</t>
  </si>
  <si>
    <t>10974</t>
  </si>
  <si>
    <t>A1302072S</t>
  </si>
  <si>
    <t>01334</t>
  </si>
  <si>
    <t>13356</t>
  </si>
  <si>
    <t>01335</t>
  </si>
  <si>
    <t>14132</t>
  </si>
  <si>
    <t>A2167146J</t>
  </si>
  <si>
    <t>01610</t>
  </si>
  <si>
    <t>01611</t>
  </si>
  <si>
    <t>A1300047R</t>
  </si>
  <si>
    <t>02088</t>
  </si>
  <si>
    <t>06968</t>
  </si>
  <si>
    <t>02100</t>
  </si>
  <si>
    <t>06969</t>
  </si>
  <si>
    <t>02099</t>
  </si>
  <si>
    <t>06970</t>
  </si>
  <si>
    <t>A1806097Y</t>
  </si>
  <si>
    <t>SOCIETE MINIERE ET AGRICOLE DU CONGO Sarl</t>
  </si>
  <si>
    <t>01343</t>
  </si>
  <si>
    <t>A1112368G</t>
  </si>
  <si>
    <t>SOCIETE MINIERE INTERNATIONALE Sarl</t>
  </si>
  <si>
    <t>01693</t>
  </si>
  <si>
    <t>01758</t>
  </si>
  <si>
    <t>01841</t>
  </si>
  <si>
    <t>01840</t>
  </si>
  <si>
    <t>A0801684Q</t>
  </si>
  <si>
    <t>01351</t>
  </si>
  <si>
    <t>10344</t>
  </si>
  <si>
    <t>A1904565J</t>
  </si>
  <si>
    <t>SOCIETE TSHILEMB MANUFACTURE SA</t>
  </si>
  <si>
    <t>01572</t>
  </si>
  <si>
    <t>01908</t>
  </si>
  <si>
    <t>14615</t>
  </si>
  <si>
    <t>K9940570P</t>
  </si>
  <si>
    <t>A1007484X</t>
  </si>
  <si>
    <t>12263</t>
  </si>
  <si>
    <t>SODIMIKA</t>
  </si>
  <si>
    <t>04723</t>
  </si>
  <si>
    <t>SOGEMICA Sarl</t>
  </si>
  <si>
    <t>13290</t>
  </si>
  <si>
    <t>13283</t>
  </si>
  <si>
    <t>22/06/2023</t>
  </si>
  <si>
    <t>13285</t>
  </si>
  <si>
    <t>A1813353C</t>
  </si>
  <si>
    <t>SOGEMIP MINING Sarlu</t>
  </si>
  <si>
    <t>01358</t>
  </si>
  <si>
    <t>01356</t>
  </si>
  <si>
    <t>01357</t>
  </si>
  <si>
    <t>01359</t>
  </si>
  <si>
    <t>01360</t>
  </si>
  <si>
    <t>A1702980J</t>
  </si>
  <si>
    <t>01361</t>
  </si>
  <si>
    <t>14529</t>
  </si>
  <si>
    <t>01362</t>
  </si>
  <si>
    <t>01363</t>
  </si>
  <si>
    <t>14531</t>
  </si>
  <si>
    <t>02320</t>
  </si>
  <si>
    <t>SOMIKA</t>
  </si>
  <si>
    <t>05236</t>
  </si>
  <si>
    <t>12286</t>
  </si>
  <si>
    <t>07/12/2023</t>
  </si>
  <si>
    <t>02029</t>
  </si>
  <si>
    <t>02376</t>
  </si>
  <si>
    <t>A1303287N</t>
  </si>
  <si>
    <t>SOMILO Sarl</t>
  </si>
  <si>
    <t>01401</t>
  </si>
  <si>
    <t>01364</t>
  </si>
  <si>
    <t>01400</t>
  </si>
  <si>
    <t>01097</t>
  </si>
  <si>
    <t>01399</t>
  </si>
  <si>
    <t>A0700162K</t>
  </si>
  <si>
    <t>SOTRAGEC SPRL</t>
  </si>
  <si>
    <t>09712</t>
  </si>
  <si>
    <t xml:space="preserve"> A1408658C</t>
  </si>
  <si>
    <t>SPILL CONGO Sarl</t>
  </si>
  <si>
    <t>13492</t>
  </si>
  <si>
    <t>A0805716Y</t>
  </si>
  <si>
    <t>SRKM CONSTRUCT</t>
  </si>
  <si>
    <t>12743</t>
  </si>
  <si>
    <t>13241</t>
  </si>
  <si>
    <t>A1813253B</t>
  </si>
  <si>
    <t>STANVIC MINING Sarl</t>
  </si>
  <si>
    <t>01368</t>
  </si>
  <si>
    <t>14378</t>
  </si>
  <si>
    <t>01366</t>
  </si>
  <si>
    <t>14376</t>
  </si>
  <si>
    <t>01367</t>
  </si>
  <si>
    <t>01329</t>
  </si>
  <si>
    <t>14377</t>
  </si>
  <si>
    <t>01369</t>
  </si>
  <si>
    <t>14379</t>
  </si>
  <si>
    <t>01370</t>
  </si>
  <si>
    <t>14380</t>
  </si>
  <si>
    <t>01371</t>
  </si>
  <si>
    <t>14381</t>
  </si>
  <si>
    <t>01372</t>
  </si>
  <si>
    <t>01373</t>
  </si>
  <si>
    <t>01374</t>
  </si>
  <si>
    <t>01330</t>
  </si>
  <si>
    <t>01375</t>
  </si>
  <si>
    <t>01332</t>
  </si>
  <si>
    <t>01331</t>
  </si>
  <si>
    <t>14513</t>
  </si>
  <si>
    <t>01338</t>
  </si>
  <si>
    <t>14524</t>
  </si>
  <si>
    <t>01342</t>
  </si>
  <si>
    <t>14525</t>
  </si>
  <si>
    <t>01340</t>
  </si>
  <si>
    <t>14526</t>
  </si>
  <si>
    <t>01341</t>
  </si>
  <si>
    <t>14564</t>
  </si>
  <si>
    <t>01336</t>
  </si>
  <si>
    <t>01339</t>
  </si>
  <si>
    <t>14653</t>
  </si>
  <si>
    <t>01337</t>
  </si>
  <si>
    <t xml:space="preserve"> A2290577D</t>
  </si>
  <si>
    <t>STAR METALS COMPANY Sarl</t>
  </si>
  <si>
    <t>02395/02397</t>
  </si>
  <si>
    <t>A1706658G</t>
  </si>
  <si>
    <t>A2221117Q</t>
  </si>
  <si>
    <t>SUCCESS THREE MINING Sarl</t>
  </si>
  <si>
    <t>01690</t>
  </si>
  <si>
    <t>01314</t>
  </si>
  <si>
    <t>01691</t>
  </si>
  <si>
    <t>01313</t>
  </si>
  <si>
    <t>A1620593C</t>
  </si>
  <si>
    <t>02207</t>
  </si>
  <si>
    <t>SURYA MINES Sarl</t>
  </si>
  <si>
    <t>01994</t>
  </si>
  <si>
    <t>01992</t>
  </si>
  <si>
    <t>H99A2052Y</t>
  </si>
  <si>
    <t>02202</t>
  </si>
  <si>
    <t>12621</t>
  </si>
  <si>
    <t>02272</t>
  </si>
  <si>
    <t>TANTALE ET NOBIUM DU TANGANYIKA Sarl</t>
  </si>
  <si>
    <t>01398</t>
  </si>
  <si>
    <t>02044</t>
  </si>
  <si>
    <t>02086</t>
  </si>
  <si>
    <t>03246</t>
  </si>
  <si>
    <t>03247</t>
  </si>
  <si>
    <t>12432</t>
  </si>
  <si>
    <t>00492</t>
  </si>
  <si>
    <t>A1825220J</t>
  </si>
  <si>
    <t>01573</t>
  </si>
  <si>
    <t>02093</t>
  </si>
  <si>
    <t>15671</t>
  </si>
  <si>
    <t>A1815214H</t>
  </si>
  <si>
    <t>01694</t>
  </si>
  <si>
    <t>02305</t>
  </si>
  <si>
    <t>TENGYUAN COBALT &amp; COPPER</t>
  </si>
  <si>
    <t>13258</t>
  </si>
  <si>
    <t>13392</t>
  </si>
  <si>
    <t>01402</t>
  </si>
  <si>
    <t>13393</t>
  </si>
  <si>
    <t>H9940089R</t>
  </si>
  <si>
    <t>04729</t>
  </si>
  <si>
    <t>09707</t>
  </si>
  <si>
    <t>04728</t>
  </si>
  <si>
    <t>09708</t>
  </si>
  <si>
    <t>A2291136L</t>
  </si>
  <si>
    <t>A1303776U</t>
  </si>
  <si>
    <t>05696</t>
  </si>
  <si>
    <t>05699</t>
  </si>
  <si>
    <t>A1301958T</t>
  </si>
  <si>
    <t>THREE JS GROUP SPRL</t>
  </si>
  <si>
    <t>11117</t>
  </si>
  <si>
    <t>11118</t>
  </si>
  <si>
    <t>A0901953J</t>
  </si>
  <si>
    <t>TIGER CONGO SPRL</t>
  </si>
  <si>
    <t>A1822731D</t>
  </si>
  <si>
    <t>01405</t>
  </si>
  <si>
    <t>A2032109N</t>
  </si>
  <si>
    <t>01406</t>
  </si>
  <si>
    <t>A2044030G</t>
  </si>
  <si>
    <t>01739</t>
  </si>
  <si>
    <t>01574</t>
  </si>
  <si>
    <t>15009</t>
  </si>
  <si>
    <t>01407</t>
  </si>
  <si>
    <t>01408</t>
  </si>
  <si>
    <t>15127</t>
  </si>
  <si>
    <t>15128</t>
  </si>
  <si>
    <t>A2160588F</t>
  </si>
  <si>
    <t>01409</t>
  </si>
  <si>
    <t>02293</t>
  </si>
  <si>
    <t>01410</t>
  </si>
  <si>
    <t>02294</t>
  </si>
  <si>
    <t xml:space="preserve"> A1808972Y</t>
  </si>
  <si>
    <t>TSHIWISHI ENTREPRISE MULTI SERVICES SARL</t>
  </si>
  <si>
    <t>12/07/2023</t>
  </si>
  <si>
    <t>01918</t>
  </si>
  <si>
    <t>01698</t>
  </si>
  <si>
    <t>07121</t>
  </si>
  <si>
    <t>01697</t>
  </si>
  <si>
    <t>11180</t>
  </si>
  <si>
    <t>01802</t>
  </si>
  <si>
    <t>02129</t>
  </si>
  <si>
    <t>A0814837N</t>
  </si>
  <si>
    <t>TSM ENTREPRISE SPRL</t>
  </si>
  <si>
    <t>A1911109X</t>
  </si>
  <si>
    <t>02266</t>
  </si>
  <si>
    <t>02270</t>
  </si>
  <si>
    <t>02269</t>
  </si>
  <si>
    <t>A1509225U</t>
  </si>
  <si>
    <t>TURCO CONSTRUCT Sarl</t>
  </si>
  <si>
    <t>13626</t>
  </si>
  <si>
    <t>TWANGISA MINING</t>
  </si>
  <si>
    <t>A2036550B</t>
  </si>
  <si>
    <t>UKAY MINING Sarl</t>
  </si>
  <si>
    <t>14910</t>
  </si>
  <si>
    <t>ULTIMATES INDUSTRIALS SARL</t>
  </si>
  <si>
    <t>02039</t>
  </si>
  <si>
    <t>14826</t>
  </si>
  <si>
    <t>01579</t>
  </si>
  <si>
    <t>14827</t>
  </si>
  <si>
    <t>14828</t>
  </si>
  <si>
    <t>14829</t>
  </si>
  <si>
    <t>02040</t>
  </si>
  <si>
    <t>A2041111J</t>
  </si>
  <si>
    <t>UMOJA MINERALS SARL</t>
  </si>
  <si>
    <t>01692</t>
  </si>
  <si>
    <t>12460</t>
  </si>
  <si>
    <t>12462</t>
  </si>
  <si>
    <t>12448</t>
  </si>
  <si>
    <t>VALLEY MINING GROUP Sas</t>
  </si>
  <si>
    <t>01365</t>
  </si>
  <si>
    <t>02311</t>
  </si>
  <si>
    <t>02310</t>
  </si>
  <si>
    <t>02309</t>
  </si>
  <si>
    <t>02314</t>
  </si>
  <si>
    <t>02312</t>
  </si>
  <si>
    <t>02313</t>
  </si>
  <si>
    <t>A2156264F</t>
  </si>
  <si>
    <t>WALE CARRIERES SARL</t>
  </si>
  <si>
    <t>02231</t>
  </si>
  <si>
    <t>15068</t>
  </si>
  <si>
    <t>WALI MINING INVESTMENT Sarl</t>
  </si>
  <si>
    <t>A1302366M</t>
  </si>
  <si>
    <t>WAMICO Sarl</t>
  </si>
  <si>
    <t>04191</t>
  </si>
  <si>
    <t>12107</t>
  </si>
  <si>
    <t>04295</t>
  </si>
  <si>
    <t>04/05/2023</t>
  </si>
  <si>
    <t>04197</t>
  </si>
  <si>
    <t>04293</t>
  </si>
  <si>
    <t>04294</t>
  </si>
  <si>
    <t>01474</t>
  </si>
  <si>
    <t>04688</t>
  </si>
  <si>
    <t>04689</t>
  </si>
  <si>
    <t>04296</t>
  </si>
  <si>
    <t>02210</t>
  </si>
  <si>
    <t>A1902821N</t>
  </si>
  <si>
    <t>14602</t>
  </si>
  <si>
    <t>A1903107Z</t>
  </si>
  <si>
    <t>WIDAL MINING SARL</t>
  </si>
  <si>
    <t>25/08/2023</t>
  </si>
  <si>
    <t>15003</t>
  </si>
  <si>
    <t>14535</t>
  </si>
  <si>
    <t>14536</t>
  </si>
  <si>
    <t>14537</t>
  </si>
  <si>
    <t>14538</t>
  </si>
  <si>
    <t>01466</t>
  </si>
  <si>
    <t>14539</t>
  </si>
  <si>
    <t>14540</t>
  </si>
  <si>
    <t>14541</t>
  </si>
  <si>
    <t>A1806996A</t>
  </si>
  <si>
    <t>WORLD MINING RDC Sarl</t>
  </si>
  <si>
    <t>XIN HAO MINING Sarl</t>
  </si>
  <si>
    <t>13625</t>
  </si>
  <si>
    <t>14142</t>
  </si>
  <si>
    <t>14143</t>
  </si>
  <si>
    <t>14163</t>
  </si>
  <si>
    <t>14164</t>
  </si>
  <si>
    <t>14165</t>
  </si>
  <si>
    <t>14166</t>
  </si>
  <si>
    <t>14224</t>
  </si>
  <si>
    <t>14508</t>
  </si>
  <si>
    <t>A1400916M</t>
  </si>
  <si>
    <t>XING DA MINING Sarl</t>
  </si>
  <si>
    <t>A1217376B</t>
  </si>
  <si>
    <t>YA FEI MINING Sprl</t>
  </si>
  <si>
    <t>04577</t>
  </si>
  <si>
    <t>04580</t>
  </si>
  <si>
    <t>YAMS MINING Sarl</t>
  </si>
  <si>
    <t>02001</t>
  </si>
  <si>
    <t>A1621134Q</t>
  </si>
  <si>
    <t>02286</t>
  </si>
  <si>
    <t>02285</t>
  </si>
  <si>
    <t>02289</t>
  </si>
  <si>
    <t>A1819807A</t>
  </si>
  <si>
    <t>YELLOW WATER RESSOURCES Sarl</t>
  </si>
  <si>
    <t>14942</t>
  </si>
  <si>
    <t>A1807554G</t>
  </si>
  <si>
    <t>ZHI PENG MINING Sarl</t>
  </si>
  <si>
    <t>14305</t>
  </si>
  <si>
    <t>A2304644Z</t>
  </si>
  <si>
    <t>02121</t>
  </si>
  <si>
    <t>02122</t>
  </si>
  <si>
    <t>02123</t>
  </si>
  <si>
    <t>02307</t>
  </si>
  <si>
    <t>A2023087A</t>
  </si>
  <si>
    <t>ZK MULTI SERVICES Sarl</t>
  </si>
  <si>
    <t>Annexe 60-2 : Relevé des recettes du CAMI de la quotité de droits supêrficiaires : Exercice 2023</t>
  </si>
  <si>
    <t>Annexe 61 : Rapprochement des recettes certifiées par l'IGF et par la Cour des Comptes</t>
  </si>
  <si>
    <t>Recettes certifiéés (rapport Cour des Comptes)</t>
  </si>
  <si>
    <t>Annexe 62 : Rapports de certification de l'GF et de la Cour des Comptes</t>
  </si>
  <si>
    <t>60.1</t>
  </si>
  <si>
    <t>60.2</t>
  </si>
  <si>
    <t>Annexe 60.1 - Illustration de la déclaration des recettes par Projet/ secteur minier</t>
  </si>
  <si>
    <t>Annexe 60.2 - Relevé des recettes du CAMI de la quotité de droits supêrficiaires : Exercice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</si>
</sst>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 #,##0.00_-;_-* &quot;-&quot;??_-;_-@_-"/>
    <numFmt numFmtId="165" formatCode="_-* #,##0_-;\-* #,##0_-;_-* &quot;-&quot;??_-;_-@_-"/>
    <numFmt numFmtId="166" formatCode="yyyy\-mm\-dd;@"/>
    <numFmt numFmtId="167" formatCode="0.0%"/>
    <numFmt numFmtId="168" formatCode="_-* #,##0.00\ _€_-;\-* #,##0.00\ _€_-;_-* &quot;-&quot;??\ _€_-;_-@_-"/>
    <numFmt numFmtId="169" formatCode="_-* #,##0.0_-;\-* #,##0.0_-;_-* &quot;-&quot;??_-;_-@_-"/>
    <numFmt numFmtId="170" formatCode="00000"/>
    <numFmt numFmtId="171" formatCode="0.00000000%"/>
    <numFmt numFmtId="172" formatCode="_-* #,##0\ _€_-;\-* #,##0\ _€_-;_-* &quot;-&quot;??\ _€_-;_-@_-"/>
    <numFmt numFmtId="173" formatCode="_(* #,##0_);_(* \(#,##0\);_(* &quot;-&quot;??_);_(@_)"/>
  </numFmts>
  <fonts count="164">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sz val="9"/>
      <color rgb="FFFFFFFF"/>
      <name val="Trebuchet MS"/>
      <family val="2"/>
    </font>
    <font>
      <sz val="9"/>
      <color rgb="FF404040"/>
      <name val="Trebuchet MS"/>
      <family val="2"/>
    </font>
    <font>
      <sz val="8"/>
      <name val="Aptos Narrow"/>
      <family val="2"/>
      <scheme val="minor"/>
    </font>
    <font>
      <b/>
      <sz val="8"/>
      <color rgb="FF404040"/>
      <name val="Trebuchet MS"/>
      <family val="2"/>
    </font>
    <font>
      <sz val="11"/>
      <color theme="1"/>
      <name val="Trebuchet MS"/>
      <family val="2"/>
    </font>
    <font>
      <b/>
      <sz val="11"/>
      <color theme="1"/>
      <name val="Trebuchet MS"/>
      <family val="2"/>
    </font>
    <font>
      <b/>
      <sz val="12"/>
      <color theme="1"/>
      <name val="Trebuchet MS"/>
      <family val="2"/>
    </font>
    <font>
      <sz val="11"/>
      <color rgb="FF006100"/>
      <name val="Calibri"/>
      <family val="2"/>
    </font>
    <font>
      <sz val="11"/>
      <color theme="1"/>
      <name val="Calibri"/>
      <family val="2"/>
    </font>
    <font>
      <b/>
      <sz val="10"/>
      <color rgb="FF404040"/>
      <name val="Trebuchet MS"/>
      <family val="2"/>
    </font>
    <font>
      <sz val="10"/>
      <color theme="1"/>
      <name val="Trebuchet MS"/>
      <family val="2"/>
    </font>
    <font>
      <sz val="10"/>
      <color rgb="FF404040"/>
      <name val="Trebuchet MS"/>
      <family val="2"/>
    </font>
    <font>
      <b/>
      <sz val="12"/>
      <color rgb="FFFF0000"/>
      <name val="Trebuchet MS"/>
      <family val="2"/>
    </font>
    <font>
      <sz val="11"/>
      <color rgb="FF000000"/>
      <name val="Calibri"/>
      <family val="2"/>
    </font>
    <font>
      <sz val="10"/>
      <color rgb="FF000000"/>
      <name val="Trebuchet MS"/>
      <family val="2"/>
    </font>
    <font>
      <b/>
      <sz val="16"/>
      <color rgb="FF000000"/>
      <name val="Calibri"/>
      <family val="2"/>
    </font>
    <font>
      <b/>
      <sz val="10"/>
      <color rgb="FFFF0000"/>
      <name val="Trebuchet MS"/>
      <family val="2"/>
    </font>
    <font>
      <b/>
      <sz val="10"/>
      <color rgb="FF000000"/>
      <name val="Trebuchet MS"/>
      <family val="2"/>
    </font>
    <font>
      <b/>
      <sz val="16"/>
      <color rgb="FFFFFFFF"/>
      <name val="Trebuchet MS"/>
      <family val="2"/>
    </font>
    <font>
      <b/>
      <sz val="10"/>
      <color rgb="FFFFFFFF"/>
      <name val="Trebuchet MS"/>
      <family val="2"/>
    </font>
    <font>
      <sz val="10"/>
      <color rgb="FFFFFFFF"/>
      <name val="Trebuchet MS"/>
      <family val="2"/>
    </font>
    <font>
      <b/>
      <sz val="11"/>
      <color rgb="FF000000"/>
      <name val="Calibri"/>
      <family val="2"/>
    </font>
    <font>
      <sz val="10"/>
      <color rgb="FFFF0000"/>
      <name val="Trebuchet MS"/>
      <family val="2"/>
    </font>
    <font>
      <u/>
      <sz val="10"/>
      <color rgb="FFFF0000"/>
      <name val="Trebuchet MS"/>
      <family val="2"/>
    </font>
    <font>
      <u/>
      <sz val="10"/>
      <color rgb="FF000000"/>
      <name val="Trebuchet MS"/>
      <family val="2"/>
    </font>
    <font>
      <b/>
      <u/>
      <sz val="10"/>
      <color rgb="FF262626"/>
      <name val="Trebuchet MS"/>
      <family val="2"/>
    </font>
    <font>
      <b/>
      <sz val="10"/>
      <color rgb="FF262626"/>
      <name val="Trebuchet MS"/>
      <family val="2"/>
    </font>
    <font>
      <i/>
      <sz val="10"/>
      <color rgb="FF000000"/>
      <name val="Trebuchet MS"/>
      <family val="2"/>
    </font>
    <font>
      <b/>
      <i/>
      <sz val="10"/>
      <color rgb="FF262626"/>
      <name val="Trebuchet MS"/>
      <family val="2"/>
    </font>
    <font>
      <i/>
      <sz val="10"/>
      <color rgb="FF262626"/>
      <name val="Trebuchet MS"/>
      <family val="2"/>
    </font>
    <font>
      <b/>
      <sz val="14"/>
      <color theme="1"/>
      <name val="Kohinoor Devanagari"/>
      <family val="3"/>
    </font>
    <font>
      <b/>
      <sz val="11"/>
      <color rgb="FFFF0000"/>
      <name val="Aptos Narrow"/>
      <family val="2"/>
      <scheme val="minor"/>
    </font>
    <font>
      <b/>
      <sz val="8"/>
      <color rgb="FFFFFFFF"/>
      <name val="Trebuchet MS"/>
      <family val="2"/>
    </font>
    <font>
      <b/>
      <sz val="8"/>
      <color theme="1"/>
      <name val="Trebuchet MS"/>
      <family val="2"/>
    </font>
    <font>
      <b/>
      <sz val="8"/>
      <color rgb="FFFF0000"/>
      <name val="Trebuchet MS"/>
      <family val="2"/>
    </font>
    <font>
      <sz val="10"/>
      <color theme="1"/>
      <name val="Aptos Narrow"/>
      <family val="2"/>
      <scheme val="minor"/>
    </font>
    <font>
      <sz val="8"/>
      <color theme="1"/>
      <name val="Trebuchet MS"/>
      <family val="2"/>
    </font>
    <font>
      <b/>
      <sz val="9"/>
      <color rgb="FF404040"/>
      <name val="Trebuchet MS"/>
      <family val="2"/>
    </font>
    <font>
      <sz val="9"/>
      <color theme="1"/>
      <name val="Trebuchet MS"/>
      <family val="2"/>
    </font>
    <font>
      <b/>
      <sz val="10"/>
      <color rgb="FFFFFFFF"/>
      <name val="Arial Narrow"/>
      <family val="2"/>
    </font>
    <font>
      <b/>
      <sz val="10"/>
      <color theme="0"/>
      <name val="Trebuchet MS"/>
      <family val="2"/>
    </font>
    <font>
      <b/>
      <sz val="8"/>
      <name val="Trebuchet MS"/>
      <family val="2"/>
    </font>
    <font>
      <b/>
      <sz val="8"/>
      <color rgb="FF0070C0"/>
      <name val="Trebuchet MS"/>
      <family val="2"/>
    </font>
    <font>
      <b/>
      <sz val="8"/>
      <color rgb="FF000000"/>
      <name val="Trebuchet MS"/>
      <family val="2"/>
    </font>
    <font>
      <sz val="8"/>
      <color rgb="FF000000"/>
      <name val="Trebuchet MS"/>
      <family val="2"/>
    </font>
    <font>
      <b/>
      <sz val="8"/>
      <color rgb="FFC00000"/>
      <name val="Trebuchet MS"/>
      <family val="2"/>
    </font>
    <font>
      <sz val="8"/>
      <name val="Trebuchet MS"/>
      <family val="2"/>
    </font>
    <font>
      <sz val="8"/>
      <color theme="1"/>
      <name val="Century Gothic"/>
      <family val="2"/>
    </font>
    <font>
      <b/>
      <sz val="9"/>
      <color theme="0"/>
      <name val="Trebuchet MS"/>
      <family val="2"/>
    </font>
    <font>
      <sz val="9"/>
      <name val="Trebuchet MS"/>
      <family val="2"/>
    </font>
    <font>
      <sz val="10"/>
      <color indexed="8"/>
      <name val="Arial"/>
      <family val="2"/>
    </font>
    <font>
      <u/>
      <sz val="11"/>
      <color theme="10"/>
      <name val="Aptos Narrow"/>
      <family val="2"/>
      <scheme val="minor"/>
    </font>
    <font>
      <b/>
      <sz val="8"/>
      <color theme="0"/>
      <name val="Trebuchet MS"/>
      <family val="2"/>
    </font>
    <font>
      <b/>
      <sz val="9"/>
      <name val="Trebuchet MS"/>
      <family val="2"/>
    </font>
    <font>
      <sz val="8"/>
      <color theme="1"/>
      <name val="Times New Roman"/>
      <family val="1"/>
    </font>
    <font>
      <b/>
      <sz val="11"/>
      <color rgb="FF404040"/>
      <name val="Trebuchet MS"/>
      <family val="2"/>
    </font>
    <font>
      <b/>
      <sz val="9"/>
      <color theme="1"/>
      <name val="Trebuchet MS"/>
      <family val="2"/>
    </font>
    <font>
      <sz val="8"/>
      <color theme="1"/>
      <name val="Aptos Narrow"/>
      <family val="2"/>
      <scheme val="minor"/>
    </font>
    <font>
      <sz val="8"/>
      <color rgb="FFFF0000"/>
      <name val="Trebuchet MS"/>
      <family val="2"/>
    </font>
    <font>
      <b/>
      <i/>
      <sz val="9"/>
      <color rgb="FF0070C0"/>
      <name val="Trebuchet MS"/>
      <family val="2"/>
    </font>
    <font>
      <sz val="9"/>
      <color theme="1"/>
      <name val="Aptos Narrow"/>
      <family val="2"/>
      <scheme val="minor"/>
    </font>
    <font>
      <b/>
      <sz val="11"/>
      <color theme="0"/>
      <name val="Aptos Narrow"/>
      <family val="2"/>
      <scheme val="minor"/>
    </font>
    <font>
      <sz val="9"/>
      <color theme="1"/>
      <name val="Karla"/>
    </font>
    <font>
      <sz val="8"/>
      <color theme="0"/>
      <name val="Trebuchet MS"/>
      <family val="2"/>
    </font>
    <font>
      <b/>
      <sz val="8"/>
      <color rgb="FF92D050"/>
      <name val="Trebuchet MS"/>
      <family val="2"/>
    </font>
    <font>
      <b/>
      <sz val="10"/>
      <color rgb="FFFFFFFF"/>
      <name val="Karla"/>
    </font>
    <font>
      <sz val="8"/>
      <color theme="5"/>
      <name val="Trebuchet MS"/>
      <family val="2"/>
    </font>
    <font>
      <u/>
      <sz val="8"/>
      <color theme="10"/>
      <name val="Trebuchet MS"/>
      <family val="2"/>
    </font>
    <font>
      <b/>
      <sz val="14"/>
      <color theme="1"/>
      <name val="Karla"/>
    </font>
    <font>
      <b/>
      <sz val="11"/>
      <color theme="1"/>
      <name val="Karla"/>
    </font>
    <font>
      <sz val="11"/>
      <color theme="1"/>
      <name val="Karla"/>
    </font>
    <font>
      <sz val="8"/>
      <color theme="1"/>
      <name val="Karla"/>
    </font>
    <font>
      <b/>
      <sz val="8"/>
      <color theme="1"/>
      <name val="Karla"/>
    </font>
    <font>
      <i/>
      <sz val="10"/>
      <color theme="1"/>
      <name val="Karla"/>
    </font>
    <font>
      <i/>
      <sz val="9"/>
      <color theme="1"/>
      <name val="Karla"/>
    </font>
    <font>
      <b/>
      <sz val="9"/>
      <color rgb="FFFFFFFF"/>
      <name val="Karla"/>
    </font>
    <font>
      <i/>
      <sz val="11"/>
      <color theme="1"/>
      <name val="Aptos Narrow"/>
      <family val="2"/>
      <scheme val="minor"/>
    </font>
    <font>
      <sz val="10"/>
      <name val="Trebuchet MS"/>
      <family val="2"/>
    </font>
    <font>
      <b/>
      <sz val="8"/>
      <color rgb="FFFFFFFF"/>
      <name val="Aptos"/>
      <family val="2"/>
    </font>
    <font>
      <sz val="8"/>
      <color rgb="FF000000"/>
      <name val="Aptos"/>
      <family val="2"/>
    </font>
    <font>
      <sz val="8"/>
      <color theme="1"/>
      <name val="Aptos"/>
      <family val="2"/>
    </font>
    <font>
      <sz val="8"/>
      <name val="Aptos"/>
      <family val="2"/>
    </font>
    <font>
      <b/>
      <sz val="8"/>
      <color rgb="FFFF0000"/>
      <name val="Aptos"/>
      <family val="2"/>
    </font>
    <font>
      <b/>
      <sz val="9"/>
      <color theme="0"/>
      <name val="Aptos"/>
      <family val="2"/>
    </font>
    <font>
      <sz val="9"/>
      <color rgb="FF3B3D3D"/>
      <name val="Trebuchet MS"/>
      <family val="2"/>
    </font>
    <font>
      <sz val="9"/>
      <color rgb="FF232426"/>
      <name val="Trebuchet MS"/>
      <family val="2"/>
    </font>
    <font>
      <sz val="9"/>
      <color rgb="FF494D4D"/>
      <name val="Trebuchet MS"/>
      <family val="2"/>
    </font>
    <font>
      <sz val="9"/>
      <color rgb="FF343638"/>
      <name val="Trebuchet MS"/>
      <family val="2"/>
    </font>
    <font>
      <sz val="9"/>
      <color rgb="FF606262"/>
      <name val="Trebuchet MS"/>
      <family val="2"/>
    </font>
    <font>
      <sz val="9"/>
      <color rgb="FF212326"/>
      <name val="Trebuchet MS"/>
      <family val="2"/>
    </font>
    <font>
      <sz val="9"/>
      <color rgb="FF414444"/>
      <name val="Trebuchet MS"/>
      <family val="2"/>
    </font>
    <font>
      <sz val="9"/>
      <color rgb="FF161818"/>
      <name val="Trebuchet MS"/>
      <family val="2"/>
    </font>
    <font>
      <sz val="9"/>
      <color rgb="FF282A2D"/>
      <name val="Trebuchet MS"/>
      <family val="2"/>
    </font>
    <font>
      <sz val="9"/>
      <color rgb="FF5D5E60"/>
      <name val="Trebuchet MS"/>
      <family val="2"/>
    </font>
    <font>
      <sz val="9"/>
      <color rgb="FF494B4D"/>
      <name val="Trebuchet MS"/>
      <family val="2"/>
    </font>
    <font>
      <sz val="9"/>
      <color rgb="FF2D2F31"/>
      <name val="Trebuchet MS"/>
      <family val="2"/>
    </font>
    <font>
      <sz val="9"/>
      <color rgb="FF646466"/>
      <name val="Trebuchet MS"/>
      <family val="2"/>
    </font>
    <font>
      <sz val="9"/>
      <color rgb="FF111316"/>
      <name val="Trebuchet MS"/>
      <family val="2"/>
    </font>
    <font>
      <sz val="9"/>
      <color rgb="FF444648"/>
      <name val="Trebuchet MS"/>
      <family val="2"/>
    </font>
    <font>
      <sz val="9"/>
      <color rgb="FF2A2D2F"/>
      <name val="Trebuchet MS"/>
      <family val="2"/>
    </font>
    <font>
      <sz val="9"/>
      <color rgb="FF16181A"/>
      <name val="Trebuchet MS"/>
      <family val="2"/>
    </font>
    <font>
      <sz val="9"/>
      <color rgb="FF606062"/>
      <name val="Trebuchet MS"/>
      <family val="2"/>
    </font>
    <font>
      <sz val="9"/>
      <color rgb="FF2B2F2F"/>
      <name val="Trebuchet MS"/>
      <family val="2"/>
    </font>
    <font>
      <sz val="9"/>
      <color rgb="FF444646"/>
      <name val="Trebuchet MS"/>
      <family val="2"/>
    </font>
    <font>
      <sz val="9"/>
      <color rgb="FF242626"/>
      <name val="Trebuchet MS"/>
      <family val="2"/>
    </font>
    <font>
      <sz val="9"/>
      <color rgb="FF484B4B"/>
      <name val="Trebuchet MS"/>
      <family val="2"/>
    </font>
    <font>
      <sz val="9"/>
      <color rgb="FF343636"/>
      <name val="Trebuchet MS"/>
      <family val="2"/>
    </font>
    <font>
      <sz val="9"/>
      <color rgb="FF0C110E"/>
      <name val="Trebuchet MS"/>
      <family val="2"/>
    </font>
    <font>
      <sz val="9"/>
      <color rgb="FF565757"/>
      <name val="Trebuchet MS"/>
      <family val="2"/>
    </font>
    <font>
      <sz val="9"/>
      <color rgb="FF676969"/>
      <name val="Trebuchet MS"/>
      <family val="2"/>
    </font>
    <font>
      <sz val="9"/>
      <color rgb="FF111315"/>
      <name val="Trebuchet MS"/>
      <family val="2"/>
    </font>
    <font>
      <sz val="9"/>
      <color rgb="FF3D3F3F"/>
      <name val="Trebuchet MS"/>
      <family val="2"/>
    </font>
    <font>
      <sz val="9"/>
      <color rgb="FF262828"/>
      <name val="Trebuchet MS"/>
      <family val="2"/>
    </font>
    <font>
      <sz val="9"/>
      <color rgb="FF545656"/>
      <name val="Trebuchet MS"/>
      <family val="2"/>
    </font>
    <font>
      <sz val="9"/>
      <color rgb="FF3F4444"/>
      <name val="Trebuchet MS"/>
      <family val="2"/>
    </font>
    <font>
      <sz val="9"/>
      <color rgb="FF282A2B"/>
      <name val="Trebuchet MS"/>
      <family val="2"/>
    </font>
    <font>
      <sz val="9"/>
      <color rgb="FF565759"/>
      <name val="Trebuchet MS"/>
      <family val="2"/>
    </font>
    <font>
      <sz val="9"/>
      <color rgb="FF666767"/>
      <name val="Trebuchet MS"/>
      <family val="2"/>
    </font>
    <font>
      <sz val="9"/>
      <color rgb="FF0E0F11"/>
      <name val="Trebuchet MS"/>
      <family val="2"/>
    </font>
    <font>
      <sz val="9"/>
      <color rgb="FF2F3134"/>
      <name val="Trebuchet MS"/>
      <family val="2"/>
    </font>
    <font>
      <sz val="9"/>
      <color rgb="FF1D1F21"/>
      <name val="Trebuchet MS"/>
      <family val="2"/>
    </font>
    <font>
      <sz val="9"/>
      <color rgb="FF5E6062"/>
      <name val="Trebuchet MS"/>
      <family val="2"/>
    </font>
    <font>
      <sz val="9"/>
      <color rgb="FF494D4B"/>
      <name val="Trebuchet MS"/>
      <family val="2"/>
    </font>
    <font>
      <sz val="9"/>
      <color rgb="FF2D3131"/>
      <name val="Trebuchet MS"/>
      <family val="2"/>
    </font>
    <font>
      <sz val="9"/>
      <color rgb="FF1C1F21"/>
      <name val="Trebuchet MS"/>
      <family val="2"/>
    </font>
    <font>
      <sz val="9"/>
      <color rgb="FF0C0F15"/>
      <name val="Trebuchet MS"/>
      <family val="2"/>
    </font>
    <font>
      <sz val="8"/>
      <color theme="0" tint="-0.249977111117893"/>
      <name val="Trebuchet MS"/>
      <family val="2"/>
    </font>
    <font>
      <i/>
      <sz val="8"/>
      <color theme="1"/>
      <name val="Trebuchet MS"/>
      <family val="2"/>
    </font>
    <font>
      <sz val="12"/>
      <color theme="1"/>
      <name val="Calibri"/>
      <family val="2"/>
    </font>
    <font>
      <sz val="12"/>
      <color rgb="FF000000"/>
      <name val="Calibri"/>
      <family val="2"/>
    </font>
    <font>
      <sz val="10"/>
      <color rgb="FF3B3838"/>
      <name val="Trebuchet MS"/>
      <family val="2"/>
    </font>
    <font>
      <b/>
      <sz val="10"/>
      <color rgb="FF3B3838"/>
      <name val="Trebuchet MS"/>
      <family val="2"/>
    </font>
    <font>
      <b/>
      <sz val="10"/>
      <color theme="1"/>
      <name val="Trebuchet MS"/>
      <family val="2"/>
    </font>
    <font>
      <sz val="9"/>
      <color theme="0"/>
      <name val="Trebuchet MS"/>
      <family val="2"/>
    </font>
    <font>
      <b/>
      <u/>
      <sz val="14"/>
      <color theme="1"/>
      <name val="Trebuchet MS"/>
      <family val="2"/>
    </font>
    <font>
      <sz val="12"/>
      <color theme="1"/>
      <name val="Trebuchet MS"/>
      <family val="2"/>
    </font>
    <font>
      <b/>
      <sz val="12"/>
      <color theme="0"/>
      <name val="Trebuchet MS"/>
      <family val="2"/>
    </font>
    <font>
      <sz val="12"/>
      <color rgb="FF000000"/>
      <name val="Trebuchet MS"/>
      <family val="2"/>
    </font>
    <font>
      <sz val="12"/>
      <color indexed="8"/>
      <name val="Trebuchet MS"/>
      <family val="2"/>
    </font>
    <font>
      <u/>
      <sz val="9"/>
      <color theme="10"/>
      <name val="Aptos Narrow"/>
      <family val="2"/>
      <scheme val="minor"/>
    </font>
    <font>
      <u/>
      <sz val="9"/>
      <color rgb="FFFF0000"/>
      <name val="Aptos Narrow"/>
      <family val="2"/>
      <scheme val="minor"/>
    </font>
    <font>
      <i/>
      <sz val="9"/>
      <color theme="1"/>
      <name val="Aptos Narrow"/>
      <family val="2"/>
      <scheme val="minor"/>
    </font>
    <font>
      <i/>
      <sz val="10"/>
      <color theme="1"/>
      <name val="Aptos Narrow"/>
      <family val="2"/>
      <scheme val="minor"/>
    </font>
    <font>
      <b/>
      <sz val="10"/>
      <name val="Trebuchet MS"/>
      <family val="2"/>
    </font>
    <font>
      <sz val="10"/>
      <color theme="0"/>
      <name val="Trebuchet MS"/>
      <family val="2"/>
    </font>
    <font>
      <b/>
      <sz val="9"/>
      <color rgb="FFFF0000"/>
      <name val="Trebuchet MS"/>
      <family val="2"/>
    </font>
    <font>
      <u/>
      <sz val="9"/>
      <color theme="10"/>
      <name val="Trebuchet MS"/>
      <family val="2"/>
    </font>
    <font>
      <i/>
      <sz val="10"/>
      <color theme="1"/>
      <name val="Trebuchet MS"/>
      <family val="2"/>
    </font>
    <font>
      <sz val="9"/>
      <color indexed="81"/>
      <name val="Tahoma"/>
      <family val="2"/>
    </font>
    <font>
      <b/>
      <sz val="9"/>
      <color indexed="81"/>
      <name val="Tahoma"/>
      <family val="2"/>
    </font>
    <font>
      <b/>
      <sz val="12"/>
      <name val="Trebuchet MS"/>
      <family val="2"/>
    </font>
    <font>
      <b/>
      <sz val="8"/>
      <color rgb="FF0C0C0C"/>
      <name val="Arial"/>
      <family val="2"/>
    </font>
    <font>
      <b/>
      <sz val="8"/>
      <color rgb="FF282828"/>
      <name val="Arial"/>
      <family val="2"/>
    </font>
    <font>
      <b/>
      <sz val="8"/>
      <color rgb="FF131313"/>
      <name val="Arial"/>
      <family val="2"/>
    </font>
    <font>
      <b/>
      <sz val="8"/>
      <color rgb="FF3D3D3D"/>
      <name val="Arial"/>
      <family val="2"/>
    </font>
    <font>
      <b/>
      <sz val="8"/>
      <color theme="1"/>
      <name val="Arial"/>
      <family val="2"/>
    </font>
    <font>
      <b/>
      <sz val="8"/>
      <color rgb="FFFF0000"/>
      <name val="Karla"/>
    </font>
    <font>
      <b/>
      <sz val="8"/>
      <color theme="0"/>
      <name val="Karla"/>
    </font>
    <font>
      <sz val="11"/>
      <name val="Aptos Narrow"/>
      <family val="2"/>
      <scheme val="minor"/>
    </font>
    <font>
      <b/>
      <sz val="10.8"/>
      <name val="Trebuchet MS"/>
      <family val="2"/>
    </font>
  </fonts>
  <fills count="49">
    <fill>
      <patternFill patternType="none"/>
    </fill>
    <fill>
      <patternFill patternType="gray125"/>
    </fill>
    <fill>
      <patternFill patternType="solid">
        <fgColor rgb="FFC6EFCE"/>
      </patternFill>
    </fill>
    <fill>
      <patternFill patternType="solid">
        <fgColor rgb="FF748A96"/>
        <bgColor indexed="64"/>
      </patternFill>
    </fill>
    <fill>
      <patternFill patternType="solid">
        <fgColor rgb="FFE2EFD9"/>
        <bgColor indexed="64"/>
      </patternFill>
    </fill>
    <fill>
      <patternFill patternType="solid">
        <fgColor rgb="FFFFFFFF"/>
        <bgColor indexed="64"/>
      </patternFill>
    </fill>
    <fill>
      <patternFill patternType="solid">
        <fgColor rgb="FFBFBFBF"/>
        <bgColor rgb="FFFFFFFF"/>
      </patternFill>
    </fill>
    <fill>
      <patternFill patternType="solid">
        <fgColor rgb="FF748A96"/>
        <bgColor rgb="FFFFFFFF"/>
      </patternFill>
    </fill>
    <fill>
      <patternFill patternType="solid">
        <fgColor rgb="FF299F94"/>
        <bgColor rgb="FFFFFFFF"/>
      </patternFill>
    </fill>
    <fill>
      <patternFill patternType="solid">
        <fgColor rgb="FFA3E7E1"/>
        <bgColor rgb="FFFFFFFF"/>
      </patternFill>
    </fill>
    <fill>
      <patternFill patternType="solid">
        <fgColor rgb="FFFFFFFF"/>
        <bgColor rgb="FFFFFFFF"/>
      </patternFill>
    </fill>
    <fill>
      <patternFill patternType="solid">
        <fgColor theme="5" tint="0.79998168889431442"/>
        <bgColor indexed="64"/>
      </patternFill>
    </fill>
    <fill>
      <patternFill patternType="solid">
        <fgColor rgb="FF657C91"/>
        <bgColor indexed="64"/>
      </patternFill>
    </fill>
    <fill>
      <patternFill patternType="solid">
        <fgColor theme="2" tint="-0.499984740745262"/>
        <bgColor indexed="64"/>
      </patternFill>
    </fill>
    <fill>
      <patternFill patternType="solid">
        <fgColor rgb="FFA4E7E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1BA4A1"/>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4" tint="-0.249977111117893"/>
        <bgColor indexed="64"/>
      </patternFill>
    </fill>
    <fill>
      <patternFill patternType="solid">
        <fgColor theme="0" tint="-0.34998626667073579"/>
        <bgColor indexed="64"/>
      </patternFill>
    </fill>
    <fill>
      <patternFill patternType="solid">
        <fgColor theme="3" tint="0.749992370372631"/>
        <bgColor indexed="64"/>
      </patternFill>
    </fill>
    <fill>
      <patternFill patternType="solid">
        <fgColor theme="0" tint="-4.9989318521683403E-2"/>
        <bgColor indexed="0"/>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3" tint="0.89999084444715716"/>
        <bgColor indexed="64"/>
      </patternFill>
    </fill>
    <fill>
      <patternFill patternType="solid">
        <fgColor rgb="FFE2EFDA"/>
        <bgColor indexed="64"/>
      </patternFill>
    </fill>
    <fill>
      <patternFill patternType="solid">
        <fgColor theme="9" tint="0.79998168889431442"/>
        <bgColor indexed="0"/>
      </patternFill>
    </fill>
    <fill>
      <patternFill patternType="solid">
        <fgColor rgb="FFF2F2F2"/>
        <bgColor indexed="64"/>
      </patternFill>
    </fill>
    <fill>
      <patternFill patternType="solid">
        <fgColor rgb="FF002060"/>
        <bgColor indexed="64"/>
      </patternFill>
    </fill>
    <fill>
      <patternFill patternType="solid">
        <fgColor theme="2" tint="-9.9978637043366805E-2"/>
        <bgColor indexed="64"/>
      </patternFill>
    </fill>
    <fill>
      <patternFill patternType="solid">
        <fgColor theme="2" tint="-9.9948118533890809E-2"/>
        <bgColor indexed="64"/>
      </patternFill>
    </fill>
    <fill>
      <patternFill patternType="solid">
        <fgColor rgb="FF92D050"/>
        <bgColor indexed="64"/>
      </patternFill>
    </fill>
    <fill>
      <patternFill patternType="gray125">
        <bgColor rgb="FFE2EFD9"/>
      </patternFill>
    </fill>
    <fill>
      <patternFill patternType="solid">
        <fgColor rgb="FFFF0000"/>
        <bgColor indexed="64"/>
      </patternFill>
    </fill>
    <fill>
      <patternFill patternType="solid">
        <fgColor rgb="FFD9D9D9"/>
        <bgColor indexed="64"/>
      </patternFill>
    </fill>
    <fill>
      <patternFill patternType="solid">
        <fgColor rgb="FF748A96"/>
        <bgColor theme="4" tint="0.79998168889431442"/>
      </patternFill>
    </fill>
    <fill>
      <patternFill patternType="solid">
        <fgColor theme="4"/>
        <bgColor indexed="64"/>
      </patternFill>
    </fill>
    <fill>
      <patternFill patternType="darkGray">
        <bgColor rgb="FFA4E7E1"/>
      </patternFill>
    </fill>
    <fill>
      <patternFill patternType="darkGray">
        <bgColor theme="0" tint="-4.9989318521683403E-2"/>
      </patternFill>
    </fill>
    <fill>
      <patternFill patternType="darkGray">
        <bgColor rgb="FFF2F2F2"/>
      </patternFill>
    </fill>
    <fill>
      <patternFill patternType="mediumGray">
        <bgColor theme="0" tint="-0.14996795556505021"/>
      </patternFill>
    </fill>
    <fill>
      <patternFill patternType="solid">
        <fgColor rgb="FFFFC000"/>
        <bgColor indexed="64"/>
      </patternFill>
    </fill>
    <fill>
      <patternFill patternType="solid">
        <fgColor rgb="FF657C91"/>
        <bgColor theme="4" tint="0.79998168889431442"/>
      </patternFill>
    </fill>
    <fill>
      <patternFill patternType="solid">
        <fgColor theme="1" tint="0.499984740745262"/>
        <bgColor theme="1" tint="0.499984740745262"/>
      </patternFill>
    </fill>
    <fill>
      <patternFill patternType="solid">
        <fgColor theme="0" tint="-0.14999847407452621"/>
        <bgColor theme="0" tint="-0.14999847407452621"/>
      </patternFill>
    </fill>
    <fill>
      <patternFill patternType="solid">
        <fgColor theme="0" tint="-0.249977111117893"/>
        <bgColor theme="0" tint="-0.249977111117893"/>
      </patternFill>
    </fill>
  </fills>
  <borders count="85">
    <border>
      <left/>
      <right/>
      <top/>
      <bottom/>
      <diagonal/>
    </border>
    <border>
      <left/>
      <right/>
      <top/>
      <bottom style="thick">
        <color rgb="FF61BC4D"/>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top/>
      <bottom style="medium">
        <color rgb="FFFF0000"/>
      </bottom>
      <diagonal/>
    </border>
    <border>
      <left/>
      <right/>
      <top/>
      <bottom style="dashDot">
        <color indexed="64"/>
      </bottom>
      <diagonal/>
    </border>
    <border>
      <left style="dashDot">
        <color indexed="64"/>
      </left>
      <right style="dashDot">
        <color indexed="64"/>
      </right>
      <top style="dashDot">
        <color indexed="64"/>
      </top>
      <bottom/>
      <diagonal/>
    </border>
    <border>
      <left style="dashDot">
        <color indexed="64"/>
      </left>
      <right style="dashDot">
        <color indexed="64"/>
      </right>
      <top style="dashDot">
        <color indexed="64"/>
      </top>
      <bottom style="dashDot">
        <color indexed="64"/>
      </bottom>
      <diagonal/>
    </border>
    <border>
      <left style="dashDot">
        <color indexed="64"/>
      </left>
      <right style="dashDot">
        <color indexed="64"/>
      </right>
      <top/>
      <bottom style="dashDot">
        <color indexed="64"/>
      </bottom>
      <diagonal/>
    </border>
    <border>
      <left style="dashDot">
        <color indexed="64"/>
      </left>
      <right style="dashDot">
        <color indexed="64"/>
      </right>
      <top/>
      <bottom/>
      <diagonal/>
    </border>
    <border>
      <left style="medium">
        <color rgb="FF00B0F0"/>
      </left>
      <right style="thin">
        <color rgb="FF00B0F0"/>
      </right>
      <top style="medium">
        <color rgb="FF00B0F0"/>
      </top>
      <bottom style="medium">
        <color rgb="FF00B0F0"/>
      </bottom>
      <diagonal/>
    </border>
    <border>
      <left style="thin">
        <color rgb="FF00B0F0"/>
      </left>
      <right/>
      <top style="medium">
        <color rgb="FF00B0F0"/>
      </top>
      <bottom style="medium">
        <color rgb="FF00B0F0"/>
      </bottom>
      <diagonal/>
    </border>
    <border>
      <left style="thin">
        <color rgb="FF00B0F0"/>
      </left>
      <right style="medium">
        <color rgb="FF00B0F0"/>
      </right>
      <top style="medium">
        <color rgb="FF00B0F0"/>
      </top>
      <bottom style="medium">
        <color rgb="FF00B0F0"/>
      </bottom>
      <diagonal/>
    </border>
    <border>
      <left style="medium">
        <color rgb="FF00B0F0"/>
      </left>
      <right style="thin">
        <color rgb="FF00B0F0"/>
      </right>
      <top style="medium">
        <color rgb="FF00B0F0"/>
      </top>
      <bottom style="thin">
        <color rgb="FF00B0F0"/>
      </bottom>
      <diagonal/>
    </border>
    <border>
      <left style="thin">
        <color rgb="FF00B0F0"/>
      </left>
      <right/>
      <top style="medium">
        <color rgb="FF00B0F0"/>
      </top>
      <bottom style="thin">
        <color rgb="FF00B0F0"/>
      </bottom>
      <diagonal/>
    </border>
    <border>
      <left style="thin">
        <color rgb="FF00B0F0"/>
      </left>
      <right style="medium">
        <color rgb="FF00B0F0"/>
      </right>
      <top style="medium">
        <color rgb="FF00B0F0"/>
      </top>
      <bottom style="thin">
        <color rgb="FF00B0F0"/>
      </bottom>
      <diagonal/>
    </border>
    <border>
      <left style="medium">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style="thin">
        <color rgb="FF00B0F0"/>
      </left>
      <right style="medium">
        <color rgb="FF00B0F0"/>
      </right>
      <top style="thin">
        <color rgb="FF00B0F0"/>
      </top>
      <bottom style="thin">
        <color rgb="FF00B0F0"/>
      </bottom>
      <diagonal/>
    </border>
    <border>
      <left style="medium">
        <color rgb="FF00B0F0"/>
      </left>
      <right style="thin">
        <color rgb="FF00B0F0"/>
      </right>
      <top style="thin">
        <color rgb="FF00B0F0"/>
      </top>
      <bottom style="medium">
        <color rgb="FF00B0F0"/>
      </bottom>
      <diagonal/>
    </border>
    <border>
      <left style="thin">
        <color rgb="FF00B0F0"/>
      </left>
      <right/>
      <top style="thin">
        <color rgb="FF00B0F0"/>
      </top>
      <bottom style="medium">
        <color rgb="FF00B0F0"/>
      </bottom>
      <diagonal/>
    </border>
    <border>
      <left style="thin">
        <color rgb="FF00B0F0"/>
      </left>
      <right style="medium">
        <color rgb="FF00B0F0"/>
      </right>
      <top style="thin">
        <color rgb="FF00B0F0"/>
      </top>
      <bottom style="medium">
        <color rgb="FF00B0F0"/>
      </bottom>
      <diagonal/>
    </border>
    <border>
      <left style="medium">
        <color rgb="FF00B0F0"/>
      </left>
      <right style="thin">
        <color rgb="FF00B0F0"/>
      </right>
      <top style="thin">
        <color rgb="FF00B0F0"/>
      </top>
      <bottom/>
      <diagonal/>
    </border>
    <border>
      <left style="thin">
        <color rgb="FF00B0F0"/>
      </left>
      <right/>
      <top/>
      <bottom/>
      <diagonal/>
    </border>
    <border>
      <left style="medium">
        <color rgb="FF00B0F0"/>
      </left>
      <right style="thin">
        <color rgb="FF00B0F0"/>
      </right>
      <top/>
      <bottom/>
      <diagonal/>
    </border>
    <border>
      <left style="thin">
        <color rgb="FF00B0F0"/>
      </left>
      <right style="medium">
        <color rgb="FF00B0F0"/>
      </right>
      <top/>
      <bottom/>
      <diagonal/>
    </border>
    <border>
      <left/>
      <right/>
      <top style="thick">
        <color rgb="FF61BC4D"/>
      </top>
      <bottom style="medium">
        <color rgb="FF00B0F0"/>
      </bottom>
      <diagonal/>
    </border>
    <border>
      <left/>
      <right style="medium">
        <color rgb="FF00B0F0"/>
      </right>
      <top style="thick">
        <color rgb="FF61BC4D"/>
      </top>
      <bottom style="medium">
        <color rgb="FF00B0F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theme="0" tint="-4.9989318521683403E-2"/>
      </top>
      <bottom/>
      <diagonal/>
    </border>
    <border>
      <left style="thin">
        <color auto="1"/>
      </left>
      <right/>
      <top/>
      <bottom/>
      <diagonal/>
    </border>
    <border>
      <left style="thin">
        <color auto="1"/>
      </left>
      <right style="thin">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theme="0" tint="-4.9989318521683403E-2"/>
      </bottom>
      <diagonal/>
    </border>
    <border>
      <left/>
      <right style="thin">
        <color auto="1"/>
      </right>
      <top/>
      <bottom style="thin">
        <color theme="0" tint="-4.9989318521683403E-2"/>
      </bottom>
      <diagonal/>
    </border>
    <border>
      <left style="thin">
        <color indexed="64"/>
      </left>
      <right style="thin">
        <color auto="1"/>
      </right>
      <top style="thin">
        <color theme="0" tint="-4.9989318521683403E-2"/>
      </top>
      <bottom/>
      <diagonal/>
    </border>
    <border>
      <left style="thin">
        <color indexed="64"/>
      </left>
      <right/>
      <top style="thin">
        <color theme="0" tint="-4.9989318521683403E-2"/>
      </top>
      <bottom/>
      <diagonal/>
    </border>
    <border>
      <left style="thin">
        <color auto="1"/>
      </left>
      <right/>
      <top/>
      <bottom style="thin">
        <color indexed="64"/>
      </bottom>
      <diagonal/>
    </border>
    <border>
      <left/>
      <right/>
      <top/>
      <bottom style="thin">
        <color indexed="64"/>
      </bottom>
      <diagonal/>
    </border>
    <border>
      <left/>
      <right/>
      <top style="thin">
        <color theme="0"/>
      </top>
      <bottom style="thin">
        <color theme="0"/>
      </bottom>
      <diagonal/>
    </border>
    <border>
      <left/>
      <right/>
      <top style="thin">
        <color theme="0"/>
      </top>
      <bottom/>
      <diagonal/>
    </border>
    <border>
      <left style="medium">
        <color indexed="64"/>
      </left>
      <right style="medium">
        <color indexed="64"/>
      </right>
      <top style="medium">
        <color indexed="64"/>
      </top>
      <bottom style="medium">
        <color indexed="64"/>
      </bottom>
      <diagonal/>
    </border>
    <border>
      <left style="dashed">
        <color rgb="FF404040"/>
      </left>
      <right style="dashed">
        <color rgb="FF404040"/>
      </right>
      <top style="dashed">
        <color rgb="FF404040"/>
      </top>
      <bottom style="dashed">
        <color rgb="FF404040"/>
      </bottom>
      <diagonal/>
    </border>
    <border>
      <left style="dashDot">
        <color indexed="64"/>
      </left>
      <right style="dashDot">
        <color indexed="64"/>
      </right>
      <top style="dashed">
        <color rgb="FF404040"/>
      </top>
      <bottom/>
      <diagonal/>
    </border>
    <border>
      <left/>
      <right/>
      <top style="dashDot">
        <color indexed="64"/>
      </top>
      <bottom/>
      <diagonal/>
    </border>
    <border>
      <left/>
      <right style="dashDot">
        <color indexed="64"/>
      </right>
      <top/>
      <bottom/>
      <diagonal/>
    </border>
    <border>
      <left style="dashDot">
        <color indexed="64"/>
      </left>
      <right/>
      <top style="dashDot">
        <color indexed="64"/>
      </top>
      <bottom style="dashDot">
        <color indexed="64"/>
      </bottom>
      <diagonal/>
    </border>
    <border>
      <left/>
      <right/>
      <top style="dashDot">
        <color indexed="64"/>
      </top>
      <bottom style="dashDot">
        <color indexed="64"/>
      </bottom>
      <diagonal/>
    </border>
    <border>
      <left/>
      <right style="dashDot">
        <color indexed="64"/>
      </right>
      <top style="dashDot">
        <color indexed="64"/>
      </top>
      <bottom style="dashDot">
        <color indexed="64"/>
      </bottom>
      <diagonal/>
    </border>
    <border>
      <left/>
      <right style="dashDot">
        <color indexed="64"/>
      </right>
      <top/>
      <bottom style="dashDot">
        <color indexed="64"/>
      </bottom>
      <diagonal/>
    </border>
    <border>
      <left/>
      <right style="dashDot">
        <color indexed="64"/>
      </right>
      <top style="dashDot">
        <color indexed="64"/>
      </top>
      <bottom/>
      <diagonal/>
    </border>
    <border>
      <left/>
      <right/>
      <top style="thin">
        <color theme="0" tint="-0.24994659260841701"/>
      </top>
      <bottom style="thin">
        <color theme="0" tint="-0.24994659260841701"/>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theme="0" tint="-0.14996795556505021"/>
      </top>
      <bottom style="thin">
        <color theme="0" tint="-0.14996795556505021"/>
      </bottom>
      <diagonal/>
    </border>
    <border>
      <left/>
      <right/>
      <top/>
      <bottom style="thin">
        <color theme="4" tint="0.39997558519241921"/>
      </bottom>
      <diagonal/>
    </border>
    <border>
      <left/>
      <right/>
      <top/>
      <bottom style="thick">
        <color rgb="FFFF0000"/>
      </bottom>
      <diagonal/>
    </border>
    <border>
      <left/>
      <right/>
      <top style="thin">
        <color indexed="64"/>
      </top>
      <bottom/>
      <diagonal/>
    </border>
    <border>
      <left style="thin">
        <color theme="0"/>
      </left>
      <right/>
      <top/>
      <bottom style="thin">
        <color theme="0"/>
      </bottom>
      <diagonal/>
    </border>
    <border>
      <left/>
      <right style="thin">
        <color theme="0"/>
      </right>
      <top/>
      <bottom style="thin">
        <color theme="0"/>
      </bottom>
      <diagonal/>
    </border>
    <border>
      <left/>
      <right/>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right style="thin">
        <color theme="0"/>
      </right>
      <top style="thin">
        <color indexed="64"/>
      </top>
      <bottom/>
      <diagonal/>
    </border>
    <border>
      <left style="thin">
        <color theme="0"/>
      </left>
      <right style="thin">
        <color theme="0"/>
      </right>
      <top style="thin">
        <color indexed="64"/>
      </top>
      <bottom/>
      <diagonal/>
    </border>
    <border>
      <left/>
      <right/>
      <top style="thin">
        <color theme="0" tint="-0.14996795556505021"/>
      </top>
      <bottom style="thin">
        <color theme="0" tint="-0.1499374370555742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theme="4" tint="0.39997558519241921"/>
      </top>
      <bottom/>
      <diagonal/>
    </border>
    <border>
      <left/>
      <right/>
      <top style="thin">
        <color theme="1"/>
      </top>
      <bottom style="medium">
        <color theme="1" tint="0.499984740745262"/>
      </bottom>
      <diagonal/>
    </border>
  </borders>
  <cellStyleXfs count="17">
    <xf numFmtId="0" fontId="0" fillId="0" borderId="0"/>
    <xf numFmtId="164" fontId="1" fillId="0" borderId="0" applyFont="0" applyFill="0" applyBorder="0" applyAlignment="0" applyProtection="0"/>
    <xf numFmtId="9" fontId="1" fillId="0" borderId="0" applyFont="0" applyFill="0" applyBorder="0" applyAlignment="0" applyProtection="0"/>
    <xf numFmtId="0" fontId="11" fillId="2" borderId="0" applyNumberFormat="0" applyBorder="0" applyAlignment="0" applyProtection="0"/>
    <xf numFmtId="0" fontId="12" fillId="0" borderId="0"/>
    <xf numFmtId="0" fontId="1" fillId="0" borderId="0"/>
    <xf numFmtId="0" fontId="17" fillId="0" borderId="0"/>
    <xf numFmtId="0" fontId="51" fillId="0" borderId="0"/>
    <xf numFmtId="164" fontId="1" fillId="0" borderId="0" applyFont="0" applyFill="0" applyBorder="0" applyAlignment="0" applyProtection="0"/>
    <xf numFmtId="0" fontId="54" fillId="0" borderId="0"/>
    <xf numFmtId="0" fontId="55" fillId="0" borderId="0" applyNumberFormat="0" applyFill="0" applyBorder="0" applyAlignment="0" applyProtection="0"/>
    <xf numFmtId="0" fontId="54" fillId="0" borderId="0"/>
    <xf numFmtId="0" fontId="17" fillId="0" borderId="0" applyBorder="0"/>
    <xf numFmtId="164" fontId="1" fillId="0" borderId="0" applyFont="0" applyFill="0" applyBorder="0" applyAlignment="0" applyProtection="0"/>
    <xf numFmtId="164" fontId="1" fillId="0" borderId="0" applyFont="0" applyFill="0" applyBorder="0" applyAlignment="0" applyProtection="0"/>
    <xf numFmtId="168" fontId="1" fillId="0" borderId="0" applyFont="0" applyFill="0" applyBorder="0" applyAlignment="0" applyProtection="0"/>
    <xf numFmtId="0" fontId="54" fillId="0" borderId="0"/>
  </cellStyleXfs>
  <cellXfs count="1083">
    <xf numFmtId="0" fontId="0" fillId="0" borderId="0" xfId="0"/>
    <xf numFmtId="0" fontId="4" fillId="3" borderId="1" xfId="0" applyFont="1" applyFill="1" applyBorder="1" applyAlignment="1">
      <alignment horizontal="center" vertical="center" wrapText="1"/>
    </xf>
    <xf numFmtId="0" fontId="5" fillId="4" borderId="0" xfId="0" applyFont="1" applyFill="1" applyAlignment="1">
      <alignment vertical="center"/>
    </xf>
    <xf numFmtId="0" fontId="5" fillId="4" borderId="0" xfId="0" applyFont="1" applyFill="1" applyAlignment="1">
      <alignment horizontal="center" vertical="center"/>
    </xf>
    <xf numFmtId="0" fontId="2" fillId="0" borderId="0" xfId="0" applyFont="1"/>
    <xf numFmtId="0" fontId="8" fillId="0" borderId="0" xfId="0" applyFont="1"/>
    <xf numFmtId="0" fontId="9" fillId="0" borderId="0" xfId="0" applyFont="1"/>
    <xf numFmtId="0" fontId="10" fillId="0" borderId="0" xfId="0" applyFont="1"/>
    <xf numFmtId="0" fontId="8" fillId="0" borderId="2" xfId="0" applyFont="1" applyBorder="1" applyAlignment="1">
      <alignment horizontal="center" vertical="center"/>
    </xf>
    <xf numFmtId="0" fontId="15" fillId="4" borderId="0" xfId="0" applyFont="1" applyFill="1" applyAlignment="1">
      <alignment horizontal="left" vertical="center"/>
    </xf>
    <xf numFmtId="0" fontId="15" fillId="5" borderId="0" xfId="0" applyFont="1" applyFill="1" applyAlignment="1">
      <alignment horizontal="left" vertical="center"/>
    </xf>
    <xf numFmtId="0" fontId="15" fillId="4" borderId="0" xfId="0" applyFont="1" applyFill="1" applyAlignment="1">
      <alignment horizontal="center" vertical="center"/>
    </xf>
    <xf numFmtId="14" fontId="15" fillId="4" borderId="0" xfId="0" applyNumberFormat="1" applyFont="1" applyFill="1" applyAlignment="1">
      <alignment horizontal="center" vertical="center"/>
    </xf>
    <xf numFmtId="0" fontId="15" fillId="5" borderId="0" xfId="0" applyFont="1" applyFill="1" applyAlignment="1">
      <alignment horizontal="center" vertical="center"/>
    </xf>
    <xf numFmtId="14" fontId="15" fillId="5" borderId="0" xfId="0" applyNumberFormat="1" applyFont="1" applyFill="1" applyAlignment="1">
      <alignment horizontal="center" vertical="center"/>
    </xf>
    <xf numFmtId="0" fontId="12" fillId="0" borderId="0" xfId="4"/>
    <xf numFmtId="0" fontId="16" fillId="0" borderId="0" xfId="4" applyFont="1"/>
    <xf numFmtId="0" fontId="18" fillId="0" borderId="0" xfId="6" applyFont="1" applyAlignment="1" applyProtection="1">
      <alignment vertical="center"/>
      <protection locked="0"/>
    </xf>
    <xf numFmtId="0" fontId="18" fillId="0" borderId="0" xfId="6" applyFont="1" applyAlignment="1">
      <alignment vertical="center"/>
    </xf>
    <xf numFmtId="0" fontId="19" fillId="0" borderId="3" xfId="6" applyFont="1" applyBorder="1" applyAlignment="1">
      <alignment horizontal="center" vertical="center"/>
    </xf>
    <xf numFmtId="0" fontId="20" fillId="0" borderId="0" xfId="6" applyFont="1" applyAlignment="1" applyProtection="1">
      <alignment vertical="center"/>
      <protection locked="0"/>
    </xf>
    <xf numFmtId="0" fontId="21" fillId="0" borderId="0" xfId="6" applyFont="1" applyAlignment="1" applyProtection="1">
      <alignment vertical="center"/>
      <protection locked="0"/>
    </xf>
    <xf numFmtId="0" fontId="21" fillId="6" borderId="0" xfId="6" applyFont="1" applyFill="1" applyAlignment="1" applyProtection="1">
      <alignment vertical="center"/>
      <protection locked="0"/>
    </xf>
    <xf numFmtId="0" fontId="23" fillId="8" borderId="7" xfId="6" applyFont="1" applyFill="1" applyBorder="1" applyAlignment="1" applyProtection="1">
      <alignment vertical="center" wrapText="1"/>
      <protection locked="0"/>
    </xf>
    <xf numFmtId="0" fontId="19" fillId="0" borderId="0" xfId="6" applyFont="1" applyAlignment="1">
      <alignment horizontal="center" vertical="center"/>
    </xf>
    <xf numFmtId="0" fontId="19" fillId="0" borderId="11" xfId="6" applyFont="1" applyBorder="1" applyAlignment="1">
      <alignment horizontal="center" vertical="center"/>
    </xf>
    <xf numFmtId="0" fontId="23" fillId="7" borderId="7" xfId="6" applyFont="1" applyFill="1" applyBorder="1" applyAlignment="1" applyProtection="1">
      <alignment horizontal="center" vertical="center" wrapText="1"/>
      <protection locked="0"/>
    </xf>
    <xf numFmtId="0" fontId="23" fillId="7" borderId="12" xfId="6" applyFont="1" applyFill="1" applyBorder="1" applyAlignment="1">
      <alignment horizontal="center" vertical="center" wrapText="1"/>
    </xf>
    <xf numFmtId="0" fontId="25" fillId="0" borderId="0" xfId="6" applyFont="1" applyAlignment="1">
      <alignment horizontal="left" vertical="center"/>
    </xf>
    <xf numFmtId="0" fontId="18" fillId="9" borderId="7" xfId="6" applyFont="1" applyFill="1" applyBorder="1" applyAlignment="1" applyProtection="1">
      <alignment vertical="center"/>
      <protection locked="0"/>
    </xf>
    <xf numFmtId="0" fontId="26" fillId="9" borderId="7" xfId="6" applyFont="1" applyFill="1" applyBorder="1" applyAlignment="1" applyProtection="1">
      <alignment vertical="center" wrapText="1"/>
      <protection locked="0"/>
    </xf>
    <xf numFmtId="0" fontId="18" fillId="9" borderId="12" xfId="6" applyFont="1" applyFill="1" applyBorder="1" applyAlignment="1" applyProtection="1">
      <alignment vertical="center"/>
      <protection locked="0"/>
    </xf>
    <xf numFmtId="0" fontId="18" fillId="10" borderId="7" xfId="6" applyFont="1" applyFill="1" applyBorder="1" applyAlignment="1" applyProtection="1">
      <alignment vertical="center"/>
      <protection locked="0"/>
    </xf>
    <xf numFmtId="0" fontId="18" fillId="10" borderId="7" xfId="6" applyFont="1" applyFill="1" applyBorder="1" applyAlignment="1" applyProtection="1">
      <alignment vertical="center" wrapText="1"/>
      <protection locked="0"/>
    </xf>
    <xf numFmtId="0" fontId="26" fillId="10" borderId="7" xfId="6" applyFont="1" applyFill="1" applyBorder="1" applyAlignment="1" applyProtection="1">
      <alignment vertical="center" wrapText="1"/>
      <protection locked="0"/>
    </xf>
    <xf numFmtId="0" fontId="18" fillId="10" borderId="12" xfId="6" applyFont="1" applyFill="1" applyBorder="1" applyAlignment="1" applyProtection="1">
      <alignment vertical="center"/>
      <protection locked="0"/>
    </xf>
    <xf numFmtId="0" fontId="18" fillId="0" borderId="0" xfId="6" applyFont="1" applyAlignment="1" applyProtection="1">
      <alignment vertical="center" wrapText="1"/>
      <protection locked="0"/>
    </xf>
    <xf numFmtId="0" fontId="21" fillId="0" borderId="0" xfId="6" applyFont="1" applyAlignment="1">
      <alignment horizontal="center" vertical="center" wrapText="1"/>
    </xf>
    <xf numFmtId="0" fontId="29" fillId="0" borderId="0" xfId="6" applyFont="1" applyAlignment="1" applyProtection="1">
      <alignment horizontal="left" vertical="center"/>
      <protection locked="0"/>
    </xf>
    <xf numFmtId="0" fontId="18" fillId="0" borderId="0" xfId="6" applyFont="1" applyAlignment="1" applyProtection="1">
      <alignment horizontal="left" vertical="center"/>
      <protection locked="0"/>
    </xf>
    <xf numFmtId="0" fontId="31" fillId="0" borderId="0" xfId="6" applyFont="1" applyAlignment="1" applyProtection="1">
      <alignment horizontal="left" vertical="center"/>
      <protection locked="0"/>
    </xf>
    <xf numFmtId="0" fontId="17" fillId="0" borderId="0" xfId="6"/>
    <xf numFmtId="0" fontId="34" fillId="0" borderId="0" xfId="0" applyFont="1"/>
    <xf numFmtId="0" fontId="3" fillId="11" borderId="0" xfId="0" applyFont="1" applyFill="1"/>
    <xf numFmtId="0" fontId="0" fillId="0" borderId="0" xfId="0" applyAlignment="1">
      <alignment horizontal="center"/>
    </xf>
    <xf numFmtId="0" fontId="35" fillId="11" borderId="0" xfId="0" applyFont="1" applyFill="1"/>
    <xf numFmtId="0" fontId="36" fillId="12" borderId="0" xfId="0" applyFont="1" applyFill="1" applyAlignment="1">
      <alignment horizontal="center" vertical="center" wrapText="1"/>
    </xf>
    <xf numFmtId="0" fontId="36" fillId="13" borderId="0" xfId="0" applyFont="1" applyFill="1" applyAlignment="1">
      <alignment horizontal="center" vertical="center" wrapText="1"/>
    </xf>
    <xf numFmtId="0" fontId="37" fillId="14" borderId="15" xfId="0" applyFont="1" applyFill="1" applyBorder="1" applyAlignment="1">
      <alignment horizontal="center" vertical="center"/>
    </xf>
    <xf numFmtId="0" fontId="37" fillId="14" borderId="15" xfId="0" applyFont="1" applyFill="1" applyBorder="1" applyAlignment="1">
      <alignment horizontal="left" vertical="center"/>
    </xf>
    <xf numFmtId="0" fontId="37" fillId="14" borderId="16" xfId="0" applyFont="1" applyFill="1" applyBorder="1" applyAlignment="1">
      <alignment horizontal="left" vertical="center"/>
    </xf>
    <xf numFmtId="0" fontId="37" fillId="14" borderId="16" xfId="0" applyFont="1" applyFill="1" applyBorder="1" applyAlignment="1">
      <alignment horizontal="center" vertical="center"/>
    </xf>
    <xf numFmtId="0" fontId="0" fillId="0" borderId="0" xfId="0" applyAlignment="1">
      <alignment vertical="center"/>
    </xf>
    <xf numFmtId="0" fontId="37" fillId="15" borderId="16" xfId="0" applyFont="1" applyFill="1" applyBorder="1" applyAlignment="1">
      <alignment horizontal="center" vertical="center"/>
    </xf>
    <xf numFmtId="0" fontId="37" fillId="15" borderId="16" xfId="0" applyFont="1" applyFill="1" applyBorder="1" applyAlignment="1">
      <alignment horizontal="left" vertical="center"/>
    </xf>
    <xf numFmtId="0" fontId="37" fillId="15" borderId="16" xfId="0" applyFont="1" applyFill="1" applyBorder="1" applyAlignment="1">
      <alignment horizontal="center" vertical="center" wrapText="1"/>
    </xf>
    <xf numFmtId="0" fontId="37" fillId="15" borderId="15" xfId="0" applyFont="1" applyFill="1" applyBorder="1" applyAlignment="1">
      <alignment horizontal="center" vertical="center"/>
    </xf>
    <xf numFmtId="0" fontId="37" fillId="15" borderId="15" xfId="0" applyFont="1" applyFill="1" applyBorder="1" applyAlignment="1">
      <alignment horizontal="left" vertical="center"/>
    </xf>
    <xf numFmtId="0" fontId="37" fillId="14" borderId="15" xfId="0" applyFont="1" applyFill="1" applyBorder="1" applyAlignment="1">
      <alignment horizontal="center" vertical="center" wrapText="1"/>
    </xf>
    <xf numFmtId="0" fontId="37" fillId="15" borderId="15" xfId="0" applyFont="1" applyFill="1" applyBorder="1" applyAlignment="1">
      <alignment vertical="center"/>
    </xf>
    <xf numFmtId="0" fontId="37" fillId="15" borderId="16" xfId="0" applyFont="1" applyFill="1" applyBorder="1" applyAlignment="1">
      <alignment vertical="center"/>
    </xf>
    <xf numFmtId="9" fontId="37" fillId="15" borderId="16" xfId="2" applyFont="1" applyFill="1" applyBorder="1" applyAlignment="1">
      <alignment horizontal="center" vertical="center"/>
    </xf>
    <xf numFmtId="164" fontId="37" fillId="14" borderId="15" xfId="1" applyFont="1" applyFill="1" applyBorder="1" applyAlignment="1">
      <alignment horizontal="center" vertical="center"/>
    </xf>
    <xf numFmtId="166" fontId="37" fillId="15" borderId="16" xfId="0" applyNumberFormat="1" applyFont="1" applyFill="1" applyBorder="1" applyAlignment="1">
      <alignment horizontal="center" vertical="center"/>
    </xf>
    <xf numFmtId="0" fontId="37" fillId="14" borderId="15" xfId="0" applyFont="1" applyFill="1" applyBorder="1" applyAlignment="1">
      <alignment vertical="center"/>
    </xf>
    <xf numFmtId="0" fontId="13" fillId="4" borderId="0" xfId="0" applyFont="1" applyFill="1" applyAlignment="1">
      <alignment horizontal="center" vertical="center"/>
    </xf>
    <xf numFmtId="0" fontId="41" fillId="4" borderId="0" xfId="0" applyFont="1" applyFill="1" applyAlignment="1">
      <alignment horizontal="left" vertical="center"/>
    </xf>
    <xf numFmtId="0" fontId="41" fillId="4" borderId="0" xfId="0" applyFont="1" applyFill="1" applyAlignment="1">
      <alignment horizontal="center" vertical="center"/>
    </xf>
    <xf numFmtId="0" fontId="5" fillId="5" borderId="0" xfId="0" applyFont="1" applyFill="1" applyAlignment="1">
      <alignment horizontal="center" vertical="center"/>
    </xf>
    <xf numFmtId="0" fontId="41" fillId="5" borderId="0" xfId="0" applyFont="1" applyFill="1" applyAlignment="1">
      <alignment horizontal="left" vertical="center"/>
    </xf>
    <xf numFmtId="0" fontId="41" fillId="5" borderId="0" xfId="0" applyFont="1" applyFill="1" applyAlignment="1">
      <alignment horizontal="center" vertical="center"/>
    </xf>
    <xf numFmtId="0" fontId="4" fillId="3" borderId="1" xfId="0" applyFont="1" applyFill="1" applyBorder="1" applyAlignment="1">
      <alignment horizontal="center" vertical="center"/>
    </xf>
    <xf numFmtId="0" fontId="15" fillId="5" borderId="0" xfId="0" applyFont="1" applyFill="1" applyAlignment="1">
      <alignment vertical="center"/>
    </xf>
    <xf numFmtId="0" fontId="15" fillId="4" borderId="0" xfId="0" applyFont="1" applyFill="1" applyAlignment="1">
      <alignment vertical="center"/>
    </xf>
    <xf numFmtId="164" fontId="42" fillId="0" borderId="2" xfId="1" applyFont="1" applyBorder="1" applyAlignment="1">
      <alignment horizontal="center" vertical="center"/>
    </xf>
    <xf numFmtId="0" fontId="42" fillId="0" borderId="2" xfId="0" applyFont="1" applyBorder="1"/>
    <xf numFmtId="0" fontId="42" fillId="0" borderId="2" xfId="0" applyFont="1" applyBorder="1" applyAlignment="1">
      <alignment vertical="center" wrapText="1"/>
    </xf>
    <xf numFmtId="0" fontId="0" fillId="0" borderId="0" xfId="0" applyAlignment="1">
      <alignment wrapText="1"/>
    </xf>
    <xf numFmtId="0" fontId="37" fillId="14" borderId="16" xfId="0" applyFont="1" applyFill="1" applyBorder="1" applyAlignment="1">
      <alignment horizontal="center" vertical="center" wrapText="1"/>
    </xf>
    <xf numFmtId="164" fontId="37" fillId="15" borderId="16" xfId="1" applyFont="1" applyFill="1" applyBorder="1" applyAlignment="1">
      <alignment horizontal="center" vertical="center" wrapText="1"/>
    </xf>
    <xf numFmtId="0" fontId="0" fillId="0" borderId="0" xfId="0" applyAlignment="1">
      <alignment vertical="center" wrapText="1"/>
    </xf>
    <xf numFmtId="164" fontId="37" fillId="14" borderId="16" xfId="1" applyFont="1" applyFill="1" applyBorder="1" applyAlignment="1">
      <alignment horizontal="center" vertical="center"/>
    </xf>
    <xf numFmtId="164" fontId="37" fillId="15" borderId="16" xfId="1" applyFont="1" applyFill="1" applyBorder="1" applyAlignment="1">
      <alignment horizontal="center" vertical="center"/>
    </xf>
    <xf numFmtId="9" fontId="37" fillId="14" borderId="16" xfId="2" applyFont="1" applyFill="1" applyBorder="1" applyAlignment="1">
      <alignment horizontal="center" vertical="center"/>
    </xf>
    <xf numFmtId="164" fontId="0" fillId="0" borderId="0" xfId="0" applyNumberFormat="1"/>
    <xf numFmtId="168" fontId="0" fillId="0" borderId="0" xfId="0" applyNumberFormat="1"/>
    <xf numFmtId="164" fontId="0" fillId="0" borderId="0" xfId="1" applyFont="1"/>
    <xf numFmtId="14" fontId="37" fillId="14" borderId="16" xfId="0" applyNumberFormat="1" applyFont="1" applyFill="1" applyBorder="1" applyAlignment="1">
      <alignment horizontal="center" vertical="center"/>
    </xf>
    <xf numFmtId="3" fontId="37" fillId="14" borderId="16" xfId="0" applyNumberFormat="1" applyFont="1" applyFill="1" applyBorder="1" applyAlignment="1">
      <alignment horizontal="center" vertical="center"/>
    </xf>
    <xf numFmtId="0" fontId="45" fillId="18" borderId="0" xfId="0" applyFont="1" applyFill="1" applyAlignment="1">
      <alignment horizontal="center" vertical="center" wrapText="1"/>
    </xf>
    <xf numFmtId="0" fontId="45" fillId="19" borderId="0" xfId="0" applyFont="1" applyFill="1" applyAlignment="1">
      <alignment horizontal="center" vertical="center" wrapText="1"/>
    </xf>
    <xf numFmtId="169" fontId="37" fillId="15" borderId="16" xfId="1" applyNumberFormat="1" applyFont="1" applyFill="1" applyBorder="1" applyAlignment="1">
      <alignment horizontal="center" vertical="center"/>
    </xf>
    <xf numFmtId="168" fontId="37" fillId="15" borderId="16" xfId="0" applyNumberFormat="1" applyFont="1" applyFill="1" applyBorder="1" applyAlignment="1">
      <alignment horizontal="center" vertical="center"/>
    </xf>
    <xf numFmtId="49" fontId="37" fillId="15" borderId="16" xfId="1" applyNumberFormat="1" applyFont="1" applyFill="1" applyBorder="1" applyAlignment="1">
      <alignment horizontal="left" vertical="center"/>
    </xf>
    <xf numFmtId="164" fontId="37" fillId="14" borderId="16" xfId="1" applyFont="1" applyFill="1" applyBorder="1" applyAlignment="1">
      <alignment horizontal="left" vertical="center"/>
    </xf>
    <xf numFmtId="164" fontId="37" fillId="15" borderId="16" xfId="1" applyFont="1" applyFill="1" applyBorder="1" applyAlignment="1">
      <alignment horizontal="left" vertical="center"/>
    </xf>
    <xf numFmtId="164" fontId="37" fillId="14" borderId="15" xfId="1" applyFont="1" applyFill="1" applyBorder="1" applyAlignment="1">
      <alignment horizontal="left" vertical="center"/>
    </xf>
    <xf numFmtId="0" fontId="40" fillId="0" borderId="0" xfId="0" applyFont="1" applyAlignment="1">
      <alignment vertical="center"/>
    </xf>
    <xf numFmtId="0" fontId="40" fillId="0" borderId="0" xfId="0" applyFont="1" applyAlignment="1">
      <alignment horizontal="center" vertical="center"/>
    </xf>
    <xf numFmtId="0" fontId="46" fillId="0" borderId="0" xfId="0" applyFont="1" applyAlignment="1">
      <alignment vertical="center"/>
    </xf>
    <xf numFmtId="0" fontId="46" fillId="0" borderId="0" xfId="0" applyFont="1" applyAlignment="1">
      <alignment horizontal="center" vertical="center"/>
    </xf>
    <xf numFmtId="0" fontId="48" fillId="0" borderId="23" xfId="0" applyFont="1" applyBorder="1" applyAlignment="1">
      <alignment vertical="center" wrapText="1"/>
    </xf>
    <xf numFmtId="0" fontId="49" fillId="0" borderId="22" xfId="0" applyFont="1" applyBorder="1" applyAlignment="1">
      <alignment horizontal="center" vertical="center"/>
    </xf>
    <xf numFmtId="0" fontId="49" fillId="0" borderId="24" xfId="0" applyFont="1" applyBorder="1" applyAlignment="1">
      <alignment horizontal="center" vertical="center"/>
    </xf>
    <xf numFmtId="0" fontId="48" fillId="0" borderId="26" xfId="0" applyFont="1" applyBorder="1" applyAlignment="1">
      <alignment vertical="center" wrapText="1"/>
    </xf>
    <xf numFmtId="0" fontId="49" fillId="0" borderId="25" xfId="0" applyFont="1" applyBorder="1" applyAlignment="1">
      <alignment horizontal="center" vertical="center"/>
    </xf>
    <xf numFmtId="0" fontId="49" fillId="0" borderId="27" xfId="0" applyFont="1" applyBorder="1" applyAlignment="1">
      <alignment horizontal="center" vertical="center"/>
    </xf>
    <xf numFmtId="0" fontId="48" fillId="0" borderId="29" xfId="0" applyFont="1" applyBorder="1" applyAlignment="1">
      <alignment vertical="center" wrapText="1"/>
    </xf>
    <xf numFmtId="0" fontId="49" fillId="0" borderId="28" xfId="0" applyFont="1" applyBorder="1" applyAlignment="1">
      <alignment horizontal="center" vertical="center"/>
    </xf>
    <xf numFmtId="0" fontId="49" fillId="0" borderId="30" xfId="0" applyFont="1" applyBorder="1" applyAlignment="1">
      <alignment horizontal="center" vertical="center"/>
    </xf>
    <xf numFmtId="0" fontId="48" fillId="0" borderId="22" xfId="0" applyFont="1" applyBorder="1" applyAlignment="1">
      <alignment horizontal="center" vertical="center" wrapText="1"/>
    </xf>
    <xf numFmtId="0" fontId="48" fillId="0" borderId="25" xfId="0" applyFont="1" applyBorder="1" applyAlignment="1">
      <alignment horizontal="center" vertical="center" wrapText="1"/>
    </xf>
    <xf numFmtId="0" fontId="48" fillId="21" borderId="32" xfId="0" applyFont="1" applyFill="1" applyBorder="1" applyAlignment="1">
      <alignment vertical="center" wrapText="1"/>
    </xf>
    <xf numFmtId="0" fontId="47" fillId="0" borderId="19" xfId="0" applyFont="1" applyBorder="1" applyAlignment="1">
      <alignment vertical="center"/>
    </xf>
    <xf numFmtId="0" fontId="48" fillId="0" borderId="20" xfId="0" applyFont="1" applyBorder="1" applyAlignment="1">
      <alignment vertical="center" wrapText="1"/>
    </xf>
    <xf numFmtId="0" fontId="49" fillId="0" borderId="19" xfId="0" applyFont="1" applyBorder="1" applyAlignment="1">
      <alignment horizontal="center" vertical="center"/>
    </xf>
    <xf numFmtId="0" fontId="49" fillId="0" borderId="21" xfId="0" applyFont="1" applyBorder="1" applyAlignment="1">
      <alignment horizontal="center" vertical="center"/>
    </xf>
    <xf numFmtId="0" fontId="48" fillId="0" borderId="28" xfId="0" applyFont="1" applyBorder="1" applyAlignment="1">
      <alignment horizontal="center" vertical="center" wrapText="1"/>
    </xf>
    <xf numFmtId="0" fontId="49" fillId="0" borderId="25" xfId="0" applyFont="1" applyBorder="1" applyAlignment="1">
      <alignment vertical="center"/>
    </xf>
    <xf numFmtId="0" fontId="49" fillId="0" borderId="27" xfId="0" applyFont="1" applyBorder="1" applyAlignment="1">
      <alignment vertical="center"/>
    </xf>
    <xf numFmtId="0" fontId="50" fillId="0" borderId="26" xfId="0" applyFont="1" applyBorder="1" applyAlignment="1">
      <alignment vertical="center" wrapText="1"/>
    </xf>
    <xf numFmtId="0" fontId="50" fillId="0" borderId="25" xfId="0" applyFont="1" applyBorder="1" applyAlignment="1">
      <alignment horizontal="center" vertical="center" wrapText="1"/>
    </xf>
    <xf numFmtId="0" fontId="48" fillId="0" borderId="29" xfId="0" applyFont="1" applyBorder="1" applyAlignment="1">
      <alignment vertical="center"/>
    </xf>
    <xf numFmtId="0" fontId="47" fillId="0" borderId="19" xfId="0" applyFont="1" applyBorder="1" applyAlignment="1">
      <alignment vertical="center" wrapText="1"/>
    </xf>
    <xf numFmtId="0" fontId="49" fillId="0" borderId="33" xfId="0" applyFont="1" applyBorder="1" applyAlignment="1">
      <alignment horizontal="center" vertical="center"/>
    </xf>
    <xf numFmtId="0" fontId="49" fillId="0" borderId="34" xfId="0" applyFont="1" applyBorder="1" applyAlignment="1">
      <alignment horizontal="center" vertical="center"/>
    </xf>
    <xf numFmtId="0" fontId="50" fillId="0" borderId="23" xfId="0" applyFont="1" applyBorder="1" applyAlignment="1">
      <alignment vertical="center" wrapText="1"/>
    </xf>
    <xf numFmtId="0" fontId="50" fillId="0" borderId="29" xfId="0" applyFont="1" applyBorder="1" applyAlignment="1">
      <alignment vertical="center" wrapText="1"/>
    </xf>
    <xf numFmtId="0" fontId="49" fillId="0" borderId="19" xfId="0" applyFont="1" applyBorder="1" applyAlignment="1">
      <alignment vertical="center"/>
    </xf>
    <xf numFmtId="0" fontId="49" fillId="0" borderId="21" xfId="0" applyFont="1" applyBorder="1" applyAlignment="1">
      <alignment vertical="center"/>
    </xf>
    <xf numFmtId="0" fontId="50" fillId="0" borderId="20" xfId="0" applyFont="1" applyBorder="1" applyAlignment="1">
      <alignment vertical="center" wrapText="1"/>
    </xf>
    <xf numFmtId="0" fontId="37" fillId="0" borderId="19" xfId="0" applyFont="1" applyBorder="1" applyAlignment="1">
      <alignment vertical="center" wrapText="1"/>
    </xf>
    <xf numFmtId="0" fontId="40" fillId="0" borderId="0" xfId="0" applyFont="1" applyAlignment="1">
      <alignment vertical="center" wrapText="1"/>
    </xf>
    <xf numFmtId="0" fontId="38" fillId="0" borderId="0" xfId="0" applyFont="1" applyAlignment="1">
      <alignment vertical="center"/>
    </xf>
    <xf numFmtId="0" fontId="38" fillId="0" borderId="0" xfId="0" applyFont="1" applyAlignment="1">
      <alignment horizontal="center" vertical="center" wrapText="1"/>
    </xf>
    <xf numFmtId="0" fontId="49" fillId="0" borderId="0" xfId="0" applyFont="1" applyAlignment="1">
      <alignment horizontal="center" vertical="center"/>
    </xf>
    <xf numFmtId="0" fontId="40" fillId="0" borderId="0" xfId="0" applyFont="1"/>
    <xf numFmtId="0" fontId="44" fillId="20" borderId="0" xfId="0" applyFont="1" applyFill="1" applyAlignment="1">
      <alignment horizontal="center" vertical="center" wrapText="1"/>
    </xf>
    <xf numFmtId="0" fontId="14" fillId="0" borderId="0" xfId="0" applyFont="1" applyAlignment="1">
      <alignment horizontal="center" vertical="center" wrapText="1"/>
    </xf>
    <xf numFmtId="0" fontId="39" fillId="0" borderId="0" xfId="0" applyFont="1" applyAlignment="1">
      <alignment vertical="center"/>
    </xf>
    <xf numFmtId="0" fontId="42" fillId="0" borderId="2" xfId="0" applyFont="1" applyBorder="1" applyAlignment="1">
      <alignment horizontal="left" vertical="center" wrapText="1"/>
    </xf>
    <xf numFmtId="164" fontId="42" fillId="0" borderId="2" xfId="1" applyFont="1" applyFill="1" applyBorder="1" applyAlignment="1">
      <alignment horizontal="center" vertical="center"/>
    </xf>
    <xf numFmtId="0" fontId="42" fillId="0" borderId="2" xfId="0" applyFont="1" applyBorder="1" applyAlignment="1">
      <alignment horizontal="center" vertical="center"/>
    </xf>
    <xf numFmtId="165" fontId="42" fillId="0" borderId="2" xfId="1" applyNumberFormat="1" applyFont="1" applyBorder="1" applyAlignment="1">
      <alignment horizontal="center" vertical="center"/>
    </xf>
    <xf numFmtId="164" fontId="8" fillId="16" borderId="2" xfId="0" applyNumberFormat="1" applyFont="1" applyFill="1" applyBorder="1"/>
    <xf numFmtId="164" fontId="42" fillId="0" borderId="2" xfId="1" applyFont="1" applyBorder="1" applyAlignment="1">
      <alignment vertical="center" wrapText="1"/>
    </xf>
    <xf numFmtId="0" fontId="8" fillId="0" borderId="0" xfId="0" applyFont="1" applyAlignment="1">
      <alignment horizontal="center"/>
    </xf>
    <xf numFmtId="164" fontId="9" fillId="22" borderId="2" xfId="0" applyNumberFormat="1" applyFont="1" applyFill="1" applyBorder="1"/>
    <xf numFmtId="0" fontId="42" fillId="0" borderId="0" xfId="0" applyFont="1"/>
    <xf numFmtId="0" fontId="42" fillId="0" borderId="0" xfId="0" applyFont="1" applyAlignment="1">
      <alignment wrapText="1"/>
    </xf>
    <xf numFmtId="0" fontId="42" fillId="0" borderId="0" xfId="0" applyFont="1" applyAlignment="1">
      <alignment horizontal="left"/>
    </xf>
    <xf numFmtId="0" fontId="7" fillId="4" borderId="0" xfId="0" applyFont="1" applyFill="1" applyAlignment="1">
      <alignment vertical="center"/>
    </xf>
    <xf numFmtId="0" fontId="42" fillId="0" borderId="0" xfId="0" applyFont="1" applyAlignment="1">
      <alignment horizontal="center" vertical="center"/>
    </xf>
    <xf numFmtId="0" fontId="42" fillId="0" borderId="0" xfId="0" applyFont="1" applyAlignment="1">
      <alignment vertical="center"/>
    </xf>
    <xf numFmtId="0" fontId="40" fillId="0" borderId="0" xfId="0" applyFont="1" applyAlignment="1">
      <alignment horizontal="center"/>
    </xf>
    <xf numFmtId="0" fontId="40" fillId="0" borderId="0" xfId="0" applyFont="1" applyAlignment="1">
      <alignment horizontal="left"/>
    </xf>
    <xf numFmtId="0" fontId="0" fillId="0" borderId="0" xfId="0" applyAlignment="1">
      <alignment horizontal="left"/>
    </xf>
    <xf numFmtId="0" fontId="42" fillId="0" borderId="0" xfId="0" applyFont="1" applyAlignment="1">
      <alignment vertical="center" wrapText="1"/>
    </xf>
    <xf numFmtId="10" fontId="42" fillId="0" borderId="0" xfId="0" applyNumberFormat="1" applyFont="1" applyAlignment="1">
      <alignment horizontal="center" vertical="center"/>
    </xf>
    <xf numFmtId="0" fontId="4" fillId="3" borderId="1" xfId="0" applyFont="1" applyFill="1" applyBorder="1" applyAlignment="1">
      <alignment vertical="center" wrapText="1"/>
    </xf>
    <xf numFmtId="10" fontId="42" fillId="0" borderId="0" xfId="0" applyNumberFormat="1" applyFont="1" applyAlignment="1">
      <alignment horizontal="center" vertical="center" wrapText="1"/>
    </xf>
    <xf numFmtId="0" fontId="42" fillId="0" borderId="0" xfId="0" applyFont="1" applyAlignment="1">
      <alignment horizontal="center"/>
    </xf>
    <xf numFmtId="0" fontId="4" fillId="3" borderId="0" xfId="0" applyFont="1" applyFill="1" applyAlignment="1">
      <alignment horizontal="center" vertical="center"/>
    </xf>
    <xf numFmtId="0" fontId="42" fillId="0" borderId="0" xfId="0" applyFont="1" applyAlignment="1">
      <alignment horizontal="center" vertical="center" wrapText="1"/>
    </xf>
    <xf numFmtId="0" fontId="52" fillId="17" borderId="0" xfId="0" applyFont="1" applyFill="1" applyAlignment="1">
      <alignment horizontal="center"/>
    </xf>
    <xf numFmtId="0" fontId="52" fillId="17" borderId="0" xfId="0" applyFont="1" applyFill="1"/>
    <xf numFmtId="10" fontId="52" fillId="17" borderId="0" xfId="0" applyNumberFormat="1" applyFont="1" applyFill="1" applyAlignment="1">
      <alignment horizontal="center"/>
    </xf>
    <xf numFmtId="0" fontId="7" fillId="5" borderId="0" xfId="0" applyFont="1" applyFill="1" applyAlignment="1">
      <alignment vertical="center"/>
    </xf>
    <xf numFmtId="0" fontId="7" fillId="5" borderId="0" xfId="0" applyFont="1" applyFill="1" applyAlignment="1">
      <alignment vertical="center" wrapText="1"/>
    </xf>
    <xf numFmtId="0" fontId="7" fillId="5" borderId="0" xfId="0" applyFont="1" applyFill="1" applyAlignment="1">
      <alignment horizontal="center" vertical="center"/>
    </xf>
    <xf numFmtId="0" fontId="7" fillId="4" borderId="0" xfId="0" applyFont="1" applyFill="1" applyAlignment="1">
      <alignment vertical="center" wrapText="1"/>
    </xf>
    <xf numFmtId="0" fontId="7" fillId="4" borderId="0" xfId="0" applyFont="1" applyFill="1" applyAlignment="1">
      <alignment horizontal="center" vertical="center"/>
    </xf>
    <xf numFmtId="0" fontId="58" fillId="0" borderId="0" xfId="0" applyFont="1" applyAlignment="1">
      <alignment vertical="center"/>
    </xf>
    <xf numFmtId="0" fontId="59" fillId="0" borderId="0" xfId="0" applyFont="1" applyAlignment="1">
      <alignment horizontal="left" vertical="center"/>
    </xf>
    <xf numFmtId="165" fontId="37" fillId="15" borderId="16" xfId="1" applyNumberFormat="1" applyFont="1" applyFill="1" applyBorder="1" applyAlignment="1">
      <alignment horizontal="center" vertical="center"/>
    </xf>
    <xf numFmtId="165" fontId="37" fillId="14" borderId="16" xfId="1" applyNumberFormat="1" applyFont="1" applyFill="1" applyBorder="1" applyAlignment="1">
      <alignment horizontal="center" vertical="center"/>
    </xf>
    <xf numFmtId="0" fontId="38" fillId="15" borderId="16" xfId="0" applyFont="1" applyFill="1" applyBorder="1" applyAlignment="1">
      <alignment horizontal="left" vertical="center"/>
    </xf>
    <xf numFmtId="0" fontId="38" fillId="14" borderId="16" xfId="0" applyFont="1" applyFill="1" applyBorder="1" applyAlignment="1">
      <alignment horizontal="left" vertical="center"/>
    </xf>
    <xf numFmtId="0" fontId="3" fillId="0" borderId="0" xfId="0" applyFont="1"/>
    <xf numFmtId="0" fontId="35" fillId="0" borderId="0" xfId="0" applyFont="1"/>
    <xf numFmtId="0" fontId="4" fillId="3" borderId="0" xfId="0" applyFont="1" applyFill="1" applyAlignment="1">
      <alignment horizontal="left" vertical="center" wrapText="1"/>
    </xf>
    <xf numFmtId="0" fontId="42" fillId="4" borderId="0" xfId="0" applyFont="1" applyFill="1"/>
    <xf numFmtId="0" fontId="3" fillId="0" borderId="0" xfId="0" applyFont="1" applyAlignment="1">
      <alignment horizontal="center" vertical="center" wrapText="1"/>
    </xf>
    <xf numFmtId="0" fontId="0" fillId="0" borderId="0" xfId="0" applyAlignment="1">
      <alignment horizontal="center" vertical="center" wrapText="1"/>
    </xf>
    <xf numFmtId="0" fontId="0" fillId="14" borderId="0" xfId="0" applyFill="1" applyAlignment="1">
      <alignment vertical="center" wrapText="1"/>
    </xf>
    <xf numFmtId="0" fontId="0" fillId="14" borderId="0" xfId="0" applyFill="1" applyAlignment="1">
      <alignment horizontal="center" vertical="center" wrapText="1"/>
    </xf>
    <xf numFmtId="0" fontId="42" fillId="0" borderId="0" xfId="0" applyFont="1" applyAlignment="1">
      <alignment horizontal="center" wrapText="1"/>
    </xf>
    <xf numFmtId="0" fontId="37" fillId="0" borderId="0" xfId="0" applyFont="1"/>
    <xf numFmtId="0" fontId="61" fillId="0" borderId="0" xfId="0" applyFont="1"/>
    <xf numFmtId="0" fontId="55" fillId="5" borderId="0" xfId="10" applyFill="1" applyAlignment="1">
      <alignment horizontal="center" vertical="center"/>
    </xf>
    <xf numFmtId="0" fontId="55" fillId="4" borderId="0" xfId="10" applyFill="1" applyAlignment="1">
      <alignment horizontal="center" vertical="center"/>
    </xf>
    <xf numFmtId="0" fontId="60" fillId="0" borderId="0" xfId="0" applyFont="1"/>
    <xf numFmtId="0" fontId="5" fillId="5" borderId="0" xfId="0" applyFont="1" applyFill="1" applyAlignment="1">
      <alignment vertical="center"/>
    </xf>
    <xf numFmtId="0" fontId="26" fillId="4" borderId="0" xfId="0" applyFont="1" applyFill="1" applyAlignment="1">
      <alignment horizontal="center" vertical="center"/>
    </xf>
    <xf numFmtId="0" fontId="37" fillId="14" borderId="18" xfId="0" applyFont="1" applyFill="1" applyBorder="1" applyAlignment="1">
      <alignment horizontal="center" vertical="center"/>
    </xf>
    <xf numFmtId="0" fontId="37" fillId="14" borderId="17" xfId="0" applyFont="1" applyFill="1" applyBorder="1" applyAlignment="1">
      <alignment horizontal="center" vertical="center"/>
    </xf>
    <xf numFmtId="0" fontId="37" fillId="15" borderId="17" xfId="0" applyFont="1" applyFill="1" applyBorder="1" applyAlignment="1">
      <alignment horizontal="center" vertical="center"/>
    </xf>
    <xf numFmtId="0" fontId="37" fillId="15" borderId="17" xfId="0" applyFont="1" applyFill="1" applyBorder="1" applyAlignment="1">
      <alignment horizontal="left" vertical="center"/>
    </xf>
    <xf numFmtId="3" fontId="37" fillId="15" borderId="15" xfId="0" applyNumberFormat="1" applyFont="1" applyFill="1" applyBorder="1" applyAlignment="1">
      <alignment horizontal="center" vertical="center"/>
    </xf>
    <xf numFmtId="0" fontId="64" fillId="0" borderId="0" xfId="0" applyFont="1"/>
    <xf numFmtId="0" fontId="52" fillId="20" borderId="0" xfId="0" applyFont="1" applyFill="1" applyAlignment="1">
      <alignment horizontal="center" vertical="center" wrapText="1"/>
    </xf>
    <xf numFmtId="0" fontId="53" fillId="0" borderId="2" xfId="0" applyFont="1" applyBorder="1" applyAlignment="1">
      <alignment horizontal="center" vertical="center" wrapText="1"/>
    </xf>
    <xf numFmtId="0" fontId="53" fillId="0" borderId="2" xfId="0" applyFont="1" applyBorder="1" applyAlignment="1">
      <alignment horizontal="left" vertical="center" wrapText="1"/>
    </xf>
    <xf numFmtId="4" fontId="53" fillId="0" borderId="2" xfId="0" applyNumberFormat="1" applyFont="1" applyBorder="1" applyAlignment="1">
      <alignment horizontal="right" vertical="center" wrapText="1"/>
    </xf>
    <xf numFmtId="4" fontId="57" fillId="4" borderId="2" xfId="0" applyNumberFormat="1" applyFont="1" applyFill="1" applyBorder="1" applyAlignment="1">
      <alignment horizontal="right" vertical="center" wrapText="1"/>
    </xf>
    <xf numFmtId="0" fontId="42" fillId="0" borderId="2" xfId="0" applyFont="1" applyBorder="1" applyAlignment="1">
      <alignment wrapText="1"/>
    </xf>
    <xf numFmtId="164" fontId="64" fillId="0" borderId="0" xfId="1" applyFont="1"/>
    <xf numFmtId="168" fontId="64" fillId="0" borderId="0" xfId="0" applyNumberFormat="1" applyFont="1"/>
    <xf numFmtId="0" fontId="42" fillId="16" borderId="0" xfId="0" applyFont="1" applyFill="1"/>
    <xf numFmtId="4" fontId="42" fillId="16" borderId="0" xfId="1" applyNumberFormat="1" applyFont="1" applyFill="1"/>
    <xf numFmtId="4" fontId="42" fillId="0" borderId="0" xfId="1" applyNumberFormat="1" applyFont="1"/>
    <xf numFmtId="0" fontId="52" fillId="0" borderId="0" xfId="0" applyFont="1"/>
    <xf numFmtId="4" fontId="65" fillId="0" borderId="0" xfId="0" applyNumberFormat="1" applyFont="1"/>
    <xf numFmtId="0" fontId="52" fillId="31" borderId="0" xfId="0" applyFont="1" applyFill="1" applyAlignment="1">
      <alignment vertical="center"/>
    </xf>
    <xf numFmtId="164" fontId="52" fillId="31" borderId="0" xfId="1" applyFont="1" applyFill="1" applyAlignment="1">
      <alignment horizontal="center" vertical="center" wrapText="1"/>
    </xf>
    <xf numFmtId="0" fontId="53" fillId="4" borderId="2" xfId="0" applyFont="1" applyFill="1" applyBorder="1" applyAlignment="1">
      <alignment horizontal="center" vertical="center" wrapText="1"/>
    </xf>
    <xf numFmtId="0" fontId="53" fillId="4" borderId="2" xfId="0" applyFont="1" applyFill="1" applyBorder="1" applyAlignment="1">
      <alignment horizontal="left" vertical="center"/>
    </xf>
    <xf numFmtId="4" fontId="53" fillId="4" borderId="2" xfId="0" applyNumberFormat="1" applyFont="1" applyFill="1" applyBorder="1" applyAlignment="1">
      <alignment horizontal="right" vertical="center" wrapText="1"/>
    </xf>
    <xf numFmtId="0" fontId="53" fillId="4" borderId="2" xfId="0" applyFont="1" applyFill="1" applyBorder="1" applyAlignment="1">
      <alignment horizontal="left" vertical="center" wrapText="1"/>
    </xf>
    <xf numFmtId="0" fontId="3" fillId="11" borderId="0" xfId="0" applyFont="1" applyFill="1" applyAlignment="1">
      <alignment horizontal="left"/>
    </xf>
    <xf numFmtId="0" fontId="35" fillId="11" borderId="0" xfId="0" applyFont="1" applyFill="1" applyAlignment="1">
      <alignment horizontal="left"/>
    </xf>
    <xf numFmtId="0" fontId="37" fillId="30" borderId="16" xfId="0" applyFont="1" applyFill="1" applyBorder="1" applyAlignment="1">
      <alignment horizontal="center" vertical="center"/>
    </xf>
    <xf numFmtId="0" fontId="37" fillId="30" borderId="16" xfId="0" applyFont="1" applyFill="1" applyBorder="1" applyAlignment="1">
      <alignment horizontal="left" vertical="center"/>
    </xf>
    <xf numFmtId="3" fontId="37" fillId="30" borderId="16" xfId="0" applyNumberFormat="1" applyFont="1" applyFill="1" applyBorder="1" applyAlignment="1">
      <alignment horizontal="center" vertical="center"/>
    </xf>
    <xf numFmtId="0" fontId="37" fillId="30" borderId="16" xfId="0" applyFont="1" applyFill="1" applyBorder="1" applyAlignment="1">
      <alignment horizontal="center" vertical="center" wrapText="1"/>
    </xf>
    <xf numFmtId="0" fontId="37" fillId="30" borderId="15" xfId="0" applyFont="1" applyFill="1" applyBorder="1" applyAlignment="1">
      <alignment horizontal="left" vertical="center"/>
    </xf>
    <xf numFmtId="0" fontId="37" fillId="30" borderId="15" xfId="0" applyFont="1" applyFill="1" applyBorder="1" applyAlignment="1">
      <alignment horizontal="center" vertical="center"/>
    </xf>
    <xf numFmtId="0" fontId="37" fillId="30" borderId="15" xfId="0" applyFont="1" applyFill="1" applyBorder="1" applyAlignment="1">
      <alignment horizontal="center" vertical="center" wrapText="1"/>
    </xf>
    <xf numFmtId="0" fontId="37" fillId="30" borderId="17" xfId="0" applyFont="1" applyFill="1" applyBorder="1" applyAlignment="1">
      <alignment horizontal="center" vertical="center"/>
    </xf>
    <xf numFmtId="3" fontId="37" fillId="14" borderId="15" xfId="0" applyNumberFormat="1" applyFont="1" applyFill="1" applyBorder="1" applyAlignment="1">
      <alignment horizontal="center" vertical="center"/>
    </xf>
    <xf numFmtId="0" fontId="37" fillId="14" borderId="16" xfId="0" applyFont="1" applyFill="1" applyBorder="1" applyAlignment="1">
      <alignment vertical="center"/>
    </xf>
    <xf numFmtId="0" fontId="38" fillId="30" borderId="16" xfId="0" applyFont="1" applyFill="1" applyBorder="1" applyAlignment="1">
      <alignment horizontal="left" vertical="center"/>
    </xf>
    <xf numFmtId="3" fontId="0" fillId="0" borderId="0" xfId="0" applyNumberFormat="1" applyAlignment="1">
      <alignment horizontal="center"/>
    </xf>
    <xf numFmtId="3" fontId="37" fillId="15" borderId="16" xfId="0" applyNumberFormat="1" applyFont="1" applyFill="1" applyBorder="1" applyAlignment="1">
      <alignment horizontal="center" vertical="center"/>
    </xf>
    <xf numFmtId="9" fontId="37" fillId="14" borderId="15" xfId="0" applyNumberFormat="1" applyFont="1" applyFill="1" applyBorder="1" applyAlignment="1">
      <alignment horizontal="center" vertical="center"/>
    </xf>
    <xf numFmtId="3" fontId="37" fillId="30" borderId="15" xfId="0" applyNumberFormat="1" applyFont="1" applyFill="1" applyBorder="1" applyAlignment="1">
      <alignment horizontal="center" vertical="center"/>
    </xf>
    <xf numFmtId="9" fontId="37" fillId="30" borderId="15" xfId="2" applyFont="1" applyFill="1" applyBorder="1" applyAlignment="1">
      <alignment horizontal="center" vertical="center"/>
    </xf>
    <xf numFmtId="0" fontId="38" fillId="30" borderId="15" xfId="0" applyFont="1" applyFill="1" applyBorder="1" applyAlignment="1">
      <alignment horizontal="left" vertical="center"/>
    </xf>
    <xf numFmtId="164" fontId="37" fillId="30" borderId="15" xfId="1" applyFont="1" applyFill="1" applyBorder="1" applyAlignment="1">
      <alignment horizontal="center" vertical="center"/>
    </xf>
    <xf numFmtId="9" fontId="37" fillId="30" borderId="15" xfId="0" applyNumberFormat="1" applyFont="1" applyFill="1" applyBorder="1" applyAlignment="1">
      <alignment horizontal="center" vertical="center"/>
    </xf>
    <xf numFmtId="14" fontId="37" fillId="30" borderId="15" xfId="0" applyNumberFormat="1" applyFont="1" applyFill="1" applyBorder="1" applyAlignment="1">
      <alignment horizontal="center" vertical="center"/>
    </xf>
    <xf numFmtId="14" fontId="37" fillId="14" borderId="15" xfId="0" applyNumberFormat="1" applyFont="1" applyFill="1" applyBorder="1" applyAlignment="1">
      <alignment horizontal="center" vertical="center"/>
    </xf>
    <xf numFmtId="9" fontId="37" fillId="15" borderId="16" xfId="0" applyNumberFormat="1" applyFont="1" applyFill="1" applyBorder="1" applyAlignment="1">
      <alignment horizontal="center" vertical="center"/>
    </xf>
    <xf numFmtId="9" fontId="37" fillId="14" borderId="15" xfId="2" applyFont="1" applyFill="1" applyBorder="1" applyAlignment="1">
      <alignment horizontal="center" vertical="center"/>
    </xf>
    <xf numFmtId="10" fontId="37" fillId="14" borderId="15" xfId="0" applyNumberFormat="1" applyFont="1" applyFill="1" applyBorder="1" applyAlignment="1">
      <alignment horizontal="center" vertical="center"/>
    </xf>
    <xf numFmtId="10" fontId="37" fillId="15" borderId="16" xfId="0" applyNumberFormat="1" applyFont="1" applyFill="1" applyBorder="1" applyAlignment="1">
      <alignment horizontal="center" vertical="center"/>
    </xf>
    <xf numFmtId="9" fontId="37" fillId="14" borderId="16" xfId="0" applyNumberFormat="1" applyFont="1" applyFill="1" applyBorder="1" applyAlignment="1">
      <alignment horizontal="center" vertical="center"/>
    </xf>
    <xf numFmtId="167" fontId="37" fillId="14" borderId="15" xfId="2" applyNumberFormat="1" applyFont="1" applyFill="1" applyBorder="1" applyAlignment="1">
      <alignment horizontal="center" vertical="center"/>
    </xf>
    <xf numFmtId="0" fontId="38" fillId="14" borderId="15" xfId="0" applyFont="1" applyFill="1" applyBorder="1" applyAlignment="1">
      <alignment horizontal="center" vertical="center"/>
    </xf>
    <xf numFmtId="164" fontId="38" fillId="14" borderId="16" xfId="1" applyFont="1" applyFill="1" applyBorder="1" applyAlignment="1">
      <alignment horizontal="center" vertical="center"/>
    </xf>
    <xf numFmtId="0" fontId="38" fillId="30" borderId="15" xfId="0" applyFont="1" applyFill="1" applyBorder="1" applyAlignment="1">
      <alignment horizontal="center" vertical="center" wrapText="1"/>
    </xf>
    <xf numFmtId="164" fontId="37" fillId="30" borderId="16" xfId="1" applyFont="1" applyFill="1" applyBorder="1" applyAlignment="1">
      <alignment horizontal="center" vertical="center"/>
    </xf>
    <xf numFmtId="169" fontId="37" fillId="14" borderId="16" xfId="1" applyNumberFormat="1" applyFont="1" applyFill="1" applyBorder="1" applyAlignment="1">
      <alignment horizontal="center" vertical="center"/>
    </xf>
    <xf numFmtId="168" fontId="37" fillId="14" borderId="16" xfId="0" applyNumberFormat="1" applyFont="1" applyFill="1" applyBorder="1" applyAlignment="1">
      <alignment horizontal="center" vertical="center"/>
    </xf>
    <xf numFmtId="164" fontId="38" fillId="30" borderId="16" xfId="1" applyFont="1" applyFill="1" applyBorder="1" applyAlignment="1">
      <alignment horizontal="center" vertical="center"/>
    </xf>
    <xf numFmtId="0" fontId="38" fillId="30" borderId="16" xfId="0" applyFont="1" applyFill="1" applyBorder="1" applyAlignment="1">
      <alignment horizontal="center" vertical="center"/>
    </xf>
    <xf numFmtId="0" fontId="38" fillId="30" borderId="15" xfId="0" applyFont="1" applyFill="1" applyBorder="1" applyAlignment="1">
      <alignment horizontal="center" vertical="center"/>
    </xf>
    <xf numFmtId="0" fontId="38" fillId="14" borderId="16" xfId="0" applyFont="1" applyFill="1" applyBorder="1" applyAlignment="1">
      <alignment horizontal="center" vertical="center"/>
    </xf>
    <xf numFmtId="0" fontId="38" fillId="14" borderId="15" xfId="0" applyFont="1" applyFill="1" applyBorder="1" applyAlignment="1">
      <alignment horizontal="center" vertical="center" wrapText="1"/>
    </xf>
    <xf numFmtId="164" fontId="38" fillId="14" borderId="16" xfId="1" applyFont="1" applyFill="1" applyBorder="1" applyAlignment="1">
      <alignment horizontal="left" vertical="center"/>
    </xf>
    <xf numFmtId="164" fontId="37" fillId="30" borderId="15" xfId="1" applyFont="1" applyFill="1" applyBorder="1" applyAlignment="1">
      <alignment horizontal="left" vertical="center"/>
    </xf>
    <xf numFmtId="164" fontId="37" fillId="15" borderId="15" xfId="1" applyFont="1" applyFill="1" applyBorder="1" applyAlignment="1">
      <alignment horizontal="center" vertical="center"/>
    </xf>
    <xf numFmtId="164" fontId="37" fillId="15" borderId="15" xfId="1" applyFont="1" applyFill="1" applyBorder="1" applyAlignment="1">
      <alignment horizontal="left" vertical="center"/>
    </xf>
    <xf numFmtId="0" fontId="55" fillId="14" borderId="15" xfId="10" applyFill="1" applyBorder="1" applyAlignment="1">
      <alignment horizontal="center" vertical="center"/>
    </xf>
    <xf numFmtId="0" fontId="55" fillId="15" borderId="16" xfId="10" applyFill="1" applyBorder="1" applyAlignment="1">
      <alignment horizontal="center" vertical="center"/>
    </xf>
    <xf numFmtId="0" fontId="38" fillId="15" borderId="16" xfId="0" applyFont="1" applyFill="1" applyBorder="1" applyAlignment="1">
      <alignment horizontal="center" vertical="center"/>
    </xf>
    <xf numFmtId="0" fontId="40" fillId="0" borderId="0" xfId="0" applyFont="1" applyAlignment="1">
      <alignment wrapText="1"/>
    </xf>
    <xf numFmtId="0" fontId="67" fillId="17" borderId="0" xfId="0" applyFont="1" applyFill="1" applyAlignment="1">
      <alignment horizontal="center" vertical="center" wrapText="1"/>
    </xf>
    <xf numFmtId="0" fontId="40" fillId="15" borderId="0" xfId="0" applyFont="1" applyFill="1" applyAlignment="1">
      <alignment horizontal="center" wrapText="1"/>
    </xf>
    <xf numFmtId="165" fontId="56" fillId="3" borderId="0" xfId="1" applyNumberFormat="1" applyFont="1" applyFill="1" applyBorder="1" applyAlignment="1">
      <alignment horizontal="left" vertical="center" wrapText="1"/>
    </xf>
    <xf numFmtId="165" fontId="56" fillId="3" borderId="0" xfId="1" applyNumberFormat="1" applyFont="1" applyFill="1" applyAlignment="1">
      <alignment horizontal="center" vertical="center" wrapText="1"/>
    </xf>
    <xf numFmtId="0" fontId="40" fillId="0" borderId="42" xfId="0" applyFont="1" applyBorder="1" applyAlignment="1">
      <alignment horizontal="center" vertical="center" wrapText="1"/>
    </xf>
    <xf numFmtId="0" fontId="40" fillId="0" borderId="43" xfId="0" applyFont="1" applyBorder="1" applyAlignment="1">
      <alignment horizontal="center" vertical="center" wrapText="1"/>
    </xf>
    <xf numFmtId="0" fontId="50" fillId="29" borderId="0" xfId="9" applyFont="1" applyFill="1" applyAlignment="1">
      <alignment horizontal="left"/>
    </xf>
    <xf numFmtId="0" fontId="50" fillId="16" borderId="0" xfId="0" applyFont="1" applyFill="1"/>
    <xf numFmtId="0" fontId="50" fillId="16" borderId="0" xfId="0" applyFont="1" applyFill="1" applyAlignment="1">
      <alignment horizontal="center"/>
    </xf>
    <xf numFmtId="0" fontId="50" fillId="23" borderId="0" xfId="9" applyFont="1" applyFill="1" applyAlignment="1">
      <alignment horizontal="left"/>
    </xf>
    <xf numFmtId="0" fontId="50" fillId="15" borderId="0" xfId="0" applyFont="1" applyFill="1"/>
    <xf numFmtId="0" fontId="50" fillId="15" borderId="0" xfId="0" applyFont="1" applyFill="1" applyAlignment="1">
      <alignment horizontal="center"/>
    </xf>
    <xf numFmtId="0" fontId="48" fillId="0" borderId="0" xfId="0" applyFont="1" applyAlignment="1">
      <alignment vertical="center"/>
    </xf>
    <xf numFmtId="0" fontId="68" fillId="0" borderId="0" xfId="1" applyNumberFormat="1" applyFont="1" applyFill="1" applyAlignment="1">
      <alignment vertical="center"/>
    </xf>
    <xf numFmtId="0" fontId="62" fillId="0" borderId="42" xfId="0" applyFont="1" applyBorder="1" applyAlignment="1">
      <alignment horizontal="center" vertical="center" wrapText="1"/>
    </xf>
    <xf numFmtId="0" fontId="50" fillId="0" borderId="42" xfId="0" applyFont="1" applyBorder="1" applyAlignment="1">
      <alignment horizontal="center" vertical="center" wrapText="1"/>
    </xf>
    <xf numFmtId="0" fontId="40" fillId="15" borderId="0" xfId="0" applyFont="1" applyFill="1" applyAlignment="1">
      <alignment horizontal="center"/>
    </xf>
    <xf numFmtId="0" fontId="50" fillId="0" borderId="0" xfId="0" applyFont="1" applyAlignment="1">
      <alignment vertical="center"/>
    </xf>
    <xf numFmtId="0" fontId="62" fillId="0" borderId="0" xfId="0" applyFont="1" applyAlignment="1">
      <alignment vertical="center"/>
    </xf>
    <xf numFmtId="0" fontId="50" fillId="29" borderId="0" xfId="9" applyFont="1" applyFill="1" applyAlignment="1">
      <alignment horizontal="center"/>
    </xf>
    <xf numFmtId="0" fontId="62" fillId="0" borderId="43" xfId="0" applyFont="1" applyBorder="1" applyAlignment="1">
      <alignment horizontal="center" vertical="center" wrapText="1"/>
    </xf>
    <xf numFmtId="0" fontId="50" fillId="23" borderId="0" xfId="9" applyFont="1" applyFill="1" applyAlignment="1">
      <alignment horizontal="center"/>
    </xf>
    <xf numFmtId="0" fontId="50" fillId="15" borderId="42" xfId="0" applyFont="1" applyFill="1" applyBorder="1" applyAlignment="1">
      <alignment horizontal="center" vertical="center" wrapText="1"/>
    </xf>
    <xf numFmtId="0" fontId="40" fillId="25" borderId="42" xfId="0" applyFont="1" applyFill="1" applyBorder="1" applyAlignment="1">
      <alignment horizontal="left" vertical="center" wrapText="1"/>
    </xf>
    <xf numFmtId="0" fontId="40" fillId="25" borderId="42" xfId="0" applyFont="1" applyFill="1" applyBorder="1" applyAlignment="1">
      <alignment horizontal="center" vertical="center" wrapText="1"/>
    </xf>
    <xf numFmtId="0" fontId="40" fillId="25" borderId="43" xfId="0" applyFont="1" applyFill="1" applyBorder="1" applyAlignment="1">
      <alignment horizontal="center" vertical="center" wrapText="1"/>
    </xf>
    <xf numFmtId="0" fontId="40" fillId="25" borderId="40" xfId="0" applyFont="1" applyFill="1" applyBorder="1" applyAlignment="1">
      <alignment horizontal="center" vertical="center"/>
    </xf>
    <xf numFmtId="0" fontId="40" fillId="25" borderId="40" xfId="0" applyFont="1" applyFill="1" applyBorder="1" applyAlignment="1">
      <alignment horizontal="center" vertical="center" wrapText="1"/>
    </xf>
    <xf numFmtId="165" fontId="45" fillId="16" borderId="0" xfId="1" applyNumberFormat="1" applyFont="1" applyFill="1" applyAlignment="1">
      <alignment horizontal="left" vertical="center"/>
    </xf>
    <xf numFmtId="165" fontId="45" fillId="16" borderId="0" xfId="1" applyNumberFormat="1" applyFont="1" applyFill="1" applyAlignment="1">
      <alignment horizontal="center" vertical="center" wrapText="1"/>
    </xf>
    <xf numFmtId="165" fontId="45" fillId="16" borderId="0" xfId="1" applyNumberFormat="1" applyFont="1" applyFill="1" applyAlignment="1">
      <alignment horizontal="left" vertical="center" wrapText="1"/>
    </xf>
    <xf numFmtId="0" fontId="40" fillId="0" borderId="42" xfId="0" applyFont="1" applyBorder="1" applyAlignment="1">
      <alignment horizontal="left" vertical="center" wrapText="1"/>
    </xf>
    <xf numFmtId="0" fontId="40" fillId="32" borderId="42" xfId="0" applyFont="1" applyFill="1" applyBorder="1" applyAlignment="1">
      <alignment horizontal="center" vertical="center" wrapText="1"/>
    </xf>
    <xf numFmtId="0" fontId="40" fillId="0" borderId="40" xfId="0" applyFont="1" applyBorder="1" applyAlignment="1">
      <alignment horizontal="center"/>
    </xf>
    <xf numFmtId="0" fontId="62" fillId="32" borderId="42" xfId="0" applyFont="1" applyFill="1" applyBorder="1" applyAlignment="1">
      <alignment horizontal="center" vertical="center" wrapText="1"/>
    </xf>
    <xf numFmtId="0" fontId="62" fillId="0" borderId="40" xfId="0" applyFont="1" applyBorder="1" applyAlignment="1">
      <alignment horizontal="center"/>
    </xf>
    <xf numFmtId="0" fontId="70" fillId="0" borderId="0" xfId="0" applyFont="1" applyAlignment="1">
      <alignment horizontal="center" vertical="center"/>
    </xf>
    <xf numFmtId="0" fontId="70" fillId="0" borderId="0" xfId="0" applyFont="1" applyAlignment="1">
      <alignment vertical="center"/>
    </xf>
    <xf numFmtId="0" fontId="50" fillId="0" borderId="43" xfId="0" applyFont="1" applyBorder="1" applyAlignment="1">
      <alignment horizontal="center" vertical="center" wrapText="1"/>
    </xf>
    <xf numFmtId="165" fontId="45" fillId="16" borderId="0" xfId="1" applyNumberFormat="1" applyFont="1" applyFill="1" applyAlignment="1">
      <alignment vertical="center"/>
    </xf>
    <xf numFmtId="0" fontId="40" fillId="0" borderId="40" xfId="0" applyFont="1" applyBorder="1" applyAlignment="1">
      <alignment horizontal="center" vertical="center"/>
    </xf>
    <xf numFmtId="0" fontId="50" fillId="32" borderId="42" xfId="0" applyFont="1" applyFill="1" applyBorder="1" applyAlignment="1">
      <alignment horizontal="center" vertical="center" wrapText="1"/>
    </xf>
    <xf numFmtId="170" fontId="50" fillId="33" borderId="42" xfId="0" applyNumberFormat="1" applyFont="1" applyFill="1" applyBorder="1" applyAlignment="1">
      <alignment horizontal="center" vertical="center" wrapText="1"/>
    </xf>
    <xf numFmtId="170" fontId="40" fillId="33" borderId="42" xfId="0" applyNumberFormat="1" applyFont="1" applyFill="1" applyBorder="1" applyAlignment="1">
      <alignment horizontal="center" vertical="center" wrapText="1"/>
    </xf>
    <xf numFmtId="170" fontId="50" fillId="33" borderId="40" xfId="0" applyNumberFormat="1" applyFont="1" applyFill="1" applyBorder="1" applyAlignment="1">
      <alignment horizontal="center"/>
    </xf>
    <xf numFmtId="170" fontId="50" fillId="33" borderId="43" xfId="0" applyNumberFormat="1" applyFont="1" applyFill="1" applyBorder="1" applyAlignment="1">
      <alignment horizontal="center" vertical="center" wrapText="1"/>
    </xf>
    <xf numFmtId="0" fontId="50" fillId="0" borderId="40" xfId="0" applyFont="1" applyBorder="1" applyAlignment="1">
      <alignment horizontal="center"/>
    </xf>
    <xf numFmtId="0" fontId="50" fillId="0" borderId="42" xfId="0" applyFont="1" applyBorder="1" applyAlignment="1">
      <alignment horizontal="left" vertical="center" wrapText="1"/>
    </xf>
    <xf numFmtId="0" fontId="50" fillId="0" borderId="0" xfId="0" applyFont="1" applyAlignment="1">
      <alignment horizontal="center"/>
    </xf>
    <xf numFmtId="0" fontId="72" fillId="0" borderId="0" xfId="0" applyFont="1"/>
    <xf numFmtId="0" fontId="73" fillId="0" borderId="0" xfId="0" applyFont="1" applyAlignment="1">
      <alignment horizontal="left" wrapText="1"/>
    </xf>
    <xf numFmtId="0" fontId="74" fillId="0" borderId="0" xfId="0" applyFont="1" applyAlignment="1">
      <alignment horizontal="left"/>
    </xf>
    <xf numFmtId="14" fontId="74" fillId="0" borderId="0" xfId="0" applyNumberFormat="1" applyFont="1"/>
    <xf numFmtId="164" fontId="74" fillId="0" borderId="0" xfId="1" applyFont="1"/>
    <xf numFmtId="0" fontId="74" fillId="0" borderId="0" xfId="0" applyFont="1"/>
    <xf numFmtId="0" fontId="69" fillId="7" borderId="65" xfId="0" applyFont="1" applyFill="1" applyBorder="1" applyAlignment="1" applyProtection="1">
      <alignment horizontal="center" vertical="center" wrapText="1"/>
      <protection locked="0"/>
    </xf>
    <xf numFmtId="0" fontId="74" fillId="0" borderId="0" xfId="0" applyFont="1" applyAlignment="1">
      <alignment wrapText="1"/>
    </xf>
    <xf numFmtId="14" fontId="69" fillId="7" borderId="65" xfId="0" applyNumberFormat="1" applyFont="1" applyFill="1" applyBorder="1" applyAlignment="1" applyProtection="1">
      <alignment horizontal="center" vertical="center" wrapText="1"/>
      <protection locked="0"/>
    </xf>
    <xf numFmtId="164" fontId="69" fillId="7" borderId="65" xfId="1" applyFont="1" applyFill="1" applyBorder="1" applyAlignment="1" applyProtection="1">
      <alignment horizontal="center" vertical="center" wrapText="1"/>
      <protection locked="0"/>
    </xf>
    <xf numFmtId="0" fontId="75" fillId="14" borderId="65" xfId="0" applyFont="1" applyFill="1" applyBorder="1" applyAlignment="1">
      <alignment horizontal="center" vertical="center"/>
    </xf>
    <xf numFmtId="0" fontId="75" fillId="14" borderId="65" xfId="0" applyFont="1" applyFill="1" applyBorder="1" applyAlignment="1">
      <alignment horizontal="left" vertical="center" wrapText="1"/>
    </xf>
    <xf numFmtId="14" fontId="75" fillId="14" borderId="65" xfId="0" applyNumberFormat="1" applyFont="1" applyFill="1" applyBorder="1" applyAlignment="1">
      <alignment horizontal="center" vertical="center" wrapText="1"/>
    </xf>
    <xf numFmtId="164" fontId="75" fillId="14" borderId="65" xfId="1" applyFont="1" applyFill="1" applyBorder="1" applyAlignment="1">
      <alignment horizontal="center" vertical="center" wrapText="1"/>
    </xf>
    <xf numFmtId="0" fontId="76" fillId="21" borderId="65" xfId="0" applyFont="1" applyFill="1" applyBorder="1" applyAlignment="1">
      <alignment horizontal="center" vertical="center"/>
    </xf>
    <xf numFmtId="0" fontId="76" fillId="21" borderId="65" xfId="0" applyFont="1" applyFill="1" applyBorder="1" applyAlignment="1">
      <alignment horizontal="left" vertical="center" wrapText="1"/>
    </xf>
    <xf numFmtId="14" fontId="76" fillId="21" borderId="65" xfId="0" applyNumberFormat="1" applyFont="1" applyFill="1" applyBorder="1" applyAlignment="1">
      <alignment horizontal="center" vertical="center" wrapText="1"/>
    </xf>
    <xf numFmtId="164" fontId="76" fillId="21" borderId="65" xfId="1" applyFont="1" applyFill="1" applyBorder="1" applyAlignment="1">
      <alignment horizontal="center" vertical="center" wrapText="1"/>
    </xf>
    <xf numFmtId="164" fontId="76" fillId="34" borderId="65" xfId="1" applyFont="1" applyFill="1" applyBorder="1" applyAlignment="1">
      <alignment horizontal="center" vertical="center" wrapText="1"/>
    </xf>
    <xf numFmtId="0" fontId="73" fillId="0" borderId="0" xfId="0" applyFont="1"/>
    <xf numFmtId="0" fontId="75" fillId="0" borderId="65" xfId="0" applyFont="1" applyBorder="1" applyAlignment="1">
      <alignment horizontal="center" vertical="center" wrapText="1"/>
    </xf>
    <xf numFmtId="0" fontId="76" fillId="0" borderId="65" xfId="0" applyFont="1" applyBorder="1" applyAlignment="1">
      <alignment horizontal="left" vertical="center" wrapText="1"/>
    </xf>
    <xf numFmtId="0" fontId="75" fillId="0" borderId="65" xfId="0" applyFont="1" applyBorder="1" applyAlignment="1">
      <alignment horizontal="left" vertical="center" wrapText="1"/>
    </xf>
    <xf numFmtId="9" fontId="75" fillId="0" borderId="65" xfId="2" applyFont="1" applyFill="1" applyBorder="1" applyAlignment="1">
      <alignment horizontal="left" vertical="center" wrapText="1"/>
    </xf>
    <xf numFmtId="14" fontId="75" fillId="0" borderId="65" xfId="0" applyNumberFormat="1" applyFont="1" applyBorder="1" applyAlignment="1">
      <alignment horizontal="center" vertical="center" wrapText="1"/>
    </xf>
    <xf numFmtId="164" fontId="75" fillId="0" borderId="65" xfId="1" applyFont="1" applyFill="1" applyBorder="1" applyAlignment="1">
      <alignment horizontal="center" vertical="center" wrapText="1"/>
    </xf>
    <xf numFmtId="0" fontId="74" fillId="0" borderId="0" xfId="0" applyFont="1" applyAlignment="1">
      <alignment vertical="center" wrapText="1"/>
    </xf>
    <xf numFmtId="0" fontId="75" fillId="21" borderId="65" xfId="0" applyFont="1" applyFill="1" applyBorder="1" applyAlignment="1">
      <alignment horizontal="center" vertical="center" wrapText="1"/>
    </xf>
    <xf numFmtId="0" fontId="75" fillId="21" borderId="65" xfId="0" applyFont="1" applyFill="1" applyBorder="1" applyAlignment="1">
      <alignment horizontal="left" vertical="center" wrapText="1"/>
    </xf>
    <xf numFmtId="9" fontId="75" fillId="21" borderId="65" xfId="2" applyFont="1" applyFill="1" applyBorder="1" applyAlignment="1">
      <alignment horizontal="left" vertical="center" wrapText="1"/>
    </xf>
    <xf numFmtId="14" fontId="75" fillId="21" borderId="65" xfId="0" applyNumberFormat="1" applyFont="1" applyFill="1" applyBorder="1" applyAlignment="1">
      <alignment horizontal="center" vertical="center" wrapText="1"/>
    </xf>
    <xf numFmtId="164" fontId="75" fillId="21" borderId="65" xfId="1" applyFont="1" applyFill="1" applyBorder="1" applyAlignment="1">
      <alignment horizontal="center" vertical="center" wrapText="1"/>
    </xf>
    <xf numFmtId="14" fontId="75" fillId="14" borderId="65" xfId="0" applyNumberFormat="1" applyFont="1" applyFill="1" applyBorder="1" applyAlignment="1">
      <alignment horizontal="center" vertical="center"/>
    </xf>
    <xf numFmtId="164" fontId="75" fillId="14" borderId="65" xfId="1" applyFont="1" applyFill="1" applyBorder="1" applyAlignment="1">
      <alignment horizontal="center" vertical="center"/>
    </xf>
    <xf numFmtId="0" fontId="76" fillId="24" borderId="65" xfId="0" applyFont="1" applyFill="1" applyBorder="1" applyAlignment="1">
      <alignment horizontal="center" vertical="center"/>
    </xf>
    <xf numFmtId="0" fontId="76" fillId="24" borderId="65" xfId="0" applyFont="1" applyFill="1" applyBorder="1" applyAlignment="1">
      <alignment horizontal="left" vertical="center" wrapText="1"/>
    </xf>
    <xf numFmtId="14" fontId="76" fillId="24" borderId="65" xfId="0" applyNumberFormat="1" applyFont="1" applyFill="1" applyBorder="1" applyAlignment="1">
      <alignment horizontal="center" vertical="center" wrapText="1"/>
    </xf>
    <xf numFmtId="164" fontId="76" fillId="24" borderId="65" xfId="1" applyFont="1" applyFill="1" applyBorder="1" applyAlignment="1">
      <alignment horizontal="center" vertical="center" wrapText="1"/>
    </xf>
    <xf numFmtId="14" fontId="76" fillId="24" borderId="65" xfId="0" applyNumberFormat="1" applyFont="1" applyFill="1" applyBorder="1" applyAlignment="1">
      <alignment horizontal="center" vertical="center"/>
    </xf>
    <xf numFmtId="164" fontId="76" fillId="24" borderId="65" xfId="1" applyFont="1" applyFill="1" applyBorder="1" applyAlignment="1">
      <alignment horizontal="center" vertical="center"/>
    </xf>
    <xf numFmtId="164" fontId="76" fillId="34" borderId="65" xfId="1" applyFont="1" applyFill="1" applyBorder="1" applyAlignment="1">
      <alignment horizontal="center" vertical="center"/>
    </xf>
    <xf numFmtId="0" fontId="75" fillId="0" borderId="65" xfId="0" applyFont="1" applyBorder="1" applyAlignment="1">
      <alignment horizontal="center" vertical="center"/>
    </xf>
    <xf numFmtId="9" fontId="75" fillId="0" borderId="65" xfId="2" applyFont="1" applyFill="1" applyBorder="1" applyAlignment="1">
      <alignment horizontal="left" vertical="center"/>
    </xf>
    <xf numFmtId="0" fontId="75" fillId="0" borderId="65" xfId="0" applyFont="1" applyBorder="1" applyAlignment="1">
      <alignment horizontal="left" vertical="center"/>
    </xf>
    <xf numFmtId="14" fontId="75" fillId="0" borderId="65" xfId="0" applyNumberFormat="1" applyFont="1" applyBorder="1" applyAlignment="1">
      <alignment horizontal="center" vertical="center"/>
    </xf>
    <xf numFmtId="164" fontId="75" fillId="0" borderId="65" xfId="1" applyFont="1" applyFill="1" applyBorder="1" applyAlignment="1">
      <alignment horizontal="center" vertical="center"/>
    </xf>
    <xf numFmtId="164" fontId="75" fillId="34" borderId="65" xfId="1" applyFont="1" applyFill="1" applyBorder="1" applyAlignment="1">
      <alignment horizontal="center" vertical="center"/>
    </xf>
    <xf numFmtId="9" fontId="75" fillId="14" borderId="65" xfId="2" applyFont="1" applyFill="1" applyBorder="1" applyAlignment="1">
      <alignment horizontal="left" vertical="center"/>
    </xf>
    <xf numFmtId="0" fontId="75" fillId="14" borderId="65" xfId="0" applyFont="1" applyFill="1" applyBorder="1" applyAlignment="1">
      <alignment horizontal="left" vertical="center"/>
    </xf>
    <xf numFmtId="0" fontId="75" fillId="24" borderId="65" xfId="0" applyFont="1" applyFill="1" applyBorder="1" applyAlignment="1">
      <alignment horizontal="center" vertical="center"/>
    </xf>
    <xf numFmtId="0" fontId="75" fillId="24" borderId="65" xfId="0" applyFont="1" applyFill="1" applyBorder="1" applyAlignment="1">
      <alignment horizontal="left" vertical="center" wrapText="1"/>
    </xf>
    <xf numFmtId="9" fontId="75" fillId="24" borderId="65" xfId="2" applyFont="1" applyFill="1" applyBorder="1" applyAlignment="1">
      <alignment horizontal="left" vertical="center"/>
    </xf>
    <xf numFmtId="0" fontId="75" fillId="24" borderId="65" xfId="0" applyFont="1" applyFill="1" applyBorder="1" applyAlignment="1">
      <alignment horizontal="left" vertical="center"/>
    </xf>
    <xf numFmtId="14" fontId="75" fillId="24" borderId="65" xfId="0" applyNumberFormat="1" applyFont="1" applyFill="1" applyBorder="1" applyAlignment="1">
      <alignment horizontal="center" vertical="center"/>
    </xf>
    <xf numFmtId="164" fontId="75" fillId="24" borderId="65" xfId="1" applyFont="1" applyFill="1" applyBorder="1" applyAlignment="1">
      <alignment horizontal="center" vertical="center"/>
    </xf>
    <xf numFmtId="164" fontId="75" fillId="0" borderId="65" xfId="1" applyFont="1" applyFill="1" applyBorder="1" applyAlignment="1">
      <alignment horizontal="right" vertical="center" wrapText="1"/>
    </xf>
    <xf numFmtId="14" fontId="75" fillId="0" borderId="65" xfId="0" applyNumberFormat="1" applyFont="1" applyBorder="1" applyAlignment="1">
      <alignment horizontal="right" vertical="center" wrapText="1"/>
    </xf>
    <xf numFmtId="9" fontId="76" fillId="24" borderId="65" xfId="2" applyFont="1" applyFill="1" applyBorder="1" applyAlignment="1">
      <alignment horizontal="left" vertical="center"/>
    </xf>
    <xf numFmtId="0" fontId="76" fillId="24" borderId="65" xfId="0" applyFont="1" applyFill="1" applyBorder="1" applyAlignment="1">
      <alignment horizontal="left" vertical="center"/>
    </xf>
    <xf numFmtId="0" fontId="75" fillId="30" borderId="65" xfId="0" applyFont="1" applyFill="1" applyBorder="1" applyAlignment="1">
      <alignment horizontal="center" vertical="center" wrapText="1"/>
    </xf>
    <xf numFmtId="0" fontId="75" fillId="30" borderId="65" xfId="0" applyFont="1" applyFill="1" applyBorder="1" applyAlignment="1">
      <alignment horizontal="left" vertical="center" wrapText="1"/>
    </xf>
    <xf numFmtId="14" fontId="75" fillId="30" borderId="65" xfId="0" applyNumberFormat="1" applyFont="1" applyFill="1" applyBorder="1" applyAlignment="1">
      <alignment horizontal="center" vertical="center" wrapText="1"/>
    </xf>
    <xf numFmtId="164" fontId="75" fillId="30" borderId="65" xfId="1" applyFont="1" applyFill="1" applyBorder="1" applyAlignment="1">
      <alignment horizontal="center" vertical="center" wrapText="1"/>
    </xf>
    <xf numFmtId="0" fontId="75" fillId="30" borderId="65" xfId="0" applyFont="1" applyFill="1" applyBorder="1" applyAlignment="1">
      <alignment horizontal="center" vertical="center"/>
    </xf>
    <xf numFmtId="0" fontId="75" fillId="30" borderId="65" xfId="0" applyFont="1" applyFill="1" applyBorder="1" applyAlignment="1">
      <alignment horizontal="left" vertical="center"/>
    </xf>
    <xf numFmtId="9" fontId="75" fillId="30" borderId="65" xfId="2" applyFont="1" applyFill="1" applyBorder="1" applyAlignment="1">
      <alignment horizontal="left" vertical="center"/>
    </xf>
    <xf numFmtId="14" fontId="75" fillId="30" borderId="65" xfId="0" applyNumberFormat="1" applyFont="1" applyFill="1" applyBorder="1" applyAlignment="1">
      <alignment horizontal="center" vertical="center"/>
    </xf>
    <xf numFmtId="164" fontId="75" fillId="30" borderId="65" xfId="1" applyFont="1" applyFill="1" applyBorder="1" applyAlignment="1">
      <alignment horizontal="center" vertical="center"/>
    </xf>
    <xf numFmtId="168" fontId="74" fillId="0" borderId="0" xfId="0" applyNumberFormat="1" applyFont="1"/>
    <xf numFmtId="166" fontId="75" fillId="14" borderId="65" xfId="0" applyNumberFormat="1" applyFont="1" applyFill="1" applyBorder="1" applyAlignment="1">
      <alignment horizontal="left" vertical="center"/>
    </xf>
    <xf numFmtId="14" fontId="75" fillId="14" borderId="65" xfId="1" applyNumberFormat="1" applyFont="1" applyFill="1" applyBorder="1" applyAlignment="1">
      <alignment horizontal="center" vertical="center"/>
    </xf>
    <xf numFmtId="0" fontId="75" fillId="14" borderId="65" xfId="0" applyFont="1" applyFill="1" applyBorder="1" applyAlignment="1">
      <alignment horizontal="center" vertical="center" wrapText="1"/>
    </xf>
    <xf numFmtId="9" fontId="75" fillId="14" borderId="65" xfId="2" applyFont="1" applyFill="1" applyBorder="1" applyAlignment="1">
      <alignment horizontal="left" vertical="center" wrapText="1"/>
    </xf>
    <xf numFmtId="9" fontId="75" fillId="14" borderId="65" xfId="2" applyFont="1" applyFill="1" applyBorder="1" applyAlignment="1">
      <alignment horizontal="center" vertical="center" wrapText="1"/>
    </xf>
    <xf numFmtId="0" fontId="77" fillId="0" borderId="0" xfId="0" applyFont="1"/>
    <xf numFmtId="164" fontId="73" fillId="0" borderId="0" xfId="1" applyFont="1"/>
    <xf numFmtId="14" fontId="73" fillId="0" borderId="0" xfId="0" applyNumberFormat="1" applyFont="1"/>
    <xf numFmtId="164" fontId="74" fillId="0" borderId="0" xfId="1" applyFont="1" applyBorder="1"/>
    <xf numFmtId="164" fontId="76" fillId="34" borderId="45" xfId="1" applyFont="1" applyFill="1" applyBorder="1" applyAlignment="1">
      <alignment horizontal="center" vertical="center"/>
    </xf>
    <xf numFmtId="164" fontId="76" fillId="34" borderId="55" xfId="1" applyFont="1" applyFill="1" applyBorder="1" applyAlignment="1">
      <alignment horizontal="center" vertical="center"/>
    </xf>
    <xf numFmtId="0" fontId="73" fillId="0" borderId="0" xfId="0" applyFont="1" applyAlignment="1">
      <alignment horizontal="left"/>
    </xf>
    <xf numFmtId="9" fontId="73" fillId="0" borderId="0" xfId="2" applyFont="1" applyAlignment="1"/>
    <xf numFmtId="0" fontId="73" fillId="0" borderId="0" xfId="0" applyFont="1" applyAlignment="1">
      <alignment vertical="center"/>
    </xf>
    <xf numFmtId="14" fontId="69" fillId="7" borderId="65" xfId="0" applyNumberFormat="1" applyFont="1" applyFill="1" applyBorder="1" applyAlignment="1" applyProtection="1">
      <alignment horizontal="center" vertical="center"/>
      <protection locked="0"/>
    </xf>
    <xf numFmtId="0" fontId="75" fillId="14" borderId="65" xfId="0" applyFont="1" applyFill="1" applyBorder="1" applyAlignment="1">
      <alignment vertical="center" wrapText="1"/>
    </xf>
    <xf numFmtId="9" fontId="75" fillId="14" borderId="65" xfId="2" applyFont="1" applyFill="1" applyBorder="1" applyAlignment="1">
      <alignment vertical="center" wrapText="1"/>
    </xf>
    <xf numFmtId="164" fontId="76" fillId="14" borderId="65" xfId="1" applyFont="1" applyFill="1" applyBorder="1" applyAlignment="1">
      <alignment horizontal="center" vertical="center" wrapText="1"/>
    </xf>
    <xf numFmtId="0" fontId="75" fillId="25" borderId="65" xfId="0" applyFont="1" applyFill="1" applyBorder="1" applyAlignment="1">
      <alignment horizontal="left" vertical="center" wrapText="1"/>
    </xf>
    <xf numFmtId="9" fontId="75" fillId="25" borderId="65" xfId="2" applyFont="1" applyFill="1" applyBorder="1" applyAlignment="1">
      <alignment vertical="center" wrapText="1"/>
    </xf>
    <xf numFmtId="0" fontId="75" fillId="25" borderId="65" xfId="0" applyFont="1" applyFill="1" applyBorder="1" applyAlignment="1">
      <alignment vertical="center" wrapText="1"/>
    </xf>
    <xf numFmtId="14" fontId="75" fillId="25" borderId="65" xfId="0" applyNumberFormat="1" applyFont="1" applyFill="1" applyBorder="1" applyAlignment="1">
      <alignment horizontal="center" vertical="center" wrapText="1"/>
    </xf>
    <xf numFmtId="164" fontId="75" fillId="25" borderId="65" xfId="1" applyFont="1" applyFill="1" applyBorder="1" applyAlignment="1">
      <alignment horizontal="center" vertical="center" wrapText="1"/>
    </xf>
    <xf numFmtId="0" fontId="73" fillId="0" borderId="0" xfId="0" applyFont="1" applyAlignment="1">
      <alignment wrapText="1"/>
    </xf>
    <xf numFmtId="9" fontId="75" fillId="0" borderId="65" xfId="2" applyFont="1" applyFill="1" applyBorder="1" applyAlignment="1">
      <alignment vertical="center" wrapText="1"/>
    </xf>
    <xf numFmtId="0" fontId="75" fillId="0" borderId="65" xfId="0" applyFont="1" applyBorder="1" applyAlignment="1">
      <alignment vertical="center" wrapText="1"/>
    </xf>
    <xf numFmtId="0" fontId="78" fillId="0" borderId="0" xfId="0" applyFont="1" applyAlignment="1">
      <alignment vertical="center"/>
    </xf>
    <xf numFmtId="9" fontId="75" fillId="0" borderId="65" xfId="2" applyFont="1" applyFill="1" applyBorder="1" applyAlignment="1">
      <alignment vertical="center"/>
    </xf>
    <xf numFmtId="0" fontId="75" fillId="0" borderId="65" xfId="0" applyFont="1" applyBorder="1" applyAlignment="1">
      <alignment vertical="center"/>
    </xf>
    <xf numFmtId="9" fontId="75" fillId="14" borderId="65" xfId="2" applyFont="1" applyFill="1" applyBorder="1" applyAlignment="1">
      <alignment vertical="center"/>
    </xf>
    <xf numFmtId="0" fontId="75" fillId="14" borderId="65" xfId="0" applyFont="1" applyFill="1" applyBorder="1" applyAlignment="1">
      <alignment vertical="center"/>
    </xf>
    <xf numFmtId="168" fontId="73" fillId="0" borderId="0" xfId="0" applyNumberFormat="1" applyFont="1"/>
    <xf numFmtId="14" fontId="75" fillId="26" borderId="65" xfId="0" applyNumberFormat="1" applyFont="1" applyFill="1" applyBorder="1" applyAlignment="1">
      <alignment horizontal="center" vertical="center"/>
    </xf>
    <xf numFmtId="0" fontId="78" fillId="0" borderId="0" xfId="0" applyFont="1"/>
    <xf numFmtId="164" fontId="75" fillId="14" borderId="65" xfId="1" applyFont="1" applyFill="1" applyBorder="1" applyAlignment="1">
      <alignment horizontal="right" vertical="center"/>
    </xf>
    <xf numFmtId="0" fontId="75" fillId="14" borderId="65" xfId="0" applyFont="1" applyFill="1" applyBorder="1" applyAlignment="1">
      <alignment horizontal="right" vertical="center"/>
    </xf>
    <xf numFmtId="0" fontId="79" fillId="7" borderId="65" xfId="0" applyFont="1" applyFill="1" applyBorder="1" applyAlignment="1" applyProtection="1">
      <alignment horizontal="center" vertical="center" wrapText="1"/>
      <protection locked="0"/>
    </xf>
    <xf numFmtId="0" fontId="66" fillId="14" borderId="65" xfId="0" applyFont="1" applyFill="1" applyBorder="1" applyAlignment="1">
      <alignment horizontal="center" vertical="center"/>
    </xf>
    <xf numFmtId="0" fontId="66" fillId="14" borderId="65" xfId="0" applyFont="1" applyFill="1" applyBorder="1" applyAlignment="1">
      <alignment horizontal="left" vertical="center" wrapText="1"/>
    </xf>
    <xf numFmtId="0" fontId="66" fillId="14" borderId="65" xfId="0" applyFont="1" applyFill="1" applyBorder="1" applyAlignment="1">
      <alignment horizontal="center" vertical="center" wrapText="1"/>
    </xf>
    <xf numFmtId="164" fontId="66" fillId="14" borderId="65" xfId="1" applyFont="1" applyFill="1" applyBorder="1" applyAlignment="1">
      <alignment horizontal="center" vertical="center" wrapText="1"/>
    </xf>
    <xf numFmtId="0" fontId="66" fillId="0" borderId="65" xfId="0" applyFont="1" applyBorder="1" applyAlignment="1">
      <alignment horizontal="center" vertical="center" wrapText="1"/>
    </xf>
    <xf numFmtId="0" fontId="66" fillId="0" borderId="65" xfId="0" applyFont="1" applyBorder="1" applyAlignment="1">
      <alignment horizontal="left" vertical="center" wrapText="1"/>
    </xf>
    <xf numFmtId="164" fontId="66" fillId="0" borderId="65" xfId="1" applyFont="1" applyFill="1" applyBorder="1" applyAlignment="1">
      <alignment horizontal="center" vertical="center" wrapText="1"/>
    </xf>
    <xf numFmtId="164" fontId="3" fillId="0" borderId="0" xfId="0" applyNumberFormat="1" applyFont="1"/>
    <xf numFmtId="0" fontId="43" fillId="7" borderId="65" xfId="6" applyFont="1" applyFill="1" applyBorder="1" applyAlignment="1" applyProtection="1">
      <alignment horizontal="center" vertical="center" wrapText="1"/>
      <protection locked="0"/>
    </xf>
    <xf numFmtId="164" fontId="43" fillId="7" borderId="65" xfId="1" applyFont="1" applyFill="1" applyBorder="1" applyAlignment="1" applyProtection="1">
      <alignment horizontal="center" vertical="center" wrapText="1"/>
      <protection locked="0"/>
    </xf>
    <xf numFmtId="0" fontId="40" fillId="0" borderId="65" xfId="0" applyFont="1" applyBorder="1" applyAlignment="1">
      <alignment horizontal="center" vertical="center"/>
    </xf>
    <xf numFmtId="0" fontId="40" fillId="0" borderId="65" xfId="0" applyFont="1" applyBorder="1" applyAlignment="1">
      <alignment horizontal="left" vertical="center" wrapText="1"/>
    </xf>
    <xf numFmtId="0" fontId="40" fillId="0" borderId="65" xfId="0" applyFont="1" applyBorder="1" applyAlignment="1">
      <alignment horizontal="center" vertical="center" wrapText="1"/>
    </xf>
    <xf numFmtId="164" fontId="40" fillId="0" borderId="65" xfId="1" applyFont="1" applyFill="1" applyBorder="1" applyAlignment="1">
      <alignment horizontal="center" vertical="center" wrapText="1"/>
    </xf>
    <xf numFmtId="0" fontId="40" fillId="14" borderId="65" xfId="0" applyFont="1" applyFill="1" applyBorder="1" applyAlignment="1">
      <alignment horizontal="center" vertical="center"/>
    </xf>
    <xf numFmtId="0" fontId="40" fillId="14" borderId="65" xfId="0" applyFont="1" applyFill="1" applyBorder="1" applyAlignment="1">
      <alignment horizontal="left" vertical="center" wrapText="1"/>
    </xf>
    <xf numFmtId="0" fontId="40" fillId="14" borderId="65" xfId="0" applyFont="1" applyFill="1" applyBorder="1" applyAlignment="1">
      <alignment horizontal="center" vertical="center" wrapText="1"/>
    </xf>
    <xf numFmtId="164" fontId="40" fillId="14" borderId="65" xfId="1" applyFont="1" applyFill="1" applyBorder="1" applyAlignment="1">
      <alignment horizontal="center" vertical="center" wrapText="1"/>
    </xf>
    <xf numFmtId="14" fontId="40" fillId="0" borderId="65" xfId="0" applyNumberFormat="1" applyFont="1" applyBorder="1" applyAlignment="1">
      <alignment horizontal="center" vertical="center" wrapText="1"/>
    </xf>
    <xf numFmtId="14" fontId="40" fillId="14" borderId="65" xfId="0" applyNumberFormat="1" applyFont="1" applyFill="1" applyBorder="1" applyAlignment="1">
      <alignment horizontal="center" vertical="center"/>
    </xf>
    <xf numFmtId="164" fontId="40" fillId="14" borderId="65" xfId="1" applyFont="1" applyFill="1" applyBorder="1" applyAlignment="1">
      <alignment horizontal="center" vertical="center"/>
    </xf>
    <xf numFmtId="164" fontId="40" fillId="14" borderId="65" xfId="0" applyNumberFormat="1" applyFont="1" applyFill="1" applyBorder="1" applyAlignment="1">
      <alignment horizontal="center" vertical="center"/>
    </xf>
    <xf numFmtId="0" fontId="40" fillId="0" borderId="65" xfId="0" applyFont="1" applyBorder="1" applyAlignment="1">
      <alignment horizontal="left" vertical="center"/>
    </xf>
    <xf numFmtId="164" fontId="40" fillId="0" borderId="65" xfId="1" applyFont="1" applyFill="1" applyBorder="1" applyAlignment="1">
      <alignment horizontal="center" vertical="center"/>
    </xf>
    <xf numFmtId="164" fontId="40" fillId="0" borderId="65" xfId="0" applyNumberFormat="1" applyFont="1" applyBorder="1" applyAlignment="1">
      <alignment horizontal="center" vertical="center"/>
    </xf>
    <xf numFmtId="0" fontId="40" fillId="14" borderId="65" xfId="0" applyFont="1" applyFill="1" applyBorder="1" applyAlignment="1">
      <alignment horizontal="left" vertical="center"/>
    </xf>
    <xf numFmtId="164" fontId="1" fillId="0" borderId="0" xfId="1" applyFont="1"/>
    <xf numFmtId="164" fontId="37" fillId="30" borderId="16" xfId="1" applyFont="1" applyFill="1" applyBorder="1" applyAlignment="1">
      <alignment horizontal="center" vertical="center" wrapText="1"/>
    </xf>
    <xf numFmtId="164" fontId="40" fillId="0" borderId="0" xfId="1" applyFont="1" applyAlignment="1">
      <alignment horizontal="center"/>
    </xf>
    <xf numFmtId="0" fontId="37" fillId="14" borderId="0" xfId="0" applyFont="1" applyFill="1" applyAlignment="1">
      <alignment horizontal="center"/>
    </xf>
    <xf numFmtId="164" fontId="37" fillId="14" borderId="0" xfId="1" applyFont="1" applyFill="1" applyAlignment="1">
      <alignment horizontal="center"/>
    </xf>
    <xf numFmtId="0" fontId="36" fillId="7" borderId="56" xfId="0" applyFont="1" applyFill="1" applyBorder="1" applyAlignment="1">
      <alignment horizontal="center" vertical="center" wrapText="1"/>
    </xf>
    <xf numFmtId="164" fontId="36" fillId="7" borderId="56" xfId="1" applyFont="1" applyFill="1" applyBorder="1" applyAlignment="1">
      <alignment horizontal="center" vertical="center" wrapText="1"/>
    </xf>
    <xf numFmtId="0" fontId="37" fillId="11" borderId="0" xfId="0" applyFont="1" applyFill="1"/>
    <xf numFmtId="165" fontId="40" fillId="0" borderId="0" xfId="1" applyNumberFormat="1" applyFont="1"/>
    <xf numFmtId="0" fontId="38" fillId="11" borderId="0" xfId="0" applyFont="1" applyFill="1"/>
    <xf numFmtId="0" fontId="62" fillId="0" borderId="0" xfId="0" applyFont="1"/>
    <xf numFmtId="164" fontId="38" fillId="15" borderId="16" xfId="1" applyFont="1" applyFill="1" applyBorder="1" applyAlignment="1">
      <alignment horizontal="center" vertical="center"/>
    </xf>
    <xf numFmtId="165" fontId="37" fillId="27" borderId="16" xfId="0" applyNumberFormat="1" applyFont="1" applyFill="1" applyBorder="1" applyAlignment="1">
      <alignment horizontal="center"/>
    </xf>
    <xf numFmtId="165" fontId="37" fillId="27" borderId="16" xfId="0" applyNumberFormat="1" applyFont="1" applyFill="1" applyBorder="1"/>
    <xf numFmtId="165" fontId="37" fillId="27" borderId="16" xfId="1" applyNumberFormat="1" applyFont="1" applyFill="1" applyBorder="1"/>
    <xf numFmtId="165" fontId="40" fillId="0" borderId="0" xfId="0" applyNumberFormat="1" applyFont="1"/>
    <xf numFmtId="0" fontId="37" fillId="11" borderId="0" xfId="0" quotePrefix="1" applyFont="1" applyFill="1"/>
    <xf numFmtId="0" fontId="80" fillId="0" borderId="0" xfId="0" applyFont="1"/>
    <xf numFmtId="0" fontId="82" fillId="12" borderId="0" xfId="0" applyFont="1" applyFill="1" applyAlignment="1">
      <alignment horizontal="center" vertical="center" wrapText="1"/>
    </xf>
    <xf numFmtId="0" fontId="83" fillId="4" borderId="0" xfId="0" applyFont="1" applyFill="1" applyAlignment="1">
      <alignment horizontal="center" vertical="center" wrapText="1"/>
    </xf>
    <xf numFmtId="14" fontId="83" fillId="4" borderId="0" xfId="0" applyNumberFormat="1" applyFont="1" applyFill="1" applyAlignment="1">
      <alignment vertical="center" wrapText="1"/>
    </xf>
    <xf numFmtId="0" fontId="83" fillId="4" borderId="0" xfId="0" applyFont="1" applyFill="1" applyAlignment="1">
      <alignment vertical="center" wrapText="1"/>
    </xf>
    <xf numFmtId="0" fontId="83" fillId="4" borderId="0" xfId="0" applyFont="1" applyFill="1" applyAlignment="1">
      <alignment horizontal="center" vertical="center"/>
    </xf>
    <xf numFmtId="0" fontId="83" fillId="4" borderId="0" xfId="0" applyFont="1" applyFill="1" applyAlignment="1">
      <alignment vertical="center"/>
    </xf>
    <xf numFmtId="0" fontId="84" fillId="0" borderId="0" xfId="0" applyFont="1" applyAlignment="1">
      <alignment horizontal="center" vertical="center" wrapText="1"/>
    </xf>
    <xf numFmtId="14" fontId="84" fillId="0" borderId="0" xfId="0" applyNumberFormat="1" applyFont="1" applyAlignment="1">
      <alignment vertical="center" wrapText="1"/>
    </xf>
    <xf numFmtId="0" fontId="84" fillId="0" borderId="0" xfId="0" applyFont="1" applyAlignment="1">
      <alignment vertical="center" wrapText="1"/>
    </xf>
    <xf numFmtId="0" fontId="84" fillId="0" borderId="0" xfId="0" applyFont="1" applyAlignment="1">
      <alignment horizontal="center" vertical="center"/>
    </xf>
    <xf numFmtId="0" fontId="84" fillId="0" borderId="0" xfId="0" applyFont="1" applyAlignment="1">
      <alignment vertical="center"/>
    </xf>
    <xf numFmtId="0" fontId="85" fillId="0" borderId="0" xfId="0" applyFont="1" applyAlignment="1">
      <alignment horizontal="left" vertical="center"/>
    </xf>
    <xf numFmtId="0" fontId="83" fillId="35" borderId="0" xfId="0" applyFont="1" applyFill="1" applyAlignment="1">
      <alignment horizontal="center" vertical="center"/>
    </xf>
    <xf numFmtId="0" fontId="83" fillId="35" borderId="0" xfId="0" applyFont="1" applyFill="1" applyAlignment="1">
      <alignment vertical="center"/>
    </xf>
    <xf numFmtId="0" fontId="86" fillId="0" borderId="0" xfId="0" applyFont="1" applyAlignment="1">
      <alignment horizontal="left" vertical="center"/>
    </xf>
    <xf numFmtId="0" fontId="86" fillId="4" borderId="0" xfId="0" applyFont="1" applyFill="1" applyAlignment="1">
      <alignment vertical="center"/>
    </xf>
    <xf numFmtId="0" fontId="7" fillId="4" borderId="0" xfId="0" applyFont="1" applyFill="1" applyAlignment="1">
      <alignment horizontal="center" vertical="center" wrapText="1"/>
    </xf>
    <xf numFmtId="0" fontId="87" fillId="12" borderId="0" xfId="0" applyFont="1" applyFill="1" applyAlignment="1">
      <alignment horizontal="center" vertical="center" wrapText="1"/>
    </xf>
    <xf numFmtId="0" fontId="88" fillId="0" borderId="2" xfId="0" applyFont="1" applyBorder="1" applyAlignment="1">
      <alignment horizontal="center" vertical="center"/>
    </xf>
    <xf numFmtId="0" fontId="89" fillId="0" borderId="2" xfId="0" applyFont="1" applyBorder="1" applyAlignment="1">
      <alignment vertical="center"/>
    </xf>
    <xf numFmtId="0" fontId="89" fillId="0" borderId="2" xfId="0" applyFont="1" applyBorder="1" applyAlignment="1">
      <alignment horizontal="center" vertical="center" wrapText="1"/>
    </xf>
    <xf numFmtId="0" fontId="89" fillId="0" borderId="2" xfId="0" applyFont="1" applyBorder="1" applyAlignment="1">
      <alignment horizontal="center" vertical="center"/>
    </xf>
    <xf numFmtId="0" fontId="88" fillId="0" borderId="2" xfId="0" applyFont="1" applyBorder="1" applyAlignment="1">
      <alignment horizontal="left" vertical="center"/>
    </xf>
    <xf numFmtId="0" fontId="89" fillId="16" borderId="2" xfId="0" applyFont="1" applyFill="1" applyBorder="1" applyAlignment="1">
      <alignment horizontal="center" vertical="center"/>
    </xf>
    <xf numFmtId="0" fontId="89" fillId="16" borderId="2" xfId="0" applyFont="1" applyFill="1" applyBorder="1" applyAlignment="1">
      <alignment vertical="center"/>
    </xf>
    <xf numFmtId="0" fontId="89" fillId="16" borderId="2" xfId="0" applyFont="1" applyFill="1" applyBorder="1" applyAlignment="1">
      <alignment horizontal="center" vertical="center" wrapText="1"/>
    </xf>
    <xf numFmtId="0" fontId="89" fillId="16" borderId="2" xfId="0" applyFont="1" applyFill="1" applyBorder="1" applyAlignment="1">
      <alignment horizontal="left" vertical="center"/>
    </xf>
    <xf numFmtId="164" fontId="89" fillId="0" borderId="2" xfId="1" applyFont="1" applyBorder="1" applyAlignment="1">
      <alignment horizontal="center" vertical="center"/>
    </xf>
    <xf numFmtId="164" fontId="89" fillId="16" borderId="2" xfId="1" applyFont="1" applyFill="1" applyBorder="1" applyAlignment="1">
      <alignment horizontal="center" vertical="center"/>
    </xf>
    <xf numFmtId="164" fontId="40" fillId="0" borderId="0" xfId="1" applyFont="1"/>
    <xf numFmtId="0" fontId="55" fillId="0" borderId="43" xfId="10" applyFill="1" applyBorder="1" applyAlignment="1">
      <alignment horizontal="center" vertical="center" wrapText="1"/>
    </xf>
    <xf numFmtId="171" fontId="40" fillId="0" borderId="0" xfId="2" applyNumberFormat="1" applyFont="1"/>
    <xf numFmtId="0" fontId="71" fillId="0" borderId="43" xfId="10" applyFont="1" applyFill="1" applyBorder="1" applyAlignment="1">
      <alignment horizontal="center" vertical="center" wrapText="1"/>
    </xf>
    <xf numFmtId="0" fontId="56" fillId="34" borderId="43" xfId="0" applyFont="1" applyFill="1" applyBorder="1" applyAlignment="1">
      <alignment horizontal="center"/>
    </xf>
    <xf numFmtId="0" fontId="4" fillId="3" borderId="69" xfId="0" applyFont="1" applyFill="1" applyBorder="1" applyAlignment="1">
      <alignment horizontal="center" vertical="center" wrapText="1"/>
    </xf>
    <xf numFmtId="0" fontId="4" fillId="3" borderId="69" xfId="0" applyFont="1" applyFill="1" applyBorder="1" applyAlignment="1">
      <alignment horizontal="center" vertical="center"/>
    </xf>
    <xf numFmtId="0" fontId="52" fillId="17" borderId="69" xfId="0" applyFont="1" applyFill="1" applyBorder="1"/>
    <xf numFmtId="0" fontId="52" fillId="17" borderId="69" xfId="0" applyFont="1" applyFill="1" applyBorder="1" applyAlignment="1">
      <alignment horizontal="center"/>
    </xf>
    <xf numFmtId="10" fontId="52" fillId="17" borderId="69" xfId="0" applyNumberFormat="1" applyFont="1" applyFill="1" applyBorder="1" applyAlignment="1">
      <alignment horizontal="center"/>
    </xf>
    <xf numFmtId="10" fontId="40" fillId="0" borderId="0" xfId="0" applyNumberFormat="1" applyFont="1"/>
    <xf numFmtId="0" fontId="40" fillId="15" borderId="0" xfId="0" applyFont="1" applyFill="1" applyAlignment="1">
      <alignment horizontal="center" vertical="center" wrapText="1"/>
    </xf>
    <xf numFmtId="0" fontId="130" fillId="0" borderId="42" xfId="0" applyFont="1" applyBorder="1" applyAlignment="1">
      <alignment horizontal="center" vertical="center" wrapText="1"/>
    </xf>
    <xf numFmtId="0" fontId="50" fillId="19" borderId="43" xfId="0" applyFont="1" applyFill="1" applyBorder="1"/>
    <xf numFmtId="0" fontId="131" fillId="0" borderId="0" xfId="0" applyFont="1"/>
    <xf numFmtId="0" fontId="40" fillId="24" borderId="43" xfId="0" applyFont="1" applyFill="1" applyBorder="1"/>
    <xf numFmtId="0" fontId="132" fillId="12" borderId="0" xfId="0" applyFont="1" applyFill="1" applyAlignment="1">
      <alignment vertical="center" wrapText="1"/>
    </xf>
    <xf numFmtId="0" fontId="23" fillId="12" borderId="0" xfId="0" applyFont="1" applyFill="1" applyAlignment="1">
      <alignment horizontal="right" vertical="center" wrapText="1"/>
    </xf>
    <xf numFmtId="0" fontId="15" fillId="4" borderId="0" xfId="0" applyFont="1" applyFill="1" applyAlignment="1">
      <alignment vertical="center" wrapText="1"/>
    </xf>
    <xf numFmtId="0" fontId="15" fillId="4" borderId="0" xfId="0" applyFont="1" applyFill="1" applyAlignment="1">
      <alignment horizontal="right" vertical="center" wrapText="1"/>
    </xf>
    <xf numFmtId="0" fontId="13" fillId="4" borderId="0" xfId="0" applyFont="1" applyFill="1" applyAlignment="1">
      <alignment horizontal="right" vertical="center" wrapText="1"/>
    </xf>
    <xf numFmtId="0" fontId="15" fillId="5" borderId="0" xfId="0" applyFont="1" applyFill="1" applyAlignment="1">
      <alignment vertical="center" wrapText="1"/>
    </xf>
    <xf numFmtId="0" fontId="15" fillId="5" borderId="0" xfId="0" applyFont="1" applyFill="1" applyAlignment="1">
      <alignment horizontal="right" vertical="center" wrapText="1"/>
    </xf>
    <xf numFmtId="0" fontId="13" fillId="5" borderId="0" xfId="0" applyFont="1" applyFill="1" applyAlignment="1">
      <alignment horizontal="right" vertical="center" wrapText="1"/>
    </xf>
    <xf numFmtId="0" fontId="13" fillId="37" borderId="0" xfId="0" applyFont="1" applyFill="1" applyAlignment="1">
      <alignment vertical="center" wrapText="1"/>
    </xf>
    <xf numFmtId="9" fontId="13" fillId="37" borderId="0" xfId="0" applyNumberFormat="1" applyFont="1" applyFill="1" applyAlignment="1">
      <alignment horizontal="right" vertical="center" wrapText="1"/>
    </xf>
    <xf numFmtId="0" fontId="133" fillId="12" borderId="0" xfId="0" applyFont="1" applyFill="1" applyAlignment="1">
      <alignment vertical="center" wrapText="1"/>
    </xf>
    <xf numFmtId="0" fontId="134" fillId="4" borderId="0" xfId="0" applyFont="1" applyFill="1" applyAlignment="1">
      <alignment vertical="center" wrapText="1"/>
    </xf>
    <xf numFmtId="0" fontId="134" fillId="4" borderId="0" xfId="0" applyFont="1" applyFill="1" applyAlignment="1">
      <alignment horizontal="right" vertical="center" wrapText="1"/>
    </xf>
    <xf numFmtId="0" fontId="135" fillId="4" borderId="0" xfId="0" applyFont="1" applyFill="1" applyAlignment="1">
      <alignment horizontal="right" vertical="center" wrapText="1"/>
    </xf>
    <xf numFmtId="0" fontId="134" fillId="5" borderId="0" xfId="0" applyFont="1" applyFill="1" applyAlignment="1">
      <alignment vertical="center" wrapText="1"/>
    </xf>
    <xf numFmtId="0" fontId="134" fillId="5" borderId="0" xfId="0" applyFont="1" applyFill="1" applyAlignment="1">
      <alignment horizontal="right" vertical="center" wrapText="1"/>
    </xf>
    <xf numFmtId="0" fontId="135" fillId="37" borderId="0" xfId="0" applyFont="1" applyFill="1" applyAlignment="1">
      <alignment vertical="center" wrapText="1"/>
    </xf>
    <xf numFmtId="9" fontId="135" fillId="37" borderId="0" xfId="0" applyNumberFormat="1" applyFont="1" applyFill="1" applyAlignment="1">
      <alignment horizontal="right" vertical="center" wrapText="1"/>
    </xf>
    <xf numFmtId="165" fontId="0" fillId="0" borderId="0" xfId="0" applyNumberFormat="1"/>
    <xf numFmtId="165" fontId="42" fillId="0" borderId="0" xfId="0" applyNumberFormat="1" applyFont="1"/>
    <xf numFmtId="0" fontId="14" fillId="0" borderId="0" xfId="0" applyFont="1"/>
    <xf numFmtId="165" fontId="14" fillId="0" borderId="0" xfId="0" applyNumberFormat="1" applyFont="1"/>
    <xf numFmtId="0" fontId="14" fillId="4" borderId="0" xfId="0" applyFont="1" applyFill="1"/>
    <xf numFmtId="165" fontId="14" fillId="4" borderId="0" xfId="0" applyNumberFormat="1" applyFont="1" applyFill="1"/>
    <xf numFmtId="0" fontId="136" fillId="0" borderId="0" xfId="0" applyFont="1"/>
    <xf numFmtId="165" fontId="136" fillId="0" borderId="0" xfId="0" applyNumberFormat="1" applyFont="1"/>
    <xf numFmtId="0" fontId="0" fillId="4" borderId="0" xfId="0" applyFill="1"/>
    <xf numFmtId="165" fontId="0" fillId="4" borderId="0" xfId="0" applyNumberFormat="1" applyFill="1"/>
    <xf numFmtId="165" fontId="3" fillId="0" borderId="0" xfId="0" applyNumberFormat="1" applyFont="1"/>
    <xf numFmtId="0" fontId="52" fillId="38" borderId="0" xfId="0" applyFont="1" applyFill="1"/>
    <xf numFmtId="10" fontId="42" fillId="0" borderId="0" xfId="0" applyNumberFormat="1" applyFont="1"/>
    <xf numFmtId="165" fontId="42" fillId="4" borderId="0" xfId="0" applyNumberFormat="1" applyFont="1" applyFill="1"/>
    <xf numFmtId="165" fontId="60" fillId="0" borderId="0" xfId="0" applyNumberFormat="1" applyFont="1"/>
    <xf numFmtId="10" fontId="42" fillId="4" borderId="0" xfId="0" applyNumberFormat="1" applyFont="1" applyFill="1"/>
    <xf numFmtId="0" fontId="138" fillId="0" borderId="0" xfId="0" applyFont="1"/>
    <xf numFmtId="3" fontId="0" fillId="0" borderId="0" xfId="0" applyNumberFormat="1"/>
    <xf numFmtId="0" fontId="57" fillId="4" borderId="0" xfId="0" applyFont="1" applyFill="1" applyAlignment="1">
      <alignment horizontal="center" vertical="center"/>
    </xf>
    <xf numFmtId="0" fontId="53" fillId="4" borderId="0" xfId="0" applyFont="1" applyFill="1" applyAlignment="1">
      <alignment vertical="center"/>
    </xf>
    <xf numFmtId="0" fontId="57" fillId="0" borderId="0" xfId="0" applyFont="1" applyAlignment="1">
      <alignment horizontal="center" vertical="center"/>
    </xf>
    <xf numFmtId="0" fontId="53" fillId="0" borderId="0" xfId="0" applyFont="1" applyAlignment="1">
      <alignment vertical="center"/>
    </xf>
    <xf numFmtId="0" fontId="135" fillId="5" borderId="0" xfId="0" applyFont="1" applyFill="1" applyAlignment="1">
      <alignment horizontal="right" vertical="center" wrapText="1"/>
    </xf>
    <xf numFmtId="0" fontId="37" fillId="14" borderId="17" xfId="0" applyFont="1" applyFill="1" applyBorder="1" applyAlignment="1">
      <alignment horizontal="left" vertical="center"/>
    </xf>
    <xf numFmtId="0" fontId="76" fillId="14" borderId="65" xfId="0" applyFont="1" applyFill="1" applyBorder="1" applyAlignment="1">
      <alignment horizontal="left" vertical="center" wrapText="1"/>
    </xf>
    <xf numFmtId="0" fontId="45" fillId="14" borderId="16" xfId="0" applyFont="1" applyFill="1" applyBorder="1" applyAlignment="1">
      <alignment horizontal="center" vertical="center"/>
    </xf>
    <xf numFmtId="0" fontId="76" fillId="24" borderId="0" xfId="0" applyFont="1" applyFill="1" applyAlignment="1">
      <alignment horizontal="center" vertical="center"/>
    </xf>
    <xf numFmtId="0" fontId="76" fillId="24" borderId="0" xfId="0" applyFont="1" applyFill="1" applyAlignment="1">
      <alignment horizontal="left" vertical="center" wrapText="1"/>
    </xf>
    <xf numFmtId="9" fontId="76" fillId="24" borderId="0" xfId="2" applyFont="1" applyFill="1" applyBorder="1" applyAlignment="1">
      <alignment horizontal="left" vertical="center"/>
    </xf>
    <xf numFmtId="0" fontId="76" fillId="24" borderId="0" xfId="0" applyFont="1" applyFill="1" applyAlignment="1">
      <alignment horizontal="left" vertical="center"/>
    </xf>
    <xf numFmtId="14" fontId="76" fillId="24" borderId="0" xfId="0" applyNumberFormat="1" applyFont="1" applyFill="1" applyAlignment="1">
      <alignment horizontal="center" vertical="center"/>
    </xf>
    <xf numFmtId="164" fontId="76" fillId="24" borderId="0" xfId="1" applyFont="1" applyFill="1" applyBorder="1" applyAlignment="1">
      <alignment horizontal="center" vertical="center"/>
    </xf>
    <xf numFmtId="164" fontId="76" fillId="34" borderId="0" xfId="1" applyFont="1" applyFill="1" applyBorder="1" applyAlignment="1">
      <alignment horizontal="center" vertical="center"/>
    </xf>
    <xf numFmtId="9" fontId="75" fillId="0" borderId="65" xfId="2" applyFont="1" applyBorder="1" applyAlignment="1">
      <alignment horizontal="left" vertical="center" wrapText="1"/>
    </xf>
    <xf numFmtId="0" fontId="139" fillId="0" borderId="0" xfId="0" applyFont="1"/>
    <xf numFmtId="0" fontId="140" fillId="3" borderId="0" xfId="0" applyFont="1" applyFill="1" applyAlignment="1">
      <alignment horizontal="center" vertical="center"/>
    </xf>
    <xf numFmtId="0" fontId="141" fillId="4" borderId="0" xfId="0" applyFont="1" applyFill="1" applyAlignment="1">
      <alignment horizontal="center" vertical="center"/>
    </xf>
    <xf numFmtId="0" fontId="141" fillId="4" borderId="0" xfId="0" applyFont="1" applyFill="1" applyAlignment="1">
      <alignment vertical="center"/>
    </xf>
    <xf numFmtId="14" fontId="141" fillId="4" borderId="0" xfId="0" applyNumberFormat="1" applyFont="1" applyFill="1" applyAlignment="1">
      <alignment horizontal="center" vertical="center"/>
    </xf>
    <xf numFmtId="0" fontId="139" fillId="0" borderId="0" xfId="0" applyFont="1" applyAlignment="1">
      <alignment horizontal="center" vertical="center"/>
    </xf>
    <xf numFmtId="0" fontId="139" fillId="0" borderId="0" xfId="0" applyFont="1" applyAlignment="1">
      <alignment vertical="center"/>
    </xf>
    <xf numFmtId="14" fontId="139" fillId="0" borderId="0" xfId="0" applyNumberFormat="1" applyFont="1" applyAlignment="1">
      <alignment horizontal="center" vertical="center"/>
    </xf>
    <xf numFmtId="0" fontId="139" fillId="16" borderId="2" xfId="0" applyFont="1" applyFill="1" applyBorder="1" applyAlignment="1">
      <alignment vertical="center"/>
    </xf>
    <xf numFmtId="0" fontId="139" fillId="16" borderId="2" xfId="0" applyFont="1" applyFill="1" applyBorder="1" applyAlignment="1">
      <alignment horizontal="center" vertical="center"/>
    </xf>
    <xf numFmtId="14" fontId="142" fillId="16" borderId="2" xfId="11" applyNumberFormat="1" applyFont="1" applyFill="1" applyBorder="1" applyAlignment="1">
      <alignment horizontal="center" wrapText="1"/>
    </xf>
    <xf numFmtId="14" fontId="139" fillId="16" borderId="2" xfId="0" applyNumberFormat="1" applyFont="1" applyFill="1" applyBorder="1" applyAlignment="1">
      <alignment horizontal="center" vertical="center"/>
    </xf>
    <xf numFmtId="0" fontId="142" fillId="16" borderId="2" xfId="11" applyFont="1" applyFill="1" applyBorder="1" applyAlignment="1">
      <alignment horizontal="center" wrapText="1"/>
    </xf>
    <xf numFmtId="14" fontId="142" fillId="16" borderId="2" xfId="11" applyNumberFormat="1" applyFont="1" applyFill="1" applyBorder="1" applyAlignment="1">
      <alignment horizontal="right" wrapText="1"/>
    </xf>
    <xf numFmtId="14" fontId="139" fillId="16" borderId="2" xfId="0" applyNumberFormat="1" applyFont="1" applyFill="1" applyBorder="1" applyAlignment="1">
      <alignment vertical="center"/>
    </xf>
    <xf numFmtId="0" fontId="139" fillId="0" borderId="2" xfId="0" applyFont="1" applyBorder="1" applyAlignment="1">
      <alignment vertical="center"/>
    </xf>
    <xf numFmtId="0" fontId="139" fillId="0" borderId="2" xfId="0" applyFont="1" applyBorder="1" applyAlignment="1">
      <alignment horizontal="center" vertical="center"/>
    </xf>
    <xf numFmtId="14" fontId="142" fillId="0" borderId="2" xfId="11" applyNumberFormat="1" applyFont="1" applyBorder="1" applyAlignment="1">
      <alignment horizontal="center" wrapText="1"/>
    </xf>
    <xf numFmtId="14" fontId="139" fillId="0" borderId="2" xfId="0" applyNumberFormat="1" applyFont="1" applyBorder="1" applyAlignment="1">
      <alignment horizontal="center" vertical="center"/>
    </xf>
    <xf numFmtId="0" fontId="142" fillId="0" borderId="2" xfId="11" applyFont="1" applyBorder="1" applyAlignment="1">
      <alignment horizontal="center" wrapText="1"/>
    </xf>
    <xf numFmtId="14" fontId="142" fillId="0" borderId="2" xfId="11" applyNumberFormat="1" applyFont="1" applyBorder="1" applyAlignment="1">
      <alignment horizontal="right" wrapText="1"/>
    </xf>
    <xf numFmtId="14" fontId="139" fillId="0" borderId="2" xfId="0" applyNumberFormat="1" applyFont="1" applyBorder="1" applyAlignment="1">
      <alignment vertical="center"/>
    </xf>
    <xf numFmtId="0" fontId="36" fillId="13" borderId="14" xfId="0" applyFont="1" applyFill="1" applyBorder="1" applyAlignment="1">
      <alignment horizontal="center" vertical="center" wrapText="1"/>
    </xf>
    <xf numFmtId="164" fontId="74" fillId="0" borderId="0" xfId="0" applyNumberFormat="1" applyFont="1"/>
    <xf numFmtId="0" fontId="136" fillId="0" borderId="0" xfId="0" applyFont="1" applyAlignment="1">
      <alignment vertical="center"/>
    </xf>
    <xf numFmtId="0" fontId="23" fillId="12" borderId="0" xfId="0" applyFont="1" applyFill="1" applyAlignment="1">
      <alignment horizontal="center" vertical="center" wrapText="1"/>
    </xf>
    <xf numFmtId="0" fontId="14" fillId="4" borderId="0" xfId="0" applyFont="1" applyFill="1" applyAlignment="1">
      <alignment horizontal="center" vertical="center"/>
    </xf>
    <xf numFmtId="0" fontId="14" fillId="4" borderId="0" xfId="0" applyFont="1" applyFill="1" applyAlignment="1">
      <alignment horizontal="left" vertical="center"/>
    </xf>
    <xf numFmtId="0" fontId="14" fillId="18" borderId="0" xfId="0" applyFont="1" applyFill="1" applyAlignment="1">
      <alignment horizontal="center" vertical="center"/>
    </xf>
    <xf numFmtId="0" fontId="14" fillId="0" borderId="0" xfId="0" applyFont="1" applyAlignment="1">
      <alignment horizontal="center" vertical="center"/>
    </xf>
    <xf numFmtId="0" fontId="14" fillId="0" borderId="0" xfId="0" applyFont="1" applyAlignment="1">
      <alignment horizontal="left" vertical="center"/>
    </xf>
    <xf numFmtId="0" fontId="60" fillId="0" borderId="0" xfId="0" applyFont="1" applyAlignment="1">
      <alignment vertical="center"/>
    </xf>
    <xf numFmtId="0" fontId="64" fillId="0" borderId="0" xfId="0" applyFont="1" applyAlignment="1">
      <alignment vertical="center"/>
    </xf>
    <xf numFmtId="0" fontId="4" fillId="12" borderId="0" xfId="0" applyFont="1" applyFill="1" applyAlignment="1">
      <alignment horizontal="center" vertical="center" wrapText="1"/>
    </xf>
    <xf numFmtId="0" fontId="42" fillId="4" borderId="0" xfId="0" applyFont="1" applyFill="1" applyAlignment="1">
      <alignment horizontal="center" vertical="center"/>
    </xf>
    <xf numFmtId="0" fontId="42" fillId="4" borderId="0" xfId="0" applyFont="1" applyFill="1" applyAlignment="1">
      <alignment horizontal="left" vertical="center"/>
    </xf>
    <xf numFmtId="0" fontId="42" fillId="0" borderId="0" xfId="0" applyFont="1" applyAlignment="1">
      <alignment horizontal="left" vertical="center"/>
    </xf>
    <xf numFmtId="0" fontId="42" fillId="0" borderId="0" xfId="0" applyFont="1" applyAlignment="1">
      <alignment horizontal="left" vertical="center" wrapText="1"/>
    </xf>
    <xf numFmtId="0" fontId="42" fillId="4" borderId="0" xfId="0" applyFont="1" applyFill="1" applyAlignment="1">
      <alignment horizontal="left" vertical="center" wrapText="1"/>
    </xf>
    <xf numFmtId="0" fontId="143" fillId="0" borderId="0" xfId="10" applyFont="1" applyAlignment="1">
      <alignment horizontal="left" vertical="center" wrapText="1"/>
    </xf>
    <xf numFmtId="0" fontId="143" fillId="4" borderId="0" xfId="10" applyFont="1" applyFill="1" applyAlignment="1">
      <alignment horizontal="left" vertical="center"/>
    </xf>
    <xf numFmtId="0" fontId="143" fillId="4" borderId="0" xfId="10" applyFont="1" applyFill="1" applyAlignment="1">
      <alignment horizontal="left" vertical="center" wrapText="1"/>
    </xf>
    <xf numFmtId="0" fontId="144" fillId="4" borderId="0" xfId="10" applyFont="1" applyFill="1" applyAlignment="1">
      <alignment horizontal="left" vertical="center" wrapText="1"/>
    </xf>
    <xf numFmtId="0" fontId="42" fillId="18" borderId="0" xfId="0" applyFont="1" applyFill="1" applyAlignment="1">
      <alignment horizontal="left" vertical="center"/>
    </xf>
    <xf numFmtId="0" fontId="53" fillId="0" borderId="0" xfId="0" applyFont="1" applyAlignment="1">
      <alignment horizontal="left" vertical="center"/>
    </xf>
    <xf numFmtId="0" fontId="145" fillId="0" borderId="0" xfId="0" applyFont="1" applyAlignment="1">
      <alignment vertical="center"/>
    </xf>
    <xf numFmtId="0" fontId="146" fillId="0" borderId="0" xfId="0" applyFont="1" applyAlignment="1">
      <alignment vertical="center"/>
    </xf>
    <xf numFmtId="0" fontId="81" fillId="0" borderId="0" xfId="0" applyFont="1" applyAlignment="1">
      <alignment horizontal="center" vertical="center"/>
    </xf>
    <xf numFmtId="0" fontId="81" fillId="0" borderId="0" xfId="0" applyFont="1" applyAlignment="1">
      <alignment horizontal="left" vertical="center"/>
    </xf>
    <xf numFmtId="0" fontId="14" fillId="0" borderId="0" xfId="4" applyFont="1"/>
    <xf numFmtId="0" fontId="14" fillId="0" borderId="0" xfId="4" applyFont="1" applyAlignment="1">
      <alignment horizontal="center"/>
    </xf>
    <xf numFmtId="0" fontId="14" fillId="0" borderId="0" xfId="5" applyFont="1" applyAlignment="1">
      <alignment horizontal="center"/>
    </xf>
    <xf numFmtId="0" fontId="147" fillId="24" borderId="2" xfId="3" applyFont="1" applyFill="1" applyBorder="1" applyAlignment="1">
      <alignment horizontal="center" vertical="center"/>
    </xf>
    <xf numFmtId="0" fontId="147" fillId="24" borderId="2" xfId="3" applyFont="1" applyFill="1" applyBorder="1" applyAlignment="1">
      <alignment horizontal="center" vertical="center" wrapText="1"/>
    </xf>
    <xf numFmtId="0" fontId="14" fillId="0" borderId="2" xfId="4" applyFont="1" applyBorder="1" applyAlignment="1">
      <alignment horizontal="center"/>
    </xf>
    <xf numFmtId="0" fontId="14" fillId="0" borderId="2" xfId="4" applyFont="1" applyBorder="1" applyAlignment="1">
      <alignment wrapText="1"/>
    </xf>
    <xf numFmtId="14" fontId="14" fillId="0" borderId="2" xfId="4" applyNumberFormat="1" applyFont="1" applyBorder="1" applyAlignment="1">
      <alignment wrapText="1"/>
    </xf>
    <xf numFmtId="0" fontId="14" fillId="4" borderId="2" xfId="4" applyFont="1" applyFill="1" applyBorder="1" applyAlignment="1">
      <alignment horizontal="center"/>
    </xf>
    <xf numFmtId="0" fontId="14" fillId="4" borderId="2" xfId="4" applyFont="1" applyFill="1" applyBorder="1" applyAlignment="1">
      <alignment wrapText="1"/>
    </xf>
    <xf numFmtId="14" fontId="14" fillId="4" borderId="2" xfId="4" applyNumberFormat="1" applyFont="1" applyFill="1" applyBorder="1" applyAlignment="1">
      <alignment wrapText="1"/>
    </xf>
    <xf numFmtId="0" fontId="20" fillId="0" borderId="0" xfId="4" applyFont="1"/>
    <xf numFmtId="0" fontId="44" fillId="3" borderId="2" xfId="12" applyFont="1" applyFill="1" applyBorder="1" applyAlignment="1">
      <alignment horizontal="center" vertical="center"/>
    </xf>
    <xf numFmtId="0" fontId="148" fillId="17" borderId="2" xfId="12" applyFont="1" applyFill="1" applyBorder="1" applyAlignment="1">
      <alignment horizontal="center" vertical="center"/>
    </xf>
    <xf numFmtId="0" fontId="44" fillId="17" borderId="2" xfId="12" applyFont="1" applyFill="1" applyBorder="1" applyAlignment="1">
      <alignment vertical="center"/>
    </xf>
    <xf numFmtId="0" fontId="81" fillId="16" borderId="2" xfId="12" applyFont="1" applyFill="1" applyBorder="1" applyAlignment="1">
      <alignment horizontal="center" vertical="center"/>
    </xf>
    <xf numFmtId="0" fontId="18" fillId="16" borderId="2" xfId="12" applyFont="1" applyFill="1" applyBorder="1" applyAlignment="1">
      <alignment vertical="center"/>
    </xf>
    <xf numFmtId="0" fontId="18" fillId="16" borderId="2" xfId="12" applyFont="1" applyFill="1" applyBorder="1" applyAlignment="1">
      <alignment vertical="center" wrapText="1"/>
    </xf>
    <xf numFmtId="0" fontId="81" fillId="0" borderId="2" xfId="12" applyFont="1" applyBorder="1" applyAlignment="1">
      <alignment horizontal="center" vertical="center"/>
    </xf>
    <xf numFmtId="0" fontId="18" fillId="0" borderId="2" xfId="12" applyFont="1" applyBorder="1" applyAlignment="1">
      <alignment vertical="center"/>
    </xf>
    <xf numFmtId="0" fontId="18" fillId="0" borderId="37" xfId="12" applyFont="1" applyBorder="1" applyAlignment="1">
      <alignment vertical="center" wrapText="1"/>
    </xf>
    <xf numFmtId="0" fontId="148" fillId="17" borderId="37" xfId="12" applyFont="1" applyFill="1" applyBorder="1" applyAlignment="1">
      <alignment vertical="center"/>
    </xf>
    <xf numFmtId="0" fontId="148" fillId="17" borderId="37" xfId="12" applyFont="1" applyFill="1" applyBorder="1" applyAlignment="1">
      <alignment vertical="center" wrapText="1"/>
    </xf>
    <xf numFmtId="0" fontId="18" fillId="16" borderId="37" xfId="12" applyFont="1" applyFill="1" applyBorder="1" applyAlignment="1">
      <alignment vertical="center" wrapText="1"/>
    </xf>
    <xf numFmtId="0" fontId="18" fillId="0" borderId="2" xfId="12" applyFont="1" applyBorder="1" applyAlignment="1">
      <alignment vertical="center" wrapText="1"/>
    </xf>
    <xf numFmtId="0" fontId="44" fillId="17" borderId="2" xfId="12" applyFont="1" applyFill="1" applyBorder="1" applyAlignment="1">
      <alignment horizontal="center" vertical="center"/>
    </xf>
    <xf numFmtId="0" fontId="44" fillId="17" borderId="37" xfId="12" applyFont="1" applyFill="1" applyBorder="1" applyAlignment="1">
      <alignment vertical="center"/>
    </xf>
    <xf numFmtId="0" fontId="18" fillId="0" borderId="0" xfId="12" applyFont="1" applyAlignment="1">
      <alignment horizontal="center" vertical="center"/>
    </xf>
    <xf numFmtId="0" fontId="45" fillId="30" borderId="16" xfId="0" applyFont="1" applyFill="1" applyBorder="1" applyAlignment="1">
      <alignment horizontal="center" vertical="center"/>
    </xf>
    <xf numFmtId="0" fontId="145" fillId="0" borderId="0" xfId="0" applyFont="1"/>
    <xf numFmtId="0" fontId="147" fillId="18" borderId="0" xfId="0" applyFont="1" applyFill="1" applyAlignment="1">
      <alignment horizontal="center" vertical="center" wrapText="1"/>
    </xf>
    <xf numFmtId="0" fontId="147" fillId="19" borderId="0" xfId="0" applyFont="1" applyFill="1" applyAlignment="1">
      <alignment horizontal="center" vertical="center" wrapText="1"/>
    </xf>
    <xf numFmtId="0" fontId="136" fillId="14" borderId="15" xfId="0" applyFont="1" applyFill="1" applyBorder="1" applyAlignment="1">
      <alignment horizontal="center" vertical="center"/>
    </xf>
    <xf numFmtId="0" fontId="136" fillId="14" borderId="16" xfId="0" applyFont="1" applyFill="1" applyBorder="1" applyAlignment="1">
      <alignment horizontal="center" vertical="center"/>
    </xf>
    <xf numFmtId="0" fontId="136" fillId="14" borderId="16" xfId="0" applyFont="1" applyFill="1" applyBorder="1" applyAlignment="1">
      <alignment horizontal="left" vertical="center"/>
    </xf>
    <xf numFmtId="164" fontId="136" fillId="14" borderId="16" xfId="1" applyFont="1" applyFill="1" applyBorder="1" applyAlignment="1">
      <alignment horizontal="center" vertical="center"/>
    </xf>
    <xf numFmtId="0" fontId="136" fillId="15" borderId="15" xfId="0" applyFont="1" applyFill="1" applyBorder="1" applyAlignment="1">
      <alignment horizontal="center" vertical="center"/>
    </xf>
    <xf numFmtId="0" fontId="136" fillId="15" borderId="16" xfId="0" applyFont="1" applyFill="1" applyBorder="1" applyAlignment="1">
      <alignment horizontal="center" vertical="center"/>
    </xf>
    <xf numFmtId="0" fontId="136" fillId="15" borderId="16" xfId="0" applyFont="1" applyFill="1" applyBorder="1" applyAlignment="1">
      <alignment horizontal="left" vertical="center"/>
    </xf>
    <xf numFmtId="164" fontId="136" fillId="15" borderId="16" xfId="1" applyFont="1" applyFill="1" applyBorder="1" applyAlignment="1">
      <alignment horizontal="center" vertical="center"/>
    </xf>
    <xf numFmtId="0" fontId="23" fillId="3" borderId="1" xfId="0" applyFont="1" applyFill="1" applyBorder="1" applyAlignment="1">
      <alignment horizontal="center" vertical="center"/>
    </xf>
    <xf numFmtId="0" fontId="14" fillId="0" borderId="0" xfId="0" applyFont="1" applyAlignment="1">
      <alignment horizontal="center"/>
    </xf>
    <xf numFmtId="0" fontId="60" fillId="11" borderId="0" xfId="0" applyFont="1" applyFill="1"/>
    <xf numFmtId="0" fontId="149" fillId="11" borderId="0" xfId="0" applyFont="1" applyFill="1"/>
    <xf numFmtId="0" fontId="150" fillId="5" borderId="0" xfId="10" applyFont="1" applyFill="1" applyAlignment="1">
      <alignment horizontal="center" vertical="center" wrapText="1"/>
    </xf>
    <xf numFmtId="0" fontId="150" fillId="5" borderId="0" xfId="10" applyFont="1" applyFill="1" applyAlignment="1">
      <alignment horizontal="center" vertical="center"/>
    </xf>
    <xf numFmtId="0" fontId="150" fillId="4" borderId="0" xfId="10" applyFont="1" applyFill="1" applyAlignment="1">
      <alignment horizontal="center" vertical="center"/>
    </xf>
    <xf numFmtId="0" fontId="5" fillId="18" borderId="0" xfId="0" applyFont="1" applyFill="1" applyAlignment="1">
      <alignment horizontal="center" vertical="center"/>
    </xf>
    <xf numFmtId="0" fontId="5" fillId="25" borderId="0" xfId="0" applyFont="1" applyFill="1" applyAlignment="1">
      <alignment horizontal="center" vertical="center"/>
    </xf>
    <xf numFmtId="0" fontId="151" fillId="4" borderId="0" xfId="0" applyFont="1" applyFill="1"/>
    <xf numFmtId="0" fontId="151" fillId="0" borderId="0" xfId="0" applyFont="1"/>
    <xf numFmtId="0" fontId="81" fillId="4" borderId="0" xfId="0" applyFont="1" applyFill="1" applyAlignment="1">
      <alignment vertical="center"/>
    </xf>
    <xf numFmtId="0" fontId="81" fillId="4" borderId="0" xfId="0" applyFont="1" applyFill="1" applyAlignment="1">
      <alignment horizontal="center" vertical="center"/>
    </xf>
    <xf numFmtId="0" fontId="81" fillId="0" borderId="0" xfId="0" applyFont="1"/>
    <xf numFmtId="0" fontId="151" fillId="0" borderId="0" xfId="0" applyFont="1" applyAlignment="1">
      <alignment horizontal="center"/>
    </xf>
    <xf numFmtId="0" fontId="56" fillId="39" borderId="76" xfId="0" applyFont="1" applyFill="1" applyBorder="1" applyAlignment="1">
      <alignment horizontal="center"/>
    </xf>
    <xf numFmtId="0" fontId="56" fillId="39" borderId="77" xfId="0" applyFont="1" applyFill="1" applyBorder="1" applyAlignment="1">
      <alignment horizontal="center"/>
    </xf>
    <xf numFmtId="0" fontId="56" fillId="39" borderId="0" xfId="0" applyFont="1" applyFill="1" applyAlignment="1">
      <alignment horizontal="center"/>
    </xf>
    <xf numFmtId="0" fontId="40" fillId="16" borderId="2" xfId="0" applyFont="1" applyFill="1" applyBorder="1"/>
    <xf numFmtId="164" fontId="40" fillId="16" borderId="2" xfId="1" applyFont="1" applyFill="1" applyBorder="1"/>
    <xf numFmtId="0" fontId="56" fillId="13" borderId="72" xfId="0" applyFont="1" applyFill="1" applyBorder="1"/>
    <xf numFmtId="164" fontId="56" fillId="13" borderId="0" xfId="0" applyNumberFormat="1" applyFont="1" applyFill="1"/>
    <xf numFmtId="0" fontId="40" fillId="0" borderId="2" xfId="0" applyFont="1" applyBorder="1"/>
    <xf numFmtId="164" fontId="40" fillId="0" borderId="2" xfId="1" applyFont="1" applyBorder="1"/>
    <xf numFmtId="0" fontId="56" fillId="13" borderId="78" xfId="0" applyFont="1" applyFill="1" applyBorder="1"/>
    <xf numFmtId="164" fontId="56" fillId="13" borderId="79" xfId="0" applyNumberFormat="1" applyFont="1" applyFill="1" applyBorder="1"/>
    <xf numFmtId="14" fontId="40" fillId="16" borderId="2" xfId="0" applyNumberFormat="1" applyFont="1" applyFill="1" applyBorder="1" applyAlignment="1">
      <alignment horizontal="center"/>
    </xf>
    <xf numFmtId="14" fontId="40" fillId="0" borderId="2" xfId="0" applyNumberFormat="1" applyFont="1" applyBorder="1" applyAlignment="1">
      <alignment horizontal="center"/>
    </xf>
    <xf numFmtId="164" fontId="40" fillId="0" borderId="2" xfId="1" applyFont="1" applyFill="1" applyBorder="1"/>
    <xf numFmtId="164" fontId="56" fillId="13" borderId="0" xfId="1" applyFont="1" applyFill="1"/>
    <xf numFmtId="0" fontId="62" fillId="16" borderId="2" xfId="0" applyFont="1" applyFill="1" applyBorder="1"/>
    <xf numFmtId="165" fontId="45" fillId="16" borderId="0" xfId="13" applyNumberFormat="1" applyFont="1" applyFill="1" applyAlignment="1">
      <alignment horizontal="center" vertical="center" wrapText="1"/>
    </xf>
    <xf numFmtId="164" fontId="40" fillId="0" borderId="0" xfId="13" applyFont="1"/>
    <xf numFmtId="0" fontId="37" fillId="19" borderId="43" xfId="0" applyFont="1" applyFill="1" applyBorder="1" applyAlignment="1">
      <alignment horizontal="center"/>
    </xf>
    <xf numFmtId="0" fontId="56" fillId="36" borderId="43" xfId="0" applyFont="1" applyFill="1" applyBorder="1" applyAlignment="1">
      <alignment horizontal="center"/>
    </xf>
    <xf numFmtId="164" fontId="40" fillId="0" borderId="0" xfId="13" applyFont="1" applyFill="1"/>
    <xf numFmtId="170" fontId="56" fillId="34" borderId="43" xfId="0" applyNumberFormat="1" applyFont="1" applyFill="1" applyBorder="1" applyAlignment="1">
      <alignment horizontal="center"/>
    </xf>
    <xf numFmtId="165" fontId="50" fillId="16" borderId="0" xfId="13" applyNumberFormat="1" applyFont="1" applyFill="1" applyAlignment="1">
      <alignment horizontal="center" vertical="center" wrapText="1"/>
    </xf>
    <xf numFmtId="0" fontId="42" fillId="28" borderId="69" xfId="0" applyFont="1" applyFill="1" applyBorder="1" applyAlignment="1">
      <alignment horizontal="center" wrapText="1"/>
    </xf>
    <xf numFmtId="10" fontId="42" fillId="28" borderId="69" xfId="0" applyNumberFormat="1" applyFont="1" applyFill="1" applyBorder="1" applyAlignment="1">
      <alignment horizontal="center" wrapText="1"/>
    </xf>
    <xf numFmtId="164" fontId="42" fillId="15" borderId="69" xfId="13" applyFont="1" applyFill="1" applyBorder="1" applyAlignment="1">
      <alignment horizontal="center" wrapText="1"/>
    </xf>
    <xf numFmtId="0" fontId="45" fillId="14" borderId="15" xfId="0" applyFont="1" applyFill="1" applyBorder="1" applyAlignment="1">
      <alignment horizontal="left" vertical="center"/>
    </xf>
    <xf numFmtId="0" fontId="45" fillId="14" borderId="17" xfId="0" applyFont="1" applyFill="1" applyBorder="1" applyAlignment="1">
      <alignment horizontal="left" vertical="center"/>
    </xf>
    <xf numFmtId="0" fontId="45" fillId="14" borderId="15" xfId="0" applyFont="1" applyFill="1" applyBorder="1" applyAlignment="1">
      <alignment horizontal="left" vertical="center" wrapText="1"/>
    </xf>
    <xf numFmtId="0" fontId="45" fillId="30" borderId="16" xfId="0" applyFont="1" applyFill="1" applyBorder="1" applyAlignment="1">
      <alignment horizontal="left" vertical="center"/>
    </xf>
    <xf numFmtId="0" fontId="45" fillId="30" borderId="16" xfId="0" applyFont="1" applyFill="1" applyBorder="1" applyAlignment="1">
      <alignment horizontal="left" vertical="center" wrapText="1"/>
    </xf>
    <xf numFmtId="0" fontId="45" fillId="14" borderId="16" xfId="0" applyFont="1" applyFill="1" applyBorder="1" applyAlignment="1">
      <alignment horizontal="left" vertical="center"/>
    </xf>
    <xf numFmtId="0" fontId="45" fillId="14" borderId="16" xfId="0" applyFont="1" applyFill="1" applyBorder="1" applyAlignment="1">
      <alignment horizontal="left" vertical="center" wrapText="1"/>
    </xf>
    <xf numFmtId="0" fontId="37" fillId="14" borderId="15" xfId="0" applyFont="1" applyFill="1" applyBorder="1" applyAlignment="1">
      <alignment horizontal="left" vertical="center" wrapText="1"/>
    </xf>
    <xf numFmtId="0" fontId="45" fillId="14" borderId="17" xfId="0" applyFont="1" applyFill="1" applyBorder="1" applyAlignment="1">
      <alignment horizontal="left" vertical="center" wrapText="1"/>
    </xf>
    <xf numFmtId="0" fontId="37" fillId="14" borderId="16" xfId="0" applyFont="1" applyFill="1" applyBorder="1" applyAlignment="1">
      <alignment horizontal="left" vertical="center" wrapText="1"/>
    </xf>
    <xf numFmtId="0" fontId="45" fillId="30" borderId="15" xfId="0" applyFont="1" applyFill="1" applyBorder="1" applyAlignment="1">
      <alignment horizontal="left" vertical="center" wrapText="1"/>
    </xf>
    <xf numFmtId="0" fontId="37" fillId="40" borderId="16" xfId="0" applyFont="1" applyFill="1" applyBorder="1" applyAlignment="1">
      <alignment horizontal="center" vertical="center"/>
    </xf>
    <xf numFmtId="0" fontId="37" fillId="40" borderId="15" xfId="0" applyFont="1" applyFill="1" applyBorder="1" applyAlignment="1">
      <alignment horizontal="center" vertical="center"/>
    </xf>
    <xf numFmtId="0" fontId="37" fillId="40" borderId="15" xfId="0" applyFont="1" applyFill="1" applyBorder="1" applyAlignment="1">
      <alignment horizontal="left" vertical="center"/>
    </xf>
    <xf numFmtId="0" fontId="37" fillId="40" borderId="15" xfId="0" applyFont="1" applyFill="1" applyBorder="1" applyAlignment="1">
      <alignment horizontal="center" vertical="center" wrapText="1"/>
    </xf>
    <xf numFmtId="3" fontId="37" fillId="40" borderId="15" xfId="0" applyNumberFormat="1" applyFont="1" applyFill="1" applyBorder="1" applyAlignment="1">
      <alignment horizontal="center" vertical="center"/>
    </xf>
    <xf numFmtId="0" fontId="37" fillId="41" borderId="16" xfId="0" applyFont="1" applyFill="1" applyBorder="1" applyAlignment="1">
      <alignment horizontal="center" vertical="center" wrapText="1"/>
    </xf>
    <xf numFmtId="0" fontId="37" fillId="41" borderId="16" xfId="0" applyFont="1" applyFill="1" applyBorder="1" applyAlignment="1">
      <alignment horizontal="center" vertical="center"/>
    </xf>
    <xf numFmtId="3" fontId="37" fillId="41" borderId="16" xfId="0" applyNumberFormat="1" applyFont="1" applyFill="1" applyBorder="1" applyAlignment="1">
      <alignment horizontal="center" vertical="center"/>
    </xf>
    <xf numFmtId="0" fontId="37" fillId="41" borderId="16" xfId="0" applyFont="1" applyFill="1" applyBorder="1" applyAlignment="1">
      <alignment horizontal="left" vertical="center"/>
    </xf>
    <xf numFmtId="0" fontId="37" fillId="40" borderId="16" xfId="0" applyFont="1" applyFill="1" applyBorder="1" applyAlignment="1">
      <alignment horizontal="center" vertical="center" wrapText="1"/>
    </xf>
    <xf numFmtId="3" fontId="37" fillId="40" borderId="16" xfId="0" applyNumberFormat="1" applyFont="1" applyFill="1" applyBorder="1" applyAlignment="1">
      <alignment horizontal="center" vertical="center"/>
    </xf>
    <xf numFmtId="0" fontId="37" fillId="40" borderId="16" xfId="0" applyFont="1" applyFill="1" applyBorder="1" applyAlignment="1">
      <alignment horizontal="left" vertical="center"/>
    </xf>
    <xf numFmtId="0" fontId="37" fillId="42" borderId="16" xfId="0" applyFont="1" applyFill="1" applyBorder="1" applyAlignment="1">
      <alignment horizontal="center" vertical="center"/>
    </xf>
    <xf numFmtId="0" fontId="37" fillId="42" borderId="15" xfId="0" applyFont="1" applyFill="1" applyBorder="1" applyAlignment="1">
      <alignment horizontal="center" vertical="center"/>
    </xf>
    <xf numFmtId="3" fontId="37" fillId="42" borderId="15" xfId="0" applyNumberFormat="1" applyFont="1" applyFill="1" applyBorder="1" applyAlignment="1">
      <alignment horizontal="center" vertical="center"/>
    </xf>
    <xf numFmtId="0" fontId="37" fillId="42" borderId="15" xfId="0" applyFont="1" applyFill="1" applyBorder="1" applyAlignment="1">
      <alignment horizontal="left" vertical="center"/>
    </xf>
    <xf numFmtId="9" fontId="37" fillId="40" borderId="16" xfId="2" applyFont="1" applyFill="1" applyBorder="1" applyAlignment="1">
      <alignment horizontal="center" vertical="center"/>
    </xf>
    <xf numFmtId="14" fontId="37" fillId="40" borderId="15" xfId="0" applyNumberFormat="1" applyFont="1" applyFill="1" applyBorder="1" applyAlignment="1">
      <alignment horizontal="center" vertical="center"/>
    </xf>
    <xf numFmtId="9" fontId="37" fillId="41" borderId="16" xfId="2" applyFont="1" applyFill="1" applyBorder="1" applyAlignment="1">
      <alignment horizontal="center" vertical="center"/>
    </xf>
    <xf numFmtId="167" fontId="37" fillId="40" borderId="15" xfId="2" applyNumberFormat="1" applyFont="1" applyFill="1" applyBorder="1" applyAlignment="1">
      <alignment horizontal="center" vertical="center"/>
    </xf>
    <xf numFmtId="0" fontId="56" fillId="20" borderId="0" xfId="0" applyFont="1" applyFill="1" applyAlignment="1">
      <alignment horizontal="center" vertical="center" wrapText="1"/>
    </xf>
    <xf numFmtId="0" fontId="40" fillId="4" borderId="0" xfId="0" applyFont="1" applyFill="1"/>
    <xf numFmtId="165" fontId="40" fillId="4" borderId="0" xfId="0" applyNumberFormat="1" applyFont="1" applyFill="1"/>
    <xf numFmtId="165" fontId="37" fillId="0" borderId="0" xfId="0" applyNumberFormat="1" applyFont="1"/>
    <xf numFmtId="3" fontId="0" fillId="4" borderId="0" xfId="0" applyNumberFormat="1" applyFill="1"/>
    <xf numFmtId="164" fontId="52" fillId="38" borderId="0" xfId="1" applyFont="1" applyFill="1"/>
    <xf numFmtId="165" fontId="0" fillId="4" borderId="0" xfId="1" applyNumberFormat="1" applyFont="1" applyFill="1"/>
    <xf numFmtId="165" fontId="0" fillId="0" borderId="0" xfId="1" applyNumberFormat="1" applyFont="1"/>
    <xf numFmtId="0" fontId="52" fillId="3" borderId="0" xfId="0" applyFont="1" applyFill="1"/>
    <xf numFmtId="165" fontId="52" fillId="3" borderId="0" xfId="0" applyNumberFormat="1" applyFont="1" applyFill="1"/>
    <xf numFmtId="0" fontId="60" fillId="18" borderId="0" xfId="0" applyFont="1" applyFill="1"/>
    <xf numFmtId="165" fontId="60" fillId="18" borderId="0" xfId="0" applyNumberFormat="1" applyFont="1" applyFill="1"/>
    <xf numFmtId="0" fontId="56" fillId="34" borderId="43" xfId="0" applyFont="1" applyFill="1" applyBorder="1" applyAlignment="1">
      <alignment horizontal="left"/>
    </xf>
    <xf numFmtId="0" fontId="50" fillId="16" borderId="2" xfId="0" applyFont="1" applyFill="1" applyBorder="1"/>
    <xf numFmtId="0" fontId="40" fillId="44" borderId="2" xfId="0" applyFont="1" applyFill="1" applyBorder="1"/>
    <xf numFmtId="0" fontId="50" fillId="44" borderId="2" xfId="0" applyFont="1" applyFill="1" applyBorder="1"/>
    <xf numFmtId="164" fontId="62" fillId="16" borderId="2" xfId="1" applyFont="1" applyFill="1" applyBorder="1"/>
    <xf numFmtId="14" fontId="40" fillId="25" borderId="2" xfId="0" applyNumberFormat="1" applyFont="1" applyFill="1" applyBorder="1" applyAlignment="1">
      <alignment horizontal="center"/>
    </xf>
    <xf numFmtId="0" fontId="40" fillId="25" borderId="2" xfId="0" applyFont="1" applyFill="1" applyBorder="1"/>
    <xf numFmtId="164" fontId="62" fillId="25" borderId="2" xfId="1" applyFont="1" applyFill="1" applyBorder="1"/>
    <xf numFmtId="164" fontId="40" fillId="25" borderId="2" xfId="1" applyFont="1" applyFill="1" applyBorder="1"/>
    <xf numFmtId="0" fontId="50" fillId="25" borderId="2" xfId="0" applyFont="1" applyFill="1" applyBorder="1"/>
    <xf numFmtId="0" fontId="62" fillId="0" borderId="2" xfId="0" applyFont="1" applyBorder="1"/>
    <xf numFmtId="164" fontId="62" fillId="0" borderId="2" xfId="1" applyFont="1" applyFill="1" applyBorder="1"/>
    <xf numFmtId="14" fontId="62" fillId="0" borderId="2" xfId="0" applyNumberFormat="1" applyFont="1" applyBorder="1" applyAlignment="1">
      <alignment horizontal="center"/>
    </xf>
    <xf numFmtId="0" fontId="50" fillId="0" borderId="2" xfId="0" applyFont="1" applyBorder="1"/>
    <xf numFmtId="0" fontId="62" fillId="25" borderId="2" xfId="0" applyFont="1" applyFill="1" applyBorder="1"/>
    <xf numFmtId="14" fontId="40" fillId="0" borderId="2" xfId="0" applyNumberFormat="1" applyFont="1" applyBorder="1"/>
    <xf numFmtId="0" fontId="40" fillId="0" borderId="2" xfId="0" applyFont="1" applyBorder="1" applyAlignment="1">
      <alignment horizontal="right"/>
    </xf>
    <xf numFmtId="0" fontId="40" fillId="0" borderId="2" xfId="0" applyFont="1" applyBorder="1" applyAlignment="1">
      <alignment wrapText="1"/>
    </xf>
    <xf numFmtId="0" fontId="81" fillId="16" borderId="2" xfId="12" applyFont="1" applyFill="1" applyBorder="1" applyAlignment="1">
      <alignment vertical="center" wrapText="1"/>
    </xf>
    <xf numFmtId="0" fontId="81" fillId="0" borderId="37" xfId="12" applyFont="1" applyBorder="1" applyAlignment="1">
      <alignment vertical="center" wrapText="1"/>
    </xf>
    <xf numFmtId="0" fontId="81" fillId="16" borderId="37" xfId="12" applyFont="1" applyFill="1" applyBorder="1" applyAlignment="1">
      <alignment vertical="center" wrapText="1"/>
    </xf>
    <xf numFmtId="0" fontId="154" fillId="0" borderId="0" xfId="0" applyFont="1"/>
    <xf numFmtId="0" fontId="159" fillId="15" borderId="16" xfId="0" applyFont="1" applyFill="1" applyBorder="1" applyAlignment="1">
      <alignment horizontal="center" vertical="center"/>
    </xf>
    <xf numFmtId="0" fontId="156" fillId="15" borderId="16" xfId="0" applyFont="1" applyFill="1" applyBorder="1" applyAlignment="1">
      <alignment horizontal="center" vertical="center"/>
    </xf>
    <xf numFmtId="0" fontId="157" fillId="15" borderId="16" xfId="0" applyFont="1" applyFill="1" applyBorder="1" applyAlignment="1">
      <alignment horizontal="center" vertical="center"/>
    </xf>
    <xf numFmtId="0" fontId="137" fillId="3" borderId="0" xfId="0" applyFont="1" applyFill="1" applyAlignment="1">
      <alignment horizontal="center"/>
    </xf>
    <xf numFmtId="172" fontId="42" fillId="0" borderId="0" xfId="15" applyNumberFormat="1" applyFont="1" applyAlignment="1">
      <alignment vertical="center"/>
    </xf>
    <xf numFmtId="0" fontId="9" fillId="0" borderId="0" xfId="0" applyFont="1" applyAlignment="1">
      <alignment vertical="center"/>
    </xf>
    <xf numFmtId="0" fontId="4" fillId="12" borderId="2" xfId="0" applyFont="1" applyFill="1" applyBorder="1" applyAlignment="1">
      <alignment horizontal="center" vertical="center" wrapText="1"/>
    </xf>
    <xf numFmtId="0" fontId="42" fillId="0" borderId="2" xfId="0" applyFont="1" applyBorder="1" applyAlignment="1">
      <alignment vertical="center"/>
    </xf>
    <xf numFmtId="0" fontId="150" fillId="0" borderId="2" xfId="10" applyFont="1" applyBorder="1" applyAlignment="1">
      <alignment vertical="center"/>
    </xf>
    <xf numFmtId="172" fontId="42" fillId="0" borderId="2" xfId="15" applyNumberFormat="1" applyFont="1" applyBorder="1" applyAlignment="1">
      <alignment vertical="center"/>
    </xf>
    <xf numFmtId="165" fontId="52" fillId="12" borderId="2" xfId="15" applyNumberFormat="1" applyFont="1" applyFill="1" applyBorder="1" applyAlignment="1">
      <alignment horizontal="center" vertical="center" wrapText="1"/>
    </xf>
    <xf numFmtId="172" fontId="52" fillId="12" borderId="43" xfId="15" applyNumberFormat="1" applyFont="1" applyFill="1" applyBorder="1" applyAlignment="1">
      <alignment vertical="center"/>
    </xf>
    <xf numFmtId="0" fontId="42" fillId="25" borderId="2" xfId="0" applyFont="1" applyFill="1" applyBorder="1" applyAlignment="1">
      <alignment vertical="center"/>
    </xf>
    <xf numFmtId="0" fontId="52" fillId="45" borderId="2" xfId="0" applyFont="1" applyFill="1" applyBorder="1" applyAlignment="1">
      <alignment horizontal="center"/>
    </xf>
    <xf numFmtId="0" fontId="52" fillId="12" borderId="43" xfId="0" applyFont="1" applyFill="1" applyBorder="1" applyAlignment="1">
      <alignment horizontal="center" vertical="center"/>
    </xf>
    <xf numFmtId="0" fontId="42" fillId="0" borderId="2" xfId="0" applyFont="1" applyBorder="1" applyAlignment="1">
      <alignment horizontal="left"/>
    </xf>
    <xf numFmtId="0" fontId="75" fillId="0" borderId="0" xfId="0" applyFont="1" applyAlignment="1">
      <alignment wrapText="1"/>
    </xf>
    <xf numFmtId="0" fontId="75" fillId="11" borderId="0" xfId="0" applyFont="1" applyFill="1" applyAlignment="1">
      <alignment wrapText="1"/>
    </xf>
    <xf numFmtId="0" fontId="75" fillId="0" borderId="0" xfId="0" applyFont="1" applyAlignment="1">
      <alignment vertical="center" wrapText="1"/>
    </xf>
    <xf numFmtId="165" fontId="75" fillId="0" borderId="0" xfId="0" applyNumberFormat="1" applyFont="1" applyAlignment="1">
      <alignment vertical="center" wrapText="1"/>
    </xf>
    <xf numFmtId="165" fontId="75" fillId="15" borderId="0" xfId="0" applyNumberFormat="1" applyFont="1" applyFill="1" applyAlignment="1">
      <alignment vertical="center" wrapText="1"/>
    </xf>
    <xf numFmtId="165" fontId="76" fillId="15" borderId="0" xfId="0" applyNumberFormat="1" applyFont="1" applyFill="1" applyAlignment="1">
      <alignment vertical="center" wrapText="1"/>
    </xf>
    <xf numFmtId="165" fontId="75" fillId="11" borderId="0" xfId="0" applyNumberFormat="1" applyFont="1" applyFill="1" applyAlignment="1">
      <alignment vertical="center" wrapText="1"/>
    </xf>
    <xf numFmtId="165" fontId="76" fillId="11" borderId="0" xfId="0" applyNumberFormat="1" applyFont="1" applyFill="1" applyAlignment="1">
      <alignment vertical="center" wrapText="1"/>
    </xf>
    <xf numFmtId="173" fontId="76" fillId="0" borderId="0" xfId="0" applyNumberFormat="1" applyFont="1" applyAlignment="1">
      <alignment wrapText="1"/>
    </xf>
    <xf numFmtId="0" fontId="76" fillId="0" borderId="0" xfId="0" applyFont="1" applyAlignment="1">
      <alignment vertical="center" wrapText="1"/>
    </xf>
    <xf numFmtId="0" fontId="76" fillId="15" borderId="0" xfId="0" applyFont="1" applyFill="1" applyAlignment="1">
      <alignment vertical="center" wrapText="1"/>
    </xf>
    <xf numFmtId="173" fontId="75" fillId="0" borderId="0" xfId="1" applyNumberFormat="1" applyFont="1" applyAlignment="1">
      <alignment vertical="center" wrapText="1"/>
    </xf>
    <xf numFmtId="173" fontId="75" fillId="15" borderId="0" xfId="0" applyNumberFormat="1" applyFont="1" applyFill="1" applyAlignment="1">
      <alignment vertical="center" wrapText="1"/>
    </xf>
    <xf numFmtId="173" fontId="76" fillId="15" borderId="0" xfId="0" applyNumberFormat="1" applyFont="1" applyFill="1" applyAlignment="1">
      <alignment vertical="center" wrapText="1"/>
    </xf>
    <xf numFmtId="0" fontId="75" fillId="11" borderId="0" xfId="0" applyFont="1" applyFill="1" applyAlignment="1">
      <alignment vertical="center" wrapText="1"/>
    </xf>
    <xf numFmtId="173" fontId="75" fillId="11" borderId="0" xfId="1" applyNumberFormat="1" applyFont="1" applyFill="1" applyAlignment="1">
      <alignment vertical="center" wrapText="1"/>
    </xf>
    <xf numFmtId="173" fontId="75" fillId="11" borderId="0" xfId="0" applyNumberFormat="1" applyFont="1" applyFill="1" applyAlignment="1">
      <alignment vertical="center" wrapText="1"/>
    </xf>
    <xf numFmtId="173" fontId="76" fillId="11" borderId="0" xfId="0" applyNumberFormat="1" applyFont="1" applyFill="1" applyAlignment="1">
      <alignment vertical="center" wrapText="1"/>
    </xf>
    <xf numFmtId="173" fontId="75" fillId="0" borderId="0" xfId="0" applyNumberFormat="1" applyFont="1" applyAlignment="1">
      <alignment vertical="center" wrapText="1"/>
    </xf>
    <xf numFmtId="10" fontId="75" fillId="0" borderId="0" xfId="0" applyNumberFormat="1" applyFont="1" applyAlignment="1">
      <alignment wrapText="1"/>
    </xf>
    <xf numFmtId="0" fontId="160" fillId="0" borderId="0" xfId="0" applyFont="1" applyAlignment="1">
      <alignment vertical="center" wrapText="1"/>
    </xf>
    <xf numFmtId="165" fontId="75" fillId="0" borderId="0" xfId="1" applyNumberFormat="1" applyFont="1" applyAlignment="1">
      <alignment vertical="center" wrapText="1"/>
    </xf>
    <xf numFmtId="164" fontId="75" fillId="0" borderId="0" xfId="1" applyFont="1" applyAlignment="1">
      <alignment vertical="center" wrapText="1"/>
    </xf>
    <xf numFmtId="0" fontId="4" fillId="3" borderId="69" xfId="0" applyFont="1" applyFill="1" applyBorder="1" applyAlignment="1">
      <alignment vertical="center" wrapText="1"/>
    </xf>
    <xf numFmtId="0" fontId="60" fillId="28" borderId="69" xfId="0" applyFont="1" applyFill="1" applyBorder="1"/>
    <xf numFmtId="0" fontId="60" fillId="28" borderId="69" xfId="0" applyFont="1" applyFill="1" applyBorder="1" applyAlignment="1">
      <alignment horizontal="center" wrapText="1"/>
    </xf>
    <xf numFmtId="10" fontId="60" fillId="28" borderId="69" xfId="0" applyNumberFormat="1" applyFont="1" applyFill="1" applyBorder="1" applyAlignment="1">
      <alignment horizontal="center" wrapText="1"/>
    </xf>
    <xf numFmtId="0" fontId="60" fillId="28" borderId="69" xfId="13" applyNumberFormat="1" applyFont="1" applyFill="1" applyBorder="1" applyAlignment="1">
      <alignment horizontal="center" wrapText="1"/>
    </xf>
    <xf numFmtId="10" fontId="60" fillId="28" borderId="69" xfId="13" applyNumberFormat="1" applyFont="1" applyFill="1" applyBorder="1" applyAlignment="1">
      <alignment horizontal="center" wrapText="1"/>
    </xf>
    <xf numFmtId="164" fontId="60" fillId="15" borderId="69" xfId="13" applyFont="1" applyFill="1" applyBorder="1" applyAlignment="1">
      <alignment horizontal="center" wrapText="1"/>
    </xf>
    <xf numFmtId="0" fontId="42" fillId="28" borderId="69" xfId="0" applyFont="1" applyFill="1" applyBorder="1" applyAlignment="1">
      <alignment horizontal="right"/>
    </xf>
    <xf numFmtId="0" fontId="42" fillId="28" borderId="69" xfId="13" applyNumberFormat="1" applyFont="1" applyFill="1" applyBorder="1" applyAlignment="1">
      <alignment horizontal="center" wrapText="1"/>
    </xf>
    <xf numFmtId="0" fontId="42" fillId="28" borderId="69" xfId="1" applyNumberFormat="1" applyFont="1" applyFill="1" applyBorder="1" applyAlignment="1">
      <alignment horizontal="center" wrapText="1"/>
    </xf>
    <xf numFmtId="10" fontId="42" fillId="28" borderId="69" xfId="13" applyNumberFormat="1" applyFont="1" applyFill="1" applyBorder="1" applyAlignment="1">
      <alignment horizontal="center" wrapText="1"/>
    </xf>
    <xf numFmtId="0" fontId="40" fillId="0" borderId="0" xfId="0" applyFont="1" applyAlignment="1">
      <alignment horizontal="left" vertical="center"/>
    </xf>
    <xf numFmtId="0" fontId="60" fillId="0" borderId="69" xfId="0" applyFont="1" applyBorder="1" applyAlignment="1">
      <alignment vertical="center" wrapText="1"/>
    </xf>
    <xf numFmtId="0" fontId="60" fillId="0" borderId="69" xfId="0" applyFont="1" applyBorder="1" applyAlignment="1">
      <alignment horizontal="center" vertical="center" wrapText="1"/>
    </xf>
    <xf numFmtId="10" fontId="60" fillId="0" borderId="69" xfId="0" applyNumberFormat="1" applyFont="1" applyBorder="1" applyAlignment="1">
      <alignment horizontal="center" vertical="center" wrapText="1"/>
    </xf>
    <xf numFmtId="0" fontId="60" fillId="15" borderId="69" xfId="0" applyFont="1" applyFill="1" applyBorder="1" applyAlignment="1">
      <alignment horizontal="center" vertical="center"/>
    </xf>
    <xf numFmtId="0" fontId="60" fillId="0" borderId="69" xfId="0" applyFont="1" applyBorder="1" applyAlignment="1">
      <alignment horizontal="center" vertical="center"/>
    </xf>
    <xf numFmtId="10" fontId="60" fillId="0" borderId="69" xfId="0" applyNumberFormat="1" applyFont="1" applyBorder="1" applyAlignment="1">
      <alignment horizontal="center" vertical="center"/>
    </xf>
    <xf numFmtId="0" fontId="56" fillId="34" borderId="43" xfId="0" applyFont="1" applyFill="1" applyBorder="1" applyAlignment="1">
      <alignment horizontal="center" vertical="center"/>
    </xf>
    <xf numFmtId="0" fontId="60" fillId="4" borderId="69" xfId="0" applyFont="1" applyFill="1" applyBorder="1" applyAlignment="1">
      <alignment wrapText="1"/>
    </xf>
    <xf numFmtId="0" fontId="60" fillId="4" borderId="69" xfId="0" applyFont="1" applyFill="1" applyBorder="1" applyAlignment="1">
      <alignment horizontal="center" wrapText="1"/>
    </xf>
    <xf numFmtId="0" fontId="60" fillId="4" borderId="69" xfId="0" applyFont="1" applyFill="1" applyBorder="1" applyAlignment="1">
      <alignment horizontal="center"/>
    </xf>
    <xf numFmtId="10" fontId="60" fillId="4" borderId="69" xfId="0" applyNumberFormat="1" applyFont="1" applyFill="1" applyBorder="1" applyAlignment="1">
      <alignment horizontal="center"/>
    </xf>
    <xf numFmtId="0" fontId="60" fillId="0" borderId="69" xfId="0" applyFont="1" applyBorder="1"/>
    <xf numFmtId="0" fontId="60" fillId="0" borderId="69" xfId="0" applyFont="1" applyBorder="1" applyAlignment="1">
      <alignment horizontal="center" wrapText="1"/>
    </xf>
    <xf numFmtId="0" fontId="60" fillId="0" borderId="69" xfId="0" applyFont="1" applyBorder="1" applyAlignment="1">
      <alignment horizontal="center"/>
    </xf>
    <xf numFmtId="10" fontId="60" fillId="0" borderId="69" xfId="0" applyNumberFormat="1" applyFont="1" applyBorder="1" applyAlignment="1">
      <alignment horizontal="center"/>
    </xf>
    <xf numFmtId="0" fontId="60" fillId="0" borderId="69" xfId="13" applyNumberFormat="1" applyFont="1" applyFill="1" applyBorder="1" applyAlignment="1">
      <alignment horizontal="center"/>
    </xf>
    <xf numFmtId="0" fontId="60" fillId="4" borderId="69" xfId="0" applyFont="1" applyFill="1" applyBorder="1"/>
    <xf numFmtId="0" fontId="60" fillId="4" borderId="69" xfId="13" applyNumberFormat="1" applyFont="1" applyFill="1" applyBorder="1" applyAlignment="1">
      <alignment horizontal="center"/>
    </xf>
    <xf numFmtId="0" fontId="60" fillId="15" borderId="80" xfId="0" applyFont="1" applyFill="1" applyBorder="1" applyAlignment="1">
      <alignment horizontal="center" vertical="center"/>
    </xf>
    <xf numFmtId="164" fontId="40" fillId="0" borderId="0" xfId="0" applyNumberFormat="1" applyFont="1" applyAlignment="1">
      <alignment horizontal="center"/>
    </xf>
    <xf numFmtId="0" fontId="65" fillId="46" borderId="0" xfId="0" applyFont="1" applyFill="1"/>
    <xf numFmtId="0" fontId="3" fillId="47" borderId="0" xfId="0" applyFont="1" applyFill="1"/>
    <xf numFmtId="0" fontId="3" fillId="48" borderId="0" xfId="0" applyFont="1" applyFill="1"/>
    <xf numFmtId="0" fontId="3" fillId="0" borderId="84" xfId="0" applyFont="1" applyBorder="1"/>
    <xf numFmtId="165" fontId="65" fillId="46" borderId="0" xfId="1" applyNumberFormat="1" applyFont="1" applyFill="1"/>
    <xf numFmtId="165" fontId="3" fillId="48" borderId="0" xfId="1" applyNumberFormat="1" applyFont="1" applyFill="1"/>
    <xf numFmtId="165" fontId="3" fillId="0" borderId="84" xfId="1" applyNumberFormat="1" applyFont="1" applyBorder="1"/>
    <xf numFmtId="0" fontId="161" fillId="38" borderId="70" xfId="0" applyFont="1" applyFill="1" applyBorder="1" applyAlignment="1">
      <alignment vertical="center" wrapText="1"/>
    </xf>
    <xf numFmtId="0" fontId="162" fillId="0" borderId="0" xfId="0" applyFont="1"/>
    <xf numFmtId="10" fontId="53" fillId="28" borderId="69" xfId="0" applyNumberFormat="1" applyFont="1" applyFill="1" applyBorder="1" applyAlignment="1">
      <alignment horizontal="center" wrapText="1"/>
    </xf>
    <xf numFmtId="165" fontId="75" fillId="0" borderId="0" xfId="0" applyNumberFormat="1" applyFont="1" applyAlignment="1">
      <alignment wrapText="1"/>
    </xf>
    <xf numFmtId="0" fontId="75" fillId="0" borderId="0" xfId="1" applyNumberFormat="1" applyFont="1" applyAlignment="1">
      <alignment vertical="center"/>
    </xf>
    <xf numFmtId="0" fontId="75" fillId="0" borderId="0" xfId="1" applyNumberFormat="1" applyFont="1" applyAlignment="1">
      <alignment vertical="center" wrapText="1"/>
    </xf>
    <xf numFmtId="165" fontId="76" fillId="0" borderId="0" xfId="0" applyNumberFormat="1" applyFont="1" applyAlignment="1">
      <alignment wrapText="1"/>
    </xf>
    <xf numFmtId="0" fontId="56" fillId="34" borderId="2" xfId="0" applyFont="1" applyFill="1" applyBorder="1" applyAlignment="1">
      <alignment horizontal="center"/>
    </xf>
    <xf numFmtId="0" fontId="75" fillId="0" borderId="0" xfId="0" applyFont="1"/>
    <xf numFmtId="0" fontId="75" fillId="0" borderId="0" xfId="0" applyFont="1" applyAlignment="1">
      <alignment vertical="center"/>
    </xf>
    <xf numFmtId="0" fontId="76" fillId="0" borderId="0" xfId="0" applyFont="1"/>
    <xf numFmtId="0" fontId="37" fillId="19" borderId="43" xfId="0" applyFont="1" applyFill="1" applyBorder="1" applyAlignment="1">
      <alignment horizontal="left"/>
    </xf>
    <xf numFmtId="0" fontId="54" fillId="0" borderId="2" xfId="16" applyBorder="1" applyAlignment="1">
      <alignment horizontal="center" vertical="center" wrapText="1"/>
    </xf>
    <xf numFmtId="0" fontId="54" fillId="0" borderId="2" xfId="16" applyBorder="1" applyAlignment="1">
      <alignment vertical="center" wrapText="1"/>
    </xf>
    <xf numFmtId="170" fontId="54" fillId="0" borderId="2" xfId="16" applyNumberFormat="1" applyBorder="1" applyAlignment="1">
      <alignment horizontal="center" vertical="center" wrapText="1"/>
    </xf>
    <xf numFmtId="4" fontId="54" fillId="0" borderId="2" xfId="16" applyNumberFormat="1" applyBorder="1" applyAlignment="1">
      <alignment horizontal="right" vertical="center" wrapText="1"/>
    </xf>
    <xf numFmtId="0" fontId="0" fillId="0" borderId="0" xfId="0" applyAlignment="1">
      <alignment horizontal="center" vertical="center"/>
    </xf>
    <xf numFmtId="0" fontId="5" fillId="0" borderId="0" xfId="0" applyFont="1" applyAlignment="1">
      <alignment horizontal="center" vertical="center" wrapText="1"/>
    </xf>
    <xf numFmtId="0" fontId="36" fillId="12" borderId="13"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12" borderId="14" xfId="0" applyFont="1" applyFill="1" applyBorder="1" applyAlignment="1">
      <alignment horizontal="center" vertical="center" wrapText="1"/>
    </xf>
    <xf numFmtId="0" fontId="42" fillId="18" borderId="0" xfId="0" applyFont="1" applyFill="1" applyAlignment="1">
      <alignment horizontal="center" vertical="center"/>
    </xf>
    <xf numFmtId="0" fontId="4" fillId="12" borderId="13" xfId="0" applyFont="1" applyFill="1" applyBorder="1" applyAlignment="1">
      <alignment horizontal="center" vertical="center" wrapText="1"/>
    </xf>
    <xf numFmtId="0" fontId="4" fillId="12" borderId="0" xfId="0" applyFont="1" applyFill="1" applyAlignment="1">
      <alignment horizontal="center" vertical="center" wrapText="1"/>
    </xf>
    <xf numFmtId="0" fontId="23" fillId="12" borderId="13" xfId="0" applyFont="1" applyFill="1" applyBorder="1" applyAlignment="1">
      <alignment horizontal="center" vertical="center" wrapText="1"/>
    </xf>
    <xf numFmtId="0" fontId="23" fillId="12" borderId="0" xfId="0" applyFont="1" applyFill="1" applyAlignment="1">
      <alignment horizontal="center" vertical="center" wrapText="1"/>
    </xf>
    <xf numFmtId="0" fontId="14" fillId="18" borderId="0" xfId="0" applyFont="1" applyFill="1" applyAlignment="1">
      <alignment horizontal="center" vertical="center"/>
    </xf>
    <xf numFmtId="0" fontId="37" fillId="0" borderId="44" xfId="0" applyFont="1" applyBorder="1" applyAlignment="1">
      <alignment horizontal="center"/>
    </xf>
    <xf numFmtId="0" fontId="37" fillId="0" borderId="45" xfId="0" applyFont="1" applyBorder="1" applyAlignment="1">
      <alignment horizontal="center"/>
    </xf>
    <xf numFmtId="0" fontId="37" fillId="0" borderId="46" xfId="0" applyFont="1" applyBorder="1" applyAlignment="1">
      <alignment horizontal="center"/>
    </xf>
    <xf numFmtId="0" fontId="27" fillId="0" borderId="0" xfId="6" applyFont="1" applyAlignment="1" applyProtection="1">
      <alignment vertical="center" wrapText="1"/>
      <protection locked="0"/>
    </xf>
    <xf numFmtId="0" fontId="26" fillId="0" borderId="0" xfId="6" applyFont="1" applyAlignment="1" applyProtection="1">
      <alignment vertical="center" wrapText="1"/>
      <protection locked="0"/>
    </xf>
    <xf numFmtId="0" fontId="18" fillId="0" borderId="0" xfId="6" applyFont="1" applyAlignment="1" applyProtection="1">
      <alignment vertical="center" wrapText="1"/>
      <protection locked="0"/>
    </xf>
    <xf numFmtId="0" fontId="21" fillId="0" borderId="0" xfId="6" applyFont="1" applyAlignment="1" applyProtection="1">
      <alignment vertical="center" wrapText="1"/>
      <protection locked="0"/>
    </xf>
    <xf numFmtId="0" fontId="23" fillId="8" borderId="4" xfId="6" applyFont="1" applyFill="1" applyBorder="1" applyAlignment="1" applyProtection="1">
      <alignment horizontal="center" vertical="center"/>
      <protection locked="0"/>
    </xf>
    <xf numFmtId="0" fontId="23" fillId="8" borderId="5" xfId="6" applyFont="1" applyFill="1" applyBorder="1" applyAlignment="1" applyProtection="1">
      <alignment horizontal="center" vertical="center"/>
      <protection locked="0"/>
    </xf>
    <xf numFmtId="0" fontId="23" fillId="8" borderId="6" xfId="6" applyFont="1" applyFill="1" applyBorder="1" applyAlignment="1" applyProtection="1">
      <alignment horizontal="center" vertical="center"/>
      <protection locked="0"/>
    </xf>
    <xf numFmtId="0" fontId="23" fillId="8" borderId="8" xfId="6" applyFont="1" applyFill="1" applyBorder="1" applyAlignment="1" applyProtection="1">
      <alignment horizontal="center" vertical="center"/>
      <protection locked="0"/>
    </xf>
    <xf numFmtId="0" fontId="23" fillId="8" borderId="9" xfId="6" applyFont="1" applyFill="1" applyBorder="1" applyAlignment="1" applyProtection="1">
      <alignment horizontal="center" vertical="center"/>
      <protection locked="0"/>
    </xf>
    <xf numFmtId="0" fontId="23" fillId="8" borderId="10" xfId="6" applyFont="1" applyFill="1" applyBorder="1" applyAlignment="1" applyProtection="1">
      <alignment horizontal="center" vertical="center"/>
      <protection locked="0"/>
    </xf>
    <xf numFmtId="0" fontId="23" fillId="8" borderId="7" xfId="6" applyFont="1" applyFill="1" applyBorder="1" applyAlignment="1" applyProtection="1">
      <alignment horizontal="center" vertical="center" wrapText="1"/>
      <protection locked="0"/>
    </xf>
    <xf numFmtId="0" fontId="24" fillId="8" borderId="4" xfId="6" applyFont="1" applyFill="1" applyBorder="1" applyAlignment="1" applyProtection="1">
      <alignment horizontal="center" vertical="center"/>
      <protection locked="0"/>
    </xf>
    <xf numFmtId="0" fontId="24" fillId="8" borderId="5" xfId="6" applyFont="1" applyFill="1" applyBorder="1" applyAlignment="1" applyProtection="1">
      <alignment horizontal="center" vertical="center"/>
      <protection locked="0"/>
    </xf>
    <xf numFmtId="0" fontId="24" fillId="8" borderId="8" xfId="6" applyFont="1" applyFill="1" applyBorder="1" applyAlignment="1" applyProtection="1">
      <alignment horizontal="center" vertical="center"/>
      <protection locked="0"/>
    </xf>
    <xf numFmtId="0" fontId="24" fillId="8" borderId="9" xfId="6" applyFont="1" applyFill="1" applyBorder="1" applyAlignment="1" applyProtection="1">
      <alignment horizontal="center" vertical="center"/>
      <protection locked="0"/>
    </xf>
    <xf numFmtId="0" fontId="23" fillId="8" borderId="7" xfId="6" applyFont="1" applyFill="1" applyBorder="1" applyAlignment="1" applyProtection="1">
      <alignment horizontal="center" vertical="center"/>
      <protection locked="0"/>
    </xf>
    <xf numFmtId="0" fontId="22" fillId="7" borderId="0" xfId="6" applyFont="1" applyFill="1" applyAlignment="1">
      <alignment horizontal="center" vertical="center" wrapText="1"/>
    </xf>
    <xf numFmtId="0" fontId="23" fillId="8" borderId="4" xfId="6" applyFont="1" applyFill="1" applyBorder="1" applyAlignment="1" applyProtection="1">
      <alignment horizontal="center" vertical="center" wrapText="1"/>
      <protection locked="0"/>
    </xf>
    <xf numFmtId="0" fontId="23" fillId="8" borderId="5" xfId="6" applyFont="1" applyFill="1" applyBorder="1" applyAlignment="1" applyProtection="1">
      <alignment horizontal="center" vertical="center" wrapText="1"/>
      <protection locked="0"/>
    </xf>
    <xf numFmtId="0" fontId="23" fillId="8" borderId="6" xfId="6" applyFont="1" applyFill="1" applyBorder="1" applyAlignment="1" applyProtection="1">
      <alignment horizontal="center" vertical="center" wrapText="1"/>
      <protection locked="0"/>
    </xf>
    <xf numFmtId="0" fontId="23" fillId="8" borderId="8" xfId="6" applyFont="1" applyFill="1" applyBorder="1" applyAlignment="1" applyProtection="1">
      <alignment horizontal="center" vertical="center" wrapText="1"/>
      <protection locked="0"/>
    </xf>
    <xf numFmtId="0" fontId="23" fillId="8" borderId="9" xfId="6" applyFont="1" applyFill="1" applyBorder="1" applyAlignment="1" applyProtection="1">
      <alignment horizontal="center" vertical="center" wrapText="1"/>
      <protection locked="0"/>
    </xf>
    <xf numFmtId="0" fontId="23" fillId="8" borderId="10" xfId="6" applyFont="1" applyFill="1" applyBorder="1" applyAlignment="1" applyProtection="1">
      <alignment horizontal="center" vertical="center" wrapText="1"/>
      <protection locked="0"/>
    </xf>
    <xf numFmtId="0" fontId="37" fillId="14" borderId="15" xfId="0" applyFont="1" applyFill="1" applyBorder="1" applyAlignment="1">
      <alignment horizontal="center" vertical="center"/>
    </xf>
    <xf numFmtId="0" fontId="37" fillId="14" borderId="18" xfId="0" applyFont="1" applyFill="1" applyBorder="1" applyAlignment="1">
      <alignment horizontal="center" vertical="center"/>
    </xf>
    <xf numFmtId="0" fontId="37" fillId="14" borderId="17" xfId="0" applyFont="1" applyFill="1" applyBorder="1" applyAlignment="1">
      <alignment horizontal="center" vertical="center"/>
    </xf>
    <xf numFmtId="0" fontId="37" fillId="30" borderId="15" xfId="0" applyFont="1" applyFill="1" applyBorder="1" applyAlignment="1">
      <alignment horizontal="center" vertical="center"/>
    </xf>
    <xf numFmtId="0" fontId="37" fillId="30" borderId="17" xfId="0" applyFont="1" applyFill="1" applyBorder="1" applyAlignment="1">
      <alignment horizontal="center" vertical="center"/>
    </xf>
    <xf numFmtId="0" fontId="45" fillId="14" borderId="15" xfId="0" applyFont="1" applyFill="1" applyBorder="1" applyAlignment="1">
      <alignment horizontal="center" vertical="center"/>
    </xf>
    <xf numFmtId="0" fontId="45" fillId="14" borderId="17" xfId="0" applyFont="1" applyFill="1" applyBorder="1" applyAlignment="1">
      <alignment horizontal="center" vertical="center"/>
    </xf>
    <xf numFmtId="0" fontId="37" fillId="30" borderId="18" xfId="0" applyFont="1" applyFill="1" applyBorder="1" applyAlignment="1">
      <alignment horizontal="center" vertical="center"/>
    </xf>
    <xf numFmtId="0" fontId="45" fillId="14" borderId="18" xfId="0" applyFont="1" applyFill="1" applyBorder="1" applyAlignment="1">
      <alignment horizontal="center" vertical="center"/>
    </xf>
    <xf numFmtId="0" fontId="37" fillId="30" borderId="15" xfId="0" applyFont="1" applyFill="1" applyBorder="1" applyAlignment="1">
      <alignment horizontal="left" vertical="center"/>
    </xf>
    <xf numFmtId="0" fontId="37" fillId="30" borderId="17" xfId="0" applyFont="1" applyFill="1" applyBorder="1" applyAlignment="1">
      <alignment horizontal="left" vertical="center"/>
    </xf>
    <xf numFmtId="0" fontId="45" fillId="14" borderId="15" xfId="0" applyFont="1" applyFill="1" applyBorder="1" applyAlignment="1">
      <alignment horizontal="left" vertical="center"/>
    </xf>
    <xf numFmtId="0" fontId="45" fillId="14" borderId="17" xfId="0" applyFont="1" applyFill="1" applyBorder="1" applyAlignment="1">
      <alignment horizontal="left" vertical="center"/>
    </xf>
    <xf numFmtId="0" fontId="37" fillId="14" borderId="15" xfId="0" applyFont="1" applyFill="1" applyBorder="1" applyAlignment="1">
      <alignment horizontal="center" vertical="center" wrapText="1"/>
    </xf>
    <xf numFmtId="0" fontId="37" fillId="14" borderId="17" xfId="0" applyFont="1" applyFill="1" applyBorder="1" applyAlignment="1">
      <alignment horizontal="center" vertical="center" wrapText="1"/>
    </xf>
    <xf numFmtId="0" fontId="37" fillId="14" borderId="64" xfId="0" applyFont="1" applyFill="1" applyBorder="1" applyAlignment="1">
      <alignment horizontal="center" vertical="center"/>
    </xf>
    <xf numFmtId="0" fontId="37" fillId="14" borderId="59" xfId="0" applyFont="1" applyFill="1" applyBorder="1" applyAlignment="1">
      <alignment horizontal="center" vertical="center"/>
    </xf>
    <xf numFmtId="0" fontId="37" fillId="14" borderId="63" xfId="0" applyFont="1" applyFill="1" applyBorder="1" applyAlignment="1">
      <alignment horizontal="center" vertical="center"/>
    </xf>
    <xf numFmtId="0" fontId="37" fillId="14" borderId="58" xfId="0" applyFont="1" applyFill="1" applyBorder="1" applyAlignment="1">
      <alignment horizontal="left" vertical="center"/>
    </xf>
    <xf numFmtId="0" fontId="37" fillId="14" borderId="0" xfId="0" applyFont="1" applyFill="1" applyAlignment="1">
      <alignment horizontal="left" vertical="center"/>
    </xf>
    <xf numFmtId="0" fontId="37" fillId="14" borderId="14" xfId="0" applyFont="1" applyFill="1" applyBorder="1" applyAlignment="1">
      <alignment horizontal="left" vertical="center"/>
    </xf>
    <xf numFmtId="0" fontId="37" fillId="14" borderId="58" xfId="0" applyFont="1" applyFill="1" applyBorder="1" applyAlignment="1">
      <alignment horizontal="center" vertical="center"/>
    </xf>
    <xf numFmtId="0" fontId="37" fillId="14" borderId="0" xfId="0" applyFont="1" applyFill="1" applyAlignment="1">
      <alignment horizontal="center" vertical="center"/>
    </xf>
    <xf numFmtId="0" fontId="37" fillId="14" borderId="14" xfId="0" applyFont="1" applyFill="1" applyBorder="1" applyAlignment="1">
      <alignment horizontal="center" vertical="center"/>
    </xf>
    <xf numFmtId="0" fontId="37" fillId="14" borderId="15" xfId="0" applyFont="1" applyFill="1" applyBorder="1" applyAlignment="1">
      <alignment horizontal="left" vertical="center"/>
    </xf>
    <xf numFmtId="0" fontId="37" fillId="14" borderId="17" xfId="0" applyFont="1" applyFill="1" applyBorder="1" applyAlignment="1">
      <alignment horizontal="left" vertical="center"/>
    </xf>
    <xf numFmtId="0" fontId="37" fillId="15" borderId="15" xfId="0" applyFont="1" applyFill="1" applyBorder="1" applyAlignment="1">
      <alignment horizontal="center" vertical="center"/>
    </xf>
    <xf numFmtId="0" fontId="37" fillId="15" borderId="17" xfId="0" applyFont="1" applyFill="1" applyBorder="1" applyAlignment="1">
      <alignment horizontal="center" vertical="center"/>
    </xf>
    <xf numFmtId="0" fontId="37" fillId="15" borderId="15" xfId="0" applyFont="1" applyFill="1" applyBorder="1" applyAlignment="1">
      <alignment horizontal="left" vertical="center"/>
    </xf>
    <xf numFmtId="0" fontId="37" fillId="15" borderId="17" xfId="0" applyFont="1" applyFill="1" applyBorder="1" applyAlignment="1">
      <alignment horizontal="left" vertical="center"/>
    </xf>
    <xf numFmtId="0" fontId="37" fillId="14" borderId="18" xfId="0" applyFont="1" applyFill="1" applyBorder="1" applyAlignment="1">
      <alignment horizontal="left" vertical="center"/>
    </xf>
    <xf numFmtId="0" fontId="37" fillId="14" borderId="18" xfId="0" applyFont="1" applyFill="1" applyBorder="1" applyAlignment="1">
      <alignment horizontal="center" vertical="center" wrapText="1"/>
    </xf>
    <xf numFmtId="0" fontId="37" fillId="30" borderId="18" xfId="0" applyFont="1" applyFill="1" applyBorder="1" applyAlignment="1">
      <alignment horizontal="left" vertical="center"/>
    </xf>
    <xf numFmtId="3" fontId="37" fillId="14" borderId="15" xfId="0" applyNumberFormat="1" applyFont="1" applyFill="1" applyBorder="1" applyAlignment="1">
      <alignment horizontal="center" vertical="center"/>
    </xf>
    <xf numFmtId="3" fontId="37" fillId="14" borderId="17" xfId="0" applyNumberFormat="1" applyFont="1" applyFill="1" applyBorder="1" applyAlignment="1">
      <alignment horizontal="center" vertical="center"/>
    </xf>
    <xf numFmtId="0" fontId="45" fillId="14" borderId="15" xfId="0" applyFont="1" applyFill="1" applyBorder="1" applyAlignment="1">
      <alignment horizontal="center" vertical="center" wrapText="1"/>
    </xf>
    <xf numFmtId="0" fontId="45" fillId="14" borderId="18" xfId="0" applyFont="1" applyFill="1" applyBorder="1" applyAlignment="1">
      <alignment horizontal="center" vertical="center" wrapText="1"/>
    </xf>
    <xf numFmtId="0" fontId="45" fillId="14" borderId="17" xfId="0" applyFont="1" applyFill="1" applyBorder="1" applyAlignment="1">
      <alignment horizontal="center" vertical="center" wrapText="1"/>
    </xf>
    <xf numFmtId="0" fontId="37" fillId="30" borderId="15" xfId="0" applyFont="1" applyFill="1" applyBorder="1" applyAlignment="1">
      <alignment horizontal="center" vertical="center" wrapText="1"/>
    </xf>
    <xf numFmtId="0" fontId="37" fillId="30" borderId="18" xfId="0" applyFont="1" applyFill="1" applyBorder="1" applyAlignment="1">
      <alignment horizontal="center" vertical="center" wrapText="1"/>
    </xf>
    <xf numFmtId="0" fontId="37" fillId="30" borderId="17" xfId="0" applyFont="1" applyFill="1" applyBorder="1" applyAlignment="1">
      <alignment horizontal="center" vertical="center" wrapText="1"/>
    </xf>
    <xf numFmtId="0" fontId="37" fillId="15" borderId="18" xfId="0" applyFont="1" applyFill="1" applyBorder="1" applyAlignment="1">
      <alignment horizontal="center" vertical="center"/>
    </xf>
    <xf numFmtId="0" fontId="37" fillId="15" borderId="18" xfId="0" applyFont="1" applyFill="1" applyBorder="1" applyAlignment="1">
      <alignment horizontal="left" vertical="center"/>
    </xf>
    <xf numFmtId="0" fontId="36" fillId="12" borderId="71" xfId="0" applyFont="1" applyFill="1" applyBorder="1" applyAlignment="1">
      <alignment horizontal="center" vertical="center" wrapText="1"/>
    </xf>
    <xf numFmtId="0" fontId="37" fillId="14" borderId="15" xfId="0" applyFont="1" applyFill="1" applyBorder="1" applyAlignment="1">
      <alignment horizontal="left" vertical="center" wrapText="1"/>
    </xf>
    <xf numFmtId="0" fontId="37" fillId="14" borderId="18" xfId="0" applyFont="1" applyFill="1" applyBorder="1" applyAlignment="1">
      <alignment horizontal="left" vertical="center" wrapText="1"/>
    </xf>
    <xf numFmtId="0" fontId="37" fillId="14" borderId="17" xfId="0" applyFont="1" applyFill="1" applyBorder="1" applyAlignment="1">
      <alignment horizontal="left" vertical="center" wrapText="1"/>
    </xf>
    <xf numFmtId="0" fontId="45" fillId="14" borderId="15" xfId="0" applyFont="1" applyFill="1" applyBorder="1" applyAlignment="1">
      <alignment horizontal="left" vertical="center" wrapText="1"/>
    </xf>
    <xf numFmtId="0" fontId="45" fillId="14" borderId="17" xfId="0" applyFont="1" applyFill="1" applyBorder="1" applyAlignment="1">
      <alignment horizontal="left" vertical="center" wrapText="1"/>
    </xf>
    <xf numFmtId="3" fontId="36" fillId="12" borderId="13" xfId="0" applyNumberFormat="1" applyFont="1" applyFill="1" applyBorder="1" applyAlignment="1">
      <alignment horizontal="center" vertical="center" wrapText="1"/>
    </xf>
    <xf numFmtId="0" fontId="37" fillId="30" borderId="15" xfId="0" applyFont="1" applyFill="1" applyBorder="1" applyAlignment="1">
      <alignment horizontal="left" vertical="center" wrapText="1"/>
    </xf>
    <xf numFmtId="0" fontId="37" fillId="30" borderId="17" xfId="0" applyFont="1" applyFill="1" applyBorder="1" applyAlignment="1">
      <alignment horizontal="left" vertical="center" wrapText="1"/>
    </xf>
    <xf numFmtId="0" fontId="37" fillId="30" borderId="18" xfId="0" applyFont="1" applyFill="1" applyBorder="1" applyAlignment="1">
      <alignment horizontal="left" vertical="center" wrapText="1"/>
    </xf>
    <xf numFmtId="17" fontId="36" fillId="12" borderId="13" xfId="0" applyNumberFormat="1" applyFont="1" applyFill="1" applyBorder="1" applyAlignment="1">
      <alignment horizontal="center" vertical="center" wrapText="1"/>
    </xf>
    <xf numFmtId="17" fontId="23" fillId="12" borderId="13" xfId="0" applyNumberFormat="1" applyFont="1" applyFill="1" applyBorder="1" applyAlignment="1">
      <alignment horizontal="center" vertical="center" wrapText="1"/>
    </xf>
    <xf numFmtId="0" fontId="23" fillId="12" borderId="14" xfId="0" applyFont="1" applyFill="1" applyBorder="1" applyAlignment="1">
      <alignment horizontal="center" vertical="center" wrapText="1"/>
    </xf>
    <xf numFmtId="0" fontId="45" fillId="30" borderId="15" xfId="0" applyFont="1" applyFill="1" applyBorder="1" applyAlignment="1">
      <alignment horizontal="center" vertical="center" wrapText="1"/>
    </xf>
    <xf numFmtId="0" fontId="45" fillId="30" borderId="17" xfId="0" applyFont="1" applyFill="1" applyBorder="1" applyAlignment="1">
      <alignment horizontal="center" vertical="center" wrapText="1"/>
    </xf>
    <xf numFmtId="0" fontId="5" fillId="43" borderId="0" xfId="0" applyFont="1" applyFill="1" applyAlignment="1">
      <alignment horizontal="center" vertical="center"/>
    </xf>
    <xf numFmtId="0" fontId="4" fillId="3" borderId="13" xfId="0" applyFont="1" applyFill="1" applyBorder="1" applyAlignment="1">
      <alignment horizontal="center" vertical="center"/>
    </xf>
    <xf numFmtId="0" fontId="5" fillId="18" borderId="0" xfId="0" applyFont="1" applyFill="1" applyAlignment="1">
      <alignment horizontal="center" vertical="center"/>
    </xf>
    <xf numFmtId="0" fontId="47" fillId="0" borderId="22" xfId="0" applyFont="1" applyBorder="1" applyAlignment="1">
      <alignment vertical="center"/>
    </xf>
    <xf numFmtId="0" fontId="47" fillId="0" borderId="25" xfId="0" applyFont="1" applyBorder="1" applyAlignment="1">
      <alignment vertical="center"/>
    </xf>
    <xf numFmtId="0" fontId="47" fillId="0" borderId="28" xfId="0" applyFont="1" applyBorder="1" applyAlignment="1">
      <alignment vertical="center"/>
    </xf>
    <xf numFmtId="0" fontId="47" fillId="0" borderId="22" xfId="0" applyFont="1" applyBorder="1" applyAlignment="1">
      <alignment vertical="center" wrapText="1"/>
    </xf>
    <xf numFmtId="0" fontId="47" fillId="0" borderId="25" xfId="0" applyFont="1" applyBorder="1" applyAlignment="1">
      <alignment vertical="center" wrapText="1"/>
    </xf>
    <xf numFmtId="0" fontId="47" fillId="0" borderId="28" xfId="0" applyFont="1" applyBorder="1" applyAlignment="1">
      <alignment vertical="center" wrapText="1"/>
    </xf>
    <xf numFmtId="0" fontId="47" fillId="0" borderId="33" xfId="0" applyFont="1" applyBorder="1" applyAlignment="1">
      <alignment vertical="center" wrapText="1"/>
    </xf>
    <xf numFmtId="0" fontId="13" fillId="4" borderId="35" xfId="0" applyFont="1" applyFill="1" applyBorder="1" applyAlignment="1">
      <alignment horizontal="left" vertical="center"/>
    </xf>
    <xf numFmtId="0" fontId="13" fillId="4" borderId="36" xfId="0" applyFont="1" applyFill="1" applyBorder="1" applyAlignment="1">
      <alignment horizontal="left" vertical="center"/>
    </xf>
    <xf numFmtId="0" fontId="47" fillId="0" borderId="22" xfId="0" applyFont="1" applyBorder="1" applyAlignment="1">
      <alignment horizontal="left" vertical="center"/>
    </xf>
    <xf numFmtId="0" fontId="47" fillId="0" borderId="25" xfId="0" applyFont="1" applyBorder="1" applyAlignment="1">
      <alignment horizontal="left" vertical="center"/>
    </xf>
    <xf numFmtId="0" fontId="47" fillId="0" borderId="28" xfId="0" applyFont="1" applyBorder="1" applyAlignment="1">
      <alignment horizontal="left" vertical="center"/>
    </xf>
    <xf numFmtId="0" fontId="47" fillId="0" borderId="31" xfId="0" applyFont="1" applyBorder="1" applyAlignment="1">
      <alignment horizontal="left" vertical="center"/>
    </xf>
    <xf numFmtId="0" fontId="57" fillId="4" borderId="37" xfId="0" applyFont="1" applyFill="1" applyBorder="1" applyAlignment="1">
      <alignment horizontal="center" vertical="center" wrapText="1"/>
    </xf>
    <xf numFmtId="0" fontId="57" fillId="4" borderId="39" xfId="0" applyFont="1" applyFill="1" applyBorder="1" applyAlignment="1">
      <alignment horizontal="center" vertical="center" wrapText="1"/>
    </xf>
    <xf numFmtId="0" fontId="9" fillId="22" borderId="37" xfId="0" applyFont="1" applyFill="1" applyBorder="1" applyAlignment="1">
      <alignment horizontal="center"/>
    </xf>
    <xf numFmtId="0" fontId="9" fillId="22" borderId="38" xfId="0" applyFont="1" applyFill="1" applyBorder="1" applyAlignment="1">
      <alignment horizontal="center"/>
    </xf>
    <xf numFmtId="0" fontId="9" fillId="22" borderId="39" xfId="0" applyFont="1" applyFill="1" applyBorder="1" applyAlignment="1">
      <alignment horizontal="center"/>
    </xf>
    <xf numFmtId="0" fontId="9" fillId="11" borderId="2" xfId="0" applyFont="1" applyFill="1" applyBorder="1" applyAlignment="1">
      <alignment horizontal="left" vertical="center"/>
    </xf>
    <xf numFmtId="0" fontId="8" fillId="16" borderId="37" xfId="0" applyFont="1" applyFill="1" applyBorder="1" applyAlignment="1">
      <alignment horizontal="center"/>
    </xf>
    <xf numFmtId="0" fontId="8" fillId="16" borderId="38" xfId="0" applyFont="1" applyFill="1" applyBorder="1" applyAlignment="1">
      <alignment horizontal="center"/>
    </xf>
    <xf numFmtId="0" fontId="8" fillId="16" borderId="39" xfId="0" applyFont="1" applyFill="1" applyBorder="1" applyAlignment="1">
      <alignment horizontal="center"/>
    </xf>
    <xf numFmtId="0" fontId="75" fillId="14" borderId="65" xfId="0" applyFont="1" applyFill="1" applyBorder="1" applyAlignment="1">
      <alignment horizontal="center" vertical="center" wrapText="1"/>
    </xf>
    <xf numFmtId="0" fontId="76" fillId="14" borderId="65" xfId="0" applyFont="1" applyFill="1" applyBorder="1" applyAlignment="1">
      <alignment horizontal="left" vertical="center" wrapText="1"/>
    </xf>
    <xf numFmtId="0" fontId="75" fillId="0" borderId="65" xfId="0" applyFont="1" applyBorder="1" applyAlignment="1">
      <alignment horizontal="center" vertical="center" wrapText="1"/>
    </xf>
    <xf numFmtId="0" fontId="76" fillId="0" borderId="65" xfId="0" applyFont="1" applyBorder="1" applyAlignment="1">
      <alignment horizontal="left" vertical="center" wrapText="1"/>
    </xf>
    <xf numFmtId="164" fontId="76" fillId="34" borderId="44" xfId="1" applyFont="1" applyFill="1" applyBorder="1" applyAlignment="1">
      <alignment horizontal="left" vertical="center" wrapText="1"/>
    </xf>
    <xf numFmtId="164" fontId="76" fillId="34" borderId="45" xfId="1" applyFont="1" applyFill="1" applyBorder="1" applyAlignment="1">
      <alignment horizontal="left" vertical="center" wrapText="1"/>
    </xf>
    <xf numFmtId="164" fontId="76" fillId="34" borderId="46" xfId="1" applyFont="1" applyFill="1" applyBorder="1" applyAlignment="1">
      <alignment horizontal="left" vertical="center" wrapText="1"/>
    </xf>
    <xf numFmtId="0" fontId="75" fillId="14" borderId="65" xfId="0" applyFont="1" applyFill="1" applyBorder="1" applyAlignment="1">
      <alignment horizontal="center" vertical="center"/>
    </xf>
    <xf numFmtId="0" fontId="75" fillId="0" borderId="65" xfId="0" applyFont="1" applyBorder="1" applyAlignment="1">
      <alignment horizontal="center" vertical="center"/>
    </xf>
    <xf numFmtId="0" fontId="75" fillId="30" borderId="65" xfId="0" applyFont="1" applyFill="1" applyBorder="1" applyAlignment="1">
      <alignment horizontal="center" vertical="center" wrapText="1"/>
    </xf>
    <xf numFmtId="0" fontId="76" fillId="30" borderId="65" xfId="0" applyFont="1" applyFill="1" applyBorder="1" applyAlignment="1">
      <alignment horizontal="left" vertical="center" wrapText="1"/>
    </xf>
    <xf numFmtId="0" fontId="75" fillId="30" borderId="65" xfId="0" applyFont="1" applyFill="1" applyBorder="1" applyAlignment="1">
      <alignment horizontal="center" vertical="center"/>
    </xf>
    <xf numFmtId="164" fontId="76" fillId="0" borderId="65" xfId="1" applyFont="1" applyFill="1" applyBorder="1" applyAlignment="1">
      <alignment horizontal="left" vertical="center" wrapText="1"/>
    </xf>
    <xf numFmtId="0" fontId="69" fillId="7" borderId="65" xfId="0" applyFont="1" applyFill="1" applyBorder="1" applyAlignment="1" applyProtection="1">
      <alignment horizontal="center" vertical="center" wrapText="1"/>
      <protection locked="0"/>
    </xf>
    <xf numFmtId="0" fontId="69" fillId="7" borderId="65" xfId="0" applyFont="1" applyFill="1" applyBorder="1" applyAlignment="1" applyProtection="1">
      <alignment horizontal="left" vertical="center" wrapText="1"/>
      <protection locked="0"/>
    </xf>
    <xf numFmtId="0" fontId="75" fillId="0" borderId="65" xfId="0" applyFont="1" applyBorder="1" applyAlignment="1">
      <alignment horizontal="left" vertical="center" wrapText="1"/>
    </xf>
    <xf numFmtId="0" fontId="75" fillId="14" borderId="65" xfId="0" applyFont="1" applyFill="1" applyBorder="1" applyAlignment="1">
      <alignment horizontal="left" vertical="center" wrapText="1"/>
    </xf>
    <xf numFmtId="0" fontId="75" fillId="0" borderId="65" xfId="0" applyFont="1" applyBorder="1" applyAlignment="1">
      <alignment horizontal="left" vertical="center"/>
    </xf>
    <xf numFmtId="0" fontId="75" fillId="14" borderId="65" xfId="0" applyFont="1" applyFill="1" applyBorder="1" applyAlignment="1">
      <alignment horizontal="left" vertical="center"/>
    </xf>
    <xf numFmtId="0" fontId="75" fillId="25" borderId="65" xfId="0" applyFont="1" applyFill="1" applyBorder="1" applyAlignment="1">
      <alignment horizontal="center" vertical="center" wrapText="1"/>
    </xf>
    <xf numFmtId="0" fontId="75" fillId="25" borderId="65" xfId="0" applyFont="1" applyFill="1" applyBorder="1" applyAlignment="1">
      <alignment horizontal="left" vertical="center" wrapText="1"/>
    </xf>
    <xf numFmtId="0" fontId="69" fillId="7" borderId="65" xfId="0" applyFont="1" applyFill="1" applyBorder="1" applyAlignment="1" applyProtection="1">
      <alignment vertical="center" wrapText="1"/>
      <protection locked="0"/>
    </xf>
    <xf numFmtId="9" fontId="69" fillId="7" borderId="65" xfId="2" applyFont="1" applyFill="1" applyBorder="1" applyAlignment="1" applyProtection="1">
      <alignment vertical="center" wrapText="1"/>
      <protection locked="0"/>
    </xf>
    <xf numFmtId="0" fontId="79" fillId="7" borderId="65" xfId="0" applyFont="1" applyFill="1" applyBorder="1" applyAlignment="1" applyProtection="1">
      <alignment horizontal="center" vertical="center" wrapText="1"/>
      <protection locked="0"/>
    </xf>
    <xf numFmtId="0" fontId="40" fillId="14" borderId="65" xfId="0" applyFont="1" applyFill="1" applyBorder="1" applyAlignment="1">
      <alignment horizontal="center" vertical="center"/>
    </xf>
    <xf numFmtId="0" fontId="40" fillId="14" borderId="65" xfId="0" applyFont="1" applyFill="1" applyBorder="1" applyAlignment="1">
      <alignment horizontal="left" vertical="center" wrapText="1"/>
    </xf>
    <xf numFmtId="0" fontId="40" fillId="0" borderId="65" xfId="0" applyFont="1" applyBorder="1" applyAlignment="1">
      <alignment horizontal="center" vertical="center"/>
    </xf>
    <xf numFmtId="0" fontId="40" fillId="0" borderId="65" xfId="0" applyFont="1" applyBorder="1" applyAlignment="1">
      <alignment horizontal="left" vertical="center" wrapText="1"/>
    </xf>
    <xf numFmtId="0" fontId="40" fillId="0" borderId="65" xfId="0" applyFont="1" applyBorder="1" applyAlignment="1">
      <alignment horizontal="left" vertical="center"/>
    </xf>
    <xf numFmtId="0" fontId="43" fillId="7" borderId="65" xfId="6" applyFont="1" applyFill="1" applyBorder="1" applyAlignment="1" applyProtection="1">
      <alignment horizontal="center" vertical="center" wrapText="1"/>
      <protection locked="0"/>
    </xf>
    <xf numFmtId="0" fontId="23" fillId="7" borderId="65" xfId="0" applyFont="1" applyFill="1" applyBorder="1" applyAlignment="1" applyProtection="1">
      <alignment horizontal="left" vertical="center" wrapText="1"/>
      <protection locked="0"/>
    </xf>
    <xf numFmtId="0" fontId="43" fillId="7" borderId="65" xfId="6" applyFont="1" applyFill="1" applyBorder="1" applyAlignment="1" applyProtection="1">
      <alignment horizontal="left" vertical="center" wrapText="1"/>
      <protection locked="0"/>
    </xf>
    <xf numFmtId="0" fontId="36" fillId="12" borderId="60" xfId="0" applyFont="1" applyFill="1" applyBorder="1" applyAlignment="1">
      <alignment horizontal="center" vertical="center" wrapText="1"/>
    </xf>
    <xf numFmtId="0" fontId="36" fillId="12" borderId="61" xfId="0" applyFont="1" applyFill="1" applyBorder="1" applyAlignment="1">
      <alignment horizontal="center" vertical="center" wrapText="1"/>
    </xf>
    <xf numFmtId="0" fontId="36" fillId="12" borderId="62" xfId="0" applyFont="1" applyFill="1" applyBorder="1" applyAlignment="1">
      <alignment horizontal="center" vertical="center" wrapText="1"/>
    </xf>
    <xf numFmtId="0" fontId="37" fillId="11" borderId="60" xfId="0" applyFont="1" applyFill="1" applyBorder="1" applyAlignment="1">
      <alignment horizontal="center" vertical="center"/>
    </xf>
    <xf numFmtId="0" fontId="37" fillId="11" borderId="62" xfId="0" applyFont="1" applyFill="1" applyBorder="1" applyAlignment="1">
      <alignment horizontal="center" vertical="center"/>
    </xf>
    <xf numFmtId="0" fontId="36" fillId="12" borderId="58" xfId="0" applyFont="1" applyFill="1" applyBorder="1" applyAlignment="1">
      <alignment horizontal="center" vertical="center" wrapText="1"/>
    </xf>
    <xf numFmtId="0" fontId="45" fillId="24" borderId="60" xfId="0" applyFont="1" applyFill="1" applyBorder="1" applyAlignment="1">
      <alignment horizontal="center" vertical="center" wrapText="1"/>
    </xf>
    <xf numFmtId="0" fontId="45" fillId="24" borderId="61" xfId="0" applyFont="1" applyFill="1" applyBorder="1" applyAlignment="1">
      <alignment horizontal="center" vertical="center" wrapText="1"/>
    </xf>
    <xf numFmtId="0" fontId="45" fillId="24" borderId="62" xfId="0" applyFont="1" applyFill="1" applyBorder="1" applyAlignment="1">
      <alignment horizontal="center" vertical="center" wrapText="1"/>
    </xf>
    <xf numFmtId="165" fontId="36" fillId="12" borderId="59" xfId="1" applyNumberFormat="1" applyFont="1" applyFill="1" applyBorder="1" applyAlignment="1">
      <alignment horizontal="center" vertical="center" wrapText="1"/>
    </xf>
    <xf numFmtId="165" fontId="36" fillId="12" borderId="63" xfId="1" applyNumberFormat="1" applyFont="1" applyFill="1" applyBorder="1" applyAlignment="1">
      <alignment horizontal="center" vertical="center" wrapText="1"/>
    </xf>
    <xf numFmtId="0" fontId="36" fillId="12" borderId="59" xfId="0" applyFont="1" applyFill="1" applyBorder="1" applyAlignment="1">
      <alignment horizontal="center" vertical="center" wrapText="1"/>
    </xf>
    <xf numFmtId="0" fontId="36" fillId="12" borderId="63" xfId="0" applyFont="1" applyFill="1" applyBorder="1" applyAlignment="1">
      <alignment horizontal="center" vertical="center" wrapText="1"/>
    </xf>
    <xf numFmtId="0" fontId="37" fillId="15" borderId="64" xfId="0" applyFont="1" applyFill="1" applyBorder="1" applyAlignment="1">
      <alignment horizontal="center" vertical="center"/>
    </xf>
    <xf numFmtId="0" fontId="37" fillId="15" borderId="59" xfId="0" applyFont="1" applyFill="1" applyBorder="1" applyAlignment="1">
      <alignment horizontal="center" vertical="center"/>
    </xf>
    <xf numFmtId="0" fontId="37" fillId="15" borderId="63" xfId="0" applyFont="1" applyFill="1" applyBorder="1" applyAlignment="1">
      <alignment horizontal="center" vertical="center"/>
    </xf>
    <xf numFmtId="0" fontId="37" fillId="30" borderId="57" xfId="0" applyFont="1" applyFill="1" applyBorder="1" applyAlignment="1">
      <alignment horizontal="center" vertical="center"/>
    </xf>
    <xf numFmtId="0" fontId="37" fillId="30" borderId="64" xfId="0" applyFont="1" applyFill="1" applyBorder="1" applyAlignment="1">
      <alignment horizontal="center" vertical="center"/>
    </xf>
    <xf numFmtId="0" fontId="37" fillId="30" borderId="59" xfId="0" applyFont="1" applyFill="1" applyBorder="1" applyAlignment="1">
      <alignment horizontal="center" vertical="center"/>
    </xf>
    <xf numFmtId="0" fontId="37" fillId="30" borderId="63" xfId="0" applyFont="1" applyFill="1" applyBorder="1" applyAlignment="1">
      <alignment horizontal="center" vertical="center"/>
    </xf>
    <xf numFmtId="0" fontId="45" fillId="30" borderId="15" xfId="0" applyFont="1" applyFill="1" applyBorder="1" applyAlignment="1">
      <alignment horizontal="center" vertical="center"/>
    </xf>
    <xf numFmtId="0" fontId="45" fillId="30" borderId="18" xfId="0" applyFont="1" applyFill="1" applyBorder="1" applyAlignment="1">
      <alignment horizontal="center" vertical="center"/>
    </xf>
    <xf numFmtId="0" fontId="44" fillId="17" borderId="0" xfId="0" applyFont="1" applyFill="1" applyAlignment="1">
      <alignment horizontal="center"/>
    </xf>
    <xf numFmtId="0" fontId="23" fillId="3" borderId="0" xfId="0" applyFont="1" applyFill="1" applyAlignment="1">
      <alignment horizontal="center" vertical="center"/>
    </xf>
    <xf numFmtId="0" fontId="137" fillId="3" borderId="0" xfId="0" applyFont="1" applyFill="1" applyAlignment="1">
      <alignment horizontal="center"/>
    </xf>
    <xf numFmtId="165" fontId="50" fillId="15" borderId="0" xfId="1" applyNumberFormat="1" applyFont="1" applyFill="1" applyAlignment="1">
      <alignment horizontal="center" vertical="center" wrapText="1"/>
    </xf>
    <xf numFmtId="165" fontId="56" fillId="3" borderId="41" xfId="1" applyNumberFormat="1" applyFont="1" applyFill="1" applyBorder="1" applyAlignment="1">
      <alignment horizontal="center" vertical="center" wrapText="1"/>
    </xf>
    <xf numFmtId="165" fontId="56" fillId="3" borderId="40" xfId="1" applyNumberFormat="1" applyFont="1" applyFill="1" applyBorder="1" applyAlignment="1">
      <alignment horizontal="center" vertical="center" wrapText="1"/>
    </xf>
    <xf numFmtId="0" fontId="4" fillId="3" borderId="68"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66" xfId="0" applyFont="1" applyFill="1" applyBorder="1" applyAlignment="1">
      <alignment horizontal="center" vertical="center" wrapText="1"/>
    </xf>
    <xf numFmtId="0" fontId="4" fillId="3" borderId="67" xfId="0" applyFont="1" applyFill="1" applyBorder="1" applyAlignment="1">
      <alignment horizontal="center" vertical="center" wrapText="1"/>
    </xf>
    <xf numFmtId="165" fontId="56" fillId="3" borderId="0" xfId="1" applyNumberFormat="1" applyFont="1" applyFill="1" applyBorder="1" applyAlignment="1">
      <alignment horizontal="center" vertical="center" wrapText="1"/>
    </xf>
    <xf numFmtId="165" fontId="56" fillId="3" borderId="41" xfId="1" applyNumberFormat="1" applyFont="1" applyFill="1" applyBorder="1" applyAlignment="1">
      <alignment horizontal="left" vertical="center" wrapText="1"/>
    </xf>
    <xf numFmtId="165" fontId="56" fillId="3" borderId="40" xfId="1" applyNumberFormat="1" applyFont="1" applyFill="1" applyBorder="1" applyAlignment="1">
      <alignment horizontal="left" vertical="center" wrapText="1"/>
    </xf>
    <xf numFmtId="165" fontId="56" fillId="17" borderId="47" xfId="1" applyNumberFormat="1" applyFont="1" applyFill="1" applyBorder="1" applyAlignment="1">
      <alignment horizontal="center" vertical="center" wrapText="1"/>
    </xf>
    <xf numFmtId="165" fontId="56" fillId="17" borderId="48" xfId="1" applyNumberFormat="1" applyFont="1" applyFill="1" applyBorder="1" applyAlignment="1">
      <alignment horizontal="center" vertical="center" wrapText="1"/>
    </xf>
    <xf numFmtId="165" fontId="56" fillId="17" borderId="42" xfId="1" applyNumberFormat="1" applyFont="1" applyFill="1" applyBorder="1" applyAlignment="1">
      <alignment horizontal="center" vertical="center" wrapText="1"/>
    </xf>
    <xf numFmtId="165" fontId="56" fillId="17" borderId="0" xfId="1" applyNumberFormat="1" applyFont="1" applyFill="1" applyBorder="1" applyAlignment="1">
      <alignment horizontal="center" vertical="center" wrapText="1"/>
    </xf>
    <xf numFmtId="0" fontId="4" fillId="3" borderId="5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53" xfId="0" applyFont="1" applyFill="1" applyBorder="1" applyAlignment="1">
      <alignment horizontal="center" vertical="center" wrapText="1"/>
    </xf>
    <xf numFmtId="164" fontId="56" fillId="3" borderId="41" xfId="1" applyFont="1" applyFill="1" applyBorder="1" applyAlignment="1">
      <alignment horizontal="center" vertical="center" wrapText="1"/>
    </xf>
    <xf numFmtId="164" fontId="56" fillId="3" borderId="40" xfId="1" applyFont="1" applyFill="1" applyBorder="1" applyAlignment="1">
      <alignment horizontal="center" vertical="center" wrapText="1"/>
    </xf>
    <xf numFmtId="0" fontId="50" fillId="15" borderId="49" xfId="1" applyNumberFormat="1" applyFont="1" applyFill="1" applyBorder="1" applyAlignment="1">
      <alignment horizontal="center" vertical="center" wrapText="1"/>
    </xf>
    <xf numFmtId="0" fontId="50" fillId="15" borderId="43" xfId="1" applyNumberFormat="1" applyFont="1" applyFill="1" applyBorder="1" applyAlignment="1">
      <alignment horizontal="center" vertical="center" wrapText="1"/>
    </xf>
    <xf numFmtId="0" fontId="50" fillId="15" borderId="49" xfId="0" applyFont="1" applyFill="1" applyBorder="1" applyAlignment="1">
      <alignment horizontal="center" vertical="center" wrapText="1"/>
    </xf>
    <xf numFmtId="0" fontId="50" fillId="15" borderId="43" xfId="0" applyFont="1" applyFill="1" applyBorder="1" applyAlignment="1">
      <alignment horizontal="center" vertical="center" wrapText="1"/>
    </xf>
    <xf numFmtId="0" fontId="50" fillId="15" borderId="50" xfId="0" applyFont="1" applyFill="1" applyBorder="1" applyAlignment="1">
      <alignment horizontal="center" vertical="center" wrapText="1"/>
    </xf>
    <xf numFmtId="0" fontId="50" fillId="15" borderId="41" xfId="0" applyFont="1" applyFill="1" applyBorder="1" applyAlignment="1">
      <alignment horizontal="center" vertical="center" wrapText="1"/>
    </xf>
    <xf numFmtId="0" fontId="50" fillId="15" borderId="42" xfId="0" applyFont="1" applyFill="1" applyBorder="1" applyAlignment="1">
      <alignment horizontal="center" vertical="center" wrapText="1"/>
    </xf>
    <xf numFmtId="0" fontId="50" fillId="15" borderId="40" xfId="0" applyFont="1" applyFill="1" applyBorder="1" applyAlignment="1">
      <alignment horizontal="center" vertical="center" wrapText="1"/>
    </xf>
    <xf numFmtId="0" fontId="50" fillId="15" borderId="51" xfId="0" applyFont="1" applyFill="1" applyBorder="1" applyAlignment="1">
      <alignment horizontal="center" vertical="center" wrapText="1"/>
    </xf>
    <xf numFmtId="0" fontId="50" fillId="15" borderId="52" xfId="0" applyFont="1" applyFill="1" applyBorder="1" applyAlignment="1">
      <alignment horizontal="center" vertical="center" wrapText="1"/>
    </xf>
    <xf numFmtId="0" fontId="56" fillId="39" borderId="0" xfId="0" applyFont="1" applyFill="1" applyAlignment="1">
      <alignment horizontal="center" vertical="center" wrapText="1"/>
    </xf>
    <xf numFmtId="0" fontId="56" fillId="39" borderId="66" xfId="0" applyFont="1" applyFill="1" applyBorder="1" applyAlignment="1">
      <alignment horizontal="center" vertical="center"/>
    </xf>
    <xf numFmtId="0" fontId="56" fillId="39" borderId="67" xfId="0" applyFont="1" applyFill="1" applyBorder="1" applyAlignment="1">
      <alignment horizontal="center" vertical="center"/>
    </xf>
    <xf numFmtId="0" fontId="56" fillId="39" borderId="0" xfId="0" applyFont="1" applyFill="1" applyAlignment="1">
      <alignment horizontal="center" vertical="center"/>
    </xf>
    <xf numFmtId="0" fontId="56" fillId="39" borderId="73" xfId="0" applyFont="1" applyFill="1" applyBorder="1" applyAlignment="1">
      <alignment horizontal="center" vertical="center" wrapText="1"/>
    </xf>
    <xf numFmtId="0" fontId="56" fillId="39" borderId="74" xfId="0" applyFont="1" applyFill="1" applyBorder="1" applyAlignment="1">
      <alignment horizontal="center" vertical="center" wrapText="1"/>
    </xf>
    <xf numFmtId="0" fontId="56" fillId="39" borderId="75" xfId="0" applyFont="1" applyFill="1" applyBorder="1" applyAlignment="1">
      <alignment horizontal="center" vertical="center" wrapText="1"/>
    </xf>
    <xf numFmtId="0" fontId="56" fillId="39" borderId="67" xfId="0" applyFont="1" applyFill="1" applyBorder="1" applyAlignment="1">
      <alignment horizontal="center" vertical="center" wrapText="1"/>
    </xf>
    <xf numFmtId="0" fontId="37" fillId="16" borderId="2" xfId="0" applyFont="1" applyFill="1" applyBorder="1" applyAlignment="1">
      <alignment horizontal="center" vertical="center"/>
    </xf>
    <xf numFmtId="0" fontId="37" fillId="0" borderId="2" xfId="0" applyFont="1" applyBorder="1" applyAlignment="1">
      <alignment horizontal="center" vertical="center"/>
    </xf>
    <xf numFmtId="0" fontId="37" fillId="25" borderId="2" xfId="0" applyFont="1" applyFill="1" applyBorder="1" applyAlignment="1">
      <alignment horizontal="center" vertical="center"/>
    </xf>
    <xf numFmtId="164" fontId="50" fillId="0" borderId="81" xfId="1" applyFont="1" applyFill="1" applyBorder="1" applyAlignment="1">
      <alignment horizontal="center" vertical="center"/>
    </xf>
    <xf numFmtId="164" fontId="50" fillId="0" borderId="43" xfId="1" applyFont="1" applyFill="1" applyBorder="1" applyAlignment="1">
      <alignment horizontal="center" vertical="center"/>
    </xf>
    <xf numFmtId="164" fontId="50" fillId="0" borderId="82" xfId="1" applyFont="1" applyFill="1" applyBorder="1" applyAlignment="1">
      <alignment horizontal="center" vertical="center"/>
    </xf>
    <xf numFmtId="164" fontId="50" fillId="16" borderId="81" xfId="1" applyFont="1" applyFill="1" applyBorder="1" applyAlignment="1">
      <alignment horizontal="center"/>
    </xf>
    <xf numFmtId="164" fontId="50" fillId="16" borderId="82" xfId="1" applyFont="1" applyFill="1" applyBorder="1" applyAlignment="1">
      <alignment horizontal="center"/>
    </xf>
    <xf numFmtId="164" fontId="50" fillId="16" borderId="81" xfId="1" applyFont="1" applyFill="1" applyBorder="1" applyAlignment="1">
      <alignment horizontal="center" vertical="center"/>
    </xf>
    <xf numFmtId="164" fontId="50" fillId="16" borderId="82" xfId="1" applyFont="1" applyFill="1" applyBorder="1" applyAlignment="1">
      <alignment horizontal="center" vertical="center"/>
    </xf>
    <xf numFmtId="0" fontId="4" fillId="12" borderId="2" xfId="0" applyFont="1" applyFill="1" applyBorder="1" applyAlignment="1">
      <alignment horizontal="center" vertical="center" wrapText="1"/>
    </xf>
    <xf numFmtId="165" fontId="52" fillId="12" borderId="51" xfId="15" applyNumberFormat="1" applyFont="1" applyFill="1" applyBorder="1" applyAlignment="1">
      <alignment horizontal="center" vertical="center" wrapText="1"/>
    </xf>
    <xf numFmtId="165" fontId="52" fillId="12" borderId="52" xfId="15" applyNumberFormat="1" applyFont="1" applyFill="1" applyBorder="1" applyAlignment="1">
      <alignment horizontal="center" vertical="center" wrapText="1"/>
    </xf>
    <xf numFmtId="0" fontId="76" fillId="0" borderId="83" xfId="0" applyFont="1" applyBorder="1" applyAlignment="1">
      <alignment horizontal="left" vertical="center" wrapText="1"/>
    </xf>
    <xf numFmtId="0" fontId="76" fillId="0" borderId="0" xfId="0" applyFont="1" applyAlignment="1">
      <alignment horizontal="left" vertical="center" wrapText="1"/>
    </xf>
    <xf numFmtId="0" fontId="76" fillId="0" borderId="83" xfId="1" applyNumberFormat="1" applyFont="1" applyBorder="1" applyAlignment="1">
      <alignment horizontal="left" vertical="center" wrapText="1"/>
    </xf>
    <xf numFmtId="0" fontId="76" fillId="0" borderId="0" xfId="1" applyNumberFormat="1" applyFont="1" applyAlignment="1">
      <alignment horizontal="left" vertical="center"/>
    </xf>
  </cellXfs>
  <cellStyles count="17">
    <cellStyle name="Lien hypertexte" xfId="10" builtinId="8"/>
    <cellStyle name="Milliers" xfId="1" builtinId="3"/>
    <cellStyle name="Milliers 2" xfId="13" xr:uid="{13D8EB1F-A9BB-4F53-858B-AB14E2FC13A3}"/>
    <cellStyle name="Milliers 3" xfId="8" xr:uid="{847F6BA0-5ED4-4A84-87D7-F9F8DF799442}"/>
    <cellStyle name="Milliers 3 2" xfId="14" xr:uid="{D2E7E5A3-45FF-4B4B-8514-A6402C6D5307}"/>
    <cellStyle name="Milliers 4" xfId="15" xr:uid="{E5AD9580-F696-4F34-9F68-8BEA28447082}"/>
    <cellStyle name="Normal" xfId="0" builtinId="0"/>
    <cellStyle name="Normal 2" xfId="6" xr:uid="{8FB01B83-C567-4BEC-B0E6-816F27DAD689}"/>
    <cellStyle name="Normal 2 2" xfId="4" xr:uid="{2AB98DAC-30B7-418C-97AA-EC50FB702D8E}"/>
    <cellStyle name="Normal 3" xfId="12" xr:uid="{558964E5-7490-4CB9-8E29-C58D4EE4AD92}"/>
    <cellStyle name="Normal 3 2 2" xfId="5" xr:uid="{028C77DB-B5EF-42AB-8BB5-4ABB01CBD2D5}"/>
    <cellStyle name="Normal 8" xfId="7" xr:uid="{7DCB9EC1-2884-4044-B51D-92BBC6BFA587}"/>
    <cellStyle name="Normal_Feuil2" xfId="16" xr:uid="{E3C9830D-0E22-4852-B0F4-0C30F68BC44E}"/>
    <cellStyle name="Normal_flux 2020" xfId="9" xr:uid="{0E0845F7-E765-4CEB-9FAB-48DF0ABFCCF3}"/>
    <cellStyle name="Normal_Licenses_Requête" xfId="11" xr:uid="{B67C891D-1D02-4EF8-811F-EB64635535B8}"/>
    <cellStyle name="Pourcentage" xfId="2" builtinId="5"/>
    <cellStyle name="Satisfaisant 2" xfId="3" xr:uid="{A19CA0CE-DB93-43F2-89ED-1CE153AC2DAF}"/>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0"/>
        <name val="Trebuchet MS"/>
        <scheme val="none"/>
      </font>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name val="Trebuchet MS"/>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Trebuchet MS"/>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Trebuchet MS"/>
        <scheme val="none"/>
      </font>
      <alignment horizontal="general" vertical="center" textRotation="0" wrapText="0" indent="0" justifyLastLine="0" shrinkToFit="0" readingOrder="0"/>
    </dxf>
    <dxf>
      <border>
        <bottom style="thin">
          <color indexed="64"/>
        </bottom>
      </border>
    </dxf>
    <dxf>
      <font>
        <strike val="0"/>
        <outline val="0"/>
        <shadow val="0"/>
        <u val="none"/>
        <vertAlign val="baseline"/>
        <sz val="10"/>
        <color theme="0"/>
        <name val="Trebuchet MS"/>
        <scheme val="none"/>
      </font>
      <fill>
        <patternFill patternType="solid">
          <fgColor indexed="64"/>
          <bgColor rgb="FF748A96"/>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748A96"/>
      <color rgb="FF0000FF"/>
      <color rgb="FFE2EFD9"/>
      <color rgb="FF1BA4A1"/>
      <color rgb="FFA4E7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2.xml"/><Relationship Id="rId75"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 Id="rId4"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0</xdr:col>
      <xdr:colOff>57150</xdr:colOff>
      <xdr:row>3</xdr:row>
      <xdr:rowOff>47625</xdr:rowOff>
    </xdr:from>
    <xdr:to>
      <xdr:col>0</xdr:col>
      <xdr:colOff>542925</xdr:colOff>
      <xdr:row>3</xdr:row>
      <xdr:rowOff>171450</xdr:rowOff>
    </xdr:to>
    <xdr:sp macro="" textlink="">
      <xdr:nvSpPr>
        <xdr:cNvPr id="2" name="Arrow: Right 1">
          <a:extLst>
            <a:ext uri="{FF2B5EF4-FFF2-40B4-BE49-F238E27FC236}">
              <a16:creationId xmlns:a16="http://schemas.microsoft.com/office/drawing/2014/main" id="{00000000-0008-0000-0100-000002000000}"/>
            </a:ext>
          </a:extLst>
        </xdr:cNvPr>
        <xdr:cNvSpPr/>
      </xdr:nvSpPr>
      <xdr:spPr>
        <a:xfrm>
          <a:off x="57150" y="649605"/>
          <a:ext cx="485775" cy="12382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66675</xdr:colOff>
      <xdr:row>57</xdr:row>
      <xdr:rowOff>57150</xdr:rowOff>
    </xdr:from>
    <xdr:to>
      <xdr:col>0</xdr:col>
      <xdr:colOff>552450</xdr:colOff>
      <xdr:row>58</xdr:row>
      <xdr:rowOff>0</xdr:rowOff>
    </xdr:to>
    <xdr:sp macro="" textlink="">
      <xdr:nvSpPr>
        <xdr:cNvPr id="3" name="Arrow: Right 2">
          <a:extLst>
            <a:ext uri="{FF2B5EF4-FFF2-40B4-BE49-F238E27FC236}">
              <a16:creationId xmlns:a16="http://schemas.microsoft.com/office/drawing/2014/main" id="{00000000-0008-0000-0100-000003000000}"/>
            </a:ext>
          </a:extLst>
        </xdr:cNvPr>
        <xdr:cNvSpPr/>
      </xdr:nvSpPr>
      <xdr:spPr>
        <a:xfrm>
          <a:off x="66675" y="10641330"/>
          <a:ext cx="485775" cy="12573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152400</xdr:colOff>
      <xdr:row>0</xdr:row>
      <xdr:rowOff>0</xdr:rowOff>
    </xdr:from>
    <xdr:ext cx="1962150" cy="542925"/>
    <xdr:pic>
      <xdr:nvPicPr>
        <xdr:cNvPr id="2" name="Image 3">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52400" y="0"/>
          <a:ext cx="1962150" cy="5429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17</xdr:col>
      <xdr:colOff>0</xdr:colOff>
      <xdr:row>93652</xdr:row>
      <xdr:rowOff>0</xdr:rowOff>
    </xdr:from>
    <xdr:ext cx="65" cy="172227"/>
    <xdr:sp macro="" textlink="">
      <xdr:nvSpPr>
        <xdr:cNvPr id="2" name="ZoneTexte 1">
          <a:extLst>
            <a:ext uri="{FF2B5EF4-FFF2-40B4-BE49-F238E27FC236}">
              <a16:creationId xmlns:a16="http://schemas.microsoft.com/office/drawing/2014/main" id="{00000000-0008-0000-2100-000002000000}"/>
            </a:ext>
          </a:extLst>
        </xdr:cNvPr>
        <xdr:cNvSpPr txBox="1"/>
      </xdr:nvSpPr>
      <xdr:spPr>
        <a:xfrm>
          <a:off x="18653760" y="17130826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17</xdr:col>
      <xdr:colOff>0</xdr:colOff>
      <xdr:row>94558</xdr:row>
      <xdr:rowOff>0</xdr:rowOff>
    </xdr:from>
    <xdr:ext cx="65" cy="172227"/>
    <xdr:sp macro="" textlink="">
      <xdr:nvSpPr>
        <xdr:cNvPr id="3" name="ZoneTexte 2">
          <a:extLst>
            <a:ext uri="{FF2B5EF4-FFF2-40B4-BE49-F238E27FC236}">
              <a16:creationId xmlns:a16="http://schemas.microsoft.com/office/drawing/2014/main" id="{00000000-0008-0000-2100-000003000000}"/>
            </a:ext>
          </a:extLst>
        </xdr:cNvPr>
        <xdr:cNvSpPr txBox="1"/>
      </xdr:nvSpPr>
      <xdr:spPr>
        <a:xfrm>
          <a:off x="18653760" y="172965160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17</xdr:col>
      <xdr:colOff>0</xdr:colOff>
      <xdr:row>107481</xdr:row>
      <xdr:rowOff>0</xdr:rowOff>
    </xdr:from>
    <xdr:ext cx="65" cy="172227"/>
    <xdr:sp macro="" textlink="">
      <xdr:nvSpPr>
        <xdr:cNvPr id="4" name="ZoneTexte 3">
          <a:extLst>
            <a:ext uri="{FF2B5EF4-FFF2-40B4-BE49-F238E27FC236}">
              <a16:creationId xmlns:a16="http://schemas.microsoft.com/office/drawing/2014/main" id="{00000000-0008-0000-2100-000004000000}"/>
            </a:ext>
          </a:extLst>
        </xdr:cNvPr>
        <xdr:cNvSpPr txBox="1"/>
      </xdr:nvSpPr>
      <xdr:spPr>
        <a:xfrm>
          <a:off x="18653760" y="196598743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17</xdr:col>
      <xdr:colOff>0</xdr:colOff>
      <xdr:row>93652</xdr:row>
      <xdr:rowOff>0</xdr:rowOff>
    </xdr:from>
    <xdr:ext cx="65" cy="172227"/>
    <xdr:sp macro="" textlink="">
      <xdr:nvSpPr>
        <xdr:cNvPr id="5" name="ZoneTexte 4">
          <a:extLst>
            <a:ext uri="{FF2B5EF4-FFF2-40B4-BE49-F238E27FC236}">
              <a16:creationId xmlns:a16="http://schemas.microsoft.com/office/drawing/2014/main" id="{00000000-0008-0000-2100-000005000000}"/>
            </a:ext>
          </a:extLst>
        </xdr:cNvPr>
        <xdr:cNvSpPr txBox="1"/>
      </xdr:nvSpPr>
      <xdr:spPr>
        <a:xfrm>
          <a:off x="18653760" y="17130826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17</xdr:col>
      <xdr:colOff>0</xdr:colOff>
      <xdr:row>107928</xdr:row>
      <xdr:rowOff>0</xdr:rowOff>
    </xdr:from>
    <xdr:ext cx="65" cy="172227"/>
    <xdr:sp macro="" textlink="">
      <xdr:nvSpPr>
        <xdr:cNvPr id="6" name="ZoneTexte 5">
          <a:extLst>
            <a:ext uri="{FF2B5EF4-FFF2-40B4-BE49-F238E27FC236}">
              <a16:creationId xmlns:a16="http://schemas.microsoft.com/office/drawing/2014/main" id="{00000000-0008-0000-2100-000006000000}"/>
            </a:ext>
          </a:extLst>
        </xdr:cNvPr>
        <xdr:cNvSpPr txBox="1"/>
      </xdr:nvSpPr>
      <xdr:spPr>
        <a:xfrm>
          <a:off x="18653760" y="197416216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160020</xdr:colOff>
      <xdr:row>3</xdr:row>
      <xdr:rowOff>22860</xdr:rowOff>
    </xdr:from>
    <xdr:to>
      <xdr:col>0</xdr:col>
      <xdr:colOff>381000</xdr:colOff>
      <xdr:row>4</xdr:row>
      <xdr:rowOff>0</xdr:rowOff>
    </xdr:to>
    <xdr:sp macro="" textlink="">
      <xdr:nvSpPr>
        <xdr:cNvPr id="2" name="Arrow: Right 1">
          <a:extLst>
            <a:ext uri="{FF2B5EF4-FFF2-40B4-BE49-F238E27FC236}">
              <a16:creationId xmlns:a16="http://schemas.microsoft.com/office/drawing/2014/main" id="{00000000-0008-0000-2E00-000002000000}"/>
            </a:ext>
          </a:extLst>
        </xdr:cNvPr>
        <xdr:cNvSpPr/>
      </xdr:nvSpPr>
      <xdr:spPr>
        <a:xfrm>
          <a:off x="160020" y="480060"/>
          <a:ext cx="220980" cy="12954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114300</xdr:colOff>
      <xdr:row>62</xdr:row>
      <xdr:rowOff>15240</xdr:rowOff>
    </xdr:from>
    <xdr:to>
      <xdr:col>0</xdr:col>
      <xdr:colOff>335280</xdr:colOff>
      <xdr:row>62</xdr:row>
      <xdr:rowOff>144780</xdr:rowOff>
    </xdr:to>
    <xdr:sp macro="" textlink="">
      <xdr:nvSpPr>
        <xdr:cNvPr id="3" name="Arrow: Right 2">
          <a:extLst>
            <a:ext uri="{FF2B5EF4-FFF2-40B4-BE49-F238E27FC236}">
              <a16:creationId xmlns:a16="http://schemas.microsoft.com/office/drawing/2014/main" id="{00000000-0008-0000-2E00-000003000000}"/>
            </a:ext>
          </a:extLst>
        </xdr:cNvPr>
        <xdr:cNvSpPr/>
      </xdr:nvSpPr>
      <xdr:spPr>
        <a:xfrm>
          <a:off x="114300" y="9631680"/>
          <a:ext cx="220980" cy="12954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20</xdr:row>
      <xdr:rowOff>2720340</xdr:rowOff>
    </xdr:from>
    <xdr:to>
      <xdr:col>1</xdr:col>
      <xdr:colOff>527050</xdr:colOff>
      <xdr:row>20</xdr:row>
      <xdr:rowOff>2721610</xdr:rowOff>
    </xdr:to>
    <xdr:sp macro="" textlink="">
      <xdr:nvSpPr>
        <xdr:cNvPr id="2" name="Graphic 3">
          <a:extLst>
            <a:ext uri="{FF2B5EF4-FFF2-40B4-BE49-F238E27FC236}">
              <a16:creationId xmlns:a16="http://schemas.microsoft.com/office/drawing/2014/main" id="{00000000-0008-0000-3300-000002000000}"/>
            </a:ext>
          </a:extLst>
        </xdr:cNvPr>
        <xdr:cNvSpPr>
          <a:spLocks/>
        </xdr:cNvSpPr>
      </xdr:nvSpPr>
      <xdr:spPr>
        <a:xfrm>
          <a:off x="0" y="3507740"/>
          <a:ext cx="831850" cy="0"/>
        </a:xfrm>
        <a:custGeom>
          <a:avLst/>
          <a:gdLst/>
          <a:ahLst/>
          <a:cxnLst/>
          <a:rect l="l" t="t" r="r" b="b"/>
          <a:pathLst>
            <a:path w="1136650">
              <a:moveTo>
                <a:pt x="0" y="0"/>
              </a:moveTo>
              <a:lnTo>
                <a:pt x="1136607" y="0"/>
              </a:lnTo>
            </a:path>
          </a:pathLst>
        </a:custGeom>
        <a:ln w="9159">
          <a:solidFill>
            <a:srgbClr val="000000"/>
          </a:solidFill>
          <a:prstDash val="solid"/>
        </a:ln>
      </xdr:spPr>
      <xdr:txBody>
        <a:bodyPr wrap="square" lIns="0" tIns="0" rIns="0" bIns="0" rtlCol="0">
          <a:prstTxWarp prst="textNoShape">
            <a:avLst/>
          </a:prstTxWarp>
          <a:noAutofit/>
        </a:bodyPr>
        <a:lstStyle/>
        <a:p>
          <a:endParaRPr lang="en-US"/>
        </a:p>
      </xdr:txBody>
    </xdr:sp>
    <xdr:clientData/>
  </xdr:twoCellAnchor>
  <xdr:twoCellAnchor>
    <xdr:from>
      <xdr:col>12</xdr:col>
      <xdr:colOff>213360</xdr:colOff>
      <xdr:row>87</xdr:row>
      <xdr:rowOff>2918460</xdr:rowOff>
    </xdr:from>
    <xdr:to>
      <xdr:col>12</xdr:col>
      <xdr:colOff>219075</xdr:colOff>
      <xdr:row>87</xdr:row>
      <xdr:rowOff>3244215</xdr:rowOff>
    </xdr:to>
    <xdr:sp macro="" textlink="">
      <xdr:nvSpPr>
        <xdr:cNvPr id="3" name="Graphic 4">
          <a:extLst>
            <a:ext uri="{FF2B5EF4-FFF2-40B4-BE49-F238E27FC236}">
              <a16:creationId xmlns:a16="http://schemas.microsoft.com/office/drawing/2014/main" id="{00000000-0008-0000-3300-000003000000}"/>
            </a:ext>
          </a:extLst>
        </xdr:cNvPr>
        <xdr:cNvSpPr>
          <a:spLocks/>
        </xdr:cNvSpPr>
      </xdr:nvSpPr>
      <xdr:spPr>
        <a:xfrm>
          <a:off x="11751310" y="13713460"/>
          <a:ext cx="5715" cy="1905"/>
        </a:xfrm>
        <a:custGeom>
          <a:avLst/>
          <a:gdLst/>
          <a:ahLst/>
          <a:cxnLst/>
          <a:rect l="l" t="t" r="r" b="b"/>
          <a:pathLst>
            <a:path w="5715" h="325755">
              <a:moveTo>
                <a:pt x="0" y="325168"/>
              </a:moveTo>
              <a:lnTo>
                <a:pt x="0" y="0"/>
              </a:lnTo>
              <a:lnTo>
                <a:pt x="5618" y="0"/>
              </a:lnTo>
              <a:lnTo>
                <a:pt x="5618" y="325168"/>
              </a:lnTo>
              <a:lnTo>
                <a:pt x="0" y="325168"/>
              </a:lnTo>
              <a:close/>
            </a:path>
          </a:pathLst>
        </a:custGeom>
        <a:solidFill>
          <a:srgbClr val="000000"/>
        </a:solidFill>
      </xdr:spPr>
      <xdr:txBody>
        <a:bodyPr wrap="square" lIns="0" tIns="0" rIns="0" bIns="0" rtlCol="0">
          <a:prstTxWarp prst="textNoShape">
            <a:avLst/>
          </a:prstTxWarp>
          <a:noAutofit/>
        </a:bodyPr>
        <a:lstStyle/>
        <a:p>
          <a:endParaRPr lang="en-US"/>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247650</xdr:colOff>
          <xdr:row>7</xdr:row>
          <xdr:rowOff>0</xdr:rowOff>
        </xdr:from>
        <xdr:to>
          <xdr:col>2</xdr:col>
          <xdr:colOff>361950</xdr:colOff>
          <xdr:row>10</xdr:row>
          <xdr:rowOff>133350</xdr:rowOff>
        </xdr:to>
        <xdr:sp macro="" textlink="">
          <xdr:nvSpPr>
            <xdr:cNvPr id="308225" name="Object 1" hidden="1">
              <a:extLst>
                <a:ext uri="{63B3BB69-23CF-44E3-9099-C40C66FF867C}">
                  <a14:compatExt spid="_x0000_s308225"/>
                </a:ext>
                <a:ext uri="{FF2B5EF4-FFF2-40B4-BE49-F238E27FC236}">
                  <a16:creationId xmlns:a16="http://schemas.microsoft.com/office/drawing/2014/main" id="{00000000-0008-0000-4300-000001B404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7</xdr:row>
          <xdr:rowOff>38100</xdr:rowOff>
        </xdr:from>
        <xdr:to>
          <xdr:col>4</xdr:col>
          <xdr:colOff>152400</xdr:colOff>
          <xdr:row>10</xdr:row>
          <xdr:rowOff>171450</xdr:rowOff>
        </xdr:to>
        <xdr:sp macro="" textlink="">
          <xdr:nvSpPr>
            <xdr:cNvPr id="308226" name="Object 2" hidden="1">
              <a:extLst>
                <a:ext uri="{63B3BB69-23CF-44E3-9099-C40C66FF867C}">
                  <a14:compatExt spid="_x0000_s308226"/>
                </a:ext>
                <a:ext uri="{FF2B5EF4-FFF2-40B4-BE49-F238E27FC236}">
                  <a16:creationId xmlns:a16="http://schemas.microsoft.com/office/drawing/2014/main" id="{00000000-0008-0000-4300-000002B404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717550</xdr:colOff>
          <xdr:row>7</xdr:row>
          <xdr:rowOff>50800</xdr:rowOff>
        </xdr:from>
        <xdr:to>
          <xdr:col>6</xdr:col>
          <xdr:colOff>50800</xdr:colOff>
          <xdr:row>11</xdr:row>
          <xdr:rowOff>0</xdr:rowOff>
        </xdr:to>
        <xdr:sp macro="" textlink="">
          <xdr:nvSpPr>
            <xdr:cNvPr id="308227" name="Object 3" hidden="1">
              <a:extLst>
                <a:ext uri="{63B3BB69-23CF-44E3-9099-C40C66FF867C}">
                  <a14:compatExt spid="_x0000_s308227"/>
                </a:ext>
                <a:ext uri="{FF2B5EF4-FFF2-40B4-BE49-F238E27FC236}">
                  <a16:creationId xmlns:a16="http://schemas.microsoft.com/office/drawing/2014/main" id="{00000000-0008-0000-4300-000003B404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16</xdr:row>
          <xdr:rowOff>12700</xdr:rowOff>
        </xdr:from>
        <xdr:to>
          <xdr:col>2</xdr:col>
          <xdr:colOff>304800</xdr:colOff>
          <xdr:row>19</xdr:row>
          <xdr:rowOff>127000</xdr:rowOff>
        </xdr:to>
        <xdr:sp macro="" textlink="">
          <xdr:nvSpPr>
            <xdr:cNvPr id="308228" name="Object 4" hidden="1">
              <a:extLst>
                <a:ext uri="{63B3BB69-23CF-44E3-9099-C40C66FF867C}">
                  <a14:compatExt spid="_x0000_s308228"/>
                </a:ext>
                <a:ext uri="{FF2B5EF4-FFF2-40B4-BE49-F238E27FC236}">
                  <a16:creationId xmlns:a16="http://schemas.microsoft.com/office/drawing/2014/main" id="{00000000-0008-0000-4300-000004B404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microsoft.com/office/2019/04/relationships/externalLinkLongPath" Target="Projet%20de%20rapport%20ITIE%20RDC%202023%20(Annexes)%20-%2022-12-2025.xlsx?C6FF05D3" TargetMode="External"/><Relationship Id="rId1" Type="http://schemas.openxmlformats.org/officeDocument/2006/relationships/externalLinkPath" Target="file:///\\C6FF05D3\Projet%20de%20rapport%20ITIE%20RDC%202023%20(Annexes)%20-%2022-12-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nerteamtn-my.sharepoint.com/personal/m_benmbarek_enerteam_tn/Documents/Bureau/Compilation%20rev%202023%20fina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mmaire"/>
      <sheetName val="Annexe 0 "/>
      <sheetName val="Annexe 1.1"/>
      <sheetName val="Annexe 1.2"/>
      <sheetName val="Annexe 2 "/>
      <sheetName val="Annexe 3"/>
      <sheetName val="Annexe 4"/>
      <sheetName val="Annexe 5 "/>
      <sheetName val="Annexe 6"/>
      <sheetName val="Annexe 7 "/>
      <sheetName val="Annexe 8"/>
      <sheetName val="Annexe 9"/>
      <sheetName val="Annexe 10"/>
      <sheetName val="Annexe 11 "/>
      <sheetName val="Annexe 12 "/>
      <sheetName val="Annexe 13 "/>
      <sheetName val="Annexe 14"/>
      <sheetName val="Annexe 15 "/>
      <sheetName val="Annexe 16 "/>
      <sheetName val="Annexe 17.1 "/>
      <sheetName val="Annexe 17.2"/>
      <sheetName val="Annexe 18.1"/>
      <sheetName val="Annexe 18.2"/>
      <sheetName val="Annexe 19"/>
      <sheetName val="Annexe 20"/>
      <sheetName val="Annexe 21"/>
      <sheetName val="Annexe 22"/>
      <sheetName val="Annexe 23"/>
      <sheetName val="Annexe 24"/>
      <sheetName val="Annexe 25 "/>
      <sheetName val="Annexe 26"/>
      <sheetName val="Annexe 27"/>
      <sheetName val="Annexe 28"/>
      <sheetName val="Annexe 29"/>
      <sheetName val="Annexe 30"/>
      <sheetName val="Annexe 31"/>
      <sheetName val="Annexe 32"/>
      <sheetName val="Annexe 33"/>
      <sheetName val="Annexe 34"/>
      <sheetName val="Annexe 35"/>
      <sheetName val="Annexe 36"/>
      <sheetName val="Annexe 37"/>
      <sheetName val="Annexe 38 "/>
      <sheetName val="Annexe 39 "/>
      <sheetName val="Annexe 40"/>
      <sheetName val="Annexe 41 "/>
      <sheetName val="Annexe 42 "/>
      <sheetName val="Annexe 43"/>
      <sheetName val="Annexe 44 "/>
      <sheetName val="Annexe 45"/>
      <sheetName val="Annexe 46"/>
      <sheetName val="Annexe 47"/>
      <sheetName val="Annexe 48"/>
      <sheetName val="Annexe 49"/>
      <sheetName val="Annexe 50"/>
      <sheetName val="Annexe 51"/>
      <sheetName val="Annexe 52"/>
      <sheetName val="Annexe 53"/>
      <sheetName val="Annexe 54"/>
      <sheetName val="Annexe 55"/>
      <sheetName val="Annexe 56 "/>
      <sheetName val="Annexe 57 "/>
      <sheetName val="Annexe 58"/>
      <sheetName val="Annexe 5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493">
          <cell r="C493">
            <v>5611050849</v>
          </cell>
          <cell r="D493">
            <v>234301020</v>
          </cell>
        </row>
      </sheetData>
      <sheetData sheetId="34">
        <row r="486">
          <cell r="C486">
            <v>5611050849</v>
          </cell>
        </row>
      </sheetData>
      <sheetData sheetId="35" refreshError="1"/>
      <sheetData sheetId="36" refreshError="1"/>
      <sheetData sheetId="37" refreshError="1"/>
      <sheetData sheetId="38"/>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refreshError="1"/>
      <sheetData sheetId="55"/>
      <sheetData sheetId="56" refreshError="1"/>
      <sheetData sheetId="57"/>
      <sheetData sheetId="58"/>
      <sheetData sheetId="59"/>
      <sheetData sheetId="60" refreshError="1"/>
      <sheetData sheetId="61"/>
      <sheetData sheetId="62" refreshError="1"/>
      <sheetData sheetId="6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Compilation globale"/>
      <sheetName val="Mapping "/>
      <sheetName val="chiff.clés"/>
      <sheetName val="EP"/>
      <sheetName val="contribution"/>
      <sheetName val="Rev budg variation"/>
      <sheetName val="Revenus budgétaires"/>
      <sheetName val="Prod exp et rappro"/>
      <sheetName val="Prod-exp"/>
    </sheetNames>
    <sheetDataSet>
      <sheetData sheetId="0">
        <row r="6">
          <cell r="C6" t="str">
            <v>x</v>
          </cell>
          <cell r="D6" t="str">
            <v>x</v>
          </cell>
        </row>
        <row r="7">
          <cell r="C7" t="str">
            <v>ALPHAMINBISIE MINING SA</v>
          </cell>
          <cell r="D7">
            <v>130880605</v>
          </cell>
        </row>
        <row r="8">
          <cell r="C8" t="str">
            <v>CHEMICAL OF AFRICA Sarl</v>
          </cell>
          <cell r="D8">
            <v>46816176</v>
          </cell>
        </row>
        <row r="9">
          <cell r="C9" t="str">
            <v>CHENGTUN CONGO RESSOURCES SARL</v>
          </cell>
          <cell r="D9">
            <v>56084334</v>
          </cell>
        </row>
        <row r="10">
          <cell r="C10" t="str">
            <v>CMOC KISANFU MINING SARL (Ex. PHELPS DODGE CONGO SARL)</v>
          </cell>
          <cell r="D10">
            <v>163674780</v>
          </cell>
        </row>
        <row r="11">
          <cell r="C11" t="str">
            <v>CNMC HUACHIN MABENDE MINING SPRL</v>
          </cell>
          <cell r="D11">
            <v>48209608</v>
          </cell>
        </row>
        <row r="12">
          <cell r="C12" t="str">
            <v>COMPAGNIE D'EXPLOITATION DES REJETS DE KINGAMYAMBO SARL</v>
          </cell>
          <cell r="D12">
            <v>238808556</v>
          </cell>
        </row>
        <row r="13">
          <cell r="C13" t="str">
            <v>COMPAGNIE MINIERE DE KAMBOVE</v>
          </cell>
          <cell r="D13">
            <v>182106644</v>
          </cell>
        </row>
        <row r="14">
          <cell r="C14" t="str">
            <v>Compagnie Minière de Luisha SAS</v>
          </cell>
          <cell r="D14">
            <v>60518060</v>
          </cell>
        </row>
        <row r="15">
          <cell r="C15" t="str">
            <v>CONGO DONGFANG INTERNATIONAL MINING</v>
          </cell>
          <cell r="D15">
            <v>54701224</v>
          </cell>
        </row>
        <row r="16">
          <cell r="C16" t="str">
            <v>EXCELLENT MINERALS</v>
          </cell>
          <cell r="D16">
            <v>30202753</v>
          </cell>
        </row>
        <row r="17">
          <cell r="C17" t="str">
            <v>FRONTIER SA</v>
          </cell>
          <cell r="D17">
            <v>92410162</v>
          </cell>
        </row>
        <row r="18">
          <cell r="C18" t="str">
            <v>GENERALE DES CARRIERES ET DES MINES</v>
          </cell>
          <cell r="D18">
            <v>17397065</v>
          </cell>
        </row>
        <row r="19">
          <cell r="C19" t="str">
            <v>HANRUI METAL CONGO SARL</v>
          </cell>
          <cell r="D19">
            <v>24901140</v>
          </cell>
        </row>
        <row r="20">
          <cell r="C20" t="str">
            <v>HUACHIN METAL LEACH SPRL</v>
          </cell>
          <cell r="D20">
            <v>29436887</v>
          </cell>
        </row>
        <row r="21">
          <cell r="C21" t="str">
            <v>KAI PENG MINING</v>
          </cell>
          <cell r="D21">
            <v>81536702</v>
          </cell>
        </row>
        <row r="22">
          <cell r="C22" t="str">
            <v>KALONGWE MINING SA</v>
          </cell>
          <cell r="D22">
            <v>28220485</v>
          </cell>
        </row>
        <row r="23">
          <cell r="C23" t="str">
            <v>KAMBOVE MINING SAS</v>
          </cell>
          <cell r="D23">
            <v>72234236</v>
          </cell>
        </row>
        <row r="24">
          <cell r="C24" t="str">
            <v>KAMOA COPPER SA (ex. BARBADOS)</v>
          </cell>
          <cell r="D24">
            <v>504773180</v>
          </cell>
        </row>
        <row r="25">
          <cell r="C25" t="str">
            <v>KAMOTO COPPER COMPANY SA</v>
          </cell>
          <cell r="D25">
            <v>655427389</v>
          </cell>
        </row>
        <row r="26">
          <cell r="C26" t="str">
            <v>KIBALI GOLD MINES</v>
          </cell>
          <cell r="D26">
            <v>187995253</v>
          </cell>
        </row>
        <row r="27">
          <cell r="C27" t="str">
            <v>KISANFU MINING</v>
          </cell>
          <cell r="D27">
            <v>26165987</v>
          </cell>
        </row>
        <row r="28">
          <cell r="C28" t="str">
            <v>KISENDA COPPER COMPAGNY(KICC-EX-MMK)</v>
          </cell>
          <cell r="D28">
            <v>36817332</v>
          </cell>
        </row>
        <row r="29">
          <cell r="C29" t="str">
            <v>LA COMPAGNIE MINIERE DE MUSONOIE GLOBAL</v>
          </cell>
          <cell r="D29">
            <v>283386044</v>
          </cell>
        </row>
        <row r="30">
          <cell r="C30" t="str">
            <v>La Congolaise d'Exploitation Minière</v>
          </cell>
          <cell r="D30">
            <v>681409</v>
          </cell>
        </row>
        <row r="31">
          <cell r="C31" t="str">
            <v>LA MINIERE DE KALUKUNDI SPRL (LAMIKAL)</v>
          </cell>
          <cell r="D31">
            <v>80058049</v>
          </cell>
        </row>
        <row r="32">
          <cell r="C32" t="str">
            <v>LA MINIERE DE KALUMBWE MYUNGA</v>
          </cell>
          <cell r="D32">
            <v>22038729</v>
          </cell>
        </row>
        <row r="33">
          <cell r="C33" t="str">
            <v>LA MINIERE DE KASOMBO</v>
          </cell>
          <cell r="D33">
            <v>29750682</v>
          </cell>
        </row>
        <row r="34">
          <cell r="C34" t="str">
            <v>LUALABA COPPER SMELTER SAS</v>
          </cell>
          <cell r="D34">
            <v>24346109</v>
          </cell>
        </row>
        <row r="35">
          <cell r="C35" t="str">
            <v>LUILU RESSOURCES SAS</v>
          </cell>
          <cell r="D35">
            <v>34724770</v>
          </cell>
        </row>
        <row r="36">
          <cell r="C36" t="str">
            <v>MMG KINSEVERE SARL (MMG)</v>
          </cell>
          <cell r="D36">
            <v>87350483</v>
          </cell>
        </row>
        <row r="37">
          <cell r="C37" t="str">
            <v>MUTANDA MINING (MUMI)</v>
          </cell>
          <cell r="D37">
            <v>229070318</v>
          </cell>
        </row>
        <row r="38">
          <cell r="C38" t="str">
            <v>NEW MINERALS INVESTEMENT</v>
          </cell>
          <cell r="D38">
            <v>27819297</v>
          </cell>
        </row>
        <row r="39">
          <cell r="C39" t="str">
            <v>RUASHI MINING</v>
          </cell>
          <cell r="D39">
            <v>61016402</v>
          </cell>
        </row>
        <row r="40">
          <cell r="C40" t="str">
            <v>SABWE MINING SARL</v>
          </cell>
          <cell r="D40">
            <v>21014618</v>
          </cell>
        </row>
        <row r="41">
          <cell r="C41" t="str">
            <v>SHITURU MINING CORPORATION</v>
          </cell>
          <cell r="D41">
            <v>40685227</v>
          </cell>
        </row>
        <row r="42">
          <cell r="C42" t="str">
            <v>SINO CONGOLAISE DES MINES</v>
          </cell>
          <cell r="D42">
            <v>82351262</v>
          </cell>
        </row>
        <row r="43">
          <cell r="C43" t="str">
            <v>SOCIETE ANHUI CONGO D'INVESTIMENT MINIER</v>
          </cell>
          <cell r="D43">
            <v>2128960</v>
          </cell>
        </row>
        <row r="44">
          <cell r="C44" t="str">
            <v>Société Aurifère du Kivu et du Maniema</v>
          </cell>
          <cell r="D44">
            <v>762874</v>
          </cell>
        </row>
        <row r="45">
          <cell r="C45" t="str">
            <v>SOCIETE CNMC CONGO COMPAGNIE MINIERE SARL</v>
          </cell>
          <cell r="D45">
            <v>28019399</v>
          </cell>
        </row>
        <row r="46">
          <cell r="C46" t="str">
            <v>Société Commerciale Minière de Kisenge Managnèse</v>
          </cell>
          <cell r="D46">
            <v>94572</v>
          </cell>
        </row>
        <row r="47">
          <cell r="C47" t="str">
            <v>SOCIETE D'EXPLOITATION KIPOI</v>
          </cell>
          <cell r="D47">
            <v>42109143</v>
          </cell>
        </row>
        <row r="48">
          <cell r="C48" t="str">
            <v>Société du Développement Industriel et Minier du Congo</v>
          </cell>
          <cell r="D48">
            <v>300430</v>
          </cell>
        </row>
        <row r="49">
          <cell r="C49" t="str">
            <v>Société Minière de Bakwanga</v>
          </cell>
          <cell r="D49">
            <v>100257</v>
          </cell>
        </row>
        <row r="50">
          <cell r="C50" t="str">
            <v>SOCIETE MINIERE DE DEZIWA SAS</v>
          </cell>
          <cell r="D50">
            <v>232902922</v>
          </cell>
        </row>
        <row r="51">
          <cell r="C51" t="str">
            <v>Société Minière de Kilo Moto</v>
          </cell>
          <cell r="D51">
            <v>326607</v>
          </cell>
        </row>
        <row r="52">
          <cell r="C52" t="str">
            <v>SOCIETE MINIERE DU KATANGA</v>
          </cell>
          <cell r="D52">
            <v>40665293</v>
          </cell>
        </row>
        <row r="53">
          <cell r="C53" t="str">
            <v>TENGYUAN COBALT &amp; COPPER RESOURCES</v>
          </cell>
          <cell r="D53">
            <v>44710661</v>
          </cell>
        </row>
        <row r="54">
          <cell r="C54" t="str">
            <v>TENKE FUNGURUME MINING</v>
          </cell>
          <cell r="D54">
            <v>1128539012</v>
          </cell>
        </row>
        <row r="55">
          <cell r="C55" t="str">
            <v>THOMAS MINING SARL</v>
          </cell>
          <cell r="D55">
            <v>30052112</v>
          </cell>
        </row>
      </sheetData>
      <sheetData sheetId="1"/>
      <sheetData sheetId="2"/>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Caleb Bonyi MUKADI" id="{194077F1-0C75-4CF5-B148-12EACFDEA4BB}" userId="Caleb Bonyi MUKADI"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EECFE7B-31F8-436B-AACC-9EDD4F9DBE20}" name="Table13" displayName="Table13" ref="B5:D65" totalsRowShown="0" headerRowDxfId="11" dataDxfId="9" headerRowBorderDxfId="10" tableBorderDxfId="8" totalsRowBorderDxfId="7">
  <tableColumns count="3">
    <tableColumn id="1" xr3:uid="{4B10D265-41F1-4776-9B30-FB423A3F1968}" name="Libellé de Statut" dataDxfId="6"/>
    <tableColumn id="2" xr3:uid="{FA19726F-0209-4022-98D8-A04EAE87EA76}" name="Groupe de Statut" dataDxfId="5"/>
    <tableColumn id="3" xr3:uid="{BA41FFEE-9E71-4106-A510-AF4026106819}" name="Explication" dataDxfId="4"/>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48" dT="2024-08-05T14:29:19.03" personId="{194077F1-0C75-4CF5-B148-12EACFDEA4BB}" id="{12E562CB-4BE3-4B80-9236-4EDF54FAAF3D}">
    <text>Ces flux seront considérés dans le référentiel</text>
  </threadedComment>
  <threadedComment ref="B99" dT="2024-08-05T14:29:48.63" personId="{194077F1-0C75-4CF5-B148-12EACFDEA4BB}" id="{0ABCC48B-591C-4D2E-B837-DBA62915E3C6}">
    <text>Ce flux sera considéré dans le référentiel</text>
  </threadedComment>
</ThreadedComment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s://barrickgold.sharepoint.com/sites/policies-en" TargetMode="External"/><Relationship Id="rId2" Type="http://schemas.openxmlformats.org/officeDocument/2006/relationships/hyperlink" Target="https://www.ergafrica.com/wp-content/uploads/Anti-Bribery-and-Corruption-Policy.pdf" TargetMode="External"/><Relationship Id="rId1" Type="http://schemas.openxmlformats.org/officeDocument/2006/relationships/hyperlink" Target="https://www.ergafrica.com/" TargetMode="External"/><Relationship Id="rId6" Type="http://schemas.openxmlformats.org/officeDocument/2006/relationships/hyperlink" Target="https://en.cmoc.com/html/SustainableDevelopment/Policies/" TargetMode="External"/><Relationship Id="rId5" Type="http://schemas.openxmlformats.org/officeDocument/2006/relationships/hyperlink" Target="https://www.alphaminresources.com/" TargetMode="External"/><Relationship Id="rId4" Type="http://schemas.openxmlformats.org/officeDocument/2006/relationships/hyperlink" Target="https://www.glencore.com/.rest/api/v1/documents/static/21d40c90-b8fb-4976-b149-7eff7f9fb32c/Anti-Corruption+and+Bribery+Policy+%28FRE%29.pdf" TargetMode="Externa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24.xml.rels><?xml version="1.0" encoding="UTF-8" standalone="yes"?>
<Relationships xmlns="http://schemas.openxmlformats.org/package/2006/relationships"><Relationship Id="rId3" Type="http://schemas.openxmlformats.org/officeDocument/2006/relationships/hyperlink" Target="https://www.ergafrica.com/uploads/Synthese%20des%20activites%202023%20-%20Frontier%20SA.pdf" TargetMode="External"/><Relationship Id="rId7" Type="http://schemas.openxmlformats.org/officeDocument/2006/relationships/hyperlink" Target="http://www.zijinmining.com/" TargetMode="External"/><Relationship Id="rId2" Type="http://schemas.openxmlformats.org/officeDocument/2006/relationships/hyperlink" Target="https://barrickgold.sharepoint.com/sites/policies-en" TargetMode="External"/><Relationship Id="rId1" Type="http://schemas.openxmlformats.org/officeDocument/2006/relationships/hyperlink" Target="https://www.glencore.com/publications" TargetMode="External"/><Relationship Id="rId6" Type="http://schemas.openxmlformats.org/officeDocument/2006/relationships/hyperlink" Target="https://en.cmoc.com/html/SustainableDevelopment/Reports/GroupReports/" TargetMode="External"/><Relationship Id="rId5" Type="http://schemas.openxmlformats.org/officeDocument/2006/relationships/hyperlink" Target="https://www.mmg.com/sustainability/sustainability-reports/" TargetMode="External"/><Relationship Id="rId4" Type="http://schemas.openxmlformats.org/officeDocument/2006/relationships/hyperlink" Target="file:///\\ANYACCESS.NET\Europe\CDKTG\GroupedeTravail\Environmental%20Monitoring\EMS\GOVERNANCE\GLEN-2024-Sustainability-Report.pdf" TargetMode="External"/></Relationships>
</file>

<file path=xl/worksheets/_rels/sheet25.xml.rels><?xml version="1.0" encoding="UTF-8" standalone="yes"?>
<Relationships xmlns="http://schemas.openxmlformats.org/package/2006/relationships"><Relationship Id="rId2" Type="http://schemas.openxmlformats.org/officeDocument/2006/relationships/hyperlink" Target="https://www.perenco.com/wp-content/uploads/2024/07/2023-ESG-Report.pdf" TargetMode="External"/><Relationship Id="rId1" Type="http://schemas.openxmlformats.org/officeDocument/2006/relationships/hyperlink" Target="https://www.perenco.com/wp-content/uploads/2024/07/2023-ESG-Report.pdf" TargetMode="External"/></Relationships>
</file>

<file path=xl/worksheets/_rels/sheet26.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2.xml"/><Relationship Id="rId1" Type="http://schemas.openxmlformats.org/officeDocument/2006/relationships/vmlDrawing" Target="../drawings/vmlDrawing3.vml"/></Relationships>
</file>

<file path=xl/worksheets/_rels/sheet30.xml.rels><?xml version="1.0" encoding="UTF-8" standalone="yes"?>
<Relationships xmlns="http://schemas.openxmlformats.org/package/2006/relationships"><Relationship Id="rId3" Type="http://schemas.openxmlformats.org/officeDocument/2006/relationships/hyperlink" Target="https://www.mmg.com/wp-content/uploads/2024/04/MMG-Annual-Report-2023-Full.pdf" TargetMode="External"/><Relationship Id="rId2" Type="http://schemas.openxmlformats.org/officeDocument/2006/relationships/hyperlink" Target="https://www.glencore.com/.rest/api/v1/documents/static/d09d8212-4a9f-4034-b2d4-49152e5a0aff/GLEN-2023-Annual-Report.pdf" TargetMode="External"/><Relationship Id="rId1" Type="http://schemas.openxmlformats.org/officeDocument/2006/relationships/hyperlink" Target="https://gecamines.cd/wp-content/uploads/2024/10/ETATS-FINANCIERS-GCM-2023.pdf" TargetMode="External"/><Relationship Id="rId5" Type="http://schemas.openxmlformats.org/officeDocument/2006/relationships/hyperlink" Target="https://barrickgold.sharepoint.com/sites/policies-en" TargetMode="External"/><Relationship Id="rId4" Type="http://schemas.openxmlformats.org/officeDocument/2006/relationships/hyperlink" Target="http://www.zijinming.com/" TargetMode="Externa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2.xml.rels><?xml version="1.0" encoding="UTF-8" standalone="yes"?>
<Relationships xmlns="http://schemas.openxmlformats.org/package/2006/relationships"><Relationship Id="rId3" Type="http://schemas.openxmlformats.org/officeDocument/2006/relationships/hyperlink" Target="https://csp.cd/entreprise/etats-financiers-entreprises" TargetMode="External"/><Relationship Id="rId2" Type="http://schemas.openxmlformats.org/officeDocument/2006/relationships/hyperlink" Target="https://csp.cd/entreprise/etats-financiers-entreprises" TargetMode="External"/><Relationship Id="rId1" Type="http://schemas.openxmlformats.org/officeDocument/2006/relationships/hyperlink" Target="https://gecamines.cd/wp-content/uploads/2024/10/ETATS-FINANCIERS-GCM-2023.pdf" TargetMode="External"/><Relationship Id="rId6" Type="http://schemas.openxmlformats.org/officeDocument/2006/relationships/printerSettings" Target="../printerSettings/printerSettings6.bin"/><Relationship Id="rId5" Type="http://schemas.openxmlformats.org/officeDocument/2006/relationships/hyperlink" Target="https://congominespdfstorage.blob.core.windows.net/congominespdfstorage/Etats%20financiers%202023%20de%20COMINIERE%5B1%5D.pdf" TargetMode="External"/><Relationship Id="rId4" Type="http://schemas.openxmlformats.org/officeDocument/2006/relationships/hyperlink" Target="https://csp.cd/entreprise/etats-financiers-entreprises" TargetMode="External"/></Relationships>
</file>

<file path=xl/worksheets/_rels/sheet65.xml.rels><?xml version="1.0" encoding="UTF-8" standalone="yes"?>
<Relationships xmlns="http://schemas.openxmlformats.org/package/2006/relationships"><Relationship Id="rId1" Type="http://schemas.openxmlformats.org/officeDocument/2006/relationships/hyperlink" Target="https://datawarehouse.ctcpm.cd/emine/cadre/juridique/contrat/principal/details/6/tc" TargetMode="External"/></Relationships>
</file>

<file path=xl/worksheets/_rels/sheet68.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oleObject" Target="../embeddings/oleObject1.bin"/><Relationship Id="rId7" Type="http://schemas.openxmlformats.org/officeDocument/2006/relationships/oleObject" Target="../embeddings/oleObject3.bin"/><Relationship Id="rId2" Type="http://schemas.openxmlformats.org/officeDocument/2006/relationships/vmlDrawing" Target="../drawings/vmlDrawing4.vml"/><Relationship Id="rId1" Type="http://schemas.openxmlformats.org/officeDocument/2006/relationships/drawing" Target="../drawings/drawing6.xml"/><Relationship Id="rId6" Type="http://schemas.openxmlformats.org/officeDocument/2006/relationships/image" Target="../media/image4.emf"/><Relationship Id="rId5" Type="http://schemas.openxmlformats.org/officeDocument/2006/relationships/oleObject" Target="../embeddings/oleObject2.bin"/><Relationship Id="rId10" Type="http://schemas.openxmlformats.org/officeDocument/2006/relationships/image" Target="../media/image6.emf"/><Relationship Id="rId4" Type="http://schemas.openxmlformats.org/officeDocument/2006/relationships/image" Target="../media/image3.emf"/><Relationship Id="rId9" Type="http://schemas.openxmlformats.org/officeDocument/2006/relationships/oleObject" Target="../embeddings/oleObject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3DC94-3DF8-4231-AFB7-CCC14E0E58F6}">
  <sheetPr codeName="Feuil1">
    <tabColor rgb="FFFFC000"/>
  </sheetPr>
  <dimension ref="B2:C68"/>
  <sheetViews>
    <sheetView showGridLines="0" tabSelected="1" zoomScale="85" zoomScaleNormal="85" workbookViewId="0">
      <selection activeCell="C61" sqref="C61"/>
    </sheetView>
  </sheetViews>
  <sheetFormatPr baseColWidth="10" defaultColWidth="11.5" defaultRowHeight="14"/>
  <cols>
    <col min="2" max="2" width="4.75" customWidth="1"/>
    <col min="3" max="3" width="132.83203125" bestFit="1" customWidth="1"/>
    <col min="4" max="4" width="19.1640625" bestFit="1" customWidth="1"/>
  </cols>
  <sheetData>
    <row r="2" spans="2:3" ht="14.5" thickBot="1">
      <c r="B2" s="1" t="s">
        <v>3</v>
      </c>
      <c r="C2" s="71" t="s">
        <v>4</v>
      </c>
    </row>
    <row r="3" spans="2:3" ht="14.5" thickTop="1">
      <c r="B3" s="547">
        <v>0</v>
      </c>
      <c r="C3" s="548" t="s">
        <v>2479</v>
      </c>
    </row>
    <row r="4" spans="2:3">
      <c r="B4" s="549">
        <f>B3+1</f>
        <v>1</v>
      </c>
      <c r="C4" s="550" t="s">
        <v>7212</v>
      </c>
    </row>
    <row r="5" spans="2:3">
      <c r="B5" s="547">
        <f t="shared" ref="B5:B62" si="0">B4+1</f>
        <v>2</v>
      </c>
      <c r="C5" s="548" t="s">
        <v>7213</v>
      </c>
    </row>
    <row r="6" spans="2:3">
      <c r="B6" s="549">
        <f t="shared" si="0"/>
        <v>3</v>
      </c>
      <c r="C6" s="550" t="s">
        <v>6856</v>
      </c>
    </row>
    <row r="7" spans="2:3">
      <c r="B7" s="547">
        <f t="shared" si="0"/>
        <v>4</v>
      </c>
      <c r="C7" s="548" t="s">
        <v>7214</v>
      </c>
    </row>
    <row r="8" spans="2:3">
      <c r="B8" s="549">
        <f t="shared" si="0"/>
        <v>5</v>
      </c>
      <c r="C8" s="550" t="s">
        <v>10235</v>
      </c>
    </row>
    <row r="9" spans="2:3">
      <c r="B9" s="547">
        <f t="shared" si="0"/>
        <v>6</v>
      </c>
      <c r="C9" s="548" t="s">
        <v>7215</v>
      </c>
    </row>
    <row r="10" spans="2:3">
      <c r="B10" s="549">
        <f t="shared" si="0"/>
        <v>7</v>
      </c>
      <c r="C10" s="550" t="s">
        <v>7216</v>
      </c>
    </row>
    <row r="11" spans="2:3">
      <c r="B11" s="547">
        <f t="shared" si="0"/>
        <v>8</v>
      </c>
      <c r="C11" s="548" t="s">
        <v>10571</v>
      </c>
    </row>
    <row r="12" spans="2:3">
      <c r="B12" s="549">
        <f t="shared" si="0"/>
        <v>9</v>
      </c>
      <c r="C12" s="550" t="s">
        <v>7217</v>
      </c>
    </row>
    <row r="13" spans="2:3">
      <c r="B13" s="547">
        <f t="shared" si="0"/>
        <v>10</v>
      </c>
      <c r="C13" s="548" t="s">
        <v>7218</v>
      </c>
    </row>
    <row r="14" spans="2:3">
      <c r="B14" s="549">
        <f t="shared" si="0"/>
        <v>11</v>
      </c>
      <c r="C14" s="550" t="s">
        <v>7221</v>
      </c>
    </row>
    <row r="15" spans="2:3">
      <c r="B15" s="547">
        <f t="shared" si="0"/>
        <v>12</v>
      </c>
      <c r="C15" s="548" t="s">
        <v>7222</v>
      </c>
    </row>
    <row r="16" spans="2:3">
      <c r="B16" s="549">
        <f t="shared" si="0"/>
        <v>13</v>
      </c>
      <c r="C16" s="550" t="s">
        <v>7223</v>
      </c>
    </row>
    <row r="17" spans="2:3">
      <c r="B17" s="547">
        <f t="shared" si="0"/>
        <v>14</v>
      </c>
      <c r="C17" s="548" t="s">
        <v>7224</v>
      </c>
    </row>
    <row r="18" spans="2:3">
      <c r="B18" s="549">
        <f t="shared" si="0"/>
        <v>15</v>
      </c>
      <c r="C18" s="550" t="s">
        <v>10236</v>
      </c>
    </row>
    <row r="19" spans="2:3">
      <c r="B19" s="547">
        <f t="shared" si="0"/>
        <v>16</v>
      </c>
      <c r="C19" s="548" t="s">
        <v>7225</v>
      </c>
    </row>
    <row r="20" spans="2:3">
      <c r="B20" s="549" t="s">
        <v>8285</v>
      </c>
      <c r="C20" s="550" t="s">
        <v>8283</v>
      </c>
    </row>
    <row r="21" spans="2:3">
      <c r="B21" s="547" t="s">
        <v>8286</v>
      </c>
      <c r="C21" s="548" t="s">
        <v>8288</v>
      </c>
    </row>
    <row r="22" spans="2:3">
      <c r="B22" s="549" t="s">
        <v>8287</v>
      </c>
      <c r="C22" s="550" t="s">
        <v>8282</v>
      </c>
    </row>
    <row r="23" spans="2:3">
      <c r="B23" s="547" t="s">
        <v>8295</v>
      </c>
      <c r="C23" s="548" t="s">
        <v>8284</v>
      </c>
    </row>
    <row r="24" spans="2:3">
      <c r="B24" s="549">
        <v>19</v>
      </c>
      <c r="C24" s="550" t="s">
        <v>7226</v>
      </c>
    </row>
    <row r="25" spans="2:3">
      <c r="B25" s="547">
        <f t="shared" si="0"/>
        <v>20</v>
      </c>
      <c r="C25" s="548" t="s">
        <v>7227</v>
      </c>
    </row>
    <row r="26" spans="2:3">
      <c r="B26" s="549">
        <f t="shared" si="0"/>
        <v>21</v>
      </c>
      <c r="C26" s="550" t="s">
        <v>7233</v>
      </c>
    </row>
    <row r="27" spans="2:3">
      <c r="B27" s="547">
        <f t="shared" si="0"/>
        <v>22</v>
      </c>
      <c r="C27" s="548" t="s">
        <v>7234</v>
      </c>
    </row>
    <row r="28" spans="2:3">
      <c r="B28" s="549">
        <f t="shared" si="0"/>
        <v>23</v>
      </c>
      <c r="C28" s="550" t="s">
        <v>7236</v>
      </c>
    </row>
    <row r="29" spans="2:3">
      <c r="B29" s="547">
        <f t="shared" si="0"/>
        <v>24</v>
      </c>
      <c r="C29" s="548" t="s">
        <v>7235</v>
      </c>
    </row>
    <row r="30" spans="2:3">
      <c r="B30" s="549">
        <f t="shared" si="0"/>
        <v>25</v>
      </c>
      <c r="C30" s="550" t="s">
        <v>7237</v>
      </c>
    </row>
    <row r="31" spans="2:3">
      <c r="B31" s="547">
        <f t="shared" si="0"/>
        <v>26</v>
      </c>
      <c r="C31" s="548" t="s">
        <v>7238</v>
      </c>
    </row>
    <row r="32" spans="2:3">
      <c r="B32" s="549">
        <f t="shared" si="0"/>
        <v>27</v>
      </c>
      <c r="C32" s="550" t="s">
        <v>7239</v>
      </c>
    </row>
    <row r="33" spans="2:3">
      <c r="B33" s="547">
        <f t="shared" si="0"/>
        <v>28</v>
      </c>
      <c r="C33" s="548" t="s">
        <v>10695</v>
      </c>
    </row>
    <row r="34" spans="2:3">
      <c r="B34" s="549">
        <f t="shared" si="0"/>
        <v>29</v>
      </c>
      <c r="C34" s="550" t="s">
        <v>8128</v>
      </c>
    </row>
    <row r="35" spans="2:3">
      <c r="B35" s="547">
        <f t="shared" si="0"/>
        <v>30</v>
      </c>
      <c r="C35" s="548" t="s">
        <v>7910</v>
      </c>
    </row>
    <row r="36" spans="2:3">
      <c r="B36" s="549">
        <f t="shared" si="0"/>
        <v>31</v>
      </c>
      <c r="C36" s="550" t="s">
        <v>7911</v>
      </c>
    </row>
    <row r="37" spans="2:3">
      <c r="B37" s="547">
        <f t="shared" si="0"/>
        <v>32</v>
      </c>
      <c r="C37" s="548" t="s">
        <v>7912</v>
      </c>
    </row>
    <row r="38" spans="2:3">
      <c r="B38" s="549">
        <f t="shared" si="0"/>
        <v>33</v>
      </c>
      <c r="C38" s="550" t="s">
        <v>8127</v>
      </c>
    </row>
    <row r="39" spans="2:3">
      <c r="B39" s="547">
        <f t="shared" si="0"/>
        <v>34</v>
      </c>
      <c r="C39" s="548" t="s">
        <v>7913</v>
      </c>
    </row>
    <row r="40" spans="2:3">
      <c r="B40" s="549">
        <f t="shared" si="0"/>
        <v>35</v>
      </c>
      <c r="C40" s="550" t="s">
        <v>7914</v>
      </c>
    </row>
    <row r="41" spans="2:3">
      <c r="B41" s="547">
        <f t="shared" si="0"/>
        <v>36</v>
      </c>
      <c r="C41" s="548" t="s">
        <v>8129</v>
      </c>
    </row>
    <row r="42" spans="2:3">
      <c r="B42" s="549">
        <f t="shared" si="0"/>
        <v>37</v>
      </c>
      <c r="C42" s="550" t="s">
        <v>7240</v>
      </c>
    </row>
    <row r="43" spans="2:3">
      <c r="B43" s="547">
        <f t="shared" si="0"/>
        <v>38</v>
      </c>
      <c r="C43" s="548" t="s">
        <v>7242</v>
      </c>
    </row>
    <row r="44" spans="2:3">
      <c r="B44" s="549">
        <f t="shared" si="0"/>
        <v>39</v>
      </c>
      <c r="C44" s="550" t="s">
        <v>7241</v>
      </c>
    </row>
    <row r="45" spans="2:3">
      <c r="B45" s="547">
        <f t="shared" si="0"/>
        <v>40</v>
      </c>
      <c r="C45" s="548" t="s">
        <v>7243</v>
      </c>
    </row>
    <row r="46" spans="2:3">
      <c r="B46" s="549">
        <f t="shared" si="0"/>
        <v>41</v>
      </c>
      <c r="C46" s="550" t="s">
        <v>7244</v>
      </c>
    </row>
    <row r="47" spans="2:3">
      <c r="B47" s="547">
        <f t="shared" si="0"/>
        <v>42</v>
      </c>
      <c r="C47" s="548" t="s">
        <v>7245</v>
      </c>
    </row>
    <row r="48" spans="2:3">
      <c r="B48" s="549">
        <f t="shared" si="0"/>
        <v>43</v>
      </c>
      <c r="C48" s="550" t="s">
        <v>8395</v>
      </c>
    </row>
    <row r="49" spans="2:3">
      <c r="B49" s="547">
        <f t="shared" si="0"/>
        <v>44</v>
      </c>
      <c r="C49" s="548" t="s">
        <v>7248</v>
      </c>
    </row>
    <row r="50" spans="2:3">
      <c r="B50" s="549">
        <f t="shared" si="0"/>
        <v>45</v>
      </c>
      <c r="C50" s="550" t="s">
        <v>7247</v>
      </c>
    </row>
    <row r="51" spans="2:3">
      <c r="B51" s="547">
        <f t="shared" si="0"/>
        <v>46</v>
      </c>
      <c r="C51" s="548" t="s">
        <v>7924</v>
      </c>
    </row>
    <row r="52" spans="2:3">
      <c r="B52" s="549">
        <f t="shared" si="0"/>
        <v>47</v>
      </c>
      <c r="C52" s="550" t="s">
        <v>7925</v>
      </c>
    </row>
    <row r="53" spans="2:3">
      <c r="B53" s="547">
        <f t="shared" si="0"/>
        <v>48</v>
      </c>
      <c r="C53" s="548" t="s">
        <v>10572</v>
      </c>
    </row>
    <row r="54" spans="2:3">
      <c r="B54" s="549">
        <f t="shared" si="0"/>
        <v>49</v>
      </c>
      <c r="C54" s="550" t="s">
        <v>7915</v>
      </c>
    </row>
    <row r="55" spans="2:3">
      <c r="B55" s="547">
        <f t="shared" si="0"/>
        <v>50</v>
      </c>
      <c r="C55" s="548" t="s">
        <v>10684</v>
      </c>
    </row>
    <row r="56" spans="2:3">
      <c r="B56" s="549">
        <f t="shared" si="0"/>
        <v>51</v>
      </c>
      <c r="C56" s="550" t="s">
        <v>7926</v>
      </c>
    </row>
    <row r="57" spans="2:3">
      <c r="B57" s="547">
        <f t="shared" si="0"/>
        <v>52</v>
      </c>
      <c r="C57" s="548" t="s">
        <v>7916</v>
      </c>
    </row>
    <row r="58" spans="2:3">
      <c r="B58" s="549">
        <f t="shared" si="0"/>
        <v>53</v>
      </c>
      <c r="C58" s="550" t="s">
        <v>7917</v>
      </c>
    </row>
    <row r="59" spans="2:3">
      <c r="B59" s="547">
        <f t="shared" si="0"/>
        <v>54</v>
      </c>
      <c r="C59" s="548" t="s">
        <v>7918</v>
      </c>
    </row>
    <row r="60" spans="2:3">
      <c r="B60" s="549">
        <f t="shared" si="0"/>
        <v>55</v>
      </c>
      <c r="C60" s="550" t="s">
        <v>7919</v>
      </c>
    </row>
    <row r="61" spans="2:3">
      <c r="B61" s="547">
        <f t="shared" si="0"/>
        <v>56</v>
      </c>
      <c r="C61" s="548" t="s">
        <v>7921</v>
      </c>
    </row>
    <row r="62" spans="2:3">
      <c r="B62" s="549">
        <f t="shared" si="0"/>
        <v>57</v>
      </c>
      <c r="C62" s="550" t="s">
        <v>7922</v>
      </c>
    </row>
    <row r="63" spans="2:3">
      <c r="B63" s="547">
        <v>58</v>
      </c>
      <c r="C63" s="548" t="s">
        <v>7920</v>
      </c>
    </row>
    <row r="64" spans="2:3">
      <c r="B64" s="549">
        <v>59</v>
      </c>
      <c r="C64" s="550" t="s">
        <v>10164</v>
      </c>
    </row>
    <row r="65" spans="2:3">
      <c r="B65" s="547" t="s">
        <v>14571</v>
      </c>
      <c r="C65" s="548" t="s">
        <v>14573</v>
      </c>
    </row>
    <row r="66" spans="2:3">
      <c r="B66" s="549" t="s">
        <v>14572</v>
      </c>
      <c r="C66" s="550" t="s">
        <v>14574</v>
      </c>
    </row>
    <row r="67" spans="2:3">
      <c r="B67" s="547">
        <v>61</v>
      </c>
      <c r="C67" s="548" t="s">
        <v>14568</v>
      </c>
    </row>
    <row r="68" spans="2:3">
      <c r="B68" s="549">
        <v>62</v>
      </c>
      <c r="C68" s="550" t="s">
        <v>14570</v>
      </c>
    </row>
  </sheetData>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3F1ED-3AD0-4084-9A59-8B1D18105C04}">
  <sheetPr>
    <tabColor rgb="FF92D050"/>
  </sheetPr>
  <dimension ref="A2:H71"/>
  <sheetViews>
    <sheetView zoomScaleNormal="100" workbookViewId="0">
      <selection activeCell="A6" sqref="A6:C56"/>
    </sheetView>
  </sheetViews>
  <sheetFormatPr baseColWidth="10" defaultColWidth="11.5" defaultRowHeight="14"/>
  <cols>
    <col min="1" max="1" width="8.25" customWidth="1"/>
    <col min="2" max="2" width="60.25" bestFit="1" customWidth="1"/>
    <col min="3" max="3" width="17.4140625" customWidth="1"/>
    <col min="4" max="4" width="24" customWidth="1"/>
    <col min="5" max="5" width="22" customWidth="1"/>
    <col min="6" max="6" width="29.1640625" customWidth="1"/>
    <col min="8" max="8" width="55.75" bestFit="1" customWidth="1"/>
  </cols>
  <sheetData>
    <row r="2" spans="1:8" ht="18.5">
      <c r="A2" s="42" t="s">
        <v>2479</v>
      </c>
      <c r="D2" s="178"/>
      <c r="E2" s="178"/>
    </row>
    <row r="3" spans="1:8">
      <c r="D3" s="178"/>
      <c r="E3" s="178"/>
    </row>
    <row r="4" spans="1:8">
      <c r="B4" s="178" t="s">
        <v>5672</v>
      </c>
      <c r="D4" s="179"/>
      <c r="E4" s="179"/>
    </row>
    <row r="5" spans="1:8" ht="15.5">
      <c r="A5" s="7"/>
    </row>
    <row r="6" spans="1:8" ht="21.4" customHeight="1" thickBot="1">
      <c r="A6" s="854" t="s">
        <v>519</v>
      </c>
      <c r="B6" s="854" t="s">
        <v>520</v>
      </c>
      <c r="C6" s="854" t="s">
        <v>521</v>
      </c>
      <c r="D6" s="854" t="s">
        <v>2480</v>
      </c>
      <c r="E6" s="854" t="s">
        <v>2481</v>
      </c>
      <c r="F6" s="855" t="s">
        <v>2482</v>
      </c>
      <c r="G6" s="854" t="s">
        <v>2483</v>
      </c>
      <c r="H6" s="854" t="s">
        <v>2484</v>
      </c>
    </row>
    <row r="7" spans="1:8">
      <c r="A7" s="855"/>
      <c r="B7" s="855"/>
      <c r="C7" s="855"/>
      <c r="D7" s="855"/>
      <c r="E7" s="855"/>
      <c r="F7" s="856"/>
      <c r="G7" s="855"/>
      <c r="H7" s="855"/>
    </row>
    <row r="8" spans="1:8">
      <c r="A8" s="48">
        <v>1</v>
      </c>
      <c r="B8" s="64" t="s">
        <v>69</v>
      </c>
      <c r="C8" s="48" t="s">
        <v>528</v>
      </c>
      <c r="D8" s="48" t="s">
        <v>2485</v>
      </c>
      <c r="E8" s="48" t="s">
        <v>804</v>
      </c>
      <c r="F8" s="62" t="s">
        <v>5632</v>
      </c>
      <c r="G8" s="48" t="s">
        <v>798</v>
      </c>
      <c r="H8" s="48" t="s">
        <v>2486</v>
      </c>
    </row>
    <row r="9" spans="1:8">
      <c r="A9" s="53">
        <v>2</v>
      </c>
      <c r="B9" s="54" t="s">
        <v>534</v>
      </c>
      <c r="C9" s="53" t="s">
        <v>535</v>
      </c>
      <c r="D9" s="53" t="s">
        <v>7355</v>
      </c>
      <c r="E9" s="53" t="s">
        <v>804</v>
      </c>
      <c r="F9" s="53" t="s">
        <v>5633</v>
      </c>
      <c r="G9" s="53" t="s">
        <v>798</v>
      </c>
      <c r="H9" s="53" t="s">
        <v>2498</v>
      </c>
    </row>
    <row r="10" spans="1:8">
      <c r="A10" s="48">
        <v>3</v>
      </c>
      <c r="B10" s="64" t="s">
        <v>539</v>
      </c>
      <c r="C10" s="48" t="s">
        <v>540</v>
      </c>
      <c r="D10" s="48" t="s">
        <v>2485</v>
      </c>
      <c r="E10" s="48" t="s">
        <v>804</v>
      </c>
      <c r="F10" s="62" t="s">
        <v>8584</v>
      </c>
      <c r="G10" s="48" t="s">
        <v>798</v>
      </c>
      <c r="H10" s="48" t="s">
        <v>2488</v>
      </c>
    </row>
    <row r="11" spans="1:8">
      <c r="A11" s="53">
        <v>4</v>
      </c>
      <c r="B11" s="54" t="s">
        <v>544</v>
      </c>
      <c r="C11" s="53" t="s">
        <v>545</v>
      </c>
      <c r="D11" s="53" t="s">
        <v>5634</v>
      </c>
      <c r="E11" s="53" t="s">
        <v>804</v>
      </c>
      <c r="F11" s="53" t="s">
        <v>546</v>
      </c>
      <c r="G11" s="53" t="s">
        <v>798</v>
      </c>
      <c r="H11" s="53" t="s">
        <v>2489</v>
      </c>
    </row>
    <row r="12" spans="1:8">
      <c r="A12" s="48">
        <v>5</v>
      </c>
      <c r="B12" s="64" t="s">
        <v>553</v>
      </c>
      <c r="C12" s="48" t="s">
        <v>554</v>
      </c>
      <c r="D12" s="48" t="s">
        <v>2505</v>
      </c>
      <c r="E12" s="48" t="s">
        <v>804</v>
      </c>
      <c r="F12" s="62" t="s">
        <v>5635</v>
      </c>
      <c r="G12" s="48" t="s">
        <v>798</v>
      </c>
      <c r="H12" s="48" t="s">
        <v>5636</v>
      </c>
    </row>
    <row r="13" spans="1:8">
      <c r="A13" s="53">
        <v>6</v>
      </c>
      <c r="B13" s="54" t="s">
        <v>2586</v>
      </c>
      <c r="C13" s="53" t="s">
        <v>2478</v>
      </c>
      <c r="D13" s="53" t="s">
        <v>2502</v>
      </c>
      <c r="E13" s="53" t="s">
        <v>800</v>
      </c>
      <c r="F13" s="53" t="s">
        <v>5637</v>
      </c>
      <c r="G13" s="53" t="s">
        <v>791</v>
      </c>
      <c r="H13" s="53" t="s">
        <v>529</v>
      </c>
    </row>
    <row r="14" spans="1:8">
      <c r="A14" s="48">
        <v>7</v>
      </c>
      <c r="B14" s="64" t="s">
        <v>558</v>
      </c>
      <c r="C14" s="48" t="s">
        <v>559</v>
      </c>
      <c r="D14" s="48" t="s">
        <v>7355</v>
      </c>
      <c r="E14" s="48" t="s">
        <v>804</v>
      </c>
      <c r="F14" s="62" t="s">
        <v>2747</v>
      </c>
      <c r="G14" s="48" t="s">
        <v>798</v>
      </c>
      <c r="H14" s="48" t="s">
        <v>2490</v>
      </c>
    </row>
    <row r="15" spans="1:8">
      <c r="A15" s="53">
        <v>8</v>
      </c>
      <c r="B15" s="54" t="s">
        <v>562</v>
      </c>
      <c r="C15" s="53" t="s">
        <v>563</v>
      </c>
      <c r="D15" s="53" t="s">
        <v>2500</v>
      </c>
      <c r="E15" s="53" t="s">
        <v>800</v>
      </c>
      <c r="F15" s="53" t="s">
        <v>8556</v>
      </c>
      <c r="G15" s="53" t="s">
        <v>798</v>
      </c>
      <c r="H15" s="53" t="s">
        <v>2489</v>
      </c>
    </row>
    <row r="16" spans="1:8">
      <c r="A16" s="48">
        <v>9</v>
      </c>
      <c r="B16" s="64" t="s">
        <v>564</v>
      </c>
      <c r="C16" s="48" t="s">
        <v>565</v>
      </c>
      <c r="D16" s="48" t="s">
        <v>2074</v>
      </c>
      <c r="E16" s="48" t="s">
        <v>2491</v>
      </c>
      <c r="F16" s="62" t="s">
        <v>5638</v>
      </c>
      <c r="G16" s="48" t="s">
        <v>798</v>
      </c>
      <c r="H16" s="48" t="s">
        <v>2492</v>
      </c>
    </row>
    <row r="17" spans="1:8">
      <c r="A17" s="53">
        <v>10</v>
      </c>
      <c r="B17" s="54" t="s">
        <v>570</v>
      </c>
      <c r="C17" s="53" t="s">
        <v>571</v>
      </c>
      <c r="D17" s="53" t="s">
        <v>2058</v>
      </c>
      <c r="E17" s="53" t="s">
        <v>800</v>
      </c>
      <c r="F17" s="53" t="s">
        <v>5639</v>
      </c>
      <c r="G17" s="53" t="s">
        <v>798</v>
      </c>
      <c r="H17" s="53" t="s">
        <v>2747</v>
      </c>
    </row>
    <row r="18" spans="1:8">
      <c r="A18" s="48">
        <v>11</v>
      </c>
      <c r="B18" s="64" t="s">
        <v>574</v>
      </c>
      <c r="C18" s="48" t="s">
        <v>575</v>
      </c>
      <c r="D18" s="48" t="s">
        <v>2077</v>
      </c>
      <c r="E18" s="48" t="s">
        <v>804</v>
      </c>
      <c r="F18" s="62" t="s">
        <v>5640</v>
      </c>
      <c r="G18" s="48" t="s">
        <v>798</v>
      </c>
      <c r="H18" s="48" t="s">
        <v>5641</v>
      </c>
    </row>
    <row r="19" spans="1:8">
      <c r="A19" s="53">
        <v>12</v>
      </c>
      <c r="B19" s="54" t="s">
        <v>578</v>
      </c>
      <c r="C19" s="53" t="s">
        <v>579</v>
      </c>
      <c r="D19" s="53" t="s">
        <v>846</v>
      </c>
      <c r="E19" s="53" t="s">
        <v>800</v>
      </c>
      <c r="F19" s="53" t="s">
        <v>2747</v>
      </c>
      <c r="G19" s="53" t="s">
        <v>798</v>
      </c>
      <c r="H19" s="53" t="s">
        <v>2493</v>
      </c>
    </row>
    <row r="20" spans="1:8">
      <c r="A20" s="48">
        <v>13</v>
      </c>
      <c r="B20" s="64" t="s">
        <v>582</v>
      </c>
      <c r="C20" s="48" t="s">
        <v>583</v>
      </c>
      <c r="D20" s="48" t="s">
        <v>7355</v>
      </c>
      <c r="E20" s="48" t="s">
        <v>804</v>
      </c>
      <c r="F20" s="62" t="s">
        <v>5642</v>
      </c>
      <c r="G20" s="48" t="s">
        <v>798</v>
      </c>
      <c r="H20" s="48" t="s">
        <v>2494</v>
      </c>
    </row>
    <row r="21" spans="1:8">
      <c r="A21" s="53">
        <v>14</v>
      </c>
      <c r="B21" s="54" t="s">
        <v>590</v>
      </c>
      <c r="C21" s="53" t="s">
        <v>2589</v>
      </c>
      <c r="D21" s="53" t="s">
        <v>2058</v>
      </c>
      <c r="E21" s="53" t="s">
        <v>800</v>
      </c>
      <c r="F21" s="53" t="s">
        <v>5643</v>
      </c>
      <c r="G21" s="53" t="s">
        <v>798</v>
      </c>
      <c r="H21" s="53" t="s">
        <v>2495</v>
      </c>
    </row>
    <row r="22" spans="1:8">
      <c r="A22" s="48">
        <v>15</v>
      </c>
      <c r="B22" s="64" t="s">
        <v>68</v>
      </c>
      <c r="C22" s="48" t="s">
        <v>596</v>
      </c>
      <c r="D22" s="48" t="s">
        <v>846</v>
      </c>
      <c r="E22" s="48" t="s">
        <v>800</v>
      </c>
      <c r="F22" s="62" t="s">
        <v>8601</v>
      </c>
      <c r="G22" s="48" t="s">
        <v>798</v>
      </c>
      <c r="H22" s="48" t="s">
        <v>2496</v>
      </c>
    </row>
    <row r="23" spans="1:8">
      <c r="A23" s="53">
        <v>16</v>
      </c>
      <c r="B23" s="54" t="s">
        <v>599</v>
      </c>
      <c r="C23" s="53" t="s">
        <v>600</v>
      </c>
      <c r="D23" s="53" t="s">
        <v>2058</v>
      </c>
      <c r="E23" s="53" t="s">
        <v>800</v>
      </c>
      <c r="F23" s="53" t="s">
        <v>5644</v>
      </c>
      <c r="G23" s="53" t="s">
        <v>2747</v>
      </c>
      <c r="H23" s="53" t="s">
        <v>2747</v>
      </c>
    </row>
    <row r="24" spans="1:8">
      <c r="A24" s="48">
        <v>17</v>
      </c>
      <c r="B24" s="64" t="s">
        <v>607</v>
      </c>
      <c r="C24" s="48" t="s">
        <v>608</v>
      </c>
      <c r="D24" s="48" t="s">
        <v>8602</v>
      </c>
      <c r="E24" s="48" t="s">
        <v>8603</v>
      </c>
      <c r="F24" s="62" t="s">
        <v>5645</v>
      </c>
      <c r="G24" s="48" t="s">
        <v>798</v>
      </c>
      <c r="H24" s="48" t="s">
        <v>2497</v>
      </c>
    </row>
    <row r="25" spans="1:8">
      <c r="A25" s="53">
        <v>18</v>
      </c>
      <c r="B25" s="54" t="s">
        <v>74</v>
      </c>
      <c r="C25" s="53" t="s">
        <v>609</v>
      </c>
      <c r="D25" s="53" t="s">
        <v>8602</v>
      </c>
      <c r="E25" s="53" t="s">
        <v>8603</v>
      </c>
      <c r="F25" s="53" t="s">
        <v>5646</v>
      </c>
      <c r="G25" s="53" t="s">
        <v>798</v>
      </c>
      <c r="H25" s="53" t="s">
        <v>2498</v>
      </c>
    </row>
    <row r="26" spans="1:8">
      <c r="A26" s="48">
        <v>19</v>
      </c>
      <c r="B26" s="64" t="s">
        <v>17</v>
      </c>
      <c r="C26" s="48" t="s">
        <v>1244</v>
      </c>
      <c r="D26" s="48" t="s">
        <v>1639</v>
      </c>
      <c r="E26" s="48" t="s">
        <v>5647</v>
      </c>
      <c r="F26" s="62" t="s">
        <v>2747</v>
      </c>
      <c r="G26" s="48" t="s">
        <v>798</v>
      </c>
      <c r="H26" s="48" t="s">
        <v>2747</v>
      </c>
    </row>
    <row r="27" spans="1:8">
      <c r="A27" s="53">
        <v>20</v>
      </c>
      <c r="B27" s="54" t="s">
        <v>190</v>
      </c>
      <c r="C27" s="53" t="s">
        <v>612</v>
      </c>
      <c r="D27" s="53" t="s">
        <v>2077</v>
      </c>
      <c r="E27" s="53" t="s">
        <v>804</v>
      </c>
      <c r="F27" s="53" t="s">
        <v>2747</v>
      </c>
      <c r="G27" s="53" t="s">
        <v>850</v>
      </c>
      <c r="H27" s="53" t="s">
        <v>529</v>
      </c>
    </row>
    <row r="28" spans="1:8">
      <c r="A28" s="48">
        <v>21</v>
      </c>
      <c r="B28" s="64" t="s">
        <v>615</v>
      </c>
      <c r="C28" s="48" t="s">
        <v>616</v>
      </c>
      <c r="D28" s="48" t="s">
        <v>2499</v>
      </c>
      <c r="E28" s="48" t="s">
        <v>800</v>
      </c>
      <c r="F28" s="62" t="s">
        <v>2747</v>
      </c>
      <c r="G28" s="48" t="s">
        <v>791</v>
      </c>
      <c r="H28" s="48" t="s">
        <v>529</v>
      </c>
    </row>
    <row r="29" spans="1:8">
      <c r="A29" s="53">
        <v>22</v>
      </c>
      <c r="B29" s="54" t="s">
        <v>618</v>
      </c>
      <c r="C29" s="53" t="s">
        <v>619</v>
      </c>
      <c r="D29" s="53" t="s">
        <v>2058</v>
      </c>
      <c r="E29" s="53" t="s">
        <v>800</v>
      </c>
      <c r="F29" s="53" t="s">
        <v>2747</v>
      </c>
      <c r="G29" s="53" t="s">
        <v>798</v>
      </c>
      <c r="H29" s="53" t="s">
        <v>2498</v>
      </c>
    </row>
    <row r="30" spans="1:8">
      <c r="A30" s="48">
        <v>23</v>
      </c>
      <c r="B30" s="64" t="s">
        <v>622</v>
      </c>
      <c r="C30" s="48" t="s">
        <v>623</v>
      </c>
      <c r="D30" s="48" t="s">
        <v>2058</v>
      </c>
      <c r="E30" s="48" t="s">
        <v>800</v>
      </c>
      <c r="F30" s="62" t="s">
        <v>5648</v>
      </c>
      <c r="G30" s="48" t="s">
        <v>2747</v>
      </c>
      <c r="H30" s="48" t="s">
        <v>2747</v>
      </c>
    </row>
    <row r="31" spans="1:8">
      <c r="A31" s="53">
        <v>24</v>
      </c>
      <c r="B31" s="54" t="s">
        <v>130</v>
      </c>
      <c r="C31" s="53" t="s">
        <v>627</v>
      </c>
      <c r="D31" s="53" t="s">
        <v>846</v>
      </c>
      <c r="E31" s="53" t="s">
        <v>800</v>
      </c>
      <c r="F31" s="53" t="s">
        <v>5649</v>
      </c>
      <c r="G31" s="53" t="s">
        <v>2747</v>
      </c>
      <c r="H31" s="53" t="s">
        <v>2747</v>
      </c>
    </row>
    <row r="32" spans="1:8">
      <c r="A32" s="48">
        <v>25</v>
      </c>
      <c r="B32" s="64" t="s">
        <v>630</v>
      </c>
      <c r="C32" s="48" t="s">
        <v>631</v>
      </c>
      <c r="D32" s="48" t="s">
        <v>2500</v>
      </c>
      <c r="E32" s="48" t="s">
        <v>800</v>
      </c>
      <c r="F32" s="62" t="s">
        <v>5650</v>
      </c>
      <c r="G32" s="48" t="s">
        <v>798</v>
      </c>
      <c r="H32" s="48" t="s">
        <v>2501</v>
      </c>
    </row>
    <row r="33" spans="1:8">
      <c r="A33" s="53">
        <v>26</v>
      </c>
      <c r="B33" s="54" t="s">
        <v>99</v>
      </c>
      <c r="C33" s="53" t="s">
        <v>637</v>
      </c>
      <c r="D33" s="53" t="s">
        <v>2502</v>
      </c>
      <c r="E33" s="53" t="s">
        <v>800</v>
      </c>
      <c r="F33" s="53" t="s">
        <v>2747</v>
      </c>
      <c r="G33" s="53" t="s">
        <v>798</v>
      </c>
      <c r="H33" s="53" t="s">
        <v>2747</v>
      </c>
    </row>
    <row r="34" spans="1:8">
      <c r="A34" s="48">
        <v>27</v>
      </c>
      <c r="B34" s="64" t="s">
        <v>87</v>
      </c>
      <c r="C34" s="48" t="s">
        <v>642</v>
      </c>
      <c r="D34" s="48" t="s">
        <v>2058</v>
      </c>
      <c r="E34" s="48" t="s">
        <v>800</v>
      </c>
      <c r="F34" s="62" t="s">
        <v>2747</v>
      </c>
      <c r="G34" s="48" t="s">
        <v>798</v>
      </c>
      <c r="H34" s="48" t="s">
        <v>2747</v>
      </c>
    </row>
    <row r="35" spans="1:8">
      <c r="A35" s="53">
        <v>28</v>
      </c>
      <c r="B35" s="54" t="s">
        <v>646</v>
      </c>
      <c r="C35" s="53" t="s">
        <v>647</v>
      </c>
      <c r="D35" s="53" t="s">
        <v>2502</v>
      </c>
      <c r="E35" s="53" t="s">
        <v>800</v>
      </c>
      <c r="F35" s="53" t="s">
        <v>2747</v>
      </c>
      <c r="G35" s="53" t="s">
        <v>798</v>
      </c>
      <c r="H35" s="53" t="s">
        <v>2747</v>
      </c>
    </row>
    <row r="36" spans="1:8">
      <c r="A36" s="48">
        <v>29</v>
      </c>
      <c r="B36" s="64" t="s">
        <v>651</v>
      </c>
      <c r="C36" s="48" t="s">
        <v>652</v>
      </c>
      <c r="D36" s="48" t="s">
        <v>2485</v>
      </c>
      <c r="E36" s="48" t="s">
        <v>804</v>
      </c>
      <c r="F36" s="62" t="s">
        <v>5651</v>
      </c>
      <c r="G36" s="48" t="s">
        <v>798</v>
      </c>
      <c r="H36" s="48" t="s">
        <v>5652</v>
      </c>
    </row>
    <row r="37" spans="1:8">
      <c r="A37" s="53">
        <v>30</v>
      </c>
      <c r="B37" s="54" t="s">
        <v>102</v>
      </c>
      <c r="C37" s="53" t="s">
        <v>1246</v>
      </c>
      <c r="D37" s="53" t="s">
        <v>846</v>
      </c>
      <c r="E37" s="53" t="s">
        <v>800</v>
      </c>
      <c r="F37" s="53" t="s">
        <v>5653</v>
      </c>
      <c r="G37" s="53" t="s">
        <v>798</v>
      </c>
      <c r="H37" s="53" t="s">
        <v>5654</v>
      </c>
    </row>
    <row r="38" spans="1:8">
      <c r="A38" s="48">
        <v>31</v>
      </c>
      <c r="B38" s="64" t="s">
        <v>659</v>
      </c>
      <c r="C38" s="48" t="s">
        <v>660</v>
      </c>
      <c r="D38" s="48" t="s">
        <v>7355</v>
      </c>
      <c r="E38" s="48" t="s">
        <v>804</v>
      </c>
      <c r="F38" s="62" t="s">
        <v>2747</v>
      </c>
      <c r="G38" s="48" t="s">
        <v>2747</v>
      </c>
      <c r="H38" s="48" t="s">
        <v>2747</v>
      </c>
    </row>
    <row r="39" spans="1:8">
      <c r="A39" s="53">
        <v>32</v>
      </c>
      <c r="B39" s="54" t="s">
        <v>662</v>
      </c>
      <c r="C39" s="53" t="s">
        <v>663</v>
      </c>
      <c r="D39" s="53" t="s">
        <v>7282</v>
      </c>
      <c r="E39" s="53" t="s">
        <v>800</v>
      </c>
      <c r="F39" s="53" t="s">
        <v>5655</v>
      </c>
      <c r="G39" s="53" t="s">
        <v>798</v>
      </c>
      <c r="H39" s="53" t="s">
        <v>5656</v>
      </c>
    </row>
    <row r="40" spans="1:8">
      <c r="A40" s="48">
        <v>33</v>
      </c>
      <c r="B40" s="64" t="s">
        <v>666</v>
      </c>
      <c r="C40" s="48" t="s">
        <v>667</v>
      </c>
      <c r="D40" s="48" t="s">
        <v>7355</v>
      </c>
      <c r="E40" s="48" t="s">
        <v>804</v>
      </c>
      <c r="F40" s="62" t="s">
        <v>5657</v>
      </c>
      <c r="G40" s="48" t="s">
        <v>798</v>
      </c>
      <c r="H40" s="48" t="s">
        <v>5658</v>
      </c>
    </row>
    <row r="41" spans="1:8">
      <c r="A41" s="53">
        <v>34</v>
      </c>
      <c r="B41" s="54" t="s">
        <v>673</v>
      </c>
      <c r="C41" s="53" t="s">
        <v>674</v>
      </c>
      <c r="D41" s="53" t="s">
        <v>2502</v>
      </c>
      <c r="E41" s="53" t="s">
        <v>800</v>
      </c>
      <c r="F41" s="53" t="s">
        <v>8393</v>
      </c>
      <c r="G41" s="53" t="s">
        <v>798</v>
      </c>
      <c r="H41" s="53" t="s">
        <v>2747</v>
      </c>
    </row>
    <row r="42" spans="1:8">
      <c r="A42" s="48">
        <v>35</v>
      </c>
      <c r="B42" s="64" t="s">
        <v>676</v>
      </c>
      <c r="C42" s="48" t="s">
        <v>677</v>
      </c>
      <c r="D42" s="48" t="s">
        <v>7355</v>
      </c>
      <c r="E42" s="48" t="s">
        <v>804</v>
      </c>
      <c r="F42" s="62" t="s">
        <v>8394</v>
      </c>
      <c r="G42" s="48" t="s">
        <v>798</v>
      </c>
      <c r="H42" s="48" t="s">
        <v>2747</v>
      </c>
    </row>
    <row r="43" spans="1:8">
      <c r="A43" s="53">
        <v>36</v>
      </c>
      <c r="B43" s="54" t="s">
        <v>681</v>
      </c>
      <c r="C43" s="53" t="s">
        <v>682</v>
      </c>
      <c r="D43" s="53" t="s">
        <v>2505</v>
      </c>
      <c r="E43" s="53" t="s">
        <v>804</v>
      </c>
      <c r="F43" s="53" t="s">
        <v>5659</v>
      </c>
      <c r="G43" s="53" t="s">
        <v>798</v>
      </c>
      <c r="H43" s="53" t="s">
        <v>5660</v>
      </c>
    </row>
    <row r="44" spans="1:8">
      <c r="A44" s="48">
        <v>37</v>
      </c>
      <c r="B44" s="64" t="s">
        <v>462</v>
      </c>
      <c r="C44" s="48" t="s">
        <v>685</v>
      </c>
      <c r="D44" s="48" t="s">
        <v>2505</v>
      </c>
      <c r="E44" s="48" t="s">
        <v>804</v>
      </c>
      <c r="F44" s="62" t="s">
        <v>2747</v>
      </c>
      <c r="G44" s="48" t="s">
        <v>2747</v>
      </c>
      <c r="H44" s="48" t="s">
        <v>2747</v>
      </c>
    </row>
    <row r="45" spans="1:8">
      <c r="A45" s="53">
        <v>38</v>
      </c>
      <c r="B45" s="54" t="s">
        <v>1248</v>
      </c>
      <c r="C45" s="53" t="s">
        <v>1249</v>
      </c>
      <c r="D45" s="53" t="s">
        <v>2505</v>
      </c>
      <c r="E45" s="53" t="s">
        <v>804</v>
      </c>
      <c r="F45" s="53" t="s">
        <v>5661</v>
      </c>
      <c r="G45" s="53" t="s">
        <v>798</v>
      </c>
      <c r="H45" s="53" t="s">
        <v>5662</v>
      </c>
    </row>
    <row r="46" spans="1:8">
      <c r="A46" s="48">
        <v>39</v>
      </c>
      <c r="B46" s="64" t="s">
        <v>188</v>
      </c>
      <c r="C46" s="48" t="s">
        <v>686</v>
      </c>
      <c r="D46" s="48" t="s">
        <v>2503</v>
      </c>
      <c r="E46" s="48" t="s">
        <v>804</v>
      </c>
      <c r="F46" s="62" t="s">
        <v>5663</v>
      </c>
      <c r="G46" s="48" t="s">
        <v>798</v>
      </c>
      <c r="H46" s="48" t="s">
        <v>2747</v>
      </c>
    </row>
    <row r="47" spans="1:8">
      <c r="A47" s="53">
        <v>40</v>
      </c>
      <c r="B47" s="54" t="s">
        <v>974</v>
      </c>
      <c r="C47" s="53" t="s">
        <v>1252</v>
      </c>
      <c r="D47" s="53" t="s">
        <v>5664</v>
      </c>
      <c r="E47" s="53" t="s">
        <v>804</v>
      </c>
      <c r="F47" s="53" t="s">
        <v>5665</v>
      </c>
      <c r="G47" s="53" t="s">
        <v>798</v>
      </c>
      <c r="H47" s="53" t="s">
        <v>5654</v>
      </c>
    </row>
    <row r="48" spans="1:8">
      <c r="A48" s="48">
        <v>41</v>
      </c>
      <c r="B48" s="64" t="s">
        <v>141</v>
      </c>
      <c r="C48" s="48" t="s">
        <v>689</v>
      </c>
      <c r="D48" s="48" t="s">
        <v>2503</v>
      </c>
      <c r="E48" s="48" t="s">
        <v>804</v>
      </c>
      <c r="F48" s="62" t="s">
        <v>2747</v>
      </c>
      <c r="G48" s="48" t="s">
        <v>791</v>
      </c>
      <c r="H48" s="48" t="s">
        <v>529</v>
      </c>
    </row>
    <row r="49" spans="1:8">
      <c r="A49" s="53">
        <v>42</v>
      </c>
      <c r="B49" s="54" t="s">
        <v>692</v>
      </c>
      <c r="C49" s="53" t="s">
        <v>693</v>
      </c>
      <c r="D49" s="53" t="s">
        <v>2506</v>
      </c>
      <c r="E49" s="53" t="s">
        <v>2507</v>
      </c>
      <c r="F49" s="53" t="s">
        <v>5666</v>
      </c>
      <c r="G49" s="53" t="s">
        <v>798</v>
      </c>
      <c r="H49" s="53" t="s">
        <v>2508</v>
      </c>
    </row>
    <row r="50" spans="1:8">
      <c r="A50" s="48">
        <v>43</v>
      </c>
      <c r="B50" s="64" t="s">
        <v>140</v>
      </c>
      <c r="C50" s="48" t="s">
        <v>698</v>
      </c>
      <c r="D50" s="48" t="s">
        <v>2500</v>
      </c>
      <c r="E50" s="48" t="s">
        <v>800</v>
      </c>
      <c r="F50" s="62" t="s">
        <v>2747</v>
      </c>
      <c r="G50" s="48" t="s">
        <v>2747</v>
      </c>
      <c r="H50" s="48" t="s">
        <v>2747</v>
      </c>
    </row>
    <row r="51" spans="1:8">
      <c r="A51" s="53">
        <v>44</v>
      </c>
      <c r="B51" s="54" t="s">
        <v>709</v>
      </c>
      <c r="C51" s="53" t="s">
        <v>710</v>
      </c>
      <c r="D51" s="53" t="s">
        <v>2509</v>
      </c>
      <c r="E51" s="53" t="s">
        <v>2510</v>
      </c>
      <c r="F51" s="53" t="s">
        <v>5667</v>
      </c>
      <c r="G51" s="53" t="s">
        <v>798</v>
      </c>
      <c r="H51" s="53" t="s">
        <v>2511</v>
      </c>
    </row>
    <row r="52" spans="1:8">
      <c r="A52" s="48">
        <v>45</v>
      </c>
      <c r="B52" s="64" t="s">
        <v>714</v>
      </c>
      <c r="C52" s="48" t="s">
        <v>715</v>
      </c>
      <c r="D52" s="48" t="s">
        <v>2747</v>
      </c>
      <c r="E52" s="48" t="s">
        <v>8604</v>
      </c>
      <c r="F52" s="62" t="s">
        <v>2747</v>
      </c>
      <c r="G52" s="48" t="s">
        <v>798</v>
      </c>
      <c r="H52" s="48" t="s">
        <v>2512</v>
      </c>
    </row>
    <row r="53" spans="1:8">
      <c r="A53" s="53">
        <v>46</v>
      </c>
      <c r="B53" s="54" t="s">
        <v>54</v>
      </c>
      <c r="C53" s="53" t="s">
        <v>728</v>
      </c>
      <c r="D53" s="53" t="s">
        <v>2514</v>
      </c>
      <c r="E53" s="53" t="s">
        <v>804</v>
      </c>
      <c r="F53" s="53" t="s">
        <v>5668</v>
      </c>
      <c r="G53" s="53" t="s">
        <v>798</v>
      </c>
      <c r="H53" s="53" t="s">
        <v>5669</v>
      </c>
    </row>
    <row r="54" spans="1:8">
      <c r="A54" s="48">
        <v>47</v>
      </c>
      <c r="B54" s="64" t="s">
        <v>46</v>
      </c>
      <c r="C54" s="48" t="s">
        <v>729</v>
      </c>
      <c r="D54" s="48" t="s">
        <v>2515</v>
      </c>
      <c r="E54" s="48" t="s">
        <v>2507</v>
      </c>
      <c r="F54" s="62" t="s">
        <v>5670</v>
      </c>
      <c r="G54" s="48" t="s">
        <v>798</v>
      </c>
      <c r="H54" s="48" t="s">
        <v>2516</v>
      </c>
    </row>
    <row r="55" spans="1:8">
      <c r="A55" s="53">
        <v>48</v>
      </c>
      <c r="B55" s="54" t="s">
        <v>64</v>
      </c>
      <c r="C55" s="53" t="s">
        <v>733</v>
      </c>
      <c r="D55" s="53" t="s">
        <v>2058</v>
      </c>
      <c r="E55" s="53" t="s">
        <v>800</v>
      </c>
      <c r="F55" s="53" t="s">
        <v>2747</v>
      </c>
      <c r="G55" s="53" t="s">
        <v>2747</v>
      </c>
      <c r="H55" s="53" t="s">
        <v>2747</v>
      </c>
    </row>
    <row r="56" spans="1:8">
      <c r="A56" s="48">
        <v>49</v>
      </c>
      <c r="B56" s="64" t="s">
        <v>2588</v>
      </c>
      <c r="C56" s="48" t="s">
        <v>790</v>
      </c>
      <c r="D56" s="48" t="s">
        <v>2074</v>
      </c>
      <c r="E56" s="48" t="s">
        <v>2491</v>
      </c>
      <c r="F56" s="62" t="s">
        <v>5671</v>
      </c>
      <c r="G56" s="48" t="s">
        <v>798</v>
      </c>
      <c r="H56" s="48" t="s">
        <v>2513</v>
      </c>
    </row>
    <row r="58" spans="1:8">
      <c r="B58" s="178" t="s">
        <v>5679</v>
      </c>
    </row>
    <row r="59" spans="1:8" ht="15.5">
      <c r="A59" s="7"/>
    </row>
    <row r="60" spans="1:8" ht="14.5" thickBot="1">
      <c r="A60" s="854" t="s">
        <v>519</v>
      </c>
      <c r="B60" s="854" t="s">
        <v>520</v>
      </c>
      <c r="C60" s="854" t="s">
        <v>521</v>
      </c>
      <c r="D60" s="854" t="s">
        <v>2480</v>
      </c>
      <c r="E60" s="854" t="s">
        <v>2481</v>
      </c>
      <c r="F60" s="855" t="s">
        <v>2482</v>
      </c>
      <c r="G60" s="854" t="s">
        <v>2483</v>
      </c>
      <c r="H60" s="854" t="s">
        <v>2484</v>
      </c>
    </row>
    <row r="61" spans="1:8">
      <c r="A61" s="855"/>
      <c r="B61" s="855"/>
      <c r="C61" s="855"/>
      <c r="D61" s="855"/>
      <c r="E61" s="855"/>
      <c r="F61" s="856"/>
      <c r="G61" s="855"/>
      <c r="H61" s="855"/>
    </row>
    <row r="62" spans="1:8">
      <c r="A62" s="48">
        <v>1</v>
      </c>
      <c r="B62" s="64" t="s">
        <v>755</v>
      </c>
      <c r="C62" s="48" t="s">
        <v>756</v>
      </c>
      <c r="D62" s="48" t="s">
        <v>2517</v>
      </c>
      <c r="E62" s="48" t="s">
        <v>2518</v>
      </c>
      <c r="F62" s="62" t="s">
        <v>5673</v>
      </c>
      <c r="G62" s="48" t="s">
        <v>798</v>
      </c>
      <c r="H62" s="48" t="s">
        <v>2110</v>
      </c>
    </row>
    <row r="63" spans="1:8">
      <c r="A63" s="53">
        <v>2</v>
      </c>
      <c r="B63" s="54" t="s">
        <v>759</v>
      </c>
      <c r="C63" s="53" t="s">
        <v>760</v>
      </c>
      <c r="D63" s="53" t="s">
        <v>2517</v>
      </c>
      <c r="E63" s="53" t="s">
        <v>2518</v>
      </c>
      <c r="F63" s="53" t="s">
        <v>5674</v>
      </c>
      <c r="G63" s="53" t="s">
        <v>798</v>
      </c>
      <c r="H63" s="53" t="s">
        <v>2110</v>
      </c>
    </row>
    <row r="64" spans="1:8">
      <c r="A64" s="48">
        <v>3</v>
      </c>
      <c r="B64" s="50" t="s">
        <v>761</v>
      </c>
      <c r="C64" s="51" t="s">
        <v>762</v>
      </c>
      <c r="D64" s="51" t="s">
        <v>2517</v>
      </c>
      <c r="E64" s="51" t="s">
        <v>2518</v>
      </c>
      <c r="F64" s="51" t="s">
        <v>5675</v>
      </c>
      <c r="G64" s="51" t="s">
        <v>798</v>
      </c>
      <c r="H64" s="51" t="s">
        <v>2110</v>
      </c>
    </row>
    <row r="65" spans="1:8">
      <c r="A65" s="53">
        <v>4</v>
      </c>
      <c r="B65" s="54" t="s">
        <v>763</v>
      </c>
      <c r="C65" s="53" t="s">
        <v>764</v>
      </c>
      <c r="D65" s="53" t="s">
        <v>2517</v>
      </c>
      <c r="E65" s="53" t="s">
        <v>2518</v>
      </c>
      <c r="F65" s="53" t="s">
        <v>5676</v>
      </c>
      <c r="G65" s="53" t="s">
        <v>798</v>
      </c>
      <c r="H65" s="53" t="s">
        <v>2110</v>
      </c>
    </row>
    <row r="66" spans="1:8">
      <c r="A66" s="48">
        <v>5</v>
      </c>
      <c r="B66" s="50" t="s">
        <v>765</v>
      </c>
      <c r="C66" s="51" t="s">
        <v>766</v>
      </c>
      <c r="D66" s="51" t="s">
        <v>2517</v>
      </c>
      <c r="E66" s="51" t="s">
        <v>2518</v>
      </c>
      <c r="F66" s="51" t="s">
        <v>5677</v>
      </c>
      <c r="G66" s="51" t="s">
        <v>798</v>
      </c>
      <c r="H66" s="51" t="s">
        <v>2110</v>
      </c>
    </row>
    <row r="67" spans="1:8">
      <c r="A67" s="53">
        <v>6</v>
      </c>
      <c r="B67" s="54" t="s">
        <v>767</v>
      </c>
      <c r="C67" s="53" t="s">
        <v>768</v>
      </c>
      <c r="D67" s="53" t="s">
        <v>2517</v>
      </c>
      <c r="E67" s="53" t="s">
        <v>2518</v>
      </c>
      <c r="F67" s="53" t="s">
        <v>2747</v>
      </c>
      <c r="G67" s="53" t="s">
        <v>2747</v>
      </c>
      <c r="H67" s="53" t="s">
        <v>2747</v>
      </c>
    </row>
    <row r="68" spans="1:8">
      <c r="A68" s="48">
        <v>7</v>
      </c>
      <c r="B68" s="50" t="s">
        <v>769</v>
      </c>
      <c r="C68" s="51" t="s">
        <v>770</v>
      </c>
      <c r="D68" s="51" t="s">
        <v>2747</v>
      </c>
      <c r="E68" s="51" t="s">
        <v>2051</v>
      </c>
      <c r="F68" s="51" t="s">
        <v>5678</v>
      </c>
      <c r="G68" s="51" t="s">
        <v>798</v>
      </c>
      <c r="H68" s="51" t="s">
        <v>2519</v>
      </c>
    </row>
    <row r="71" spans="1:8" ht="14.5">
      <c r="A71" s="465" t="s">
        <v>5680</v>
      </c>
    </row>
  </sheetData>
  <autoFilter ref="A6:H56" xr:uid="{8ADE8127-EDED-4628-A566-73F52A0344D4}"/>
  <mergeCells count="16">
    <mergeCell ref="G6:G7"/>
    <mergeCell ref="H6:H7"/>
    <mergeCell ref="A60:A61"/>
    <mergeCell ref="B60:B61"/>
    <mergeCell ref="C60:C61"/>
    <mergeCell ref="D60:D61"/>
    <mergeCell ref="E60:E61"/>
    <mergeCell ref="F60:F61"/>
    <mergeCell ref="G60:G61"/>
    <mergeCell ref="H60:H61"/>
    <mergeCell ref="A6:A7"/>
    <mergeCell ref="B6:B7"/>
    <mergeCell ref="C6:C7"/>
    <mergeCell ref="D6:D7"/>
    <mergeCell ref="E6:E7"/>
    <mergeCell ref="F6:F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E3258-379B-43B0-B50A-D4AF41632BA8}">
  <sheetPr>
    <tabColor rgb="FF92D050"/>
  </sheetPr>
  <dimension ref="A1:H55"/>
  <sheetViews>
    <sheetView showGridLines="0" workbookViewId="0">
      <pane ySplit="4" topLeftCell="A5" activePane="bottomLeft" state="frozen"/>
      <selection activeCell="B50" sqref="B50"/>
      <selection pane="bottomLeft" activeCell="H37" sqref="H37"/>
    </sheetView>
  </sheetViews>
  <sheetFormatPr baseColWidth="10" defaultColWidth="11.5" defaultRowHeight="11.5"/>
  <cols>
    <col min="1" max="1" width="11.5" style="595"/>
    <col min="2" max="2" width="53.25" style="595" bestFit="1" customWidth="1"/>
    <col min="3" max="3" width="9.4140625" style="595" bestFit="1" customWidth="1"/>
    <col min="4" max="4" width="11.5" style="595"/>
    <col min="5" max="5" width="7.25" style="595" bestFit="1" customWidth="1"/>
    <col min="6" max="6" width="7.83203125" style="595" bestFit="1" customWidth="1"/>
    <col min="7" max="7" width="28.25" style="595" customWidth="1"/>
    <col min="8" max="8" width="52.25" style="595" bestFit="1" customWidth="1"/>
    <col min="9" max="10" width="11.5" style="595"/>
    <col min="11" max="11" width="36.25" style="595" bestFit="1" customWidth="1"/>
    <col min="12" max="16384" width="11.5" style="595"/>
  </cols>
  <sheetData>
    <row r="1" spans="1:8" ht="12">
      <c r="A1" s="594" t="s">
        <v>8607</v>
      </c>
    </row>
    <row r="3" spans="1:8" ht="12.5" thickBot="1">
      <c r="A3" s="858" t="s">
        <v>519</v>
      </c>
      <c r="B3" s="858" t="s">
        <v>520</v>
      </c>
      <c r="C3" s="858" t="s">
        <v>521</v>
      </c>
      <c r="D3" s="858" t="s">
        <v>1853</v>
      </c>
      <c r="E3" s="858" t="s">
        <v>1854</v>
      </c>
      <c r="F3" s="858"/>
      <c r="G3" s="858" t="s">
        <v>1855</v>
      </c>
      <c r="H3" s="858" t="s">
        <v>7896</v>
      </c>
    </row>
    <row r="4" spans="1:8" ht="12">
      <c r="A4" s="859"/>
      <c r="B4" s="859"/>
      <c r="C4" s="859"/>
      <c r="D4" s="859"/>
      <c r="E4" s="596" t="s">
        <v>788</v>
      </c>
      <c r="F4" s="596" t="s">
        <v>789</v>
      </c>
      <c r="G4" s="859"/>
      <c r="H4" s="859"/>
    </row>
    <row r="5" spans="1:8" ht="12">
      <c r="A5" s="597">
        <v>1</v>
      </c>
      <c r="B5" s="598" t="s">
        <v>69</v>
      </c>
      <c r="C5" s="598" t="s">
        <v>528</v>
      </c>
      <c r="D5" s="597" t="s">
        <v>850</v>
      </c>
      <c r="E5" s="857" t="s">
        <v>1575</v>
      </c>
      <c r="F5" s="857"/>
      <c r="G5" s="606" t="s">
        <v>1575</v>
      </c>
      <c r="H5" s="598" t="s">
        <v>7898</v>
      </c>
    </row>
    <row r="6" spans="1:8" ht="12">
      <c r="A6" s="152">
        <v>2</v>
      </c>
      <c r="B6" s="599" t="s">
        <v>534</v>
      </c>
      <c r="C6" s="599" t="s">
        <v>535</v>
      </c>
      <c r="D6" s="152" t="s">
        <v>1574</v>
      </c>
      <c r="E6" s="152" t="s">
        <v>1574</v>
      </c>
      <c r="F6" s="152"/>
      <c r="G6" s="606" t="s">
        <v>1575</v>
      </c>
      <c r="H6" s="600" t="s">
        <v>8610</v>
      </c>
    </row>
    <row r="7" spans="1:8" ht="24">
      <c r="A7" s="597">
        <v>3</v>
      </c>
      <c r="B7" s="598" t="s">
        <v>539</v>
      </c>
      <c r="C7" s="598" t="s">
        <v>540</v>
      </c>
      <c r="D7" s="597" t="s">
        <v>1574</v>
      </c>
      <c r="E7" s="597" t="s">
        <v>1574</v>
      </c>
      <c r="F7" s="597"/>
      <c r="G7" s="601" t="s">
        <v>2590</v>
      </c>
      <c r="H7" s="601"/>
    </row>
    <row r="8" spans="1:8" ht="12">
      <c r="A8" s="152">
        <v>4</v>
      </c>
      <c r="B8" s="599" t="s">
        <v>544</v>
      </c>
      <c r="C8" s="599" t="s">
        <v>545</v>
      </c>
      <c r="D8" s="152" t="s">
        <v>1574</v>
      </c>
      <c r="E8" s="152" t="s">
        <v>1574</v>
      </c>
      <c r="F8" s="152"/>
      <c r="G8" s="602" t="s">
        <v>2591</v>
      </c>
      <c r="H8" s="602"/>
    </row>
    <row r="9" spans="1:8" ht="12">
      <c r="A9" s="597">
        <v>5</v>
      </c>
      <c r="B9" s="598" t="s">
        <v>553</v>
      </c>
      <c r="C9" s="598" t="s">
        <v>554</v>
      </c>
      <c r="D9" s="597" t="s">
        <v>1574</v>
      </c>
      <c r="E9" s="597"/>
      <c r="F9" s="597" t="s">
        <v>850</v>
      </c>
      <c r="G9" s="606" t="s">
        <v>1575</v>
      </c>
      <c r="H9" s="598" t="s">
        <v>8606</v>
      </c>
    </row>
    <row r="10" spans="1:8" ht="12">
      <c r="A10" s="152">
        <v>6</v>
      </c>
      <c r="B10" s="599" t="s">
        <v>2586</v>
      </c>
      <c r="C10" s="599" t="s">
        <v>2478</v>
      </c>
      <c r="D10" s="152" t="s">
        <v>1574</v>
      </c>
      <c r="E10" s="152" t="s">
        <v>1574</v>
      </c>
      <c r="F10" s="152"/>
      <c r="G10" s="606" t="s">
        <v>1575</v>
      </c>
      <c r="H10" s="600" t="s">
        <v>8610</v>
      </c>
    </row>
    <row r="11" spans="1:8" ht="12">
      <c r="A11" s="597">
        <v>7</v>
      </c>
      <c r="B11" s="598" t="s">
        <v>558</v>
      </c>
      <c r="C11" s="598" t="s">
        <v>559</v>
      </c>
      <c r="D11" s="597" t="s">
        <v>1574</v>
      </c>
      <c r="E11" s="597" t="s">
        <v>1574</v>
      </c>
      <c r="F11" s="597"/>
      <c r="G11" s="606" t="s">
        <v>1575</v>
      </c>
      <c r="H11" s="598" t="s">
        <v>8610</v>
      </c>
    </row>
    <row r="12" spans="1:8" ht="34.5">
      <c r="A12" s="152">
        <v>8</v>
      </c>
      <c r="B12" s="599" t="s">
        <v>562</v>
      </c>
      <c r="C12" s="599" t="s">
        <v>563</v>
      </c>
      <c r="D12" s="152" t="s">
        <v>1574</v>
      </c>
      <c r="E12" s="152" t="s">
        <v>1574</v>
      </c>
      <c r="F12" s="152"/>
      <c r="G12" s="602" t="s">
        <v>2592</v>
      </c>
      <c r="H12" s="602"/>
    </row>
    <row r="13" spans="1:8" ht="12">
      <c r="A13" s="597">
        <v>9</v>
      </c>
      <c r="B13" s="598" t="s">
        <v>564</v>
      </c>
      <c r="C13" s="598" t="s">
        <v>565</v>
      </c>
      <c r="D13" s="597" t="s">
        <v>1574</v>
      </c>
      <c r="E13" s="597" t="s">
        <v>1574</v>
      </c>
      <c r="F13" s="597"/>
      <c r="G13" s="603" t="s">
        <v>1856</v>
      </c>
      <c r="H13" s="603"/>
    </row>
    <row r="14" spans="1:8" ht="12">
      <c r="A14" s="152">
        <v>10</v>
      </c>
      <c r="B14" s="599" t="s">
        <v>2587</v>
      </c>
      <c r="C14" s="599" t="s">
        <v>571</v>
      </c>
      <c r="D14" s="152" t="s">
        <v>1574</v>
      </c>
      <c r="E14" s="152" t="s">
        <v>1574</v>
      </c>
      <c r="F14" s="152"/>
      <c r="G14" s="606" t="s">
        <v>1575</v>
      </c>
      <c r="H14" s="600" t="s">
        <v>8610</v>
      </c>
    </row>
    <row r="15" spans="1:8" ht="23">
      <c r="A15" s="597">
        <v>11</v>
      </c>
      <c r="B15" s="598" t="s">
        <v>574</v>
      </c>
      <c r="C15" s="598" t="s">
        <v>575</v>
      </c>
      <c r="D15" s="597" t="s">
        <v>1574</v>
      </c>
      <c r="E15" s="597" t="s">
        <v>1574</v>
      </c>
      <c r="F15" s="597"/>
      <c r="G15" s="604" t="s">
        <v>2593</v>
      </c>
      <c r="H15" s="605"/>
    </row>
    <row r="16" spans="1:8" ht="24">
      <c r="A16" s="152">
        <v>12</v>
      </c>
      <c r="B16" s="599" t="s">
        <v>578</v>
      </c>
      <c r="C16" s="599" t="s">
        <v>579</v>
      </c>
      <c r="D16" s="152" t="s">
        <v>1574</v>
      </c>
      <c r="E16" s="152" t="s">
        <v>1574</v>
      </c>
      <c r="F16" s="152"/>
      <c r="G16" s="600" t="s">
        <v>2597</v>
      </c>
      <c r="H16" s="600"/>
    </row>
    <row r="17" spans="1:8" ht="12">
      <c r="A17" s="597">
        <v>13</v>
      </c>
      <c r="B17" s="598" t="s">
        <v>582</v>
      </c>
      <c r="C17" s="598" t="s">
        <v>583</v>
      </c>
      <c r="D17" s="597" t="s">
        <v>1574</v>
      </c>
      <c r="E17" s="597" t="s">
        <v>1574</v>
      </c>
      <c r="F17" s="597"/>
      <c r="G17" s="606" t="s">
        <v>1575</v>
      </c>
      <c r="H17" s="598" t="s">
        <v>8610</v>
      </c>
    </row>
    <row r="18" spans="1:8" ht="12">
      <c r="A18" s="152">
        <v>14</v>
      </c>
      <c r="B18" s="599" t="s">
        <v>590</v>
      </c>
      <c r="C18" s="599" t="s">
        <v>2589</v>
      </c>
      <c r="D18" s="152" t="s">
        <v>1574</v>
      </c>
      <c r="E18" s="152" t="s">
        <v>1574</v>
      </c>
      <c r="F18" s="152"/>
      <c r="G18" s="599" t="s">
        <v>2599</v>
      </c>
      <c r="H18" s="599"/>
    </row>
    <row r="19" spans="1:8" ht="12">
      <c r="A19" s="597">
        <v>15</v>
      </c>
      <c r="B19" s="598" t="s">
        <v>68</v>
      </c>
      <c r="C19" s="598" t="s">
        <v>596</v>
      </c>
      <c r="D19" s="597" t="s">
        <v>1574</v>
      </c>
      <c r="E19" s="597" t="s">
        <v>1574</v>
      </c>
      <c r="F19" s="597"/>
      <c r="G19" s="606" t="s">
        <v>1575</v>
      </c>
      <c r="H19" s="601" t="s">
        <v>8610</v>
      </c>
    </row>
    <row r="20" spans="1:8" ht="12">
      <c r="A20" s="152">
        <v>16</v>
      </c>
      <c r="B20" s="599" t="s">
        <v>599</v>
      </c>
      <c r="C20" s="599" t="s">
        <v>600</v>
      </c>
      <c r="D20" s="152" t="s">
        <v>850</v>
      </c>
      <c r="E20" s="857" t="s">
        <v>1575</v>
      </c>
      <c r="F20" s="857"/>
      <c r="G20" s="606" t="s">
        <v>1575</v>
      </c>
      <c r="H20" s="600" t="s">
        <v>7898</v>
      </c>
    </row>
    <row r="21" spans="1:8" ht="12">
      <c r="A21" s="597">
        <v>17</v>
      </c>
      <c r="B21" s="598" t="s">
        <v>607</v>
      </c>
      <c r="C21" s="598" t="s">
        <v>608</v>
      </c>
      <c r="D21" s="597" t="s">
        <v>1574</v>
      </c>
      <c r="E21" s="597" t="s">
        <v>1574</v>
      </c>
      <c r="F21" s="597"/>
      <c r="G21" s="606" t="s">
        <v>1575</v>
      </c>
      <c r="H21" s="601" t="s">
        <v>8610</v>
      </c>
    </row>
    <row r="22" spans="1:8" ht="12">
      <c r="A22" s="152">
        <v>18</v>
      </c>
      <c r="B22" s="599" t="s">
        <v>74</v>
      </c>
      <c r="C22" s="599" t="s">
        <v>609</v>
      </c>
      <c r="D22" s="152" t="s">
        <v>1574</v>
      </c>
      <c r="E22" s="152" t="s">
        <v>1574</v>
      </c>
      <c r="F22" s="152"/>
      <c r="G22" s="607" t="s">
        <v>2602</v>
      </c>
      <c r="H22" s="607" t="s">
        <v>2606</v>
      </c>
    </row>
    <row r="23" spans="1:8" ht="12">
      <c r="A23" s="597">
        <v>19</v>
      </c>
      <c r="B23" s="598" t="s">
        <v>17</v>
      </c>
      <c r="C23" s="598" t="s">
        <v>1244</v>
      </c>
      <c r="D23" s="597" t="s">
        <v>1574</v>
      </c>
      <c r="E23" s="597" t="s">
        <v>1574</v>
      </c>
      <c r="F23" s="597"/>
      <c r="G23" s="604" t="s">
        <v>1859</v>
      </c>
      <c r="H23" s="604"/>
    </row>
    <row r="24" spans="1:8" ht="12">
      <c r="A24" s="152">
        <v>20</v>
      </c>
      <c r="B24" s="599" t="s">
        <v>190</v>
      </c>
      <c r="C24" s="599" t="s">
        <v>612</v>
      </c>
      <c r="D24" s="152" t="s">
        <v>1574</v>
      </c>
      <c r="E24" s="152"/>
      <c r="F24" s="152" t="s">
        <v>850</v>
      </c>
      <c r="G24" s="606" t="s">
        <v>1575</v>
      </c>
      <c r="H24" s="599" t="s">
        <v>8606</v>
      </c>
    </row>
    <row r="25" spans="1:8" ht="12">
      <c r="A25" s="597">
        <v>21</v>
      </c>
      <c r="B25" s="598" t="s">
        <v>615</v>
      </c>
      <c r="C25" s="598" t="s">
        <v>616</v>
      </c>
      <c r="D25" s="597" t="s">
        <v>850</v>
      </c>
      <c r="E25" s="857" t="s">
        <v>1575</v>
      </c>
      <c r="F25" s="857"/>
      <c r="G25" s="606" t="s">
        <v>1575</v>
      </c>
      <c r="H25" s="601" t="s">
        <v>7898</v>
      </c>
    </row>
    <row r="26" spans="1:8" ht="12">
      <c r="A26" s="152">
        <v>22</v>
      </c>
      <c r="B26" s="599" t="s">
        <v>618</v>
      </c>
      <c r="C26" s="599" t="s">
        <v>619</v>
      </c>
      <c r="D26" s="152" t="s">
        <v>1574</v>
      </c>
      <c r="E26" s="152" t="s">
        <v>1574</v>
      </c>
      <c r="F26" s="152"/>
      <c r="G26" s="606" t="s">
        <v>1575</v>
      </c>
      <c r="H26" s="599" t="s">
        <v>8610</v>
      </c>
    </row>
    <row r="27" spans="1:8" ht="12">
      <c r="A27" s="597">
        <v>23</v>
      </c>
      <c r="B27" s="598" t="s">
        <v>622</v>
      </c>
      <c r="C27" s="598" t="s">
        <v>623</v>
      </c>
      <c r="D27" s="597" t="s">
        <v>850</v>
      </c>
      <c r="E27" s="857" t="s">
        <v>1575</v>
      </c>
      <c r="F27" s="857"/>
      <c r="G27" s="606" t="s">
        <v>1575</v>
      </c>
      <c r="H27" s="601" t="s">
        <v>7898</v>
      </c>
    </row>
    <row r="28" spans="1:8" ht="12">
      <c r="A28" s="152">
        <v>24</v>
      </c>
      <c r="B28" s="599" t="s">
        <v>130</v>
      </c>
      <c r="C28" s="599" t="s">
        <v>627</v>
      </c>
      <c r="D28" s="152" t="s">
        <v>850</v>
      </c>
      <c r="E28" s="857" t="s">
        <v>1575</v>
      </c>
      <c r="F28" s="857"/>
      <c r="G28" s="606" t="s">
        <v>1575</v>
      </c>
      <c r="H28" s="599" t="s">
        <v>7898</v>
      </c>
    </row>
    <row r="29" spans="1:8" ht="12">
      <c r="A29" s="597">
        <v>25</v>
      </c>
      <c r="B29" s="598" t="s">
        <v>630</v>
      </c>
      <c r="C29" s="598" t="s">
        <v>631</v>
      </c>
      <c r="D29" s="597" t="s">
        <v>1574</v>
      </c>
      <c r="E29" s="597" t="s">
        <v>1574</v>
      </c>
      <c r="F29" s="597"/>
      <c r="G29" s="606" t="s">
        <v>1575</v>
      </c>
      <c r="H29" s="601" t="s">
        <v>8610</v>
      </c>
    </row>
    <row r="30" spans="1:8" ht="12">
      <c r="A30" s="152">
        <v>26</v>
      </c>
      <c r="B30" s="599" t="s">
        <v>99</v>
      </c>
      <c r="C30" s="599" t="s">
        <v>637</v>
      </c>
      <c r="D30" s="152" t="s">
        <v>850</v>
      </c>
      <c r="E30" s="857" t="s">
        <v>1575</v>
      </c>
      <c r="F30" s="857"/>
      <c r="G30" s="606" t="s">
        <v>1575</v>
      </c>
      <c r="H30" s="599" t="s">
        <v>7898</v>
      </c>
    </row>
    <row r="31" spans="1:8" ht="12">
      <c r="A31" s="597">
        <v>27</v>
      </c>
      <c r="B31" s="598" t="s">
        <v>87</v>
      </c>
      <c r="C31" s="598" t="s">
        <v>642</v>
      </c>
      <c r="D31" s="597" t="s">
        <v>850</v>
      </c>
      <c r="E31" s="857" t="s">
        <v>1575</v>
      </c>
      <c r="F31" s="857"/>
      <c r="G31" s="606" t="s">
        <v>1575</v>
      </c>
      <c r="H31" s="598" t="s">
        <v>7898</v>
      </c>
    </row>
    <row r="32" spans="1:8" ht="12">
      <c r="A32" s="152">
        <v>28</v>
      </c>
      <c r="B32" s="599" t="s">
        <v>646</v>
      </c>
      <c r="C32" s="599" t="s">
        <v>647</v>
      </c>
      <c r="D32" s="152" t="s">
        <v>1574</v>
      </c>
      <c r="E32" s="152"/>
      <c r="F32" s="152" t="s">
        <v>850</v>
      </c>
      <c r="G32" s="606" t="s">
        <v>1575</v>
      </c>
      <c r="H32" s="599" t="s">
        <v>8606</v>
      </c>
    </row>
    <row r="33" spans="1:8" ht="12">
      <c r="A33" s="597">
        <v>29</v>
      </c>
      <c r="B33" s="598" t="s">
        <v>651</v>
      </c>
      <c r="C33" s="598" t="s">
        <v>652</v>
      </c>
      <c r="D33" s="597" t="s">
        <v>850</v>
      </c>
      <c r="E33" s="857" t="s">
        <v>1575</v>
      </c>
      <c r="F33" s="857"/>
      <c r="G33" s="606" t="s">
        <v>1575</v>
      </c>
      <c r="H33" s="598" t="s">
        <v>7898</v>
      </c>
    </row>
    <row r="34" spans="1:8" ht="12">
      <c r="A34" s="152">
        <v>30</v>
      </c>
      <c r="B34" s="599" t="s">
        <v>102</v>
      </c>
      <c r="C34" s="599" t="s">
        <v>1246</v>
      </c>
      <c r="D34" s="152" t="s">
        <v>1574</v>
      </c>
      <c r="E34" s="152" t="s">
        <v>1574</v>
      </c>
      <c r="F34" s="152"/>
      <c r="G34" s="606" t="s">
        <v>1575</v>
      </c>
      <c r="H34" s="600" t="s">
        <v>8610</v>
      </c>
    </row>
    <row r="35" spans="1:8" ht="12">
      <c r="A35" s="597">
        <v>31</v>
      </c>
      <c r="B35" s="598" t="s">
        <v>659</v>
      </c>
      <c r="C35" s="598" t="s">
        <v>660</v>
      </c>
      <c r="D35" s="597" t="s">
        <v>850</v>
      </c>
      <c r="E35" s="857" t="s">
        <v>1575</v>
      </c>
      <c r="F35" s="857"/>
      <c r="G35" s="606" t="s">
        <v>1575</v>
      </c>
      <c r="H35" s="601" t="s">
        <v>7898</v>
      </c>
    </row>
    <row r="36" spans="1:8" ht="12">
      <c r="A36" s="152">
        <v>32</v>
      </c>
      <c r="B36" s="599" t="s">
        <v>662</v>
      </c>
      <c r="C36" s="599" t="s">
        <v>663</v>
      </c>
      <c r="D36" s="152" t="s">
        <v>1574</v>
      </c>
      <c r="E36" s="152" t="s">
        <v>1574</v>
      </c>
      <c r="F36" s="152"/>
      <c r="G36" s="606" t="s">
        <v>1575</v>
      </c>
      <c r="H36" s="600" t="s">
        <v>8610</v>
      </c>
    </row>
    <row r="37" spans="1:8" ht="23">
      <c r="A37" s="597">
        <v>33</v>
      </c>
      <c r="B37" s="598" t="s">
        <v>666</v>
      </c>
      <c r="C37" s="598" t="s">
        <v>667</v>
      </c>
      <c r="D37" s="597" t="s">
        <v>1574</v>
      </c>
      <c r="E37" s="597" t="s">
        <v>1574</v>
      </c>
      <c r="F37" s="597"/>
      <c r="G37" s="604" t="s">
        <v>2603</v>
      </c>
      <c r="H37" s="604"/>
    </row>
    <row r="38" spans="1:8" ht="12">
      <c r="A38" s="152">
        <v>34</v>
      </c>
      <c r="B38" s="599" t="s">
        <v>673</v>
      </c>
      <c r="C38" s="599" t="s">
        <v>674</v>
      </c>
      <c r="D38" s="152" t="s">
        <v>1574</v>
      </c>
      <c r="E38" s="152"/>
      <c r="F38" s="152" t="s">
        <v>850</v>
      </c>
      <c r="G38" s="606" t="s">
        <v>1575</v>
      </c>
      <c r="H38" s="599" t="s">
        <v>8606</v>
      </c>
    </row>
    <row r="39" spans="1:8" ht="12">
      <c r="A39" s="597">
        <v>35</v>
      </c>
      <c r="B39" s="598" t="s">
        <v>676</v>
      </c>
      <c r="C39" s="598" t="s">
        <v>677</v>
      </c>
      <c r="D39" s="597" t="s">
        <v>1574</v>
      </c>
      <c r="E39" s="597" t="s">
        <v>1574</v>
      </c>
      <c r="F39" s="597"/>
      <c r="G39" s="606" t="s">
        <v>1575</v>
      </c>
      <c r="H39" s="601" t="s">
        <v>8610</v>
      </c>
    </row>
    <row r="40" spans="1:8" ht="12">
      <c r="A40" s="152">
        <v>36</v>
      </c>
      <c r="B40" s="599" t="s">
        <v>681</v>
      </c>
      <c r="C40" s="599" t="s">
        <v>682</v>
      </c>
      <c r="D40" s="152" t="s">
        <v>1574</v>
      </c>
      <c r="E40" s="152" t="s">
        <v>1574</v>
      </c>
      <c r="F40" s="152"/>
      <c r="G40" s="606" t="s">
        <v>1575</v>
      </c>
      <c r="H40" s="600" t="s">
        <v>8610</v>
      </c>
    </row>
    <row r="41" spans="1:8" ht="12">
      <c r="A41" s="597">
        <v>37</v>
      </c>
      <c r="B41" s="598" t="s">
        <v>462</v>
      </c>
      <c r="C41" s="598" t="s">
        <v>685</v>
      </c>
      <c r="D41" s="597" t="s">
        <v>850</v>
      </c>
      <c r="E41" s="857" t="s">
        <v>1575</v>
      </c>
      <c r="F41" s="857"/>
      <c r="G41" s="606" t="s">
        <v>1575</v>
      </c>
      <c r="H41" s="601" t="s">
        <v>7898</v>
      </c>
    </row>
    <row r="42" spans="1:8" ht="12">
      <c r="A42" s="152">
        <v>38</v>
      </c>
      <c r="B42" s="599" t="s">
        <v>1248</v>
      </c>
      <c r="C42" s="599" t="s">
        <v>1249</v>
      </c>
      <c r="D42" s="152" t="s">
        <v>850</v>
      </c>
      <c r="E42" s="857" t="s">
        <v>1575</v>
      </c>
      <c r="F42" s="857"/>
      <c r="G42" s="606" t="s">
        <v>1575</v>
      </c>
      <c r="H42" s="599" t="s">
        <v>7898</v>
      </c>
    </row>
    <row r="43" spans="1:8" ht="12">
      <c r="A43" s="597">
        <v>39</v>
      </c>
      <c r="B43" s="598" t="s">
        <v>188</v>
      </c>
      <c r="C43" s="598" t="s">
        <v>686</v>
      </c>
      <c r="D43" s="597" t="s">
        <v>1574</v>
      </c>
      <c r="E43" s="597" t="s">
        <v>1574</v>
      </c>
      <c r="F43" s="597"/>
      <c r="G43" s="606" t="s">
        <v>1575</v>
      </c>
      <c r="H43" s="601" t="s">
        <v>8610</v>
      </c>
    </row>
    <row r="44" spans="1:8" ht="12">
      <c r="A44" s="152">
        <v>40</v>
      </c>
      <c r="B44" s="599" t="s">
        <v>974</v>
      </c>
      <c r="C44" s="599" t="s">
        <v>1252</v>
      </c>
      <c r="D44" s="152" t="s">
        <v>1574</v>
      </c>
      <c r="E44" s="152" t="s">
        <v>1574</v>
      </c>
      <c r="F44" s="152"/>
      <c r="G44" s="606" t="s">
        <v>1575</v>
      </c>
      <c r="H44" s="600" t="s">
        <v>8610</v>
      </c>
    </row>
    <row r="45" spans="1:8" ht="12">
      <c r="A45" s="597">
        <v>41</v>
      </c>
      <c r="B45" s="598" t="s">
        <v>141</v>
      </c>
      <c r="C45" s="598" t="s">
        <v>689</v>
      </c>
      <c r="D45" s="597" t="s">
        <v>850</v>
      </c>
      <c r="E45" s="857" t="s">
        <v>1575</v>
      </c>
      <c r="F45" s="857"/>
      <c r="G45" s="606" t="s">
        <v>1575</v>
      </c>
      <c r="H45" s="601" t="s">
        <v>7898</v>
      </c>
    </row>
    <row r="46" spans="1:8" ht="12">
      <c r="A46" s="152">
        <v>42</v>
      </c>
      <c r="B46" s="599" t="s">
        <v>692</v>
      </c>
      <c r="C46" s="599" t="s">
        <v>693</v>
      </c>
      <c r="D46" s="152" t="s">
        <v>1574</v>
      </c>
      <c r="E46" s="152"/>
      <c r="F46" s="152" t="s">
        <v>850</v>
      </c>
      <c r="G46" s="606" t="s">
        <v>1575</v>
      </c>
      <c r="H46" s="599" t="s">
        <v>8606</v>
      </c>
    </row>
    <row r="47" spans="1:8" ht="14.65" customHeight="1">
      <c r="A47" s="597">
        <v>43</v>
      </c>
      <c r="B47" s="598" t="s">
        <v>140</v>
      </c>
      <c r="C47" s="598" t="s">
        <v>698</v>
      </c>
      <c r="D47" s="597" t="s">
        <v>1574</v>
      </c>
      <c r="E47" s="597" t="s">
        <v>1574</v>
      </c>
      <c r="F47" s="597"/>
      <c r="G47" s="606" t="s">
        <v>1575</v>
      </c>
      <c r="H47" s="601" t="s">
        <v>8610</v>
      </c>
    </row>
    <row r="48" spans="1:8" ht="12">
      <c r="A48" s="152">
        <v>44</v>
      </c>
      <c r="B48" s="599" t="s">
        <v>709</v>
      </c>
      <c r="C48" s="599" t="s">
        <v>710</v>
      </c>
      <c r="D48" s="152" t="s">
        <v>1574</v>
      </c>
      <c r="E48" s="152" t="s">
        <v>1574</v>
      </c>
      <c r="F48" s="152"/>
      <c r="G48" s="606" t="s">
        <v>1575</v>
      </c>
      <c r="H48" s="600" t="s">
        <v>8610</v>
      </c>
    </row>
    <row r="49" spans="1:8" ht="12">
      <c r="A49" s="597">
        <v>45</v>
      </c>
      <c r="B49" s="598" t="s">
        <v>714</v>
      </c>
      <c r="C49" s="598" t="s">
        <v>715</v>
      </c>
      <c r="D49" s="597" t="s">
        <v>1574</v>
      </c>
      <c r="E49" s="597" t="s">
        <v>1574</v>
      </c>
      <c r="F49" s="597"/>
      <c r="G49" s="606" t="s">
        <v>1575</v>
      </c>
      <c r="H49" s="601" t="s">
        <v>8610</v>
      </c>
    </row>
    <row r="50" spans="1:8" ht="12">
      <c r="A50" s="152">
        <v>46</v>
      </c>
      <c r="B50" s="599" t="s">
        <v>54</v>
      </c>
      <c r="C50" s="599" t="s">
        <v>728</v>
      </c>
      <c r="D50" s="152" t="s">
        <v>1574</v>
      </c>
      <c r="E50" s="152" t="s">
        <v>1574</v>
      </c>
      <c r="F50" s="152"/>
      <c r="G50" s="606" t="s">
        <v>1575</v>
      </c>
      <c r="H50" s="600" t="s">
        <v>8610</v>
      </c>
    </row>
    <row r="51" spans="1:8" ht="12">
      <c r="A51" s="597">
        <v>47</v>
      </c>
      <c r="B51" s="598" t="s">
        <v>46</v>
      </c>
      <c r="C51" s="598" t="s">
        <v>729</v>
      </c>
      <c r="D51" s="597" t="s">
        <v>850</v>
      </c>
      <c r="E51" s="857" t="s">
        <v>1575</v>
      </c>
      <c r="F51" s="857"/>
      <c r="G51" s="606" t="s">
        <v>1575</v>
      </c>
      <c r="H51" s="601" t="s">
        <v>7898</v>
      </c>
    </row>
    <row r="52" spans="1:8" ht="12">
      <c r="A52" s="152">
        <v>48</v>
      </c>
      <c r="B52" s="599" t="s">
        <v>64</v>
      </c>
      <c r="C52" s="599" t="s">
        <v>733</v>
      </c>
      <c r="D52" s="152" t="s">
        <v>850</v>
      </c>
      <c r="E52" s="857" t="s">
        <v>1575</v>
      </c>
      <c r="F52" s="857"/>
      <c r="G52" s="606" t="s">
        <v>1575</v>
      </c>
      <c r="H52" s="599" t="s">
        <v>7898</v>
      </c>
    </row>
    <row r="53" spans="1:8" ht="12">
      <c r="A53" s="597">
        <v>49</v>
      </c>
      <c r="B53" s="598" t="s">
        <v>2588</v>
      </c>
      <c r="C53" s="598" t="s">
        <v>790</v>
      </c>
      <c r="D53" s="597" t="s">
        <v>1574</v>
      </c>
      <c r="E53" s="597"/>
      <c r="F53" s="597" t="s">
        <v>850</v>
      </c>
      <c r="G53" s="606" t="s">
        <v>1575</v>
      </c>
      <c r="H53" s="598" t="s">
        <v>8606</v>
      </c>
    </row>
    <row r="55" spans="1:8" ht="12">
      <c r="A55" s="608" t="s">
        <v>8609</v>
      </c>
    </row>
  </sheetData>
  <autoFilter ref="A3:H53" xr:uid="{C5EE3258-379B-43B0-B50A-D4AF41632BA8}">
    <filterColumn colId="4" showButton="0"/>
  </autoFilter>
  <mergeCells count="21">
    <mergeCell ref="A3:A4"/>
    <mergeCell ref="B3:B4"/>
    <mergeCell ref="C3:C4"/>
    <mergeCell ref="D3:D4"/>
    <mergeCell ref="E3:F3"/>
    <mergeCell ref="E5:F5"/>
    <mergeCell ref="E20:F20"/>
    <mergeCell ref="E25:F25"/>
    <mergeCell ref="E27:F27"/>
    <mergeCell ref="H3:H4"/>
    <mergeCell ref="G3:G4"/>
    <mergeCell ref="E42:F42"/>
    <mergeCell ref="E45:F45"/>
    <mergeCell ref="E51:F51"/>
    <mergeCell ref="E52:F52"/>
    <mergeCell ref="E28:F28"/>
    <mergeCell ref="E30:F30"/>
    <mergeCell ref="E31:F31"/>
    <mergeCell ref="E33:F33"/>
    <mergeCell ref="E35:F35"/>
    <mergeCell ref="E41:F41"/>
  </mergeCells>
  <hyperlinks>
    <hyperlink ref="G8" r:id="rId1" xr:uid="{471069D7-5A3E-4518-9C2C-74035A5C8218}"/>
    <hyperlink ref="G12" r:id="rId2" xr:uid="{885C86D4-B281-4A5A-9138-DD908C997401}"/>
    <hyperlink ref="G13" r:id="rId3" xr:uid="{B6CCA641-126C-46D8-AE68-D8B001912425}"/>
    <hyperlink ref="G15" r:id="rId4" xr:uid="{9448DEBF-F491-4846-85F1-FA59E6F9DE26}"/>
    <hyperlink ref="G23" r:id="rId5" xr:uid="{3B83C9ED-21A9-4959-B259-230606CD147B}"/>
    <hyperlink ref="G37" r:id="rId6" xr:uid="{BB2D22DB-A0CE-4293-A399-248B3B152EC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BCA55-5B89-414F-A218-55316FE967D9}">
  <sheetPr>
    <tabColor rgb="FF92D050"/>
  </sheetPr>
  <dimension ref="A1:H13"/>
  <sheetViews>
    <sheetView showGridLines="0" workbookViewId="0">
      <pane ySplit="2" topLeftCell="A3" activePane="bottomLeft" state="frozen"/>
      <selection activeCell="B50" sqref="B50"/>
      <selection pane="bottomLeft" activeCell="E5" sqref="E5:E9"/>
    </sheetView>
  </sheetViews>
  <sheetFormatPr baseColWidth="10" defaultColWidth="11.5" defaultRowHeight="12.5"/>
  <cols>
    <col min="1" max="1" width="11.5" style="139"/>
    <col min="2" max="2" width="53.25" style="139" bestFit="1" customWidth="1"/>
    <col min="3" max="3" width="10.5" style="139" bestFit="1" customWidth="1"/>
    <col min="4" max="4" width="11.5" style="139"/>
    <col min="5" max="5" width="7.25" style="139" bestFit="1" customWidth="1"/>
    <col min="6" max="6" width="7.83203125" style="139" bestFit="1" customWidth="1"/>
    <col min="7" max="7" width="28.25" style="139" customWidth="1"/>
    <col min="8" max="8" width="59.75" style="139" bestFit="1" customWidth="1"/>
    <col min="9" max="16384" width="11.5" style="139"/>
  </cols>
  <sheetData>
    <row r="1" spans="1:8" ht="13.5">
      <c r="A1" s="587" t="s">
        <v>8608</v>
      </c>
    </row>
    <row r="3" spans="1:8" ht="14" thickBot="1">
      <c r="A3" s="860" t="s">
        <v>519</v>
      </c>
      <c r="B3" s="860" t="s">
        <v>520</v>
      </c>
      <c r="C3" s="860" t="s">
        <v>521</v>
      </c>
      <c r="D3" s="860" t="s">
        <v>1853</v>
      </c>
      <c r="E3" s="860" t="s">
        <v>1854</v>
      </c>
      <c r="F3" s="860"/>
      <c r="G3" s="860" t="s">
        <v>1855</v>
      </c>
      <c r="H3" s="860" t="s">
        <v>7896</v>
      </c>
    </row>
    <row r="4" spans="1:8" ht="13.5">
      <c r="A4" s="861"/>
      <c r="B4" s="861"/>
      <c r="C4" s="861"/>
      <c r="D4" s="861"/>
      <c r="E4" s="588" t="s">
        <v>788</v>
      </c>
      <c r="F4" s="588" t="s">
        <v>789</v>
      </c>
      <c r="G4" s="861"/>
      <c r="H4" s="861"/>
    </row>
    <row r="5" spans="1:8" ht="13.5">
      <c r="A5" s="589">
        <v>1</v>
      </c>
      <c r="B5" s="590" t="s">
        <v>755</v>
      </c>
      <c r="C5" s="590" t="s">
        <v>756</v>
      </c>
      <c r="D5" s="589" t="s">
        <v>1574</v>
      </c>
      <c r="E5" s="589" t="s">
        <v>1574</v>
      </c>
      <c r="F5" s="589"/>
      <c r="G5" s="591" t="s">
        <v>1575</v>
      </c>
      <c r="H5" s="589" t="s">
        <v>8610</v>
      </c>
    </row>
    <row r="6" spans="1:8" ht="13.5">
      <c r="A6" s="592">
        <v>2</v>
      </c>
      <c r="B6" s="593" t="s">
        <v>759</v>
      </c>
      <c r="C6" s="593" t="s">
        <v>760</v>
      </c>
      <c r="D6" s="592" t="s">
        <v>1574</v>
      </c>
      <c r="E6" s="592" t="s">
        <v>1574</v>
      </c>
      <c r="F6" s="592"/>
      <c r="G6" s="591" t="s">
        <v>1575</v>
      </c>
      <c r="H6" s="592" t="s">
        <v>8610</v>
      </c>
    </row>
    <row r="7" spans="1:8" ht="13.5">
      <c r="A7" s="589">
        <v>3</v>
      </c>
      <c r="B7" s="590" t="s">
        <v>761</v>
      </c>
      <c r="C7" s="590" t="s">
        <v>762</v>
      </c>
      <c r="D7" s="589" t="s">
        <v>1574</v>
      </c>
      <c r="E7" s="589" t="s">
        <v>1574</v>
      </c>
      <c r="F7" s="589"/>
      <c r="G7" s="591" t="s">
        <v>1575</v>
      </c>
      <c r="H7" s="589" t="s">
        <v>8610</v>
      </c>
    </row>
    <row r="8" spans="1:8" ht="13.5">
      <c r="A8" s="592">
        <v>4</v>
      </c>
      <c r="B8" s="593" t="s">
        <v>763</v>
      </c>
      <c r="C8" s="593" t="s">
        <v>764</v>
      </c>
      <c r="D8" s="592" t="s">
        <v>1574</v>
      </c>
      <c r="E8" s="592" t="s">
        <v>1574</v>
      </c>
      <c r="F8" s="592"/>
      <c r="G8" s="591" t="s">
        <v>1575</v>
      </c>
      <c r="H8" s="592" t="s">
        <v>8610</v>
      </c>
    </row>
    <row r="9" spans="1:8" ht="13.5">
      <c r="A9" s="589">
        <v>5</v>
      </c>
      <c r="B9" s="590" t="s">
        <v>765</v>
      </c>
      <c r="C9" s="590" t="s">
        <v>766</v>
      </c>
      <c r="D9" s="589" t="s">
        <v>1574</v>
      </c>
      <c r="E9" s="589" t="s">
        <v>1574</v>
      </c>
      <c r="F9" s="589"/>
      <c r="G9" s="591" t="s">
        <v>1575</v>
      </c>
      <c r="H9" s="589" t="s">
        <v>8610</v>
      </c>
    </row>
    <row r="10" spans="1:8" ht="13.5">
      <c r="A10" s="610">
        <v>6</v>
      </c>
      <c r="B10" s="611" t="s">
        <v>767</v>
      </c>
      <c r="C10" s="611" t="s">
        <v>768</v>
      </c>
      <c r="D10" s="592" t="s">
        <v>850</v>
      </c>
      <c r="E10" s="862" t="s">
        <v>529</v>
      </c>
      <c r="F10" s="862"/>
      <c r="G10" s="591" t="s">
        <v>1575</v>
      </c>
      <c r="H10" s="592" t="s">
        <v>7898</v>
      </c>
    </row>
    <row r="11" spans="1:8" ht="13.5">
      <c r="A11" s="589">
        <v>7</v>
      </c>
      <c r="B11" s="590" t="s">
        <v>769</v>
      </c>
      <c r="C11" s="590" t="s">
        <v>770</v>
      </c>
      <c r="D11" s="589" t="s">
        <v>1574</v>
      </c>
      <c r="E11" s="589"/>
      <c r="F11" s="589" t="s">
        <v>850</v>
      </c>
      <c r="G11" s="591" t="s">
        <v>1575</v>
      </c>
      <c r="H11" s="589" t="s">
        <v>8606</v>
      </c>
    </row>
    <row r="13" spans="1:8" ht="13">
      <c r="A13" s="609" t="s">
        <v>8609</v>
      </c>
    </row>
  </sheetData>
  <mergeCells count="8">
    <mergeCell ref="G3:G4"/>
    <mergeCell ref="H3:H4"/>
    <mergeCell ref="E10:F10"/>
    <mergeCell ref="A3:A4"/>
    <mergeCell ref="B3:B4"/>
    <mergeCell ref="C3:C4"/>
    <mergeCell ref="D3:D4"/>
    <mergeCell ref="E3:F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43D79-7F77-486D-914F-AA1D6F7F177E}">
  <sheetPr>
    <tabColor rgb="FF92D050"/>
  </sheetPr>
  <dimension ref="A2:J55"/>
  <sheetViews>
    <sheetView showGridLines="0" topLeftCell="A34" zoomScale="90" zoomScaleNormal="90" workbookViewId="0">
      <selection activeCell="C43" sqref="C43:C55"/>
    </sheetView>
  </sheetViews>
  <sheetFormatPr baseColWidth="10" defaultColWidth="11.5" defaultRowHeight="15.5"/>
  <cols>
    <col min="1" max="1" width="17.75" style="563" customWidth="1"/>
    <col min="2" max="2" width="53.4140625" style="563" bestFit="1" customWidth="1"/>
    <col min="3" max="3" width="42.25" style="563" bestFit="1" customWidth="1"/>
    <col min="4" max="4" width="12.25" style="563" bestFit="1" customWidth="1"/>
    <col min="5" max="5" width="12.5" style="563" bestFit="1" customWidth="1"/>
    <col min="6" max="7" width="27.1640625" style="563" bestFit="1" customWidth="1"/>
    <col min="8" max="8" width="34.4140625" style="563" bestFit="1" customWidth="1"/>
    <col min="9" max="9" width="22.25" style="563" bestFit="1" customWidth="1"/>
    <col min="10" max="10" width="45.75" style="563" bestFit="1" customWidth="1"/>
    <col min="11" max="16384" width="11.5" style="563"/>
  </cols>
  <sheetData>
    <row r="2" spans="1:8">
      <c r="A2" s="7" t="s">
        <v>7213</v>
      </c>
    </row>
    <row r="5" spans="1:8">
      <c r="A5" s="7" t="s">
        <v>1807</v>
      </c>
    </row>
    <row r="6" spans="1:8">
      <c r="A6" s="564" t="s">
        <v>3</v>
      </c>
      <c r="B6" s="564" t="s">
        <v>1808</v>
      </c>
      <c r="C6" s="564" t="s">
        <v>1809</v>
      </c>
      <c r="D6" s="564" t="s">
        <v>8</v>
      </c>
      <c r="E6" s="564" t="s">
        <v>34</v>
      </c>
      <c r="F6" s="564" t="s">
        <v>1810</v>
      </c>
      <c r="G6" s="564" t="s">
        <v>1811</v>
      </c>
      <c r="H6" s="564" t="s">
        <v>1812</v>
      </c>
    </row>
    <row r="7" spans="1:8">
      <c r="A7" s="565">
        <v>1</v>
      </c>
      <c r="B7" s="566" t="s">
        <v>1813</v>
      </c>
      <c r="C7" s="566" t="s">
        <v>88</v>
      </c>
      <c r="D7" s="565" t="s">
        <v>13</v>
      </c>
      <c r="E7" s="565">
        <v>2359</v>
      </c>
      <c r="F7" s="565" t="s">
        <v>1814</v>
      </c>
      <c r="G7" s="567">
        <v>44355</v>
      </c>
      <c r="H7" s="567">
        <v>44971</v>
      </c>
    </row>
    <row r="8" spans="1:8">
      <c r="A8" s="568">
        <v>2</v>
      </c>
      <c r="B8" s="569" t="s">
        <v>1813</v>
      </c>
      <c r="C8" s="569" t="s">
        <v>88</v>
      </c>
      <c r="D8" s="568" t="s">
        <v>13</v>
      </c>
      <c r="E8" s="568">
        <v>2357</v>
      </c>
      <c r="F8" s="568" t="s">
        <v>1814</v>
      </c>
      <c r="G8" s="570">
        <v>44379</v>
      </c>
      <c r="H8" s="570">
        <v>44971</v>
      </c>
    </row>
    <row r="9" spans="1:8">
      <c r="A9" s="565">
        <v>3</v>
      </c>
      <c r="B9" s="566" t="s">
        <v>1813</v>
      </c>
      <c r="C9" s="566" t="s">
        <v>1815</v>
      </c>
      <c r="D9" s="565" t="s">
        <v>13</v>
      </c>
      <c r="E9" s="565">
        <v>525</v>
      </c>
      <c r="F9" s="565" t="s">
        <v>1814</v>
      </c>
      <c r="G9" s="567">
        <v>45031</v>
      </c>
      <c r="H9" s="567">
        <v>45031</v>
      </c>
    </row>
    <row r="10" spans="1:8">
      <c r="A10" s="568">
        <v>4</v>
      </c>
      <c r="B10" s="569" t="s">
        <v>1816</v>
      </c>
      <c r="C10" s="569" t="s">
        <v>1817</v>
      </c>
      <c r="D10" s="568" t="s">
        <v>13</v>
      </c>
      <c r="E10" s="568">
        <v>4135</v>
      </c>
      <c r="F10" s="568" t="s">
        <v>1814</v>
      </c>
      <c r="G10" s="570">
        <v>44459</v>
      </c>
      <c r="H10" s="570">
        <v>45062</v>
      </c>
    </row>
    <row r="11" spans="1:8">
      <c r="A11" s="565">
        <v>5</v>
      </c>
      <c r="B11" s="566" t="s">
        <v>1813</v>
      </c>
      <c r="C11" s="566" t="s">
        <v>1818</v>
      </c>
      <c r="D11" s="565" t="s">
        <v>13</v>
      </c>
      <c r="E11" s="565">
        <v>12270</v>
      </c>
      <c r="F11" s="565" t="s">
        <v>1819</v>
      </c>
      <c r="G11" s="567">
        <v>45197</v>
      </c>
      <c r="H11" s="567">
        <v>45226</v>
      </c>
    </row>
    <row r="12" spans="1:8">
      <c r="A12" s="568">
        <v>6</v>
      </c>
      <c r="B12" s="569" t="s">
        <v>1813</v>
      </c>
      <c r="C12" s="569" t="s">
        <v>1820</v>
      </c>
      <c r="D12" s="568" t="s">
        <v>13</v>
      </c>
      <c r="E12" s="568">
        <v>2353</v>
      </c>
      <c r="F12" s="568" t="s">
        <v>1819</v>
      </c>
      <c r="G12" s="570">
        <v>45167</v>
      </c>
      <c r="H12" s="570">
        <v>45226</v>
      </c>
    </row>
    <row r="13" spans="1:8">
      <c r="A13" s="565">
        <v>7</v>
      </c>
      <c r="B13" s="566" t="s">
        <v>1813</v>
      </c>
      <c r="C13" s="566" t="s">
        <v>1818</v>
      </c>
      <c r="D13" s="565" t="s">
        <v>13</v>
      </c>
      <c r="E13" s="565">
        <v>2355</v>
      </c>
      <c r="F13" s="565" t="s">
        <v>1819</v>
      </c>
      <c r="G13" s="567">
        <v>45197</v>
      </c>
      <c r="H13" s="567">
        <v>45226</v>
      </c>
    </row>
    <row r="14" spans="1:8">
      <c r="A14" s="568">
        <v>8</v>
      </c>
      <c r="B14" s="569" t="s">
        <v>86</v>
      </c>
      <c r="C14" s="569" t="s">
        <v>1821</v>
      </c>
      <c r="D14" s="568" t="s">
        <v>1822</v>
      </c>
      <c r="E14" s="568">
        <v>2275</v>
      </c>
      <c r="F14" s="568" t="s">
        <v>1819</v>
      </c>
      <c r="G14" s="570">
        <v>45229</v>
      </c>
      <c r="H14" s="570">
        <v>45268</v>
      </c>
    </row>
    <row r="15" spans="1:8">
      <c r="A15" s="565">
        <v>9</v>
      </c>
      <c r="B15" s="566" t="s">
        <v>1823</v>
      </c>
      <c r="C15" s="566" t="s">
        <v>1824</v>
      </c>
      <c r="D15" s="565" t="s">
        <v>13</v>
      </c>
      <c r="E15" s="565">
        <v>12286</v>
      </c>
      <c r="F15" s="565" t="s">
        <v>1819</v>
      </c>
      <c r="G15" s="567">
        <v>43442</v>
      </c>
      <c r="H15" s="567">
        <v>45273</v>
      </c>
    </row>
    <row r="18" spans="1:7">
      <c r="A18" s="7" t="s">
        <v>1825</v>
      </c>
    </row>
    <row r="19" spans="1:7">
      <c r="A19" s="564" t="s">
        <v>3</v>
      </c>
      <c r="B19" s="564" t="s">
        <v>1826</v>
      </c>
      <c r="C19" s="564" t="s">
        <v>1827</v>
      </c>
      <c r="D19" s="564" t="s">
        <v>8</v>
      </c>
      <c r="E19" s="564" t="s">
        <v>34</v>
      </c>
      <c r="F19" s="564" t="s">
        <v>1828</v>
      </c>
      <c r="G19" s="564" t="s">
        <v>1811</v>
      </c>
    </row>
    <row r="20" spans="1:7">
      <c r="A20" s="568">
        <v>1</v>
      </c>
      <c r="B20" s="569" t="s">
        <v>253</v>
      </c>
      <c r="C20" s="569" t="s">
        <v>1830</v>
      </c>
      <c r="D20" s="568" t="s">
        <v>18</v>
      </c>
      <c r="E20" s="568">
        <v>14499</v>
      </c>
      <c r="F20" s="568" t="s">
        <v>1829</v>
      </c>
      <c r="G20" s="570">
        <v>45114</v>
      </c>
    </row>
    <row r="21" spans="1:7">
      <c r="A21" s="565">
        <v>2</v>
      </c>
      <c r="B21" s="566" t="s">
        <v>171</v>
      </c>
      <c r="C21" s="566" t="s">
        <v>1831</v>
      </c>
      <c r="D21" s="565" t="s">
        <v>18</v>
      </c>
      <c r="E21" s="565">
        <v>13538</v>
      </c>
      <c r="F21" s="565" t="s">
        <v>1829</v>
      </c>
      <c r="G21" s="567">
        <v>45168</v>
      </c>
    </row>
    <row r="22" spans="1:7">
      <c r="A22" s="568">
        <v>3</v>
      </c>
      <c r="B22" s="569" t="s">
        <v>171</v>
      </c>
      <c r="C22" s="569" t="s">
        <v>1831</v>
      </c>
      <c r="D22" s="568" t="s">
        <v>18</v>
      </c>
      <c r="E22" s="568">
        <v>13539</v>
      </c>
      <c r="F22" s="568" t="s">
        <v>1829</v>
      </c>
      <c r="G22" s="570">
        <v>45168</v>
      </c>
    </row>
    <row r="23" spans="1:7">
      <c r="A23" s="565">
        <v>4</v>
      </c>
      <c r="B23" s="566" t="s">
        <v>1832</v>
      </c>
      <c r="C23" s="566" t="s">
        <v>1833</v>
      </c>
      <c r="D23" s="565" t="s">
        <v>18</v>
      </c>
      <c r="E23" s="565">
        <v>8667</v>
      </c>
      <c r="F23" s="565" t="s">
        <v>1829</v>
      </c>
      <c r="G23" s="567">
        <v>45194</v>
      </c>
    </row>
    <row r="24" spans="1:7">
      <c r="A24" s="568">
        <v>5</v>
      </c>
      <c r="B24" s="569" t="s">
        <v>238</v>
      </c>
      <c r="C24" s="569" t="s">
        <v>1834</v>
      </c>
      <c r="D24" s="568" t="s">
        <v>1835</v>
      </c>
      <c r="E24" s="568">
        <v>14378</v>
      </c>
      <c r="F24" s="568" t="s">
        <v>1829</v>
      </c>
      <c r="G24" s="570">
        <v>45203</v>
      </c>
    </row>
    <row r="25" spans="1:7">
      <c r="A25" s="565">
        <v>6</v>
      </c>
      <c r="B25" s="566" t="s">
        <v>238</v>
      </c>
      <c r="C25" s="566" t="s">
        <v>1836</v>
      </c>
      <c r="D25" s="565" t="s">
        <v>1835</v>
      </c>
      <c r="E25" s="565">
        <v>14514</v>
      </c>
      <c r="F25" s="565" t="s">
        <v>1829</v>
      </c>
      <c r="G25" s="567">
        <v>45203</v>
      </c>
    </row>
    <row r="26" spans="1:7">
      <c r="A26" s="568">
        <v>7</v>
      </c>
      <c r="B26" s="569" t="s">
        <v>238</v>
      </c>
      <c r="C26" s="569" t="s">
        <v>1837</v>
      </c>
      <c r="D26" s="568" t="s">
        <v>1835</v>
      </c>
      <c r="E26" s="568">
        <v>14515</v>
      </c>
      <c r="F26" s="568" t="s">
        <v>1829</v>
      </c>
      <c r="G26" s="570">
        <v>45203</v>
      </c>
    </row>
    <row r="27" spans="1:7">
      <c r="A27" s="565">
        <v>8</v>
      </c>
      <c r="B27" s="566" t="s">
        <v>238</v>
      </c>
      <c r="C27" s="566" t="s">
        <v>1838</v>
      </c>
      <c r="D27" s="565" t="s">
        <v>1835</v>
      </c>
      <c r="E27" s="565">
        <v>14516</v>
      </c>
      <c r="F27" s="565" t="s">
        <v>1829</v>
      </c>
      <c r="G27" s="567">
        <v>45203</v>
      </c>
    </row>
    <row r="28" spans="1:7">
      <c r="A28" s="568">
        <v>9</v>
      </c>
      <c r="B28" s="569" t="s">
        <v>10561</v>
      </c>
      <c r="C28" s="569" t="s">
        <v>1839</v>
      </c>
      <c r="D28" s="568" t="s">
        <v>1835</v>
      </c>
      <c r="E28" s="568">
        <v>13359</v>
      </c>
      <c r="F28" s="568" t="s">
        <v>1840</v>
      </c>
      <c r="G28" s="570">
        <v>45222</v>
      </c>
    </row>
    <row r="29" spans="1:7">
      <c r="A29" s="565">
        <v>10</v>
      </c>
      <c r="B29" s="566" t="s">
        <v>15</v>
      </c>
      <c r="C29" s="566" t="s">
        <v>176</v>
      </c>
      <c r="D29" s="565" t="s">
        <v>13</v>
      </c>
      <c r="E29" s="565">
        <v>15597</v>
      </c>
      <c r="F29" s="565" t="s">
        <v>1829</v>
      </c>
      <c r="G29" s="567">
        <v>45266</v>
      </c>
    </row>
    <row r="30" spans="1:7">
      <c r="A30" s="568">
        <v>11</v>
      </c>
      <c r="B30" s="569" t="s">
        <v>15</v>
      </c>
      <c r="C30" s="569" t="s">
        <v>1841</v>
      </c>
      <c r="D30" s="568" t="s">
        <v>13</v>
      </c>
      <c r="E30" s="568">
        <v>15598</v>
      </c>
      <c r="F30" s="568" t="s">
        <v>1829</v>
      </c>
      <c r="G30" s="570">
        <v>45266</v>
      </c>
    </row>
    <row r="31" spans="1:7">
      <c r="A31" s="565">
        <v>12</v>
      </c>
      <c r="B31" s="566" t="s">
        <v>15</v>
      </c>
      <c r="C31" s="566" t="s">
        <v>1842</v>
      </c>
      <c r="D31" s="565" t="s">
        <v>13</v>
      </c>
      <c r="E31" s="565">
        <v>15599</v>
      </c>
      <c r="F31" s="565" t="s">
        <v>1829</v>
      </c>
      <c r="G31" s="567">
        <v>45266</v>
      </c>
    </row>
    <row r="32" spans="1:7">
      <c r="A32" s="568">
        <v>13</v>
      </c>
      <c r="B32" s="569" t="s">
        <v>88</v>
      </c>
      <c r="C32" s="569" t="s">
        <v>141</v>
      </c>
      <c r="D32" s="568" t="s">
        <v>13</v>
      </c>
      <c r="E32" s="568">
        <v>12286</v>
      </c>
      <c r="F32" s="568" t="s">
        <v>1840</v>
      </c>
      <c r="G32" s="570">
        <v>45267</v>
      </c>
    </row>
    <row r="34" spans="1:10">
      <c r="A34" s="7" t="s">
        <v>1843</v>
      </c>
    </row>
    <row r="35" spans="1:10">
      <c r="A35" s="564" t="s">
        <v>3</v>
      </c>
      <c r="B35" s="564" t="s">
        <v>1826</v>
      </c>
      <c r="C35" s="564" t="s">
        <v>1827</v>
      </c>
      <c r="D35" s="564" t="s">
        <v>8</v>
      </c>
      <c r="E35" s="564" t="s">
        <v>34</v>
      </c>
      <c r="F35" s="564" t="s">
        <v>1811</v>
      </c>
    </row>
    <row r="36" spans="1:10">
      <c r="A36" s="565">
        <v>1</v>
      </c>
      <c r="B36" s="566" t="s">
        <v>1844</v>
      </c>
      <c r="C36" s="566" t="s">
        <v>1845</v>
      </c>
      <c r="D36" s="565" t="s">
        <v>18</v>
      </c>
      <c r="E36" s="565">
        <v>11876</v>
      </c>
      <c r="F36" s="567">
        <v>45015</v>
      </c>
    </row>
    <row r="37" spans="1:10">
      <c r="A37" s="568">
        <v>2</v>
      </c>
      <c r="B37" s="569" t="s">
        <v>1844</v>
      </c>
      <c r="C37" s="569" t="s">
        <v>1001</v>
      </c>
      <c r="D37" s="568" t="s">
        <v>18</v>
      </c>
      <c r="E37" s="568">
        <v>11876</v>
      </c>
      <c r="F37" s="570">
        <v>45016</v>
      </c>
    </row>
    <row r="38" spans="1:10">
      <c r="A38" s="565">
        <v>3</v>
      </c>
      <c r="B38" s="566" t="s">
        <v>1844</v>
      </c>
      <c r="C38" s="566" t="s">
        <v>1846</v>
      </c>
      <c r="D38" s="565" t="s">
        <v>18</v>
      </c>
      <c r="E38" s="565">
        <v>11880</v>
      </c>
      <c r="F38" s="567">
        <v>45019</v>
      </c>
    </row>
    <row r="41" spans="1:10">
      <c r="A41" s="7" t="s">
        <v>8455</v>
      </c>
    </row>
    <row r="42" spans="1:10">
      <c r="A42" s="564" t="s">
        <v>3</v>
      </c>
      <c r="B42" s="564" t="s">
        <v>6</v>
      </c>
      <c r="C42" s="564" t="s">
        <v>8</v>
      </c>
      <c r="D42" s="564" t="s">
        <v>8456</v>
      </c>
      <c r="E42" s="564" t="s">
        <v>10</v>
      </c>
      <c r="F42" s="564" t="s">
        <v>11</v>
      </c>
      <c r="G42" s="564" t="s">
        <v>9</v>
      </c>
      <c r="H42" s="564" t="s">
        <v>8457</v>
      </c>
      <c r="I42" s="564" t="s">
        <v>8458</v>
      </c>
      <c r="J42" s="564" t="s">
        <v>2609</v>
      </c>
    </row>
    <row r="43" spans="1:10">
      <c r="A43" s="572">
        <v>1</v>
      </c>
      <c r="B43" s="571" t="s">
        <v>1813</v>
      </c>
      <c r="C43" s="572" t="s">
        <v>13</v>
      </c>
      <c r="D43" s="572">
        <v>118</v>
      </c>
      <c r="E43" s="573">
        <v>44107</v>
      </c>
      <c r="F43" s="574">
        <v>49584</v>
      </c>
      <c r="G43" s="575">
        <v>7</v>
      </c>
      <c r="H43" s="571" t="s">
        <v>8459</v>
      </c>
      <c r="I43" s="576">
        <v>45042</v>
      </c>
      <c r="J43" s="577" t="s">
        <v>8460</v>
      </c>
    </row>
    <row r="44" spans="1:10">
      <c r="A44" s="579">
        <f t="shared" ref="A44:A55" si="0">+A43+1</f>
        <v>2</v>
      </c>
      <c r="B44" s="578" t="s">
        <v>1813</v>
      </c>
      <c r="C44" s="579" t="s">
        <v>13</v>
      </c>
      <c r="D44" s="579">
        <v>119</v>
      </c>
      <c r="E44" s="580">
        <v>44107</v>
      </c>
      <c r="F44" s="581">
        <v>49584</v>
      </c>
      <c r="G44" s="582">
        <v>101</v>
      </c>
      <c r="H44" s="578" t="s">
        <v>8461</v>
      </c>
      <c r="I44" s="583">
        <v>45042</v>
      </c>
      <c r="J44" s="584" t="s">
        <v>8462</v>
      </c>
    </row>
    <row r="45" spans="1:10">
      <c r="A45" s="572">
        <f t="shared" si="0"/>
        <v>3</v>
      </c>
      <c r="B45" s="571" t="s">
        <v>68</v>
      </c>
      <c r="C45" s="572" t="s">
        <v>13</v>
      </c>
      <c r="D45" s="572">
        <v>465</v>
      </c>
      <c r="E45" s="573">
        <v>40102</v>
      </c>
      <c r="F45" s="574">
        <v>45384</v>
      </c>
      <c r="G45" s="575">
        <v>30</v>
      </c>
      <c r="H45" s="571" t="s">
        <v>8463</v>
      </c>
      <c r="I45" s="576">
        <v>45290</v>
      </c>
      <c r="J45" s="577" t="s">
        <v>8464</v>
      </c>
    </row>
    <row r="46" spans="1:10">
      <c r="A46" s="579">
        <f t="shared" si="0"/>
        <v>4</v>
      </c>
      <c r="B46" s="578" t="s">
        <v>1813</v>
      </c>
      <c r="C46" s="579" t="s">
        <v>13</v>
      </c>
      <c r="D46" s="579">
        <v>528</v>
      </c>
      <c r="E46" s="580">
        <v>39907</v>
      </c>
      <c r="F46" s="581">
        <v>45385</v>
      </c>
      <c r="G46" s="582">
        <v>25</v>
      </c>
      <c r="H46" s="578" t="s">
        <v>8465</v>
      </c>
      <c r="I46" s="583">
        <v>45290</v>
      </c>
      <c r="J46" s="584" t="s">
        <v>8466</v>
      </c>
    </row>
    <row r="47" spans="1:10">
      <c r="A47" s="572">
        <f t="shared" si="0"/>
        <v>5</v>
      </c>
      <c r="B47" s="571" t="s">
        <v>1813</v>
      </c>
      <c r="C47" s="572" t="s">
        <v>13</v>
      </c>
      <c r="D47" s="572">
        <v>538</v>
      </c>
      <c r="E47" s="573">
        <v>39907</v>
      </c>
      <c r="F47" s="574">
        <v>45385</v>
      </c>
      <c r="G47" s="575">
        <v>6</v>
      </c>
      <c r="H47" s="571" t="s">
        <v>8467</v>
      </c>
      <c r="I47" s="576">
        <v>45290</v>
      </c>
      <c r="J47" s="577" t="s">
        <v>8468</v>
      </c>
    </row>
    <row r="48" spans="1:10">
      <c r="A48" s="579">
        <f t="shared" si="0"/>
        <v>6</v>
      </c>
      <c r="B48" s="578" t="s">
        <v>1813</v>
      </c>
      <c r="C48" s="579" t="s">
        <v>13</v>
      </c>
      <c r="D48" s="579">
        <v>539</v>
      </c>
      <c r="E48" s="580">
        <v>39907</v>
      </c>
      <c r="F48" s="581">
        <v>45385</v>
      </c>
      <c r="G48" s="582">
        <v>16</v>
      </c>
      <c r="H48" s="578" t="s">
        <v>8469</v>
      </c>
      <c r="I48" s="583">
        <v>45290</v>
      </c>
      <c r="J48" s="584" t="s">
        <v>8470</v>
      </c>
    </row>
    <row r="49" spans="1:10">
      <c r="A49" s="572">
        <f t="shared" si="0"/>
        <v>7</v>
      </c>
      <c r="B49" s="571" t="s">
        <v>1621</v>
      </c>
      <c r="C49" s="572" t="s">
        <v>37</v>
      </c>
      <c r="D49" s="572">
        <v>652</v>
      </c>
      <c r="E49" s="573">
        <v>44689</v>
      </c>
      <c r="F49" s="574">
        <v>46514</v>
      </c>
      <c r="G49" s="575">
        <v>79</v>
      </c>
      <c r="H49" s="571" t="s">
        <v>8471</v>
      </c>
      <c r="I49" s="576">
        <v>44977</v>
      </c>
      <c r="J49" s="577" t="s">
        <v>8472</v>
      </c>
    </row>
    <row r="50" spans="1:10">
      <c r="A50" s="579">
        <f t="shared" si="0"/>
        <v>8</v>
      </c>
      <c r="B50" s="578" t="s">
        <v>135</v>
      </c>
      <c r="C50" s="579" t="s">
        <v>13</v>
      </c>
      <c r="D50" s="579">
        <v>12092</v>
      </c>
      <c r="E50" s="580">
        <v>45386</v>
      </c>
      <c r="F50" s="581">
        <v>50863</v>
      </c>
      <c r="G50" s="582">
        <v>1</v>
      </c>
      <c r="H50" s="578" t="s">
        <v>8474</v>
      </c>
      <c r="I50" s="583">
        <v>45246</v>
      </c>
      <c r="J50" s="584" t="s">
        <v>8475</v>
      </c>
    </row>
    <row r="51" spans="1:10">
      <c r="A51" s="572">
        <f t="shared" si="0"/>
        <v>9</v>
      </c>
      <c r="B51" s="571" t="s">
        <v>135</v>
      </c>
      <c r="C51" s="572" t="s">
        <v>13</v>
      </c>
      <c r="D51" s="572">
        <v>12093</v>
      </c>
      <c r="E51" s="573">
        <v>45386</v>
      </c>
      <c r="F51" s="574">
        <v>50863</v>
      </c>
      <c r="G51" s="575">
        <v>3</v>
      </c>
      <c r="H51" s="571" t="s">
        <v>8476</v>
      </c>
      <c r="I51" s="576">
        <v>45248</v>
      </c>
      <c r="J51" s="577" t="s">
        <v>8475</v>
      </c>
    </row>
    <row r="52" spans="1:10">
      <c r="A52" s="579">
        <f t="shared" si="0"/>
        <v>10</v>
      </c>
      <c r="B52" s="578" t="s">
        <v>1813</v>
      </c>
      <c r="C52" s="579" t="s">
        <v>37</v>
      </c>
      <c r="D52" s="579">
        <v>12347</v>
      </c>
      <c r="E52" s="580">
        <v>44222</v>
      </c>
      <c r="F52" s="581">
        <v>46047</v>
      </c>
      <c r="G52" s="582">
        <v>3</v>
      </c>
      <c r="H52" s="578" t="s">
        <v>8477</v>
      </c>
      <c r="I52" s="583">
        <v>44949</v>
      </c>
      <c r="J52" s="584" t="s">
        <v>8466</v>
      </c>
    </row>
    <row r="53" spans="1:10">
      <c r="A53" s="572">
        <f t="shared" si="0"/>
        <v>11</v>
      </c>
      <c r="B53" s="571" t="s">
        <v>444</v>
      </c>
      <c r="C53" s="572" t="s">
        <v>18</v>
      </c>
      <c r="D53" s="572">
        <v>12358</v>
      </c>
      <c r="E53" s="573">
        <v>43650</v>
      </c>
      <c r="F53" s="574">
        <v>45476</v>
      </c>
      <c r="G53" s="575">
        <v>11</v>
      </c>
      <c r="H53" s="571" t="s">
        <v>8478</v>
      </c>
      <c r="I53" s="576">
        <v>44987</v>
      </c>
      <c r="J53" s="577" t="s">
        <v>8479</v>
      </c>
    </row>
    <row r="54" spans="1:10">
      <c r="A54" s="579">
        <f t="shared" si="0"/>
        <v>12</v>
      </c>
      <c r="B54" s="578" t="s">
        <v>74</v>
      </c>
      <c r="C54" s="579" t="s">
        <v>13</v>
      </c>
      <c r="D54" s="579">
        <v>13083</v>
      </c>
      <c r="E54" s="580">
        <v>41247</v>
      </c>
      <c r="F54" s="581">
        <v>50863</v>
      </c>
      <c r="G54" s="582">
        <v>4</v>
      </c>
      <c r="H54" s="578" t="s">
        <v>8480</v>
      </c>
      <c r="I54" s="583">
        <v>44976</v>
      </c>
      <c r="J54" s="584" t="s">
        <v>8473</v>
      </c>
    </row>
    <row r="55" spans="1:10">
      <c r="A55" s="572">
        <f t="shared" si="0"/>
        <v>13</v>
      </c>
      <c r="B55" s="571" t="s">
        <v>24</v>
      </c>
      <c r="C55" s="572" t="s">
        <v>18</v>
      </c>
      <c r="D55" s="572">
        <v>13521</v>
      </c>
      <c r="E55" s="573">
        <v>42983</v>
      </c>
      <c r="F55" s="574">
        <v>46634</v>
      </c>
      <c r="G55" s="575">
        <v>197</v>
      </c>
      <c r="H55" s="571" t="s">
        <v>8481</v>
      </c>
      <c r="I55" s="576">
        <v>45290</v>
      </c>
      <c r="J55" s="577" t="s">
        <v>8482</v>
      </c>
    </row>
  </sheetData>
  <autoFilter ref="A42:J55" xr:uid="{73243D79-7F77-486D-914F-AA1D6F7F177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720B3-010C-4DB8-AF99-282F3D64D916}">
  <sheetPr codeName="Feuil4" filterMode="1">
    <tabColor rgb="FF92D050"/>
  </sheetPr>
  <dimension ref="A2:I1037"/>
  <sheetViews>
    <sheetView topLeftCell="A5" workbookViewId="0">
      <selection activeCell="C1037" sqref="C1037"/>
    </sheetView>
  </sheetViews>
  <sheetFormatPr baseColWidth="10" defaultColWidth="11.5" defaultRowHeight="14"/>
  <cols>
    <col min="1" max="1" width="11" bestFit="1" customWidth="1"/>
    <col min="2" max="2" width="63.75" bestFit="1" customWidth="1"/>
    <col min="5" max="5" width="11" bestFit="1" customWidth="1"/>
    <col min="6" max="7" width="13.75" bestFit="1" customWidth="1"/>
  </cols>
  <sheetData>
    <row r="2" spans="1:9" ht="15.5">
      <c r="A2" s="7" t="s">
        <v>6856</v>
      </c>
    </row>
    <row r="5" spans="1:9" ht="14.5" thickBot="1">
      <c r="A5" s="1" t="s">
        <v>3</v>
      </c>
      <c r="B5" s="1" t="s">
        <v>6</v>
      </c>
      <c r="C5" s="1" t="s">
        <v>7</v>
      </c>
      <c r="D5" s="1" t="s">
        <v>8</v>
      </c>
      <c r="E5" s="1" t="s">
        <v>9</v>
      </c>
      <c r="F5" s="1" t="s">
        <v>10</v>
      </c>
      <c r="G5" s="1" t="s">
        <v>11</v>
      </c>
      <c r="H5" s="1" t="s">
        <v>2</v>
      </c>
      <c r="I5" s="1" t="s">
        <v>49</v>
      </c>
    </row>
    <row r="6" spans="1:9" ht="14.5" hidden="1" thickTop="1">
      <c r="A6" s="11">
        <v>1</v>
      </c>
      <c r="B6" s="9" t="s">
        <v>211</v>
      </c>
      <c r="C6" s="11" t="s">
        <v>5746</v>
      </c>
      <c r="D6" s="11" t="s">
        <v>18</v>
      </c>
      <c r="E6" s="11">
        <v>1</v>
      </c>
      <c r="F6" s="12">
        <v>43493</v>
      </c>
      <c r="G6" s="12">
        <v>45318</v>
      </c>
      <c r="H6" s="11" t="s">
        <v>22</v>
      </c>
      <c r="I6" s="11" t="s">
        <v>51</v>
      </c>
    </row>
    <row r="7" spans="1:9" ht="14.5" hidden="1" thickTop="1">
      <c r="A7" s="13">
        <f>+A6+1</f>
        <v>2</v>
      </c>
      <c r="B7" s="10" t="s">
        <v>211</v>
      </c>
      <c r="C7" s="13" t="s">
        <v>5747</v>
      </c>
      <c r="D7" s="13" t="s">
        <v>18</v>
      </c>
      <c r="E7" s="13">
        <v>1</v>
      </c>
      <c r="F7" s="14">
        <v>43493</v>
      </c>
      <c r="G7" s="14">
        <v>45318</v>
      </c>
      <c r="H7" s="13" t="s">
        <v>22</v>
      </c>
      <c r="I7" s="13" t="s">
        <v>51</v>
      </c>
    </row>
    <row r="8" spans="1:9" ht="14.5" hidden="1" thickTop="1">
      <c r="A8" s="11">
        <f t="shared" ref="A8:A71" si="0">+A7+1</f>
        <v>3</v>
      </c>
      <c r="B8" s="9" t="s">
        <v>5681</v>
      </c>
      <c r="C8" s="11" t="s">
        <v>5748</v>
      </c>
      <c r="D8" s="11" t="s">
        <v>18</v>
      </c>
      <c r="E8" s="11">
        <v>5</v>
      </c>
      <c r="F8" s="12">
        <v>45076</v>
      </c>
      <c r="G8" s="12">
        <v>46902</v>
      </c>
      <c r="H8" s="11" t="s">
        <v>22</v>
      </c>
      <c r="I8" s="11" t="s">
        <v>51</v>
      </c>
    </row>
    <row r="9" spans="1:9" ht="14.5" hidden="1" thickTop="1">
      <c r="A9" s="13">
        <f t="shared" si="0"/>
        <v>4</v>
      </c>
      <c r="B9" s="10" t="s">
        <v>5682</v>
      </c>
      <c r="C9" s="13" t="s">
        <v>5749</v>
      </c>
      <c r="D9" s="13" t="s">
        <v>18</v>
      </c>
      <c r="E9" s="13">
        <v>12</v>
      </c>
      <c r="F9" s="14">
        <v>45002</v>
      </c>
      <c r="G9" s="14">
        <v>46828</v>
      </c>
      <c r="H9" s="13" t="s">
        <v>22</v>
      </c>
      <c r="I9" s="13" t="s">
        <v>51</v>
      </c>
    </row>
    <row r="10" spans="1:9" ht="14.5" hidden="1" thickTop="1">
      <c r="A10" s="11">
        <f t="shared" si="0"/>
        <v>5</v>
      </c>
      <c r="B10" s="9" t="s">
        <v>5682</v>
      </c>
      <c r="C10" s="11" t="s">
        <v>5750</v>
      </c>
      <c r="D10" s="11" t="s">
        <v>18</v>
      </c>
      <c r="E10" s="11">
        <v>8</v>
      </c>
      <c r="F10" s="12">
        <v>45002</v>
      </c>
      <c r="G10" s="12">
        <v>46828</v>
      </c>
      <c r="H10" s="11" t="s">
        <v>22</v>
      </c>
      <c r="I10" s="11" t="s">
        <v>51</v>
      </c>
    </row>
    <row r="11" spans="1:9" ht="14.5" hidden="1" thickTop="1">
      <c r="A11" s="13">
        <f t="shared" si="0"/>
        <v>6</v>
      </c>
      <c r="B11" s="10" t="s">
        <v>5682</v>
      </c>
      <c r="C11" s="13" t="s">
        <v>5751</v>
      </c>
      <c r="D11" s="13" t="s">
        <v>18</v>
      </c>
      <c r="E11" s="13">
        <v>12</v>
      </c>
      <c r="F11" s="14">
        <v>45006</v>
      </c>
      <c r="G11" s="14">
        <v>46832</v>
      </c>
      <c r="H11" s="13" t="s">
        <v>22</v>
      </c>
      <c r="I11" s="13" t="s">
        <v>51</v>
      </c>
    </row>
    <row r="12" spans="1:9" ht="14.5" hidden="1" thickTop="1">
      <c r="A12" s="11">
        <f t="shared" si="0"/>
        <v>7</v>
      </c>
      <c r="B12" s="9" t="s">
        <v>58</v>
      </c>
      <c r="C12" s="11" t="s">
        <v>5752</v>
      </c>
      <c r="D12" s="11" t="s">
        <v>13</v>
      </c>
      <c r="E12" s="11">
        <v>59</v>
      </c>
      <c r="F12" s="12">
        <v>44475</v>
      </c>
      <c r="G12" s="12">
        <v>49953</v>
      </c>
      <c r="H12" s="11" t="s">
        <v>14</v>
      </c>
      <c r="I12" s="11" t="s">
        <v>51</v>
      </c>
    </row>
    <row r="13" spans="1:9" ht="14.5" hidden="1" thickTop="1">
      <c r="A13" s="13">
        <f t="shared" si="0"/>
        <v>8</v>
      </c>
      <c r="B13" s="10" t="s">
        <v>58</v>
      </c>
      <c r="C13" s="13" t="s">
        <v>5753</v>
      </c>
      <c r="D13" s="13" t="s">
        <v>13</v>
      </c>
      <c r="E13" s="13">
        <v>28</v>
      </c>
      <c r="F13" s="14">
        <v>42764</v>
      </c>
      <c r="G13" s="14">
        <v>48241</v>
      </c>
      <c r="H13" s="13" t="s">
        <v>14</v>
      </c>
      <c r="I13" s="13" t="s">
        <v>51</v>
      </c>
    </row>
    <row r="14" spans="1:9" ht="14.5" hidden="1" thickTop="1">
      <c r="A14" s="11">
        <f t="shared" si="0"/>
        <v>9</v>
      </c>
      <c r="B14" s="9" t="s">
        <v>15</v>
      </c>
      <c r="C14" s="11" t="s">
        <v>5754</v>
      </c>
      <c r="D14" s="11" t="s">
        <v>13</v>
      </c>
      <c r="E14" s="11">
        <v>6</v>
      </c>
      <c r="F14" s="12">
        <v>40798</v>
      </c>
      <c r="G14" s="12">
        <v>46276</v>
      </c>
      <c r="H14" s="11" t="s">
        <v>14</v>
      </c>
      <c r="I14" s="11" t="s">
        <v>51</v>
      </c>
    </row>
    <row r="15" spans="1:9" ht="14.5" hidden="1" thickTop="1">
      <c r="A15" s="13">
        <f t="shared" si="0"/>
        <v>10</v>
      </c>
      <c r="B15" s="10" t="s">
        <v>74</v>
      </c>
      <c r="C15" s="13" t="s">
        <v>5755</v>
      </c>
      <c r="D15" s="13" t="s">
        <v>13</v>
      </c>
      <c r="E15" s="13">
        <v>8</v>
      </c>
      <c r="F15" s="14">
        <v>44465</v>
      </c>
      <c r="G15" s="14">
        <v>49943</v>
      </c>
      <c r="H15" s="13" t="s">
        <v>14</v>
      </c>
      <c r="I15" s="13" t="s">
        <v>51</v>
      </c>
    </row>
    <row r="16" spans="1:9" ht="14.5" hidden="1" thickTop="1">
      <c r="A16" s="11">
        <f t="shared" si="0"/>
        <v>11</v>
      </c>
      <c r="B16" s="9" t="s">
        <v>75</v>
      </c>
      <c r="C16" s="11" t="s">
        <v>5756</v>
      </c>
      <c r="D16" s="11" t="s">
        <v>13</v>
      </c>
      <c r="E16" s="11">
        <v>48</v>
      </c>
      <c r="F16" s="12">
        <v>44592</v>
      </c>
      <c r="G16" s="12">
        <v>50070</v>
      </c>
      <c r="H16" s="11" t="s">
        <v>14</v>
      </c>
      <c r="I16" s="11" t="s">
        <v>51</v>
      </c>
    </row>
    <row r="17" spans="1:9" ht="14.5" hidden="1" thickTop="1">
      <c r="A17" s="13">
        <f t="shared" si="0"/>
        <v>12</v>
      </c>
      <c r="B17" s="10" t="s">
        <v>81</v>
      </c>
      <c r="C17" s="13" t="s">
        <v>5757</v>
      </c>
      <c r="D17" s="13" t="s">
        <v>13</v>
      </c>
      <c r="E17" s="13">
        <v>70</v>
      </c>
      <c r="F17" s="14">
        <v>43496</v>
      </c>
      <c r="G17" s="14">
        <v>52626</v>
      </c>
      <c r="H17" s="13" t="s">
        <v>14</v>
      </c>
      <c r="I17" s="13" t="s">
        <v>51</v>
      </c>
    </row>
    <row r="18" spans="1:9" ht="14.5" hidden="1" thickTop="1">
      <c r="A18" s="11">
        <f t="shared" si="0"/>
        <v>13</v>
      </c>
      <c r="B18" s="9" t="s">
        <v>82</v>
      </c>
      <c r="C18" s="11" t="s">
        <v>5758</v>
      </c>
      <c r="D18" s="11" t="s">
        <v>13</v>
      </c>
      <c r="E18" s="11">
        <v>89</v>
      </c>
      <c r="F18" s="12">
        <v>43371</v>
      </c>
      <c r="G18" s="12">
        <v>52501</v>
      </c>
      <c r="H18" s="11" t="s">
        <v>14</v>
      </c>
      <c r="I18" s="11" t="s">
        <v>51</v>
      </c>
    </row>
    <row r="19" spans="1:9" ht="14.5" hidden="1" thickTop="1">
      <c r="A19" s="13">
        <f t="shared" si="0"/>
        <v>14</v>
      </c>
      <c r="B19" s="10" t="s">
        <v>82</v>
      </c>
      <c r="C19" s="13" t="s">
        <v>5759</v>
      </c>
      <c r="D19" s="13" t="s">
        <v>13</v>
      </c>
      <c r="E19" s="13">
        <v>110</v>
      </c>
      <c r="F19" s="14">
        <v>43371</v>
      </c>
      <c r="G19" s="14">
        <v>52501</v>
      </c>
      <c r="H19" s="13" t="s">
        <v>14</v>
      </c>
      <c r="I19" s="13" t="s">
        <v>51</v>
      </c>
    </row>
    <row r="20" spans="1:9" ht="14.5" hidden="1" thickTop="1">
      <c r="A20" s="11">
        <f t="shared" si="0"/>
        <v>15</v>
      </c>
      <c r="B20" s="9" t="s">
        <v>82</v>
      </c>
      <c r="C20" s="11" t="s">
        <v>5760</v>
      </c>
      <c r="D20" s="11" t="s">
        <v>13</v>
      </c>
      <c r="E20" s="11">
        <v>109</v>
      </c>
      <c r="F20" s="12">
        <v>43371</v>
      </c>
      <c r="G20" s="12">
        <v>52501</v>
      </c>
      <c r="H20" s="11" t="s">
        <v>14</v>
      </c>
      <c r="I20" s="11" t="s">
        <v>51</v>
      </c>
    </row>
    <row r="21" spans="1:9" ht="14.5" hidden="1" thickTop="1">
      <c r="A21" s="13">
        <f t="shared" si="0"/>
        <v>16</v>
      </c>
      <c r="B21" s="10" t="s">
        <v>80</v>
      </c>
      <c r="C21" s="13" t="s">
        <v>5761</v>
      </c>
      <c r="D21" s="13" t="s">
        <v>13</v>
      </c>
      <c r="E21" s="13">
        <v>16</v>
      </c>
      <c r="F21" s="14">
        <v>44281</v>
      </c>
      <c r="G21" s="14">
        <v>53411</v>
      </c>
      <c r="H21" s="13" t="s">
        <v>14</v>
      </c>
      <c r="I21" s="13" t="s">
        <v>51</v>
      </c>
    </row>
    <row r="22" spans="1:9" ht="14.5" hidden="1" thickTop="1">
      <c r="A22" s="11">
        <f t="shared" si="0"/>
        <v>17</v>
      </c>
      <c r="B22" s="9" t="s">
        <v>80</v>
      </c>
      <c r="C22" s="11" t="s">
        <v>5762</v>
      </c>
      <c r="D22" s="11" t="s">
        <v>13</v>
      </c>
      <c r="E22" s="11">
        <v>18</v>
      </c>
      <c r="F22" s="12">
        <v>44281</v>
      </c>
      <c r="G22" s="12">
        <v>53411</v>
      </c>
      <c r="H22" s="11" t="s">
        <v>14</v>
      </c>
      <c r="I22" s="11" t="s">
        <v>51</v>
      </c>
    </row>
    <row r="23" spans="1:9" ht="14.5" hidden="1" thickTop="1">
      <c r="A23" s="13">
        <f t="shared" si="0"/>
        <v>18</v>
      </c>
      <c r="B23" s="10" t="s">
        <v>78</v>
      </c>
      <c r="C23" s="13" t="s">
        <v>5763</v>
      </c>
      <c r="D23" s="13" t="s">
        <v>13</v>
      </c>
      <c r="E23" s="13">
        <v>52</v>
      </c>
      <c r="F23" s="14">
        <v>44281</v>
      </c>
      <c r="G23" s="14">
        <v>53411</v>
      </c>
      <c r="H23" s="13" t="s">
        <v>14</v>
      </c>
      <c r="I23" s="13" t="s">
        <v>51</v>
      </c>
    </row>
    <row r="24" spans="1:9" ht="14.5" hidden="1" thickTop="1">
      <c r="A24" s="11">
        <f t="shared" si="0"/>
        <v>19</v>
      </c>
      <c r="B24" s="9" t="s">
        <v>78</v>
      </c>
      <c r="C24" s="11" t="s">
        <v>5764</v>
      </c>
      <c r="D24" s="11" t="s">
        <v>13</v>
      </c>
      <c r="E24" s="11">
        <v>44</v>
      </c>
      <c r="F24" s="12">
        <v>44281</v>
      </c>
      <c r="G24" s="12">
        <v>53411</v>
      </c>
      <c r="H24" s="11" t="s">
        <v>14</v>
      </c>
      <c r="I24" s="11" t="s">
        <v>51</v>
      </c>
    </row>
    <row r="25" spans="1:9" ht="14.5" hidden="1" thickTop="1">
      <c r="A25" s="13">
        <f t="shared" si="0"/>
        <v>20</v>
      </c>
      <c r="B25" s="10" t="s">
        <v>36</v>
      </c>
      <c r="C25" s="13" t="s">
        <v>5765</v>
      </c>
      <c r="D25" s="13" t="s">
        <v>13</v>
      </c>
      <c r="E25" s="13">
        <v>75</v>
      </c>
      <c r="F25" s="14">
        <v>40372</v>
      </c>
      <c r="G25" s="14">
        <v>51329</v>
      </c>
      <c r="H25" s="13" t="s">
        <v>14</v>
      </c>
      <c r="I25" s="13" t="s">
        <v>51</v>
      </c>
    </row>
    <row r="26" spans="1:9" ht="14.5" hidden="1" thickTop="1">
      <c r="A26" s="11">
        <f t="shared" si="0"/>
        <v>21</v>
      </c>
      <c r="B26" s="9" t="s">
        <v>36</v>
      </c>
      <c r="C26" s="11" t="s">
        <v>5766</v>
      </c>
      <c r="D26" s="11" t="s">
        <v>13</v>
      </c>
      <c r="E26" s="11">
        <v>330</v>
      </c>
      <c r="F26" s="12">
        <v>40368</v>
      </c>
      <c r="G26" s="12">
        <v>51325</v>
      </c>
      <c r="H26" s="11" t="s">
        <v>14</v>
      </c>
      <c r="I26" s="11" t="s">
        <v>51</v>
      </c>
    </row>
    <row r="27" spans="1:9" ht="14.5" hidden="1" thickTop="1">
      <c r="A27" s="13">
        <f t="shared" si="0"/>
        <v>22</v>
      </c>
      <c r="B27" s="10" t="s">
        <v>36</v>
      </c>
      <c r="C27" s="13" t="s">
        <v>5767</v>
      </c>
      <c r="D27" s="13" t="s">
        <v>13</v>
      </c>
      <c r="E27" s="13">
        <v>132</v>
      </c>
      <c r="F27" s="14">
        <v>42999</v>
      </c>
      <c r="G27" s="14">
        <v>53955</v>
      </c>
      <c r="H27" s="13" t="s">
        <v>14</v>
      </c>
      <c r="I27" s="13" t="s">
        <v>51</v>
      </c>
    </row>
    <row r="28" spans="1:9" ht="14.5" hidden="1" thickTop="1">
      <c r="A28" s="11">
        <f t="shared" si="0"/>
        <v>23</v>
      </c>
      <c r="B28" s="9" t="s">
        <v>36</v>
      </c>
      <c r="C28" s="11" t="s">
        <v>5768</v>
      </c>
      <c r="D28" s="11" t="s">
        <v>13</v>
      </c>
      <c r="E28" s="11">
        <v>307</v>
      </c>
      <c r="F28" s="12">
        <v>41552</v>
      </c>
      <c r="G28" s="12">
        <v>52508</v>
      </c>
      <c r="H28" s="11" t="s">
        <v>14</v>
      </c>
      <c r="I28" s="11" t="s">
        <v>51</v>
      </c>
    </row>
    <row r="29" spans="1:9" ht="14.5" hidden="1" thickTop="1">
      <c r="A29" s="13">
        <f t="shared" si="0"/>
        <v>24</v>
      </c>
      <c r="B29" s="10" t="s">
        <v>36</v>
      </c>
      <c r="C29" s="13" t="s">
        <v>5769</v>
      </c>
      <c r="D29" s="13" t="s">
        <v>13</v>
      </c>
      <c r="E29" s="13">
        <v>141</v>
      </c>
      <c r="F29" s="14">
        <v>40368</v>
      </c>
      <c r="G29" s="14">
        <v>51325</v>
      </c>
      <c r="H29" s="13" t="s">
        <v>14</v>
      </c>
      <c r="I29" s="13" t="s">
        <v>51</v>
      </c>
    </row>
    <row r="30" spans="1:9" ht="14.5" hidden="1" thickTop="1">
      <c r="A30" s="11">
        <f t="shared" si="0"/>
        <v>25</v>
      </c>
      <c r="B30" s="9" t="s">
        <v>36</v>
      </c>
      <c r="C30" s="11" t="s">
        <v>5770</v>
      </c>
      <c r="D30" s="11" t="s">
        <v>13</v>
      </c>
      <c r="E30" s="11">
        <v>251</v>
      </c>
      <c r="F30" s="12">
        <v>41552</v>
      </c>
      <c r="G30" s="12">
        <v>52508</v>
      </c>
      <c r="H30" s="11" t="s">
        <v>14</v>
      </c>
      <c r="I30" s="11" t="s">
        <v>51</v>
      </c>
    </row>
    <row r="31" spans="1:9" ht="14.5" hidden="1" thickTop="1">
      <c r="A31" s="13">
        <f t="shared" si="0"/>
        <v>26</v>
      </c>
      <c r="B31" s="10" t="s">
        <v>36</v>
      </c>
      <c r="C31" s="13" t="s">
        <v>5771</v>
      </c>
      <c r="D31" s="13" t="s">
        <v>13</v>
      </c>
      <c r="E31" s="13">
        <v>10</v>
      </c>
      <c r="F31" s="14">
        <v>40372</v>
      </c>
      <c r="G31" s="14">
        <v>51329</v>
      </c>
      <c r="H31" s="13" t="s">
        <v>14</v>
      </c>
      <c r="I31" s="13" t="s">
        <v>51</v>
      </c>
    </row>
    <row r="32" spans="1:9" ht="14.5" hidden="1" thickTop="1">
      <c r="A32" s="11">
        <f t="shared" si="0"/>
        <v>27</v>
      </c>
      <c r="B32" s="9" t="s">
        <v>36</v>
      </c>
      <c r="C32" s="11" t="s">
        <v>5772</v>
      </c>
      <c r="D32" s="11" t="s">
        <v>13</v>
      </c>
      <c r="E32" s="11">
        <v>94</v>
      </c>
      <c r="F32" s="12">
        <v>42999</v>
      </c>
      <c r="G32" s="12">
        <v>53955</v>
      </c>
      <c r="H32" s="11" t="s">
        <v>14</v>
      </c>
      <c r="I32" s="11" t="s">
        <v>51</v>
      </c>
    </row>
    <row r="33" spans="1:9" ht="14.5" hidden="1" thickTop="1">
      <c r="A33" s="13">
        <f t="shared" si="0"/>
        <v>28</v>
      </c>
      <c r="B33" s="10" t="s">
        <v>36</v>
      </c>
      <c r="C33" s="13" t="s">
        <v>5773</v>
      </c>
      <c r="D33" s="13" t="s">
        <v>13</v>
      </c>
      <c r="E33" s="13">
        <v>69</v>
      </c>
      <c r="F33" s="14">
        <v>40368</v>
      </c>
      <c r="G33" s="14">
        <v>51325</v>
      </c>
      <c r="H33" s="13" t="s">
        <v>14</v>
      </c>
      <c r="I33" s="13" t="s">
        <v>51</v>
      </c>
    </row>
    <row r="34" spans="1:9" ht="14.5" hidden="1" thickTop="1">
      <c r="A34" s="11">
        <f t="shared" si="0"/>
        <v>29</v>
      </c>
      <c r="B34" s="9" t="s">
        <v>36</v>
      </c>
      <c r="C34" s="11" t="s">
        <v>5774</v>
      </c>
      <c r="D34" s="11" t="s">
        <v>13</v>
      </c>
      <c r="E34" s="11">
        <v>370</v>
      </c>
      <c r="F34" s="12">
        <v>41552</v>
      </c>
      <c r="G34" s="12">
        <v>52508</v>
      </c>
      <c r="H34" s="11" t="s">
        <v>14</v>
      </c>
      <c r="I34" s="11" t="s">
        <v>51</v>
      </c>
    </row>
    <row r="35" spans="1:9" ht="14.5" hidden="1" thickTop="1">
      <c r="A35" s="13">
        <f t="shared" si="0"/>
        <v>30</v>
      </c>
      <c r="B35" s="10" t="s">
        <v>15</v>
      </c>
      <c r="C35" s="13" t="s">
        <v>5775</v>
      </c>
      <c r="D35" s="13" t="s">
        <v>13</v>
      </c>
      <c r="E35" s="13">
        <v>63</v>
      </c>
      <c r="F35" s="14">
        <v>39982</v>
      </c>
      <c r="G35" s="14">
        <v>50938</v>
      </c>
      <c r="H35" s="13" t="s">
        <v>14</v>
      </c>
      <c r="I35" s="13" t="s">
        <v>51</v>
      </c>
    </row>
    <row r="36" spans="1:9" ht="14.5" hidden="1" thickTop="1">
      <c r="A36" s="11">
        <f t="shared" si="0"/>
        <v>31</v>
      </c>
      <c r="B36" s="9" t="s">
        <v>15</v>
      </c>
      <c r="C36" s="11" t="s">
        <v>5776</v>
      </c>
      <c r="D36" s="11" t="s">
        <v>13</v>
      </c>
      <c r="E36" s="11">
        <v>17</v>
      </c>
      <c r="F36" s="12">
        <v>39839</v>
      </c>
      <c r="G36" s="12">
        <v>50795</v>
      </c>
      <c r="H36" s="11" t="s">
        <v>14</v>
      </c>
      <c r="I36" s="11" t="s">
        <v>51</v>
      </c>
    </row>
    <row r="37" spans="1:9" ht="14.5" hidden="1" thickTop="1">
      <c r="A37" s="13">
        <f t="shared" si="0"/>
        <v>32</v>
      </c>
      <c r="B37" s="10" t="s">
        <v>86</v>
      </c>
      <c r="C37" s="13" t="s">
        <v>5777</v>
      </c>
      <c r="D37" s="13" t="s">
        <v>13</v>
      </c>
      <c r="E37" s="13">
        <v>27</v>
      </c>
      <c r="F37" s="14">
        <v>41733</v>
      </c>
      <c r="G37" s="14">
        <v>52690</v>
      </c>
      <c r="H37" s="13" t="s">
        <v>14</v>
      </c>
      <c r="I37" s="13" t="s">
        <v>51</v>
      </c>
    </row>
    <row r="38" spans="1:9" ht="14.5" hidden="1" thickTop="1">
      <c r="A38" s="11">
        <f t="shared" si="0"/>
        <v>33</v>
      </c>
      <c r="B38" s="9" t="s">
        <v>86</v>
      </c>
      <c r="C38" s="11" t="s">
        <v>5778</v>
      </c>
      <c r="D38" s="11" t="s">
        <v>13</v>
      </c>
      <c r="E38" s="11">
        <v>42</v>
      </c>
      <c r="F38" s="12">
        <v>44305</v>
      </c>
      <c r="G38" s="12">
        <v>53435</v>
      </c>
      <c r="H38" s="11" t="s">
        <v>14</v>
      </c>
      <c r="I38" s="11" t="s">
        <v>51</v>
      </c>
    </row>
    <row r="39" spans="1:9" ht="14.5" hidden="1" thickTop="1">
      <c r="A39" s="13">
        <f t="shared" si="0"/>
        <v>34</v>
      </c>
      <c r="B39" s="10" t="s">
        <v>89</v>
      </c>
      <c r="C39" s="13" t="s">
        <v>5779</v>
      </c>
      <c r="D39" s="13" t="s">
        <v>13</v>
      </c>
      <c r="E39" s="13">
        <v>145</v>
      </c>
      <c r="F39" s="14">
        <v>42037</v>
      </c>
      <c r="G39" s="14">
        <v>52994</v>
      </c>
      <c r="H39" s="13" t="s">
        <v>14</v>
      </c>
      <c r="I39" s="13" t="s">
        <v>51</v>
      </c>
    </row>
    <row r="40" spans="1:9" ht="14.5" hidden="1" thickTop="1">
      <c r="A40" s="11">
        <f t="shared" si="0"/>
        <v>35</v>
      </c>
      <c r="B40" s="9" t="s">
        <v>36</v>
      </c>
      <c r="C40" s="11" t="s">
        <v>5780</v>
      </c>
      <c r="D40" s="11" t="s">
        <v>13</v>
      </c>
      <c r="E40" s="11">
        <v>136</v>
      </c>
      <c r="F40" s="12">
        <v>40245</v>
      </c>
      <c r="G40" s="12">
        <v>51202</v>
      </c>
      <c r="H40" s="11" t="s">
        <v>14</v>
      </c>
      <c r="I40" s="11" t="s">
        <v>51</v>
      </c>
    </row>
    <row r="41" spans="1:9" ht="14.5" hidden="1" thickTop="1">
      <c r="A41" s="13">
        <f t="shared" si="0"/>
        <v>36</v>
      </c>
      <c r="B41" s="10" t="s">
        <v>36</v>
      </c>
      <c r="C41" s="13" t="s">
        <v>5781</v>
      </c>
      <c r="D41" s="13" t="s">
        <v>13</v>
      </c>
      <c r="E41" s="13">
        <v>174</v>
      </c>
      <c r="F41" s="14">
        <v>40245</v>
      </c>
      <c r="G41" s="14">
        <v>51202</v>
      </c>
      <c r="H41" s="13" t="s">
        <v>14</v>
      </c>
      <c r="I41" s="13" t="s">
        <v>51</v>
      </c>
    </row>
    <row r="42" spans="1:9" ht="14.5" hidden="1" thickTop="1">
      <c r="A42" s="11">
        <f t="shared" si="0"/>
        <v>37</v>
      </c>
      <c r="B42" s="9" t="s">
        <v>36</v>
      </c>
      <c r="C42" s="11" t="s">
        <v>5782</v>
      </c>
      <c r="D42" s="11" t="s">
        <v>13</v>
      </c>
      <c r="E42" s="11">
        <v>161</v>
      </c>
      <c r="F42" s="12">
        <v>40245</v>
      </c>
      <c r="G42" s="12">
        <v>51202</v>
      </c>
      <c r="H42" s="11" t="s">
        <v>14</v>
      </c>
      <c r="I42" s="11" t="s">
        <v>51</v>
      </c>
    </row>
    <row r="43" spans="1:9" ht="14.5" hidden="1" thickTop="1">
      <c r="A43" s="13">
        <f t="shared" si="0"/>
        <v>38</v>
      </c>
      <c r="B43" s="10" t="s">
        <v>36</v>
      </c>
      <c r="C43" s="13" t="s">
        <v>5783</v>
      </c>
      <c r="D43" s="13" t="s">
        <v>13</v>
      </c>
      <c r="E43" s="13">
        <v>201</v>
      </c>
      <c r="F43" s="14">
        <v>40245</v>
      </c>
      <c r="G43" s="14">
        <v>51202</v>
      </c>
      <c r="H43" s="13" t="s">
        <v>14</v>
      </c>
      <c r="I43" s="13" t="s">
        <v>51</v>
      </c>
    </row>
    <row r="44" spans="1:9" ht="14.5" hidden="1" thickTop="1">
      <c r="A44" s="11">
        <f t="shared" si="0"/>
        <v>39</v>
      </c>
      <c r="B44" s="9" t="s">
        <v>36</v>
      </c>
      <c r="C44" s="11" t="s">
        <v>5784</v>
      </c>
      <c r="D44" s="11" t="s">
        <v>13</v>
      </c>
      <c r="E44" s="11">
        <v>121</v>
      </c>
      <c r="F44" s="12">
        <v>40245</v>
      </c>
      <c r="G44" s="12">
        <v>51202</v>
      </c>
      <c r="H44" s="11" t="s">
        <v>14</v>
      </c>
      <c r="I44" s="11" t="s">
        <v>51</v>
      </c>
    </row>
    <row r="45" spans="1:9" ht="14.5" hidden="1" thickTop="1">
      <c r="A45" s="13">
        <f t="shared" si="0"/>
        <v>40</v>
      </c>
      <c r="B45" s="10" t="s">
        <v>36</v>
      </c>
      <c r="C45" s="13" t="s">
        <v>5785</v>
      </c>
      <c r="D45" s="13" t="s">
        <v>13</v>
      </c>
      <c r="E45" s="13">
        <v>82</v>
      </c>
      <c r="F45" s="14">
        <v>40245</v>
      </c>
      <c r="G45" s="14">
        <v>51202</v>
      </c>
      <c r="H45" s="13" t="s">
        <v>14</v>
      </c>
      <c r="I45" s="13" t="s">
        <v>51</v>
      </c>
    </row>
    <row r="46" spans="1:9" ht="14.5" hidden="1" thickTop="1">
      <c r="A46" s="11">
        <f t="shared" si="0"/>
        <v>41</v>
      </c>
      <c r="B46" s="9" t="s">
        <v>36</v>
      </c>
      <c r="C46" s="11" t="s">
        <v>5786</v>
      </c>
      <c r="D46" s="11" t="s">
        <v>13</v>
      </c>
      <c r="E46" s="11">
        <v>141</v>
      </c>
      <c r="F46" s="12">
        <v>40245</v>
      </c>
      <c r="G46" s="12">
        <v>51202</v>
      </c>
      <c r="H46" s="11" t="s">
        <v>14</v>
      </c>
      <c r="I46" s="11" t="s">
        <v>51</v>
      </c>
    </row>
    <row r="47" spans="1:9" ht="14.5" hidden="1" thickTop="1">
      <c r="A47" s="13">
        <f t="shared" si="0"/>
        <v>42</v>
      </c>
      <c r="B47" s="10" t="s">
        <v>36</v>
      </c>
      <c r="C47" s="13" t="s">
        <v>5787</v>
      </c>
      <c r="D47" s="13" t="s">
        <v>13</v>
      </c>
      <c r="E47" s="13">
        <v>147</v>
      </c>
      <c r="F47" s="14">
        <v>42999</v>
      </c>
      <c r="G47" s="14">
        <v>53955</v>
      </c>
      <c r="H47" s="13" t="s">
        <v>14</v>
      </c>
      <c r="I47" s="13" t="s">
        <v>51</v>
      </c>
    </row>
    <row r="48" spans="1:9" ht="14.5" hidden="1" thickTop="1">
      <c r="A48" s="11">
        <f t="shared" si="0"/>
        <v>43</v>
      </c>
      <c r="B48" s="9" t="s">
        <v>36</v>
      </c>
      <c r="C48" s="11" t="s">
        <v>5788</v>
      </c>
      <c r="D48" s="11" t="s">
        <v>13</v>
      </c>
      <c r="E48" s="11">
        <v>107</v>
      </c>
      <c r="F48" s="12">
        <v>40245</v>
      </c>
      <c r="G48" s="12">
        <v>51202</v>
      </c>
      <c r="H48" s="11" t="s">
        <v>14</v>
      </c>
      <c r="I48" s="11" t="s">
        <v>51</v>
      </c>
    </row>
    <row r="49" spans="1:9" ht="14.5" hidden="1" thickTop="1">
      <c r="A49" s="13">
        <f t="shared" si="0"/>
        <v>44</v>
      </c>
      <c r="B49" s="10" t="s">
        <v>36</v>
      </c>
      <c r="C49" s="13" t="s">
        <v>5789</v>
      </c>
      <c r="D49" s="13" t="s">
        <v>13</v>
      </c>
      <c r="E49" s="13">
        <v>183</v>
      </c>
      <c r="F49" s="14">
        <v>40368</v>
      </c>
      <c r="G49" s="14">
        <v>51325</v>
      </c>
      <c r="H49" s="13" t="s">
        <v>14</v>
      </c>
      <c r="I49" s="13" t="s">
        <v>51</v>
      </c>
    </row>
    <row r="50" spans="1:9" ht="14.5" hidden="1" thickTop="1">
      <c r="A50" s="11">
        <f t="shared" si="0"/>
        <v>45</v>
      </c>
      <c r="B50" s="9" t="s">
        <v>15</v>
      </c>
      <c r="C50" s="11" t="s">
        <v>5790</v>
      </c>
      <c r="D50" s="11" t="s">
        <v>13</v>
      </c>
      <c r="E50" s="11">
        <v>44</v>
      </c>
      <c r="F50" s="12">
        <v>42411</v>
      </c>
      <c r="G50" s="12">
        <v>53368</v>
      </c>
      <c r="H50" s="11" t="s">
        <v>14</v>
      </c>
      <c r="I50" s="11" t="s">
        <v>51</v>
      </c>
    </row>
    <row r="51" spans="1:9" ht="14.5" hidden="1" thickTop="1">
      <c r="A51" s="13">
        <f t="shared" si="0"/>
        <v>46</v>
      </c>
      <c r="B51" s="10" t="s">
        <v>36</v>
      </c>
      <c r="C51" s="13" t="s">
        <v>5791</v>
      </c>
      <c r="D51" s="13" t="s">
        <v>13</v>
      </c>
      <c r="E51" s="13">
        <v>117</v>
      </c>
      <c r="F51" s="14">
        <v>43006</v>
      </c>
      <c r="G51" s="14">
        <v>53962</v>
      </c>
      <c r="H51" s="13" t="s">
        <v>14</v>
      </c>
      <c r="I51" s="13" t="s">
        <v>51</v>
      </c>
    </row>
    <row r="52" spans="1:9" ht="14.5" hidden="1" thickTop="1">
      <c r="A52" s="11">
        <f t="shared" si="0"/>
        <v>47</v>
      </c>
      <c r="B52" s="9" t="s">
        <v>36</v>
      </c>
      <c r="C52" s="11" t="s">
        <v>5792</v>
      </c>
      <c r="D52" s="11" t="s">
        <v>13</v>
      </c>
      <c r="E52" s="11">
        <v>157</v>
      </c>
      <c r="F52" s="12">
        <v>41552</v>
      </c>
      <c r="G52" s="12">
        <v>52508</v>
      </c>
      <c r="H52" s="11" t="s">
        <v>14</v>
      </c>
      <c r="I52" s="11" t="s">
        <v>51</v>
      </c>
    </row>
    <row r="53" spans="1:9" ht="14.5" hidden="1" thickTop="1">
      <c r="A53" s="13">
        <f t="shared" si="0"/>
        <v>48</v>
      </c>
      <c r="B53" s="10" t="s">
        <v>36</v>
      </c>
      <c r="C53" s="13" t="s">
        <v>5793</v>
      </c>
      <c r="D53" s="13" t="s">
        <v>13</v>
      </c>
      <c r="E53" s="13">
        <v>88</v>
      </c>
      <c r="F53" s="14">
        <v>41552</v>
      </c>
      <c r="G53" s="14">
        <v>52508</v>
      </c>
      <c r="H53" s="13" t="s">
        <v>14</v>
      </c>
      <c r="I53" s="13" t="s">
        <v>51</v>
      </c>
    </row>
    <row r="54" spans="1:9" ht="14.5" hidden="1" thickTop="1">
      <c r="A54" s="11">
        <f t="shared" si="0"/>
        <v>49</v>
      </c>
      <c r="B54" s="9" t="s">
        <v>36</v>
      </c>
      <c r="C54" s="11" t="s">
        <v>5794</v>
      </c>
      <c r="D54" s="11" t="s">
        <v>13</v>
      </c>
      <c r="E54" s="11">
        <v>18</v>
      </c>
      <c r="F54" s="12">
        <v>41552</v>
      </c>
      <c r="G54" s="12">
        <v>52508</v>
      </c>
      <c r="H54" s="11" t="s">
        <v>14</v>
      </c>
      <c r="I54" s="11" t="s">
        <v>51</v>
      </c>
    </row>
    <row r="55" spans="1:9" ht="14.5" hidden="1" thickTop="1">
      <c r="A55" s="13">
        <f t="shared" si="0"/>
        <v>50</v>
      </c>
      <c r="B55" s="10" t="s">
        <v>36</v>
      </c>
      <c r="C55" s="13" t="s">
        <v>5795</v>
      </c>
      <c r="D55" s="13" t="s">
        <v>13</v>
      </c>
      <c r="E55" s="13">
        <v>7</v>
      </c>
      <c r="F55" s="14">
        <v>40835</v>
      </c>
      <c r="G55" s="14">
        <v>51792</v>
      </c>
      <c r="H55" s="13" t="s">
        <v>14</v>
      </c>
      <c r="I55" s="13" t="s">
        <v>51</v>
      </c>
    </row>
    <row r="56" spans="1:9" ht="14.5" hidden="1" thickTop="1">
      <c r="A56" s="11">
        <f t="shared" si="0"/>
        <v>51</v>
      </c>
      <c r="B56" s="9" t="s">
        <v>5683</v>
      </c>
      <c r="C56" s="11" t="s">
        <v>5796</v>
      </c>
      <c r="D56" s="11" t="s">
        <v>13</v>
      </c>
      <c r="E56" s="11">
        <v>7</v>
      </c>
      <c r="F56" s="12">
        <v>44231</v>
      </c>
      <c r="G56" s="12">
        <v>53361</v>
      </c>
      <c r="H56" s="11" t="s">
        <v>14</v>
      </c>
      <c r="I56" s="11" t="s">
        <v>51</v>
      </c>
    </row>
    <row r="57" spans="1:9" ht="14.5" hidden="1" thickTop="1">
      <c r="A57" s="13">
        <f t="shared" si="0"/>
        <v>52</v>
      </c>
      <c r="B57" s="10" t="s">
        <v>95</v>
      </c>
      <c r="C57" s="13" t="s">
        <v>5797</v>
      </c>
      <c r="D57" s="13" t="s">
        <v>13</v>
      </c>
      <c r="E57" s="13">
        <v>6</v>
      </c>
      <c r="F57" s="14">
        <v>43111</v>
      </c>
      <c r="G57" s="14">
        <v>54067</v>
      </c>
      <c r="H57" s="13" t="s">
        <v>14</v>
      </c>
      <c r="I57" s="13" t="s">
        <v>51</v>
      </c>
    </row>
    <row r="58" spans="1:9" ht="14.5" hidden="1" thickTop="1">
      <c r="A58" s="11">
        <f t="shared" si="0"/>
        <v>53</v>
      </c>
      <c r="B58" s="9" t="s">
        <v>98</v>
      </c>
      <c r="C58" s="11" t="s">
        <v>5798</v>
      </c>
      <c r="D58" s="11" t="s">
        <v>27</v>
      </c>
      <c r="E58" s="11">
        <v>64</v>
      </c>
      <c r="F58" s="12">
        <v>44111</v>
      </c>
      <c r="G58" s="12">
        <v>45936</v>
      </c>
      <c r="H58" s="11" t="s">
        <v>14</v>
      </c>
      <c r="I58" s="11" t="s">
        <v>51</v>
      </c>
    </row>
    <row r="59" spans="1:9" ht="14.5" hidden="1" thickTop="1">
      <c r="A59" s="13">
        <f t="shared" si="0"/>
        <v>54</v>
      </c>
      <c r="B59" s="10" t="s">
        <v>99</v>
      </c>
      <c r="C59" s="13" t="s">
        <v>5799</v>
      </c>
      <c r="D59" s="13" t="s">
        <v>13</v>
      </c>
      <c r="E59" s="13">
        <v>1</v>
      </c>
      <c r="F59" s="14">
        <v>39905</v>
      </c>
      <c r="G59" s="14">
        <v>45383</v>
      </c>
      <c r="H59" s="13" t="s">
        <v>14</v>
      </c>
      <c r="I59" s="13" t="s">
        <v>51</v>
      </c>
    </row>
    <row r="60" spans="1:9" ht="14.5" hidden="1" thickTop="1">
      <c r="A60" s="11">
        <f t="shared" si="0"/>
        <v>55</v>
      </c>
      <c r="B60" s="9" t="s">
        <v>102</v>
      </c>
      <c r="C60" s="11" t="s">
        <v>5800</v>
      </c>
      <c r="D60" s="11" t="s">
        <v>13</v>
      </c>
      <c r="E60" s="11">
        <v>20</v>
      </c>
      <c r="F60" s="12">
        <v>42464</v>
      </c>
      <c r="G60" s="12">
        <v>53420</v>
      </c>
      <c r="H60" s="11" t="s">
        <v>14</v>
      </c>
      <c r="I60" s="11" t="s">
        <v>51</v>
      </c>
    </row>
    <row r="61" spans="1:9" ht="14.5" hidden="1" thickTop="1">
      <c r="A61" s="13">
        <f t="shared" si="0"/>
        <v>56</v>
      </c>
      <c r="B61" s="10" t="s">
        <v>103</v>
      </c>
      <c r="C61" s="13" t="s">
        <v>5801</v>
      </c>
      <c r="D61" s="13" t="s">
        <v>13</v>
      </c>
      <c r="E61" s="13">
        <v>28</v>
      </c>
      <c r="F61" s="14">
        <v>42676</v>
      </c>
      <c r="G61" s="14">
        <v>53632</v>
      </c>
      <c r="H61" s="13" t="s">
        <v>14</v>
      </c>
      <c r="I61" s="13" t="s">
        <v>51</v>
      </c>
    </row>
    <row r="62" spans="1:9" ht="14.5" hidden="1" thickTop="1">
      <c r="A62" s="11">
        <f t="shared" si="0"/>
        <v>57</v>
      </c>
      <c r="B62" s="9" t="s">
        <v>104</v>
      </c>
      <c r="C62" s="11" t="s">
        <v>5802</v>
      </c>
      <c r="D62" s="11" t="s">
        <v>13</v>
      </c>
      <c r="E62" s="11">
        <v>57</v>
      </c>
      <c r="F62" s="12">
        <v>40568</v>
      </c>
      <c r="G62" s="12">
        <v>51525</v>
      </c>
      <c r="H62" s="11" t="s">
        <v>14</v>
      </c>
      <c r="I62" s="11" t="s">
        <v>51</v>
      </c>
    </row>
    <row r="63" spans="1:9" ht="14.5" hidden="1" thickTop="1">
      <c r="A63" s="13">
        <f t="shared" si="0"/>
        <v>58</v>
      </c>
      <c r="B63" s="10" t="s">
        <v>109</v>
      </c>
      <c r="C63" s="13" t="s">
        <v>5803</v>
      </c>
      <c r="D63" s="13" t="s">
        <v>13</v>
      </c>
      <c r="E63" s="13">
        <v>3</v>
      </c>
      <c r="F63" s="14">
        <v>41663</v>
      </c>
      <c r="G63" s="14">
        <v>52619</v>
      </c>
      <c r="H63" s="13" t="s">
        <v>14</v>
      </c>
      <c r="I63" s="13" t="s">
        <v>51</v>
      </c>
    </row>
    <row r="64" spans="1:9" ht="14.5" hidden="1" thickTop="1">
      <c r="A64" s="11">
        <f t="shared" si="0"/>
        <v>59</v>
      </c>
      <c r="B64" s="9" t="s">
        <v>110</v>
      </c>
      <c r="C64" s="11" t="s">
        <v>5804</v>
      </c>
      <c r="D64" s="11" t="s">
        <v>13</v>
      </c>
      <c r="E64" s="11">
        <v>3</v>
      </c>
      <c r="F64" s="12">
        <v>41663</v>
      </c>
      <c r="G64" s="12">
        <v>52619</v>
      </c>
      <c r="H64" s="11" t="s">
        <v>14</v>
      </c>
      <c r="I64" s="11" t="s">
        <v>51</v>
      </c>
    </row>
    <row r="65" spans="1:9" ht="14.5" hidden="1" thickTop="1">
      <c r="A65" s="13">
        <f t="shared" si="0"/>
        <v>60</v>
      </c>
      <c r="B65" s="10" t="s">
        <v>111</v>
      </c>
      <c r="C65" s="13" t="s">
        <v>5805</v>
      </c>
      <c r="D65" s="13" t="s">
        <v>13</v>
      </c>
      <c r="E65" s="13">
        <v>222</v>
      </c>
      <c r="F65" s="14">
        <v>39855</v>
      </c>
      <c r="G65" s="14">
        <v>50811</v>
      </c>
      <c r="H65" s="13" t="s">
        <v>14</v>
      </c>
      <c r="I65" s="13" t="s">
        <v>51</v>
      </c>
    </row>
    <row r="66" spans="1:9" ht="14.5" hidden="1" thickTop="1">
      <c r="A66" s="11">
        <f t="shared" si="0"/>
        <v>61</v>
      </c>
      <c r="B66" s="9" t="s">
        <v>113</v>
      </c>
      <c r="C66" s="11" t="s">
        <v>5806</v>
      </c>
      <c r="D66" s="11" t="s">
        <v>13</v>
      </c>
      <c r="E66" s="11">
        <v>129</v>
      </c>
      <c r="F66" s="12">
        <v>42167</v>
      </c>
      <c r="G66" s="12">
        <v>53124</v>
      </c>
      <c r="H66" s="11" t="s">
        <v>14</v>
      </c>
      <c r="I66" s="11" t="s">
        <v>51</v>
      </c>
    </row>
    <row r="67" spans="1:9" ht="14.5" hidden="1" thickTop="1">
      <c r="A67" s="13">
        <f t="shared" si="0"/>
        <v>62</v>
      </c>
      <c r="B67" s="10" t="s">
        <v>114</v>
      </c>
      <c r="C67" s="13" t="s">
        <v>5807</v>
      </c>
      <c r="D67" s="13" t="s">
        <v>13</v>
      </c>
      <c r="E67" s="13">
        <v>40</v>
      </c>
      <c r="F67" s="14">
        <v>43640</v>
      </c>
      <c r="G67" s="14">
        <v>52771</v>
      </c>
      <c r="H67" s="13" t="s">
        <v>14</v>
      </c>
      <c r="I67" s="13" t="s">
        <v>51</v>
      </c>
    </row>
    <row r="68" spans="1:9" ht="14.5" hidden="1" thickTop="1">
      <c r="A68" s="11">
        <f t="shared" si="0"/>
        <v>63</v>
      </c>
      <c r="B68" s="9" t="s">
        <v>115</v>
      </c>
      <c r="C68" s="11" t="s">
        <v>5808</v>
      </c>
      <c r="D68" s="11" t="s">
        <v>13</v>
      </c>
      <c r="E68" s="11">
        <v>6</v>
      </c>
      <c r="F68" s="12">
        <v>41450</v>
      </c>
      <c r="G68" s="12">
        <v>52406</v>
      </c>
      <c r="H68" s="11" t="s">
        <v>14</v>
      </c>
      <c r="I68" s="11" t="s">
        <v>51</v>
      </c>
    </row>
    <row r="69" spans="1:9" ht="14.5" hidden="1" thickTop="1">
      <c r="A69" s="13">
        <f t="shared" si="0"/>
        <v>64</v>
      </c>
      <c r="B69" s="10" t="s">
        <v>36</v>
      </c>
      <c r="C69" s="13" t="s">
        <v>5809</v>
      </c>
      <c r="D69" s="13" t="s">
        <v>13</v>
      </c>
      <c r="E69" s="13">
        <v>373</v>
      </c>
      <c r="F69" s="14">
        <v>40610</v>
      </c>
      <c r="G69" s="14">
        <v>51567</v>
      </c>
      <c r="H69" s="13" t="s">
        <v>14</v>
      </c>
      <c r="I69" s="13" t="s">
        <v>51</v>
      </c>
    </row>
    <row r="70" spans="1:9" ht="14.5" hidden="1" thickTop="1">
      <c r="A70" s="11">
        <f t="shared" si="0"/>
        <v>65</v>
      </c>
      <c r="B70" s="9" t="s">
        <v>1030</v>
      </c>
      <c r="C70" s="11" t="s">
        <v>5810</v>
      </c>
      <c r="D70" s="11" t="s">
        <v>27</v>
      </c>
      <c r="E70" s="11">
        <v>48</v>
      </c>
      <c r="F70" s="12">
        <v>42202</v>
      </c>
      <c r="G70" s="12">
        <v>45854</v>
      </c>
      <c r="H70" s="11" t="s">
        <v>14</v>
      </c>
      <c r="I70" s="11" t="s">
        <v>51</v>
      </c>
    </row>
    <row r="71" spans="1:9" ht="14.5" hidden="1" thickTop="1">
      <c r="A71" s="13">
        <f t="shared" si="0"/>
        <v>66</v>
      </c>
      <c r="B71" s="10" t="s">
        <v>127</v>
      </c>
      <c r="C71" s="13" t="s">
        <v>5811</v>
      </c>
      <c r="D71" s="13" t="s">
        <v>13</v>
      </c>
      <c r="E71" s="13">
        <v>19</v>
      </c>
      <c r="F71" s="14">
        <v>42517</v>
      </c>
      <c r="G71" s="14">
        <v>53473</v>
      </c>
      <c r="H71" s="13" t="s">
        <v>14</v>
      </c>
      <c r="I71" s="13" t="s">
        <v>51</v>
      </c>
    </row>
    <row r="72" spans="1:9" ht="14.5" hidden="1" thickTop="1">
      <c r="A72" s="11">
        <f t="shared" ref="A72:A135" si="1">+A71+1</f>
        <v>67</v>
      </c>
      <c r="B72" s="9" t="s">
        <v>131</v>
      </c>
      <c r="C72" s="11" t="s">
        <v>5812</v>
      </c>
      <c r="D72" s="11" t="s">
        <v>13</v>
      </c>
      <c r="E72" s="11">
        <v>7</v>
      </c>
      <c r="F72" s="12">
        <v>40536</v>
      </c>
      <c r="G72" s="12">
        <v>51493</v>
      </c>
      <c r="H72" s="11" t="s">
        <v>14</v>
      </c>
      <c r="I72" s="11" t="s">
        <v>51</v>
      </c>
    </row>
    <row r="73" spans="1:9" ht="14.5" hidden="1" thickTop="1">
      <c r="A73" s="13">
        <f t="shared" si="1"/>
        <v>68</v>
      </c>
      <c r="B73" s="10" t="s">
        <v>133</v>
      </c>
      <c r="C73" s="13" t="s">
        <v>5813</v>
      </c>
      <c r="D73" s="13" t="s">
        <v>13</v>
      </c>
      <c r="E73" s="13">
        <v>4</v>
      </c>
      <c r="F73" s="14">
        <v>40393</v>
      </c>
      <c r="G73" s="14">
        <v>51350</v>
      </c>
      <c r="H73" s="13" t="s">
        <v>14</v>
      </c>
      <c r="I73" s="13" t="s">
        <v>51</v>
      </c>
    </row>
    <row r="74" spans="1:9" ht="14.5" hidden="1" thickTop="1">
      <c r="A74" s="11">
        <f t="shared" si="1"/>
        <v>69</v>
      </c>
      <c r="B74" s="9" t="s">
        <v>36</v>
      </c>
      <c r="C74" s="11" t="s">
        <v>5814</v>
      </c>
      <c r="D74" s="11" t="s">
        <v>13</v>
      </c>
      <c r="E74" s="11">
        <v>3</v>
      </c>
      <c r="F74" s="12">
        <v>40396</v>
      </c>
      <c r="G74" s="12">
        <v>51353</v>
      </c>
      <c r="H74" s="11" t="s">
        <v>14</v>
      </c>
      <c r="I74" s="11" t="s">
        <v>51</v>
      </c>
    </row>
    <row r="75" spans="1:9" ht="14.5" hidden="1" thickTop="1">
      <c r="A75" s="13">
        <f t="shared" si="1"/>
        <v>70</v>
      </c>
      <c r="B75" s="10" t="s">
        <v>36</v>
      </c>
      <c r="C75" s="13" t="s">
        <v>5815</v>
      </c>
      <c r="D75" s="13" t="s">
        <v>13</v>
      </c>
      <c r="E75" s="13">
        <v>3</v>
      </c>
      <c r="F75" s="14">
        <v>40393</v>
      </c>
      <c r="G75" s="14">
        <v>51350</v>
      </c>
      <c r="H75" s="13" t="s">
        <v>14</v>
      </c>
      <c r="I75" s="13" t="s">
        <v>51</v>
      </c>
    </row>
    <row r="76" spans="1:9" ht="14.5" hidden="1" thickTop="1">
      <c r="A76" s="11">
        <f t="shared" si="1"/>
        <v>71</v>
      </c>
      <c r="B76" s="9" t="s">
        <v>36</v>
      </c>
      <c r="C76" s="11" t="s">
        <v>5816</v>
      </c>
      <c r="D76" s="11" t="s">
        <v>13</v>
      </c>
      <c r="E76" s="11">
        <v>6</v>
      </c>
      <c r="F76" s="12">
        <v>40396</v>
      </c>
      <c r="G76" s="12">
        <v>51353</v>
      </c>
      <c r="H76" s="11" t="s">
        <v>14</v>
      </c>
      <c r="I76" s="11" t="s">
        <v>51</v>
      </c>
    </row>
    <row r="77" spans="1:9" ht="14.5" hidden="1" thickTop="1">
      <c r="A77" s="13">
        <f t="shared" si="1"/>
        <v>72</v>
      </c>
      <c r="B77" s="10" t="s">
        <v>134</v>
      </c>
      <c r="C77" s="13" t="s">
        <v>5817</v>
      </c>
      <c r="D77" s="13" t="s">
        <v>18</v>
      </c>
      <c r="E77" s="13">
        <v>8</v>
      </c>
      <c r="F77" s="14">
        <v>43531</v>
      </c>
      <c r="G77" s="14">
        <v>45357</v>
      </c>
      <c r="H77" s="13" t="s">
        <v>14</v>
      </c>
      <c r="I77" s="13" t="s">
        <v>51</v>
      </c>
    </row>
    <row r="78" spans="1:9" ht="14.5" hidden="1" thickTop="1">
      <c r="A78" s="11">
        <f t="shared" si="1"/>
        <v>73</v>
      </c>
      <c r="B78" s="9" t="s">
        <v>70</v>
      </c>
      <c r="C78" s="11" t="s">
        <v>5818</v>
      </c>
      <c r="D78" s="11" t="s">
        <v>13</v>
      </c>
      <c r="E78" s="11">
        <v>10</v>
      </c>
      <c r="F78" s="12">
        <v>40709</v>
      </c>
      <c r="G78" s="12">
        <v>51666</v>
      </c>
      <c r="H78" s="11" t="s">
        <v>14</v>
      </c>
      <c r="I78" s="11" t="s">
        <v>51</v>
      </c>
    </row>
    <row r="79" spans="1:9" ht="14.5" hidden="1" thickTop="1">
      <c r="A79" s="13">
        <f t="shared" si="1"/>
        <v>74</v>
      </c>
      <c r="B79" s="10" t="s">
        <v>36</v>
      </c>
      <c r="C79" s="13" t="s">
        <v>5819</v>
      </c>
      <c r="D79" s="13" t="s">
        <v>13</v>
      </c>
      <c r="E79" s="13">
        <v>2</v>
      </c>
      <c r="F79" s="14">
        <v>41552</v>
      </c>
      <c r="G79" s="14">
        <v>52508</v>
      </c>
      <c r="H79" s="13" t="s">
        <v>14</v>
      </c>
      <c r="I79" s="13" t="s">
        <v>51</v>
      </c>
    </row>
    <row r="80" spans="1:9" ht="14.5" hidden="1" thickTop="1">
      <c r="A80" s="11">
        <f t="shared" si="1"/>
        <v>75</v>
      </c>
      <c r="B80" s="9" t="s">
        <v>72</v>
      </c>
      <c r="C80" s="11" t="s">
        <v>5820</v>
      </c>
      <c r="D80" s="11" t="s">
        <v>13</v>
      </c>
      <c r="E80" s="11">
        <v>2</v>
      </c>
      <c r="F80" s="12">
        <v>40246</v>
      </c>
      <c r="G80" s="12">
        <v>51203</v>
      </c>
      <c r="H80" s="11" t="s">
        <v>14</v>
      </c>
      <c r="I80" s="11" t="s">
        <v>51</v>
      </c>
    </row>
    <row r="81" spans="1:9" ht="14.5" hidden="1" thickTop="1">
      <c r="A81" s="13">
        <f t="shared" si="1"/>
        <v>76</v>
      </c>
      <c r="B81" s="10" t="s">
        <v>72</v>
      </c>
      <c r="C81" s="13" t="s">
        <v>5821</v>
      </c>
      <c r="D81" s="13" t="s">
        <v>13</v>
      </c>
      <c r="E81" s="13">
        <v>9</v>
      </c>
      <c r="F81" s="14">
        <v>40246</v>
      </c>
      <c r="G81" s="14">
        <v>51203</v>
      </c>
      <c r="H81" s="13" t="s">
        <v>14</v>
      </c>
      <c r="I81" s="13" t="s">
        <v>51</v>
      </c>
    </row>
    <row r="82" spans="1:9" ht="14.5" hidden="1" thickTop="1">
      <c r="A82" s="11">
        <f t="shared" si="1"/>
        <v>77</v>
      </c>
      <c r="B82" s="9" t="s">
        <v>72</v>
      </c>
      <c r="C82" s="11" t="s">
        <v>5822</v>
      </c>
      <c r="D82" s="11" t="s">
        <v>13</v>
      </c>
      <c r="E82" s="11">
        <v>28</v>
      </c>
      <c r="F82" s="12">
        <v>40246</v>
      </c>
      <c r="G82" s="12">
        <v>51203</v>
      </c>
      <c r="H82" s="11" t="s">
        <v>14</v>
      </c>
      <c r="I82" s="11" t="s">
        <v>51</v>
      </c>
    </row>
    <row r="83" spans="1:9" ht="14.5" hidden="1" thickTop="1">
      <c r="A83" s="13">
        <f t="shared" si="1"/>
        <v>78</v>
      </c>
      <c r="B83" s="10" t="s">
        <v>72</v>
      </c>
      <c r="C83" s="13" t="s">
        <v>5823</v>
      </c>
      <c r="D83" s="13" t="s">
        <v>13</v>
      </c>
      <c r="E83" s="13">
        <v>1</v>
      </c>
      <c r="F83" s="14">
        <v>40246</v>
      </c>
      <c r="G83" s="14">
        <v>51203</v>
      </c>
      <c r="H83" s="13" t="s">
        <v>14</v>
      </c>
      <c r="I83" s="13" t="s">
        <v>51</v>
      </c>
    </row>
    <row r="84" spans="1:9" ht="14.5" hidden="1" thickTop="1">
      <c r="A84" s="11">
        <f t="shared" si="1"/>
        <v>79</v>
      </c>
      <c r="B84" s="9" t="s">
        <v>72</v>
      </c>
      <c r="C84" s="11" t="s">
        <v>5824</v>
      </c>
      <c r="D84" s="11" t="s">
        <v>13</v>
      </c>
      <c r="E84" s="11">
        <v>2</v>
      </c>
      <c r="F84" s="12">
        <v>40246</v>
      </c>
      <c r="G84" s="12">
        <v>51203</v>
      </c>
      <c r="H84" s="11" t="s">
        <v>14</v>
      </c>
      <c r="I84" s="11" t="s">
        <v>51</v>
      </c>
    </row>
    <row r="85" spans="1:9" ht="14.5" hidden="1" thickTop="1">
      <c r="A85" s="13">
        <f t="shared" si="1"/>
        <v>80</v>
      </c>
      <c r="B85" s="10" t="s">
        <v>5684</v>
      </c>
      <c r="C85" s="13" t="s">
        <v>5825</v>
      </c>
      <c r="D85" s="13" t="s">
        <v>13</v>
      </c>
      <c r="E85" s="13">
        <v>4</v>
      </c>
      <c r="F85" s="14">
        <v>44819</v>
      </c>
      <c r="G85" s="14">
        <v>50297</v>
      </c>
      <c r="H85" s="13" t="s">
        <v>14</v>
      </c>
      <c r="I85" s="13" t="s">
        <v>51</v>
      </c>
    </row>
    <row r="86" spans="1:9" ht="14.5" hidden="1" thickTop="1">
      <c r="A86" s="11">
        <f t="shared" si="1"/>
        <v>81</v>
      </c>
      <c r="B86" s="9" t="s">
        <v>5684</v>
      </c>
      <c r="C86" s="11" t="s">
        <v>5826</v>
      </c>
      <c r="D86" s="11" t="s">
        <v>13</v>
      </c>
      <c r="E86" s="11">
        <v>11</v>
      </c>
      <c r="F86" s="12">
        <v>44819</v>
      </c>
      <c r="G86" s="12">
        <v>50297</v>
      </c>
      <c r="H86" s="11" t="s">
        <v>14</v>
      </c>
      <c r="I86" s="11" t="s">
        <v>51</v>
      </c>
    </row>
    <row r="87" spans="1:9" ht="14.5" hidden="1" thickTop="1">
      <c r="A87" s="13">
        <f t="shared" si="1"/>
        <v>82</v>
      </c>
      <c r="B87" s="10" t="s">
        <v>74</v>
      </c>
      <c r="C87" s="13" t="s">
        <v>5827</v>
      </c>
      <c r="D87" s="13" t="s">
        <v>13</v>
      </c>
      <c r="E87" s="13">
        <v>5</v>
      </c>
      <c r="F87" s="14">
        <v>40158</v>
      </c>
      <c r="G87" s="14">
        <v>51114</v>
      </c>
      <c r="H87" s="13" t="s">
        <v>14</v>
      </c>
      <c r="I87" s="13" t="s">
        <v>51</v>
      </c>
    </row>
    <row r="88" spans="1:9" ht="14.5" hidden="1" thickTop="1">
      <c r="A88" s="11">
        <f t="shared" si="1"/>
        <v>83</v>
      </c>
      <c r="B88" s="9" t="s">
        <v>15</v>
      </c>
      <c r="C88" s="11" t="s">
        <v>5828</v>
      </c>
      <c r="D88" s="11" t="s">
        <v>13</v>
      </c>
      <c r="E88" s="11">
        <v>90</v>
      </c>
      <c r="F88" s="12">
        <v>41144</v>
      </c>
      <c r="G88" s="12">
        <v>52100</v>
      </c>
      <c r="H88" s="11" t="s">
        <v>14</v>
      </c>
      <c r="I88" s="11" t="s">
        <v>51</v>
      </c>
    </row>
    <row r="89" spans="1:9" ht="14.5" hidden="1" thickTop="1">
      <c r="A89" s="13">
        <f t="shared" si="1"/>
        <v>84</v>
      </c>
      <c r="B89" s="10" t="s">
        <v>137</v>
      </c>
      <c r="C89" s="13" t="s">
        <v>5829</v>
      </c>
      <c r="D89" s="13" t="s">
        <v>13</v>
      </c>
      <c r="E89" s="13">
        <v>218</v>
      </c>
      <c r="F89" s="14">
        <v>41705</v>
      </c>
      <c r="G89" s="14">
        <v>52662</v>
      </c>
      <c r="H89" s="13" t="s">
        <v>14</v>
      </c>
      <c r="I89" s="13" t="s">
        <v>51</v>
      </c>
    </row>
    <row r="90" spans="1:9" ht="14.5" hidden="1" thickTop="1">
      <c r="A90" s="11">
        <f t="shared" si="1"/>
        <v>85</v>
      </c>
      <c r="B90" s="9" t="s">
        <v>139</v>
      </c>
      <c r="C90" s="11" t="s">
        <v>5830</v>
      </c>
      <c r="D90" s="11" t="s">
        <v>13</v>
      </c>
      <c r="E90" s="11">
        <v>65</v>
      </c>
      <c r="F90" s="12">
        <v>42115</v>
      </c>
      <c r="G90" s="12">
        <v>53072</v>
      </c>
      <c r="H90" s="11" t="s">
        <v>14</v>
      </c>
      <c r="I90" s="11" t="s">
        <v>51</v>
      </c>
    </row>
    <row r="91" spans="1:9" ht="14.5" hidden="1" thickTop="1">
      <c r="A91" s="13">
        <f t="shared" si="1"/>
        <v>86</v>
      </c>
      <c r="B91" s="10" t="s">
        <v>64</v>
      </c>
      <c r="C91" s="13" t="s">
        <v>5831</v>
      </c>
      <c r="D91" s="13" t="s">
        <v>13</v>
      </c>
      <c r="E91" s="13">
        <v>16</v>
      </c>
      <c r="F91" s="14">
        <v>42476</v>
      </c>
      <c r="G91" s="14">
        <v>47953</v>
      </c>
      <c r="H91" s="13" t="s">
        <v>14</v>
      </c>
      <c r="I91" s="13" t="s">
        <v>51</v>
      </c>
    </row>
    <row r="92" spans="1:9" ht="14.5" thickTop="1">
      <c r="A92" s="11">
        <f t="shared" si="1"/>
        <v>87</v>
      </c>
      <c r="B92" s="9" t="s">
        <v>36</v>
      </c>
      <c r="C92" s="11" t="s">
        <v>5832</v>
      </c>
      <c r="D92" s="11" t="s">
        <v>37</v>
      </c>
      <c r="E92" s="11">
        <v>3</v>
      </c>
      <c r="F92" s="12">
        <v>44222</v>
      </c>
      <c r="G92" s="12">
        <v>46047</v>
      </c>
      <c r="H92" s="11" t="s">
        <v>14</v>
      </c>
      <c r="I92" s="11" t="s">
        <v>51</v>
      </c>
    </row>
    <row r="93" spans="1:9" hidden="1">
      <c r="A93" s="13">
        <f t="shared" si="1"/>
        <v>88</v>
      </c>
      <c r="B93" s="10" t="s">
        <v>147</v>
      </c>
      <c r="C93" s="13" t="s">
        <v>148</v>
      </c>
      <c r="D93" s="13" t="s">
        <v>13</v>
      </c>
      <c r="E93" s="13">
        <v>7</v>
      </c>
      <c r="F93" s="14">
        <v>45386</v>
      </c>
      <c r="G93" s="14">
        <v>49779</v>
      </c>
      <c r="H93" s="13" t="s">
        <v>14</v>
      </c>
      <c r="I93" s="13" t="s">
        <v>51</v>
      </c>
    </row>
    <row r="94" spans="1:9" hidden="1">
      <c r="A94" s="11">
        <f t="shared" si="1"/>
        <v>89</v>
      </c>
      <c r="B94" s="9" t="s">
        <v>151</v>
      </c>
      <c r="C94" s="11" t="s">
        <v>5833</v>
      </c>
      <c r="D94" s="11" t="s">
        <v>13</v>
      </c>
      <c r="E94" s="11">
        <v>360</v>
      </c>
      <c r="F94" s="12">
        <v>42115</v>
      </c>
      <c r="G94" s="12">
        <v>53072</v>
      </c>
      <c r="H94" s="11" t="s">
        <v>14</v>
      </c>
      <c r="I94" s="11" t="s">
        <v>51</v>
      </c>
    </row>
    <row r="95" spans="1:9" hidden="1">
      <c r="A95" s="13">
        <f t="shared" si="1"/>
        <v>90</v>
      </c>
      <c r="B95" s="10" t="s">
        <v>152</v>
      </c>
      <c r="C95" s="13" t="s">
        <v>5834</v>
      </c>
      <c r="D95" s="13" t="s">
        <v>13</v>
      </c>
      <c r="E95" s="13">
        <v>73</v>
      </c>
      <c r="F95" s="14">
        <v>42296</v>
      </c>
      <c r="G95" s="14">
        <v>53253</v>
      </c>
      <c r="H95" s="13" t="s">
        <v>14</v>
      </c>
      <c r="I95" s="13" t="s">
        <v>51</v>
      </c>
    </row>
    <row r="96" spans="1:9" hidden="1">
      <c r="A96" s="11">
        <f t="shared" si="1"/>
        <v>91</v>
      </c>
      <c r="B96" s="9" t="s">
        <v>153</v>
      </c>
      <c r="C96" s="11" t="s">
        <v>5835</v>
      </c>
      <c r="D96" s="11" t="s">
        <v>13</v>
      </c>
      <c r="E96" s="11">
        <v>2</v>
      </c>
      <c r="F96" s="12">
        <v>40634</v>
      </c>
      <c r="G96" s="12">
        <v>51591</v>
      </c>
      <c r="H96" s="11" t="s">
        <v>14</v>
      </c>
      <c r="I96" s="11" t="s">
        <v>51</v>
      </c>
    </row>
    <row r="97" spans="1:9" hidden="1">
      <c r="A97" s="13">
        <f t="shared" si="1"/>
        <v>92</v>
      </c>
      <c r="B97" s="10" t="s">
        <v>58</v>
      </c>
      <c r="C97" s="13" t="s">
        <v>5836</v>
      </c>
      <c r="D97" s="13" t="s">
        <v>13</v>
      </c>
      <c r="E97" s="13">
        <v>67</v>
      </c>
      <c r="F97" s="14">
        <v>40978</v>
      </c>
      <c r="G97" s="14">
        <v>51934</v>
      </c>
      <c r="H97" s="13" t="s">
        <v>14</v>
      </c>
      <c r="I97" s="13" t="s">
        <v>51</v>
      </c>
    </row>
    <row r="98" spans="1:9" hidden="1">
      <c r="A98" s="11">
        <f t="shared" si="1"/>
        <v>93</v>
      </c>
      <c r="B98" s="9" t="s">
        <v>24</v>
      </c>
      <c r="C98" s="11" t="s">
        <v>5837</v>
      </c>
      <c r="D98" s="11" t="s">
        <v>18</v>
      </c>
      <c r="E98" s="11">
        <v>176</v>
      </c>
      <c r="F98" s="12">
        <v>44664</v>
      </c>
      <c r="G98" s="12">
        <v>46489</v>
      </c>
      <c r="H98" s="11" t="s">
        <v>14</v>
      </c>
      <c r="I98" s="11" t="s">
        <v>51</v>
      </c>
    </row>
    <row r="99" spans="1:9" hidden="1">
      <c r="A99" s="13">
        <f t="shared" si="1"/>
        <v>94</v>
      </c>
      <c r="B99" s="10" t="s">
        <v>24</v>
      </c>
      <c r="C99" s="13" t="s">
        <v>5838</v>
      </c>
      <c r="D99" s="13" t="s">
        <v>18</v>
      </c>
      <c r="E99" s="13">
        <v>116</v>
      </c>
      <c r="F99" s="14">
        <v>44664</v>
      </c>
      <c r="G99" s="14">
        <v>46489</v>
      </c>
      <c r="H99" s="13" t="s">
        <v>14</v>
      </c>
      <c r="I99" s="13" t="s">
        <v>51</v>
      </c>
    </row>
    <row r="100" spans="1:9" hidden="1">
      <c r="A100" s="11">
        <f t="shared" si="1"/>
        <v>95</v>
      </c>
      <c r="B100" s="9" t="s">
        <v>156</v>
      </c>
      <c r="C100" s="11" t="s">
        <v>5839</v>
      </c>
      <c r="D100" s="11" t="s">
        <v>13</v>
      </c>
      <c r="E100" s="11">
        <v>223</v>
      </c>
      <c r="F100" s="12">
        <v>44194</v>
      </c>
      <c r="G100" s="12">
        <v>53324</v>
      </c>
      <c r="H100" s="11" t="s">
        <v>14</v>
      </c>
      <c r="I100" s="11" t="s">
        <v>51</v>
      </c>
    </row>
    <row r="101" spans="1:9" hidden="1">
      <c r="A101" s="13">
        <f t="shared" si="1"/>
        <v>96</v>
      </c>
      <c r="B101" s="10" t="s">
        <v>156</v>
      </c>
      <c r="C101" s="13" t="s">
        <v>5840</v>
      </c>
      <c r="D101" s="13" t="s">
        <v>13</v>
      </c>
      <c r="E101" s="13">
        <v>172</v>
      </c>
      <c r="F101" s="14">
        <v>44194</v>
      </c>
      <c r="G101" s="14">
        <v>53324</v>
      </c>
      <c r="H101" s="13" t="s">
        <v>14</v>
      </c>
      <c r="I101" s="13" t="s">
        <v>51</v>
      </c>
    </row>
    <row r="102" spans="1:9" hidden="1">
      <c r="A102" s="11">
        <f t="shared" si="1"/>
        <v>97</v>
      </c>
      <c r="B102" s="9" t="s">
        <v>562</v>
      </c>
      <c r="C102" s="11" t="s">
        <v>5841</v>
      </c>
      <c r="D102" s="11" t="s">
        <v>13</v>
      </c>
      <c r="E102" s="11">
        <v>187</v>
      </c>
      <c r="F102" s="12">
        <v>41121</v>
      </c>
      <c r="G102" s="12">
        <v>52077</v>
      </c>
      <c r="H102" s="11" t="s">
        <v>14</v>
      </c>
      <c r="I102" s="11" t="s">
        <v>51</v>
      </c>
    </row>
    <row r="103" spans="1:9" hidden="1">
      <c r="A103" s="13">
        <f t="shared" si="1"/>
        <v>98</v>
      </c>
      <c r="B103" s="10" t="s">
        <v>162</v>
      </c>
      <c r="C103" s="13" t="s">
        <v>5842</v>
      </c>
      <c r="D103" s="13" t="s">
        <v>13</v>
      </c>
      <c r="E103" s="13">
        <v>33</v>
      </c>
      <c r="F103" s="14">
        <v>41482</v>
      </c>
      <c r="G103" s="14">
        <v>52438</v>
      </c>
      <c r="H103" s="13" t="s">
        <v>14</v>
      </c>
      <c r="I103" s="13" t="s">
        <v>51</v>
      </c>
    </row>
    <row r="104" spans="1:9" hidden="1">
      <c r="A104" s="11">
        <f t="shared" si="1"/>
        <v>99</v>
      </c>
      <c r="B104" s="9" t="s">
        <v>140</v>
      </c>
      <c r="C104" s="11" t="s">
        <v>5843</v>
      </c>
      <c r="D104" s="11" t="s">
        <v>13</v>
      </c>
      <c r="E104" s="11">
        <v>21</v>
      </c>
      <c r="F104" s="12">
        <v>41834</v>
      </c>
      <c r="G104" s="12">
        <v>52791</v>
      </c>
      <c r="H104" s="11" t="s">
        <v>14</v>
      </c>
      <c r="I104" s="11" t="s">
        <v>51</v>
      </c>
    </row>
    <row r="105" spans="1:9" hidden="1">
      <c r="A105" s="13">
        <f t="shared" si="1"/>
        <v>100</v>
      </c>
      <c r="B105" s="10" t="s">
        <v>163</v>
      </c>
      <c r="C105" s="13" t="s">
        <v>5844</v>
      </c>
      <c r="D105" s="13" t="s">
        <v>27</v>
      </c>
      <c r="E105" s="13">
        <v>5</v>
      </c>
      <c r="F105" s="14">
        <v>43508</v>
      </c>
      <c r="G105" s="14">
        <v>45333</v>
      </c>
      <c r="H105" s="13" t="s">
        <v>14</v>
      </c>
      <c r="I105" s="13" t="s">
        <v>51</v>
      </c>
    </row>
    <row r="106" spans="1:9">
      <c r="A106" s="11">
        <f t="shared" si="1"/>
        <v>101</v>
      </c>
      <c r="B106" s="9" t="s">
        <v>36</v>
      </c>
      <c r="C106" s="11" t="s">
        <v>5845</v>
      </c>
      <c r="D106" s="11" t="s">
        <v>37</v>
      </c>
      <c r="E106" s="11">
        <v>2</v>
      </c>
      <c r="F106" s="12">
        <v>43699</v>
      </c>
      <c r="G106" s="12">
        <v>45525</v>
      </c>
      <c r="H106" s="11" t="s">
        <v>14</v>
      </c>
      <c r="I106" s="11" t="s">
        <v>51</v>
      </c>
    </row>
    <row r="107" spans="1:9" hidden="1">
      <c r="A107" s="13">
        <f t="shared" si="1"/>
        <v>102</v>
      </c>
      <c r="B107" s="10" t="s">
        <v>164</v>
      </c>
      <c r="C107" s="13" t="s">
        <v>5846</v>
      </c>
      <c r="D107" s="13" t="s">
        <v>13</v>
      </c>
      <c r="E107" s="13">
        <v>6</v>
      </c>
      <c r="F107" s="14">
        <v>42676</v>
      </c>
      <c r="G107" s="14">
        <v>53632</v>
      </c>
      <c r="H107" s="13" t="s">
        <v>14</v>
      </c>
      <c r="I107" s="13" t="s">
        <v>51</v>
      </c>
    </row>
    <row r="108" spans="1:9" hidden="1">
      <c r="A108" s="11">
        <f t="shared" si="1"/>
        <v>103</v>
      </c>
      <c r="B108" s="9" t="s">
        <v>130</v>
      </c>
      <c r="C108" s="11" t="s">
        <v>5847</v>
      </c>
      <c r="D108" s="11" t="s">
        <v>13</v>
      </c>
      <c r="E108" s="11">
        <v>2</v>
      </c>
      <c r="F108" s="12">
        <v>41806</v>
      </c>
      <c r="G108" s="12">
        <v>52508</v>
      </c>
      <c r="H108" s="11" t="s">
        <v>14</v>
      </c>
      <c r="I108" s="11" t="s">
        <v>51</v>
      </c>
    </row>
    <row r="109" spans="1:9" hidden="1">
      <c r="A109" s="13">
        <f t="shared" si="1"/>
        <v>104</v>
      </c>
      <c r="B109" s="10" t="s">
        <v>36</v>
      </c>
      <c r="C109" s="13" t="s">
        <v>5848</v>
      </c>
      <c r="D109" s="13" t="s">
        <v>13</v>
      </c>
      <c r="E109" s="13">
        <v>3</v>
      </c>
      <c r="F109" s="14">
        <v>41806</v>
      </c>
      <c r="G109" s="14">
        <v>52508</v>
      </c>
      <c r="H109" s="13" t="s">
        <v>14</v>
      </c>
      <c r="I109" s="13" t="s">
        <v>51</v>
      </c>
    </row>
    <row r="110" spans="1:9" hidden="1">
      <c r="A110" s="11">
        <f t="shared" si="1"/>
        <v>105</v>
      </c>
      <c r="B110" s="9" t="s">
        <v>64</v>
      </c>
      <c r="C110" s="11" t="s">
        <v>5849</v>
      </c>
      <c r="D110" s="11" t="s">
        <v>13</v>
      </c>
      <c r="E110" s="11">
        <v>28</v>
      </c>
      <c r="F110" s="12">
        <v>42209</v>
      </c>
      <c r="G110" s="12">
        <v>53166</v>
      </c>
      <c r="H110" s="11" t="s">
        <v>14</v>
      </c>
      <c r="I110" s="11" t="s">
        <v>51</v>
      </c>
    </row>
    <row r="111" spans="1:9" hidden="1">
      <c r="A111" s="13">
        <f t="shared" si="1"/>
        <v>106</v>
      </c>
      <c r="B111" s="10" t="s">
        <v>64</v>
      </c>
      <c r="C111" s="13" t="s">
        <v>5850</v>
      </c>
      <c r="D111" s="13" t="s">
        <v>13</v>
      </c>
      <c r="E111" s="13">
        <v>51</v>
      </c>
      <c r="F111" s="14">
        <v>42209</v>
      </c>
      <c r="G111" s="14">
        <v>53166</v>
      </c>
      <c r="H111" s="13" t="s">
        <v>14</v>
      </c>
      <c r="I111" s="13" t="s">
        <v>51</v>
      </c>
    </row>
    <row r="112" spans="1:9" hidden="1">
      <c r="A112" s="11">
        <f t="shared" si="1"/>
        <v>107</v>
      </c>
      <c r="B112" s="9" t="s">
        <v>64</v>
      </c>
      <c r="C112" s="11" t="s">
        <v>5851</v>
      </c>
      <c r="D112" s="11" t="s">
        <v>13</v>
      </c>
      <c r="E112" s="11">
        <v>48</v>
      </c>
      <c r="F112" s="12">
        <v>42209</v>
      </c>
      <c r="G112" s="12">
        <v>53166</v>
      </c>
      <c r="H112" s="11" t="s">
        <v>14</v>
      </c>
      <c r="I112" s="11" t="s">
        <v>51</v>
      </c>
    </row>
    <row r="113" spans="1:9" hidden="1">
      <c r="A113" s="13">
        <f t="shared" si="1"/>
        <v>108</v>
      </c>
      <c r="B113" s="10" t="s">
        <v>64</v>
      </c>
      <c r="C113" s="13" t="s">
        <v>5852</v>
      </c>
      <c r="D113" s="13" t="s">
        <v>13</v>
      </c>
      <c r="E113" s="13">
        <v>26</v>
      </c>
      <c r="F113" s="14">
        <v>42209</v>
      </c>
      <c r="G113" s="14">
        <v>53166</v>
      </c>
      <c r="H113" s="13" t="s">
        <v>14</v>
      </c>
      <c r="I113" s="13" t="s">
        <v>51</v>
      </c>
    </row>
    <row r="114" spans="1:9" hidden="1">
      <c r="A114" s="11">
        <f t="shared" si="1"/>
        <v>109</v>
      </c>
      <c r="B114" s="9" t="s">
        <v>133</v>
      </c>
      <c r="C114" s="11" t="s">
        <v>5853</v>
      </c>
      <c r="D114" s="11" t="s">
        <v>13</v>
      </c>
      <c r="E114" s="11">
        <v>5</v>
      </c>
      <c r="F114" s="12">
        <v>42553</v>
      </c>
      <c r="G114" s="12">
        <v>51202</v>
      </c>
      <c r="H114" s="11" t="s">
        <v>14</v>
      </c>
      <c r="I114" s="11" t="s">
        <v>51</v>
      </c>
    </row>
    <row r="115" spans="1:9" hidden="1">
      <c r="A115" s="13">
        <f t="shared" si="1"/>
        <v>110</v>
      </c>
      <c r="B115" s="10" t="s">
        <v>167</v>
      </c>
      <c r="C115" s="13" t="s">
        <v>5854</v>
      </c>
      <c r="D115" s="13" t="s">
        <v>13</v>
      </c>
      <c r="E115" s="13">
        <v>4</v>
      </c>
      <c r="F115" s="14">
        <v>42839</v>
      </c>
      <c r="G115" s="14">
        <v>51325</v>
      </c>
      <c r="H115" s="13" t="s">
        <v>14</v>
      </c>
      <c r="I115" s="13" t="s">
        <v>51</v>
      </c>
    </row>
    <row r="116" spans="1:9" hidden="1">
      <c r="A116" s="11">
        <f t="shared" si="1"/>
        <v>111</v>
      </c>
      <c r="B116" s="9" t="s">
        <v>167</v>
      </c>
      <c r="C116" s="11" t="s">
        <v>5855</v>
      </c>
      <c r="D116" s="11" t="s">
        <v>13</v>
      </c>
      <c r="E116" s="11">
        <v>4</v>
      </c>
      <c r="F116" s="12">
        <v>42839</v>
      </c>
      <c r="G116" s="12">
        <v>45384</v>
      </c>
      <c r="H116" s="11" t="s">
        <v>14</v>
      </c>
      <c r="I116" s="11" t="s">
        <v>51</v>
      </c>
    </row>
    <row r="117" spans="1:9" hidden="1">
      <c r="A117" s="13">
        <f t="shared" si="1"/>
        <v>112</v>
      </c>
      <c r="B117" s="10" t="s">
        <v>167</v>
      </c>
      <c r="C117" s="13" t="s">
        <v>5856</v>
      </c>
      <c r="D117" s="13" t="s">
        <v>13</v>
      </c>
      <c r="E117" s="13">
        <v>25</v>
      </c>
      <c r="F117" s="14">
        <v>42839</v>
      </c>
      <c r="G117" s="14">
        <v>45384</v>
      </c>
      <c r="H117" s="13" t="s">
        <v>14</v>
      </c>
      <c r="I117" s="13" t="s">
        <v>51</v>
      </c>
    </row>
    <row r="118" spans="1:9" hidden="1">
      <c r="A118" s="11">
        <f t="shared" si="1"/>
        <v>113</v>
      </c>
      <c r="B118" s="9" t="s">
        <v>169</v>
      </c>
      <c r="C118" s="11" t="s">
        <v>5857</v>
      </c>
      <c r="D118" s="11" t="s">
        <v>18</v>
      </c>
      <c r="E118" s="11">
        <v>284</v>
      </c>
      <c r="F118" s="12">
        <v>44288</v>
      </c>
      <c r="G118" s="12">
        <v>46113</v>
      </c>
      <c r="H118" s="11" t="s">
        <v>14</v>
      </c>
      <c r="I118" s="11" t="s">
        <v>51</v>
      </c>
    </row>
    <row r="119" spans="1:9" hidden="1">
      <c r="A119" s="13">
        <f t="shared" si="1"/>
        <v>114</v>
      </c>
      <c r="B119" s="10" t="s">
        <v>1767</v>
      </c>
      <c r="C119" s="13" t="s">
        <v>5859</v>
      </c>
      <c r="D119" s="13" t="s">
        <v>18</v>
      </c>
      <c r="E119" s="13">
        <v>9</v>
      </c>
      <c r="F119" s="14">
        <v>42947</v>
      </c>
      <c r="G119" s="14">
        <v>44772</v>
      </c>
      <c r="H119" s="13" t="s">
        <v>14</v>
      </c>
      <c r="I119" s="13" t="s">
        <v>51</v>
      </c>
    </row>
    <row r="120" spans="1:9" hidden="1">
      <c r="A120" s="11">
        <f t="shared" si="1"/>
        <v>115</v>
      </c>
      <c r="B120" s="9" t="s">
        <v>36</v>
      </c>
      <c r="C120" s="11" t="s">
        <v>5860</v>
      </c>
      <c r="D120" s="11" t="s">
        <v>13</v>
      </c>
      <c r="E120" s="11">
        <v>33</v>
      </c>
      <c r="F120" s="12">
        <v>43000</v>
      </c>
      <c r="G120" s="12">
        <v>52508</v>
      </c>
      <c r="H120" s="11" t="s">
        <v>14</v>
      </c>
      <c r="I120" s="11" t="s">
        <v>51</v>
      </c>
    </row>
    <row r="121" spans="1:9" hidden="1">
      <c r="A121" s="13">
        <f t="shared" si="1"/>
        <v>116</v>
      </c>
      <c r="B121" s="10" t="s">
        <v>68</v>
      </c>
      <c r="C121" s="13" t="s">
        <v>5861</v>
      </c>
      <c r="D121" s="13" t="s">
        <v>13</v>
      </c>
      <c r="E121" s="13">
        <v>6</v>
      </c>
      <c r="F121" s="14">
        <v>43000</v>
      </c>
      <c r="G121" s="14">
        <v>52508</v>
      </c>
      <c r="H121" s="13" t="s">
        <v>14</v>
      </c>
      <c r="I121" s="13" t="s">
        <v>51</v>
      </c>
    </row>
    <row r="122" spans="1:9" hidden="1">
      <c r="A122" s="11">
        <f t="shared" si="1"/>
        <v>117</v>
      </c>
      <c r="B122" s="9" t="s">
        <v>170</v>
      </c>
      <c r="C122" s="11" t="s">
        <v>5862</v>
      </c>
      <c r="D122" s="11" t="s">
        <v>18</v>
      </c>
      <c r="E122" s="11">
        <v>4</v>
      </c>
      <c r="F122" s="12">
        <v>43585</v>
      </c>
      <c r="G122" s="12">
        <v>45411</v>
      </c>
      <c r="H122" s="11" t="s">
        <v>14</v>
      </c>
      <c r="I122" s="11" t="s">
        <v>51</v>
      </c>
    </row>
    <row r="123" spans="1:9" hidden="1">
      <c r="A123" s="13">
        <f t="shared" si="1"/>
        <v>118</v>
      </c>
      <c r="B123" s="10" t="s">
        <v>36</v>
      </c>
      <c r="C123" s="13" t="s">
        <v>5863</v>
      </c>
      <c r="D123" s="13" t="s">
        <v>13</v>
      </c>
      <c r="E123" s="13">
        <v>14</v>
      </c>
      <c r="F123" s="14">
        <v>43000</v>
      </c>
      <c r="G123" s="14">
        <v>51202</v>
      </c>
      <c r="H123" s="13" t="s">
        <v>14</v>
      </c>
      <c r="I123" s="13" t="s">
        <v>51</v>
      </c>
    </row>
    <row r="124" spans="1:9" hidden="1">
      <c r="A124" s="11">
        <f t="shared" si="1"/>
        <v>119</v>
      </c>
      <c r="B124" s="9" t="s">
        <v>73</v>
      </c>
      <c r="C124" s="11" t="s">
        <v>5864</v>
      </c>
      <c r="D124" s="11" t="s">
        <v>13</v>
      </c>
      <c r="E124" s="11">
        <v>18</v>
      </c>
      <c r="F124" s="12">
        <v>43000</v>
      </c>
      <c r="G124" s="12">
        <v>51202</v>
      </c>
      <c r="H124" s="11" t="s">
        <v>14</v>
      </c>
      <c r="I124" s="11" t="s">
        <v>51</v>
      </c>
    </row>
    <row r="125" spans="1:9" hidden="1">
      <c r="A125" s="13">
        <f t="shared" si="1"/>
        <v>120</v>
      </c>
      <c r="B125" s="10" t="s">
        <v>202</v>
      </c>
      <c r="C125" s="13" t="s">
        <v>5865</v>
      </c>
      <c r="D125" s="13" t="s">
        <v>13</v>
      </c>
      <c r="E125" s="13">
        <v>67</v>
      </c>
      <c r="F125" s="14">
        <v>43744</v>
      </c>
      <c r="G125" s="14">
        <v>49222</v>
      </c>
      <c r="H125" s="13" t="s">
        <v>14</v>
      </c>
      <c r="I125" s="13" t="s">
        <v>51</v>
      </c>
    </row>
    <row r="126" spans="1:9" hidden="1">
      <c r="A126" s="11">
        <f t="shared" si="1"/>
        <v>121</v>
      </c>
      <c r="B126" s="9" t="s">
        <v>207</v>
      </c>
      <c r="C126" s="11" t="s">
        <v>5866</v>
      </c>
      <c r="D126" s="11" t="s">
        <v>18</v>
      </c>
      <c r="E126" s="11">
        <v>5</v>
      </c>
      <c r="F126" s="12">
        <v>43546</v>
      </c>
      <c r="G126" s="12">
        <v>45372</v>
      </c>
      <c r="H126" s="11" t="s">
        <v>14</v>
      </c>
      <c r="I126" s="11" t="s">
        <v>51</v>
      </c>
    </row>
    <row r="127" spans="1:9" hidden="1">
      <c r="A127" s="13">
        <f t="shared" si="1"/>
        <v>122</v>
      </c>
      <c r="B127" s="10" t="s">
        <v>198</v>
      </c>
      <c r="C127" s="13" t="s">
        <v>5867</v>
      </c>
      <c r="D127" s="13" t="s">
        <v>13</v>
      </c>
      <c r="E127" s="13">
        <v>56</v>
      </c>
      <c r="F127" s="14">
        <v>43444</v>
      </c>
      <c r="G127" s="14">
        <v>52574</v>
      </c>
      <c r="H127" s="13" t="s">
        <v>14</v>
      </c>
      <c r="I127" s="13" t="s">
        <v>51</v>
      </c>
    </row>
    <row r="128" spans="1:9" hidden="1">
      <c r="A128" s="11">
        <f t="shared" si="1"/>
        <v>123</v>
      </c>
      <c r="B128" s="9" t="s">
        <v>210</v>
      </c>
      <c r="C128" s="11" t="s">
        <v>5868</v>
      </c>
      <c r="D128" s="11" t="s">
        <v>18</v>
      </c>
      <c r="E128" s="11">
        <v>3</v>
      </c>
      <c r="F128" s="12">
        <v>43493</v>
      </c>
      <c r="G128" s="12">
        <v>45318</v>
      </c>
      <c r="H128" s="11" t="s">
        <v>14</v>
      </c>
      <c r="I128" s="11" t="s">
        <v>51</v>
      </c>
    </row>
    <row r="129" spans="1:9" hidden="1">
      <c r="A129" s="13">
        <f t="shared" si="1"/>
        <v>124</v>
      </c>
      <c r="B129" s="10" t="s">
        <v>215</v>
      </c>
      <c r="C129" s="13" t="s">
        <v>5869</v>
      </c>
      <c r="D129" s="13" t="s">
        <v>18</v>
      </c>
      <c r="E129" s="13">
        <v>12</v>
      </c>
      <c r="F129" s="14">
        <v>43493</v>
      </c>
      <c r="G129" s="14">
        <v>45318</v>
      </c>
      <c r="H129" s="13" t="s">
        <v>14</v>
      </c>
      <c r="I129" s="13" t="s">
        <v>51</v>
      </c>
    </row>
    <row r="130" spans="1:9" hidden="1">
      <c r="A130" s="11">
        <f t="shared" si="1"/>
        <v>125</v>
      </c>
      <c r="B130" s="9" t="s">
        <v>216</v>
      </c>
      <c r="C130" s="11" t="s">
        <v>5870</v>
      </c>
      <c r="D130" s="11" t="s">
        <v>18</v>
      </c>
      <c r="E130" s="11">
        <v>3</v>
      </c>
      <c r="F130" s="12">
        <v>43493</v>
      </c>
      <c r="G130" s="12">
        <v>45318</v>
      </c>
      <c r="H130" s="11" t="s">
        <v>14</v>
      </c>
      <c r="I130" s="11" t="s">
        <v>51</v>
      </c>
    </row>
    <row r="131" spans="1:9" hidden="1">
      <c r="A131" s="13">
        <f t="shared" si="1"/>
        <v>126</v>
      </c>
      <c r="B131" s="10" t="s">
        <v>216</v>
      </c>
      <c r="C131" s="13" t="s">
        <v>5871</v>
      </c>
      <c r="D131" s="13" t="s">
        <v>18</v>
      </c>
      <c r="E131" s="13">
        <v>6</v>
      </c>
      <c r="F131" s="14">
        <v>43493</v>
      </c>
      <c r="G131" s="14">
        <v>45318</v>
      </c>
      <c r="H131" s="13" t="s">
        <v>14</v>
      </c>
      <c r="I131" s="13" t="s">
        <v>51</v>
      </c>
    </row>
    <row r="132" spans="1:9" hidden="1">
      <c r="A132" s="11">
        <f t="shared" si="1"/>
        <v>127</v>
      </c>
      <c r="B132" s="9" t="s">
        <v>97</v>
      </c>
      <c r="C132" s="11" t="s">
        <v>5872</v>
      </c>
      <c r="D132" s="11" t="s">
        <v>18</v>
      </c>
      <c r="E132" s="11">
        <v>20</v>
      </c>
      <c r="F132" s="12">
        <v>43493</v>
      </c>
      <c r="G132" s="12">
        <v>45318</v>
      </c>
      <c r="H132" s="11" t="s">
        <v>14</v>
      </c>
      <c r="I132" s="11" t="s">
        <v>51</v>
      </c>
    </row>
    <row r="133" spans="1:9" hidden="1">
      <c r="A133" s="13">
        <f t="shared" si="1"/>
        <v>128</v>
      </c>
      <c r="B133" s="10" t="s">
        <v>97</v>
      </c>
      <c r="C133" s="13" t="s">
        <v>5873</v>
      </c>
      <c r="D133" s="13" t="s">
        <v>18</v>
      </c>
      <c r="E133" s="13">
        <v>21</v>
      </c>
      <c r="F133" s="14">
        <v>43493</v>
      </c>
      <c r="G133" s="14">
        <v>45318</v>
      </c>
      <c r="H133" s="13" t="s">
        <v>14</v>
      </c>
      <c r="I133" s="13" t="s">
        <v>51</v>
      </c>
    </row>
    <row r="134" spans="1:9" hidden="1">
      <c r="A134" s="11">
        <f t="shared" si="1"/>
        <v>129</v>
      </c>
      <c r="B134" s="9" t="s">
        <v>220</v>
      </c>
      <c r="C134" s="11" t="s">
        <v>5874</v>
      </c>
      <c r="D134" s="11" t="s">
        <v>18</v>
      </c>
      <c r="E134" s="11">
        <v>10</v>
      </c>
      <c r="F134" s="12">
        <v>43585</v>
      </c>
      <c r="G134" s="12">
        <v>45411</v>
      </c>
      <c r="H134" s="11" t="s">
        <v>14</v>
      </c>
      <c r="I134" s="11" t="s">
        <v>51</v>
      </c>
    </row>
    <row r="135" spans="1:9" hidden="1">
      <c r="A135" s="13">
        <f t="shared" si="1"/>
        <v>130</v>
      </c>
      <c r="B135" s="10" t="s">
        <v>220</v>
      </c>
      <c r="C135" s="13" t="s">
        <v>5875</v>
      </c>
      <c r="D135" s="13" t="s">
        <v>18</v>
      </c>
      <c r="E135" s="13">
        <v>10</v>
      </c>
      <c r="F135" s="14">
        <v>43585</v>
      </c>
      <c r="G135" s="14">
        <v>45411</v>
      </c>
      <c r="H135" s="13" t="s">
        <v>14</v>
      </c>
      <c r="I135" s="13" t="s">
        <v>51</v>
      </c>
    </row>
    <row r="136" spans="1:9" hidden="1">
      <c r="A136" s="11">
        <f t="shared" ref="A136:A199" si="2">+A135+1</f>
        <v>131</v>
      </c>
      <c r="B136" s="9" t="s">
        <v>221</v>
      </c>
      <c r="C136" s="11" t="s">
        <v>5876</v>
      </c>
      <c r="D136" s="11" t="s">
        <v>18</v>
      </c>
      <c r="E136" s="11">
        <v>6</v>
      </c>
      <c r="F136" s="12">
        <v>43510</v>
      </c>
      <c r="G136" s="12">
        <v>45335</v>
      </c>
      <c r="H136" s="11" t="s">
        <v>14</v>
      </c>
      <c r="I136" s="11" t="s">
        <v>51</v>
      </c>
    </row>
    <row r="137" spans="1:9" hidden="1">
      <c r="A137" s="13">
        <f t="shared" si="2"/>
        <v>132</v>
      </c>
      <c r="B137" s="10" t="s">
        <v>221</v>
      </c>
      <c r="C137" s="13" t="s">
        <v>5877</v>
      </c>
      <c r="D137" s="13" t="s">
        <v>18</v>
      </c>
      <c r="E137" s="13">
        <v>2</v>
      </c>
      <c r="F137" s="14">
        <v>43510</v>
      </c>
      <c r="G137" s="14">
        <v>45335</v>
      </c>
      <c r="H137" s="13" t="s">
        <v>14</v>
      </c>
      <c r="I137" s="13" t="s">
        <v>51</v>
      </c>
    </row>
    <row r="138" spans="1:9" hidden="1">
      <c r="A138" s="11">
        <f t="shared" si="2"/>
        <v>133</v>
      </c>
      <c r="B138" s="9" t="s">
        <v>207</v>
      </c>
      <c r="C138" s="11" t="s">
        <v>5878</v>
      </c>
      <c r="D138" s="11" t="s">
        <v>18</v>
      </c>
      <c r="E138" s="11">
        <v>8</v>
      </c>
      <c r="F138" s="12">
        <v>43546</v>
      </c>
      <c r="G138" s="12">
        <v>45372</v>
      </c>
      <c r="H138" s="11" t="s">
        <v>14</v>
      </c>
      <c r="I138" s="11" t="s">
        <v>51</v>
      </c>
    </row>
    <row r="139" spans="1:9" hidden="1">
      <c r="A139" s="13">
        <f t="shared" si="2"/>
        <v>134</v>
      </c>
      <c r="B139" s="10" t="s">
        <v>222</v>
      </c>
      <c r="C139" s="13" t="s">
        <v>5879</v>
      </c>
      <c r="D139" s="13" t="s">
        <v>18</v>
      </c>
      <c r="E139" s="13">
        <v>7</v>
      </c>
      <c r="F139" s="14">
        <v>43543</v>
      </c>
      <c r="G139" s="14">
        <v>45369</v>
      </c>
      <c r="H139" s="13" t="s">
        <v>14</v>
      </c>
      <c r="I139" s="13" t="s">
        <v>51</v>
      </c>
    </row>
    <row r="140" spans="1:9" hidden="1">
      <c r="A140" s="11">
        <f t="shared" si="2"/>
        <v>135</v>
      </c>
      <c r="B140" s="9" t="s">
        <v>224</v>
      </c>
      <c r="C140" s="11" t="s">
        <v>5880</v>
      </c>
      <c r="D140" s="11" t="s">
        <v>18</v>
      </c>
      <c r="E140" s="11">
        <v>6</v>
      </c>
      <c r="F140" s="12">
        <v>44194</v>
      </c>
      <c r="G140" s="12">
        <v>46019</v>
      </c>
      <c r="H140" s="11" t="s">
        <v>14</v>
      </c>
      <c r="I140" s="11" t="s">
        <v>51</v>
      </c>
    </row>
    <row r="141" spans="1:9" hidden="1">
      <c r="A141" s="13">
        <f t="shared" si="2"/>
        <v>136</v>
      </c>
      <c r="B141" s="10" t="s">
        <v>225</v>
      </c>
      <c r="C141" s="13" t="s">
        <v>5881</v>
      </c>
      <c r="D141" s="13" t="s">
        <v>18</v>
      </c>
      <c r="E141" s="13">
        <v>4</v>
      </c>
      <c r="F141" s="14">
        <v>43493</v>
      </c>
      <c r="G141" s="14">
        <v>45318</v>
      </c>
      <c r="H141" s="13" t="s">
        <v>14</v>
      </c>
      <c r="I141" s="13" t="s">
        <v>51</v>
      </c>
    </row>
    <row r="142" spans="1:9" hidden="1">
      <c r="A142" s="11">
        <f t="shared" si="2"/>
        <v>137</v>
      </c>
      <c r="B142" s="9" t="s">
        <v>225</v>
      </c>
      <c r="C142" s="11" t="s">
        <v>5882</v>
      </c>
      <c r="D142" s="11" t="s">
        <v>18</v>
      </c>
      <c r="E142" s="11">
        <v>4</v>
      </c>
      <c r="F142" s="12">
        <v>43493</v>
      </c>
      <c r="G142" s="12">
        <v>45318</v>
      </c>
      <c r="H142" s="11" t="s">
        <v>14</v>
      </c>
      <c r="I142" s="11" t="s">
        <v>51</v>
      </c>
    </row>
    <row r="143" spans="1:9" hidden="1">
      <c r="A143" s="13">
        <f t="shared" si="2"/>
        <v>138</v>
      </c>
      <c r="B143" s="10" t="s">
        <v>227</v>
      </c>
      <c r="C143" s="13" t="s">
        <v>5883</v>
      </c>
      <c r="D143" s="13" t="s">
        <v>18</v>
      </c>
      <c r="E143" s="13">
        <v>3</v>
      </c>
      <c r="F143" s="14">
        <v>43670</v>
      </c>
      <c r="G143" s="14">
        <v>45496</v>
      </c>
      <c r="H143" s="13" t="s">
        <v>14</v>
      </c>
      <c r="I143" s="13" t="s">
        <v>51</v>
      </c>
    </row>
    <row r="144" spans="1:9" hidden="1">
      <c r="A144" s="11">
        <f t="shared" si="2"/>
        <v>139</v>
      </c>
      <c r="B144" s="9" t="s">
        <v>230</v>
      </c>
      <c r="C144" s="11" t="s">
        <v>5884</v>
      </c>
      <c r="D144" s="11" t="s">
        <v>18</v>
      </c>
      <c r="E144" s="11">
        <v>10</v>
      </c>
      <c r="F144" s="12">
        <v>43493</v>
      </c>
      <c r="G144" s="12">
        <v>45318</v>
      </c>
      <c r="H144" s="11" t="s">
        <v>14</v>
      </c>
      <c r="I144" s="11" t="s">
        <v>51</v>
      </c>
    </row>
    <row r="145" spans="1:9" hidden="1">
      <c r="A145" s="13">
        <f t="shared" si="2"/>
        <v>140</v>
      </c>
      <c r="B145" s="10" t="s">
        <v>229</v>
      </c>
      <c r="C145" s="13" t="s">
        <v>5885</v>
      </c>
      <c r="D145" s="13" t="s">
        <v>18</v>
      </c>
      <c r="E145" s="13">
        <v>3</v>
      </c>
      <c r="F145" s="14">
        <v>43585</v>
      </c>
      <c r="G145" s="14">
        <v>45411</v>
      </c>
      <c r="H145" s="13" t="s">
        <v>14</v>
      </c>
      <c r="I145" s="13" t="s">
        <v>51</v>
      </c>
    </row>
    <row r="146" spans="1:9" hidden="1">
      <c r="A146" s="11">
        <f t="shared" si="2"/>
        <v>141</v>
      </c>
      <c r="B146" s="9" t="s">
        <v>222</v>
      </c>
      <c r="C146" s="11" t="s">
        <v>5886</v>
      </c>
      <c r="D146" s="11" t="s">
        <v>18</v>
      </c>
      <c r="E146" s="11">
        <v>9</v>
      </c>
      <c r="F146" s="12">
        <v>43508</v>
      </c>
      <c r="G146" s="12">
        <v>45333</v>
      </c>
      <c r="H146" s="11" t="s">
        <v>14</v>
      </c>
      <c r="I146" s="11" t="s">
        <v>51</v>
      </c>
    </row>
    <row r="147" spans="1:9" hidden="1">
      <c r="A147" s="13">
        <f t="shared" si="2"/>
        <v>142</v>
      </c>
      <c r="B147" s="10" t="s">
        <v>222</v>
      </c>
      <c r="C147" s="13" t="s">
        <v>5887</v>
      </c>
      <c r="D147" s="13" t="s">
        <v>18</v>
      </c>
      <c r="E147" s="13">
        <v>25</v>
      </c>
      <c r="F147" s="14">
        <v>43543</v>
      </c>
      <c r="G147" s="14">
        <v>45369</v>
      </c>
      <c r="H147" s="13" t="s">
        <v>14</v>
      </c>
      <c r="I147" s="13" t="s">
        <v>51</v>
      </c>
    </row>
    <row r="148" spans="1:9" hidden="1">
      <c r="A148" s="11">
        <f t="shared" si="2"/>
        <v>143</v>
      </c>
      <c r="B148" s="9" t="s">
        <v>222</v>
      </c>
      <c r="C148" s="11" t="s">
        <v>5888</v>
      </c>
      <c r="D148" s="11" t="s">
        <v>18</v>
      </c>
      <c r="E148" s="11">
        <v>12</v>
      </c>
      <c r="F148" s="12">
        <v>43535</v>
      </c>
      <c r="G148" s="12">
        <v>45361</v>
      </c>
      <c r="H148" s="11" t="s">
        <v>14</v>
      </c>
      <c r="I148" s="11" t="s">
        <v>51</v>
      </c>
    </row>
    <row r="149" spans="1:9" hidden="1">
      <c r="A149" s="13">
        <f t="shared" si="2"/>
        <v>144</v>
      </c>
      <c r="B149" s="10" t="s">
        <v>222</v>
      </c>
      <c r="C149" s="13" t="s">
        <v>5889</v>
      </c>
      <c r="D149" s="13" t="s">
        <v>18</v>
      </c>
      <c r="E149" s="13">
        <v>8</v>
      </c>
      <c r="F149" s="14">
        <v>43543</v>
      </c>
      <c r="G149" s="14">
        <v>45369</v>
      </c>
      <c r="H149" s="13" t="s">
        <v>14</v>
      </c>
      <c r="I149" s="13" t="s">
        <v>51</v>
      </c>
    </row>
    <row r="150" spans="1:9" hidden="1">
      <c r="A150" s="11">
        <f t="shared" si="2"/>
        <v>145</v>
      </c>
      <c r="B150" s="9" t="s">
        <v>222</v>
      </c>
      <c r="C150" s="11" t="s">
        <v>5890</v>
      </c>
      <c r="D150" s="11" t="s">
        <v>18</v>
      </c>
      <c r="E150" s="11">
        <v>10</v>
      </c>
      <c r="F150" s="12">
        <v>43557</v>
      </c>
      <c r="G150" s="12">
        <v>45383</v>
      </c>
      <c r="H150" s="11" t="s">
        <v>14</v>
      </c>
      <c r="I150" s="11" t="s">
        <v>51</v>
      </c>
    </row>
    <row r="151" spans="1:9" hidden="1">
      <c r="A151" s="13">
        <f t="shared" si="2"/>
        <v>146</v>
      </c>
      <c r="B151" s="10" t="s">
        <v>222</v>
      </c>
      <c r="C151" s="13" t="s">
        <v>5891</v>
      </c>
      <c r="D151" s="13" t="s">
        <v>18</v>
      </c>
      <c r="E151" s="13">
        <v>8</v>
      </c>
      <c r="F151" s="14">
        <v>43535</v>
      </c>
      <c r="G151" s="14">
        <v>45361</v>
      </c>
      <c r="H151" s="13" t="s">
        <v>14</v>
      </c>
      <c r="I151" s="13" t="s">
        <v>51</v>
      </c>
    </row>
    <row r="152" spans="1:9" hidden="1">
      <c r="A152" s="11">
        <f t="shared" si="2"/>
        <v>147</v>
      </c>
      <c r="B152" s="9" t="s">
        <v>222</v>
      </c>
      <c r="C152" s="11" t="s">
        <v>5892</v>
      </c>
      <c r="D152" s="11" t="s">
        <v>18</v>
      </c>
      <c r="E152" s="11">
        <v>18</v>
      </c>
      <c r="F152" s="12">
        <v>43543</v>
      </c>
      <c r="G152" s="12">
        <v>45369</v>
      </c>
      <c r="H152" s="11" t="s">
        <v>14</v>
      </c>
      <c r="I152" s="11" t="s">
        <v>51</v>
      </c>
    </row>
    <row r="153" spans="1:9" hidden="1">
      <c r="A153" s="13">
        <f t="shared" si="2"/>
        <v>148</v>
      </c>
      <c r="B153" s="10" t="s">
        <v>222</v>
      </c>
      <c r="C153" s="13" t="s">
        <v>5893</v>
      </c>
      <c r="D153" s="13" t="s">
        <v>18</v>
      </c>
      <c r="E153" s="13">
        <v>14</v>
      </c>
      <c r="F153" s="14">
        <v>43535</v>
      </c>
      <c r="G153" s="14">
        <v>45361</v>
      </c>
      <c r="H153" s="13" t="s">
        <v>14</v>
      </c>
      <c r="I153" s="13" t="s">
        <v>51</v>
      </c>
    </row>
    <row r="154" spans="1:9" hidden="1">
      <c r="A154" s="11">
        <f t="shared" si="2"/>
        <v>149</v>
      </c>
      <c r="B154" s="9" t="s">
        <v>230</v>
      </c>
      <c r="C154" s="11" t="s">
        <v>5894</v>
      </c>
      <c r="D154" s="11" t="s">
        <v>18</v>
      </c>
      <c r="E154" s="11">
        <v>10</v>
      </c>
      <c r="F154" s="12">
        <v>43493</v>
      </c>
      <c r="G154" s="12">
        <v>45318</v>
      </c>
      <c r="H154" s="11" t="s">
        <v>14</v>
      </c>
      <c r="I154" s="11" t="s">
        <v>51</v>
      </c>
    </row>
    <row r="155" spans="1:9" hidden="1">
      <c r="A155" s="13">
        <f t="shared" si="2"/>
        <v>150</v>
      </c>
      <c r="B155" s="10" t="s">
        <v>236</v>
      </c>
      <c r="C155" s="13" t="s">
        <v>5895</v>
      </c>
      <c r="D155" s="13" t="s">
        <v>18</v>
      </c>
      <c r="E155" s="13">
        <v>42</v>
      </c>
      <c r="F155" s="14">
        <v>43508</v>
      </c>
      <c r="G155" s="14">
        <v>45333</v>
      </c>
      <c r="H155" s="13" t="s">
        <v>14</v>
      </c>
      <c r="I155" s="13" t="s">
        <v>51</v>
      </c>
    </row>
    <row r="156" spans="1:9" hidden="1">
      <c r="A156" s="11">
        <f t="shared" si="2"/>
        <v>151</v>
      </c>
      <c r="B156" s="9" t="s">
        <v>236</v>
      </c>
      <c r="C156" s="11" t="s">
        <v>5896</v>
      </c>
      <c r="D156" s="11" t="s">
        <v>18</v>
      </c>
      <c r="E156" s="11">
        <v>35</v>
      </c>
      <c r="F156" s="12">
        <v>43508</v>
      </c>
      <c r="G156" s="12">
        <v>45333</v>
      </c>
      <c r="H156" s="11" t="s">
        <v>14</v>
      </c>
      <c r="I156" s="11" t="s">
        <v>51</v>
      </c>
    </row>
    <row r="157" spans="1:9" hidden="1">
      <c r="A157" s="13">
        <f t="shared" si="2"/>
        <v>152</v>
      </c>
      <c r="B157" s="10" t="s">
        <v>356</v>
      </c>
      <c r="C157" s="13" t="s">
        <v>5897</v>
      </c>
      <c r="D157" s="13" t="s">
        <v>13</v>
      </c>
      <c r="E157" s="13">
        <v>5</v>
      </c>
      <c r="F157" s="14">
        <v>45007</v>
      </c>
      <c r="G157" s="14">
        <v>54138</v>
      </c>
      <c r="H157" s="13" t="s">
        <v>14</v>
      </c>
      <c r="I157" s="13" t="s">
        <v>51</v>
      </c>
    </row>
    <row r="158" spans="1:9" hidden="1">
      <c r="A158" s="11">
        <f t="shared" si="2"/>
        <v>153</v>
      </c>
      <c r="B158" s="9" t="s">
        <v>243</v>
      </c>
      <c r="C158" s="11" t="s">
        <v>5898</v>
      </c>
      <c r="D158" s="11" t="s">
        <v>18</v>
      </c>
      <c r="E158" s="11">
        <v>32</v>
      </c>
      <c r="F158" s="12">
        <v>43535</v>
      </c>
      <c r="G158" s="12">
        <v>45361</v>
      </c>
      <c r="H158" s="11" t="s">
        <v>14</v>
      </c>
      <c r="I158" s="11" t="s">
        <v>51</v>
      </c>
    </row>
    <row r="159" spans="1:9" hidden="1">
      <c r="A159" s="13">
        <f t="shared" si="2"/>
        <v>154</v>
      </c>
      <c r="B159" s="10" t="s">
        <v>238</v>
      </c>
      <c r="C159" s="13" t="s">
        <v>5899</v>
      </c>
      <c r="D159" s="13" t="s">
        <v>18</v>
      </c>
      <c r="E159" s="13">
        <v>24</v>
      </c>
      <c r="F159" s="14">
        <v>43585</v>
      </c>
      <c r="G159" s="14">
        <v>45411</v>
      </c>
      <c r="H159" s="13" t="s">
        <v>14</v>
      </c>
      <c r="I159" s="13" t="s">
        <v>51</v>
      </c>
    </row>
    <row r="160" spans="1:9" hidden="1">
      <c r="A160" s="11">
        <f t="shared" si="2"/>
        <v>155</v>
      </c>
      <c r="B160" s="9" t="s">
        <v>238</v>
      </c>
      <c r="C160" s="11" t="s">
        <v>5900</v>
      </c>
      <c r="D160" s="11" t="s">
        <v>18</v>
      </c>
      <c r="E160" s="11">
        <v>7</v>
      </c>
      <c r="F160" s="12">
        <v>43585</v>
      </c>
      <c r="G160" s="12">
        <v>45411</v>
      </c>
      <c r="H160" s="11" t="s">
        <v>14</v>
      </c>
      <c r="I160" s="11" t="s">
        <v>51</v>
      </c>
    </row>
    <row r="161" spans="1:9" hidden="1">
      <c r="A161" s="13">
        <f t="shared" si="2"/>
        <v>156</v>
      </c>
      <c r="B161" s="10" t="s">
        <v>245</v>
      </c>
      <c r="C161" s="13" t="s">
        <v>5901</v>
      </c>
      <c r="D161" s="13" t="s">
        <v>18</v>
      </c>
      <c r="E161" s="13">
        <v>8</v>
      </c>
      <c r="F161" s="14">
        <v>43543</v>
      </c>
      <c r="G161" s="14">
        <v>45369</v>
      </c>
      <c r="H161" s="13" t="s">
        <v>14</v>
      </c>
      <c r="I161" s="13" t="s">
        <v>51</v>
      </c>
    </row>
    <row r="162" spans="1:9" hidden="1">
      <c r="A162" s="11">
        <f t="shared" si="2"/>
        <v>157</v>
      </c>
      <c r="B162" s="9" t="s">
        <v>245</v>
      </c>
      <c r="C162" s="11" t="s">
        <v>5902</v>
      </c>
      <c r="D162" s="11" t="s">
        <v>18</v>
      </c>
      <c r="E162" s="11">
        <v>5</v>
      </c>
      <c r="F162" s="12">
        <v>43585</v>
      </c>
      <c r="G162" s="12">
        <v>45411</v>
      </c>
      <c r="H162" s="11" t="s">
        <v>14</v>
      </c>
      <c r="I162" s="11" t="s">
        <v>51</v>
      </c>
    </row>
    <row r="163" spans="1:9" hidden="1">
      <c r="A163" s="13">
        <f t="shared" si="2"/>
        <v>158</v>
      </c>
      <c r="B163" s="10" t="s">
        <v>245</v>
      </c>
      <c r="C163" s="13" t="s">
        <v>5903</v>
      </c>
      <c r="D163" s="13" t="s">
        <v>18</v>
      </c>
      <c r="E163" s="13">
        <v>8</v>
      </c>
      <c r="F163" s="14">
        <v>43585</v>
      </c>
      <c r="G163" s="14">
        <v>45411</v>
      </c>
      <c r="H163" s="13" t="s">
        <v>14</v>
      </c>
      <c r="I163" s="13" t="s">
        <v>51</v>
      </c>
    </row>
    <row r="164" spans="1:9" hidden="1">
      <c r="A164" s="11">
        <f t="shared" si="2"/>
        <v>159</v>
      </c>
      <c r="B164" s="9" t="s">
        <v>201</v>
      </c>
      <c r="C164" s="11" t="s">
        <v>5904</v>
      </c>
      <c r="D164" s="11" t="s">
        <v>18</v>
      </c>
      <c r="E164" s="11">
        <v>4</v>
      </c>
      <c r="F164" s="12">
        <v>43546</v>
      </c>
      <c r="G164" s="12">
        <v>45372</v>
      </c>
      <c r="H164" s="11" t="s">
        <v>14</v>
      </c>
      <c r="I164" s="11" t="s">
        <v>51</v>
      </c>
    </row>
    <row r="165" spans="1:9" hidden="1">
      <c r="A165" s="13">
        <f t="shared" si="2"/>
        <v>160</v>
      </c>
      <c r="B165" s="10" t="s">
        <v>238</v>
      </c>
      <c r="C165" s="13" t="s">
        <v>5905</v>
      </c>
      <c r="D165" s="13" t="s">
        <v>18</v>
      </c>
      <c r="E165" s="13">
        <v>9</v>
      </c>
      <c r="F165" s="14">
        <v>43546</v>
      </c>
      <c r="G165" s="14">
        <v>45372</v>
      </c>
      <c r="H165" s="13" t="s">
        <v>14</v>
      </c>
      <c r="I165" s="13" t="s">
        <v>51</v>
      </c>
    </row>
    <row r="166" spans="1:9" hidden="1">
      <c r="A166" s="11">
        <f t="shared" si="2"/>
        <v>161</v>
      </c>
      <c r="B166" s="9" t="s">
        <v>26</v>
      </c>
      <c r="C166" s="11" t="s">
        <v>5906</v>
      </c>
      <c r="D166" s="11" t="s">
        <v>18</v>
      </c>
      <c r="E166" s="11">
        <v>23</v>
      </c>
      <c r="F166" s="12">
        <v>43535</v>
      </c>
      <c r="G166" s="12">
        <v>45361</v>
      </c>
      <c r="H166" s="11" t="s">
        <v>14</v>
      </c>
      <c r="I166" s="11" t="s">
        <v>51</v>
      </c>
    </row>
    <row r="167" spans="1:9" hidden="1">
      <c r="A167" s="13">
        <f t="shared" si="2"/>
        <v>162</v>
      </c>
      <c r="B167" s="10" t="s">
        <v>238</v>
      </c>
      <c r="C167" s="13" t="s">
        <v>5907</v>
      </c>
      <c r="D167" s="13" t="s">
        <v>18</v>
      </c>
      <c r="E167" s="13">
        <v>21</v>
      </c>
      <c r="F167" s="14">
        <v>43546</v>
      </c>
      <c r="G167" s="14">
        <v>45372</v>
      </c>
      <c r="H167" s="13" t="s">
        <v>14</v>
      </c>
      <c r="I167" s="13" t="s">
        <v>51</v>
      </c>
    </row>
    <row r="168" spans="1:9" hidden="1">
      <c r="A168" s="11">
        <f t="shared" si="2"/>
        <v>163</v>
      </c>
      <c r="B168" s="9" t="s">
        <v>238</v>
      </c>
      <c r="C168" s="11" t="s">
        <v>5908</v>
      </c>
      <c r="D168" s="11" t="s">
        <v>18</v>
      </c>
      <c r="E168" s="11">
        <v>41</v>
      </c>
      <c r="F168" s="12">
        <v>43550</v>
      </c>
      <c r="G168" s="12">
        <v>45376</v>
      </c>
      <c r="H168" s="11" t="s">
        <v>14</v>
      </c>
      <c r="I168" s="11" t="s">
        <v>51</v>
      </c>
    </row>
    <row r="169" spans="1:9" hidden="1">
      <c r="A169" s="13">
        <f t="shared" si="2"/>
        <v>164</v>
      </c>
      <c r="B169" s="10" t="s">
        <v>201</v>
      </c>
      <c r="C169" s="13" t="s">
        <v>5909</v>
      </c>
      <c r="D169" s="13" t="s">
        <v>18</v>
      </c>
      <c r="E169" s="13">
        <v>5</v>
      </c>
      <c r="F169" s="14">
        <v>43570</v>
      </c>
      <c r="G169" s="14">
        <v>45396</v>
      </c>
      <c r="H169" s="13" t="s">
        <v>14</v>
      </c>
      <c r="I169" s="13" t="s">
        <v>51</v>
      </c>
    </row>
    <row r="170" spans="1:9" hidden="1">
      <c r="A170" s="11">
        <f t="shared" si="2"/>
        <v>165</v>
      </c>
      <c r="B170" s="9" t="s">
        <v>201</v>
      </c>
      <c r="C170" s="11" t="s">
        <v>5910</v>
      </c>
      <c r="D170" s="11" t="s">
        <v>18</v>
      </c>
      <c r="E170" s="11">
        <v>5</v>
      </c>
      <c r="F170" s="12">
        <v>43570</v>
      </c>
      <c r="G170" s="12">
        <v>45396</v>
      </c>
      <c r="H170" s="11" t="s">
        <v>14</v>
      </c>
      <c r="I170" s="11" t="s">
        <v>51</v>
      </c>
    </row>
    <row r="171" spans="1:9" hidden="1">
      <c r="A171" s="13">
        <f t="shared" si="2"/>
        <v>166</v>
      </c>
      <c r="B171" s="10" t="s">
        <v>201</v>
      </c>
      <c r="C171" s="13" t="s">
        <v>5911</v>
      </c>
      <c r="D171" s="13" t="s">
        <v>18</v>
      </c>
      <c r="E171" s="13">
        <v>4</v>
      </c>
      <c r="F171" s="14">
        <v>43560</v>
      </c>
      <c r="G171" s="14">
        <v>45386</v>
      </c>
      <c r="H171" s="13" t="s">
        <v>14</v>
      </c>
      <c r="I171" s="13" t="s">
        <v>51</v>
      </c>
    </row>
    <row r="172" spans="1:9" hidden="1">
      <c r="A172" s="11">
        <f t="shared" si="2"/>
        <v>167</v>
      </c>
      <c r="B172" s="9" t="s">
        <v>201</v>
      </c>
      <c r="C172" s="11" t="s">
        <v>5912</v>
      </c>
      <c r="D172" s="11" t="s">
        <v>18</v>
      </c>
      <c r="E172" s="11">
        <v>6</v>
      </c>
      <c r="F172" s="12">
        <v>43613</v>
      </c>
      <c r="G172" s="12">
        <v>45439</v>
      </c>
      <c r="H172" s="11" t="s">
        <v>14</v>
      </c>
      <c r="I172" s="11" t="s">
        <v>51</v>
      </c>
    </row>
    <row r="173" spans="1:9" hidden="1">
      <c r="A173" s="13">
        <f t="shared" si="2"/>
        <v>168</v>
      </c>
      <c r="B173" s="10" t="s">
        <v>201</v>
      </c>
      <c r="C173" s="13" t="s">
        <v>5913</v>
      </c>
      <c r="D173" s="13" t="s">
        <v>18</v>
      </c>
      <c r="E173" s="13">
        <v>4</v>
      </c>
      <c r="F173" s="14">
        <v>43557</v>
      </c>
      <c r="G173" s="14">
        <v>45383</v>
      </c>
      <c r="H173" s="13" t="s">
        <v>14</v>
      </c>
      <c r="I173" s="13" t="s">
        <v>51</v>
      </c>
    </row>
    <row r="174" spans="1:9" hidden="1">
      <c r="A174" s="11">
        <f t="shared" si="2"/>
        <v>169</v>
      </c>
      <c r="B174" s="9" t="s">
        <v>252</v>
      </c>
      <c r="C174" s="11" t="s">
        <v>5914</v>
      </c>
      <c r="D174" s="11" t="s">
        <v>18</v>
      </c>
      <c r="E174" s="11">
        <v>1</v>
      </c>
      <c r="F174" s="12">
        <v>43560</v>
      </c>
      <c r="G174" s="12">
        <v>45386</v>
      </c>
      <c r="H174" s="11" t="s">
        <v>14</v>
      </c>
      <c r="I174" s="11" t="s">
        <v>51</v>
      </c>
    </row>
    <row r="175" spans="1:9" hidden="1">
      <c r="A175" s="13">
        <f t="shared" si="2"/>
        <v>170</v>
      </c>
      <c r="B175" s="10" t="s">
        <v>252</v>
      </c>
      <c r="C175" s="13" t="s">
        <v>5915</v>
      </c>
      <c r="D175" s="13" t="s">
        <v>18</v>
      </c>
      <c r="E175" s="13">
        <v>1</v>
      </c>
      <c r="F175" s="14">
        <v>43560</v>
      </c>
      <c r="G175" s="14">
        <v>45386</v>
      </c>
      <c r="H175" s="13" t="s">
        <v>14</v>
      </c>
      <c r="I175" s="13" t="s">
        <v>51</v>
      </c>
    </row>
    <row r="176" spans="1:9" hidden="1">
      <c r="A176" s="11">
        <f t="shared" si="2"/>
        <v>171</v>
      </c>
      <c r="B176" s="9" t="s">
        <v>255</v>
      </c>
      <c r="C176" s="11" t="s">
        <v>5916</v>
      </c>
      <c r="D176" s="11" t="s">
        <v>18</v>
      </c>
      <c r="E176" s="11">
        <v>8</v>
      </c>
      <c r="F176" s="12">
        <v>43550</v>
      </c>
      <c r="G176" s="12">
        <v>45376</v>
      </c>
      <c r="H176" s="11" t="s">
        <v>14</v>
      </c>
      <c r="I176" s="11" t="s">
        <v>51</v>
      </c>
    </row>
    <row r="177" spans="1:9" hidden="1">
      <c r="A177" s="13">
        <f t="shared" si="2"/>
        <v>172</v>
      </c>
      <c r="B177" s="10" t="s">
        <v>261</v>
      </c>
      <c r="C177" s="13" t="s">
        <v>5917</v>
      </c>
      <c r="D177" s="13" t="s">
        <v>18</v>
      </c>
      <c r="E177" s="13">
        <v>148</v>
      </c>
      <c r="F177" s="14">
        <v>43550</v>
      </c>
      <c r="G177" s="14">
        <v>45376</v>
      </c>
      <c r="H177" s="13" t="s">
        <v>14</v>
      </c>
      <c r="I177" s="13" t="s">
        <v>51</v>
      </c>
    </row>
    <row r="178" spans="1:9" hidden="1">
      <c r="A178" s="11">
        <f t="shared" si="2"/>
        <v>173</v>
      </c>
      <c r="B178" s="9" t="s">
        <v>262</v>
      </c>
      <c r="C178" s="11" t="s">
        <v>5918</v>
      </c>
      <c r="D178" s="11" t="s">
        <v>18</v>
      </c>
      <c r="E178" s="11">
        <v>4</v>
      </c>
      <c r="F178" s="12">
        <v>43560</v>
      </c>
      <c r="G178" s="12">
        <v>45386</v>
      </c>
      <c r="H178" s="11" t="s">
        <v>14</v>
      </c>
      <c r="I178" s="11" t="s">
        <v>51</v>
      </c>
    </row>
    <row r="179" spans="1:9" hidden="1">
      <c r="A179" s="13">
        <f t="shared" si="2"/>
        <v>174</v>
      </c>
      <c r="B179" s="10" t="s">
        <v>264</v>
      </c>
      <c r="C179" s="13" t="s">
        <v>5920</v>
      </c>
      <c r="D179" s="13" t="s">
        <v>18</v>
      </c>
      <c r="E179" s="13">
        <v>45</v>
      </c>
      <c r="F179" s="14">
        <v>43650</v>
      </c>
      <c r="G179" s="14">
        <v>45476</v>
      </c>
      <c r="H179" s="13" t="s">
        <v>14</v>
      </c>
      <c r="I179" s="13" t="s">
        <v>51</v>
      </c>
    </row>
    <row r="180" spans="1:9" hidden="1">
      <c r="A180" s="11">
        <f t="shared" si="2"/>
        <v>175</v>
      </c>
      <c r="B180" s="9" t="s">
        <v>265</v>
      </c>
      <c r="C180" s="11" t="s">
        <v>5921</v>
      </c>
      <c r="D180" s="11" t="s">
        <v>18</v>
      </c>
      <c r="E180" s="11">
        <v>1</v>
      </c>
      <c r="F180" s="12">
        <v>43650</v>
      </c>
      <c r="G180" s="12">
        <v>45476</v>
      </c>
      <c r="H180" s="11" t="s">
        <v>14</v>
      </c>
      <c r="I180" s="11" t="s">
        <v>51</v>
      </c>
    </row>
    <row r="181" spans="1:9" hidden="1">
      <c r="A181" s="13">
        <f t="shared" si="2"/>
        <v>176</v>
      </c>
      <c r="B181" s="10" t="s">
        <v>222</v>
      </c>
      <c r="C181" s="13" t="s">
        <v>5922</v>
      </c>
      <c r="D181" s="13" t="s">
        <v>18</v>
      </c>
      <c r="E181" s="13">
        <v>1</v>
      </c>
      <c r="F181" s="14">
        <v>43650</v>
      </c>
      <c r="G181" s="14">
        <v>45476</v>
      </c>
      <c r="H181" s="13" t="s">
        <v>14</v>
      </c>
      <c r="I181" s="13" t="s">
        <v>51</v>
      </c>
    </row>
    <row r="182" spans="1:9" hidden="1">
      <c r="A182" s="11">
        <f t="shared" si="2"/>
        <v>177</v>
      </c>
      <c r="B182" s="9" t="s">
        <v>267</v>
      </c>
      <c r="C182" s="11" t="s">
        <v>5923</v>
      </c>
      <c r="D182" s="11" t="s">
        <v>18</v>
      </c>
      <c r="E182" s="11">
        <v>2</v>
      </c>
      <c r="F182" s="12">
        <v>43605</v>
      </c>
      <c r="G182" s="12">
        <v>45431</v>
      </c>
      <c r="H182" s="11" t="s">
        <v>14</v>
      </c>
      <c r="I182" s="11" t="s">
        <v>51</v>
      </c>
    </row>
    <row r="183" spans="1:9" hidden="1">
      <c r="A183" s="13">
        <f t="shared" si="2"/>
        <v>178</v>
      </c>
      <c r="B183" s="10" t="s">
        <v>267</v>
      </c>
      <c r="C183" s="13" t="s">
        <v>5924</v>
      </c>
      <c r="D183" s="13" t="s">
        <v>18</v>
      </c>
      <c r="E183" s="13">
        <v>6</v>
      </c>
      <c r="F183" s="14">
        <v>43605</v>
      </c>
      <c r="G183" s="14">
        <v>45431</v>
      </c>
      <c r="H183" s="13" t="s">
        <v>14</v>
      </c>
      <c r="I183" s="13" t="s">
        <v>51</v>
      </c>
    </row>
    <row r="184" spans="1:9" hidden="1">
      <c r="A184" s="11">
        <f t="shared" si="2"/>
        <v>179</v>
      </c>
      <c r="B184" s="9" t="s">
        <v>267</v>
      </c>
      <c r="C184" s="11" t="s">
        <v>5925</v>
      </c>
      <c r="D184" s="11" t="s">
        <v>18</v>
      </c>
      <c r="E184" s="11">
        <v>2</v>
      </c>
      <c r="F184" s="12">
        <v>43605</v>
      </c>
      <c r="G184" s="12">
        <v>45431</v>
      </c>
      <c r="H184" s="11" t="s">
        <v>14</v>
      </c>
      <c r="I184" s="11" t="s">
        <v>51</v>
      </c>
    </row>
    <row r="185" spans="1:9" hidden="1">
      <c r="A185" s="13">
        <f t="shared" si="2"/>
        <v>180</v>
      </c>
      <c r="B185" s="10" t="s">
        <v>272</v>
      </c>
      <c r="C185" s="13" t="s">
        <v>5927</v>
      </c>
      <c r="D185" s="13" t="s">
        <v>18</v>
      </c>
      <c r="E185" s="13">
        <v>4</v>
      </c>
      <c r="F185" s="14">
        <v>43711</v>
      </c>
      <c r="G185" s="14">
        <v>45537</v>
      </c>
      <c r="H185" s="13" t="s">
        <v>14</v>
      </c>
      <c r="I185" s="13" t="s">
        <v>51</v>
      </c>
    </row>
    <row r="186" spans="1:9" hidden="1">
      <c r="A186" s="11">
        <f t="shared" si="2"/>
        <v>181</v>
      </c>
      <c r="B186" s="9" t="s">
        <v>267</v>
      </c>
      <c r="C186" s="11" t="s">
        <v>5928</v>
      </c>
      <c r="D186" s="11" t="s">
        <v>18</v>
      </c>
      <c r="E186" s="11">
        <v>2</v>
      </c>
      <c r="F186" s="12">
        <v>43728</v>
      </c>
      <c r="G186" s="12">
        <v>45554</v>
      </c>
      <c r="H186" s="11" t="s">
        <v>14</v>
      </c>
      <c r="I186" s="11" t="s">
        <v>51</v>
      </c>
    </row>
    <row r="187" spans="1:9" hidden="1">
      <c r="A187" s="13">
        <f t="shared" si="2"/>
        <v>182</v>
      </c>
      <c r="B187" s="10" t="s">
        <v>267</v>
      </c>
      <c r="C187" s="13" t="s">
        <v>5929</v>
      </c>
      <c r="D187" s="13" t="s">
        <v>18</v>
      </c>
      <c r="E187" s="13">
        <v>2</v>
      </c>
      <c r="F187" s="14">
        <v>43728</v>
      </c>
      <c r="G187" s="14">
        <v>45554</v>
      </c>
      <c r="H187" s="13" t="s">
        <v>14</v>
      </c>
      <c r="I187" s="13" t="s">
        <v>51</v>
      </c>
    </row>
    <row r="188" spans="1:9" hidden="1">
      <c r="A188" s="11">
        <f t="shared" si="2"/>
        <v>183</v>
      </c>
      <c r="B188" s="9" t="s">
        <v>267</v>
      </c>
      <c r="C188" s="11" t="s">
        <v>5930</v>
      </c>
      <c r="D188" s="11" t="s">
        <v>18</v>
      </c>
      <c r="E188" s="11">
        <v>2</v>
      </c>
      <c r="F188" s="12">
        <v>43728</v>
      </c>
      <c r="G188" s="12">
        <v>45554</v>
      </c>
      <c r="H188" s="11" t="s">
        <v>14</v>
      </c>
      <c r="I188" s="11" t="s">
        <v>51</v>
      </c>
    </row>
    <row r="189" spans="1:9" hidden="1">
      <c r="A189" s="13">
        <f t="shared" si="2"/>
        <v>184</v>
      </c>
      <c r="B189" s="10" t="s">
        <v>267</v>
      </c>
      <c r="C189" s="13" t="s">
        <v>5931</v>
      </c>
      <c r="D189" s="13" t="s">
        <v>18</v>
      </c>
      <c r="E189" s="13">
        <v>2</v>
      </c>
      <c r="F189" s="14">
        <v>43728</v>
      </c>
      <c r="G189" s="14">
        <v>45554</v>
      </c>
      <c r="H189" s="13" t="s">
        <v>14</v>
      </c>
      <c r="I189" s="13" t="s">
        <v>51</v>
      </c>
    </row>
    <row r="190" spans="1:9" hidden="1">
      <c r="A190" s="11">
        <f t="shared" si="2"/>
        <v>185</v>
      </c>
      <c r="B190" s="9" t="s">
        <v>277</v>
      </c>
      <c r="C190" s="11" t="s">
        <v>5933</v>
      </c>
      <c r="D190" s="11" t="s">
        <v>18</v>
      </c>
      <c r="E190" s="11">
        <v>1</v>
      </c>
      <c r="F190" s="12">
        <v>44048</v>
      </c>
      <c r="G190" s="12">
        <v>45873</v>
      </c>
      <c r="H190" s="11" t="s">
        <v>14</v>
      </c>
      <c r="I190" s="11" t="s">
        <v>51</v>
      </c>
    </row>
    <row r="191" spans="1:9" hidden="1">
      <c r="A191" s="13">
        <f t="shared" si="2"/>
        <v>186</v>
      </c>
      <c r="B191" s="10" t="s">
        <v>279</v>
      </c>
      <c r="C191" s="13" t="s">
        <v>5934</v>
      </c>
      <c r="D191" s="13" t="s">
        <v>18</v>
      </c>
      <c r="E191" s="13">
        <v>5</v>
      </c>
      <c r="F191" s="14">
        <v>43752</v>
      </c>
      <c r="G191" s="14">
        <v>45578</v>
      </c>
      <c r="H191" s="13" t="s">
        <v>14</v>
      </c>
      <c r="I191" s="13" t="s">
        <v>51</v>
      </c>
    </row>
    <row r="192" spans="1:9" hidden="1">
      <c r="A192" s="11">
        <f t="shared" si="2"/>
        <v>187</v>
      </c>
      <c r="B192" s="9" t="s">
        <v>279</v>
      </c>
      <c r="C192" s="11" t="s">
        <v>5935</v>
      </c>
      <c r="D192" s="11" t="s">
        <v>18</v>
      </c>
      <c r="E192" s="11">
        <v>4</v>
      </c>
      <c r="F192" s="12">
        <v>43752</v>
      </c>
      <c r="G192" s="12">
        <v>45578</v>
      </c>
      <c r="H192" s="11" t="s">
        <v>14</v>
      </c>
      <c r="I192" s="11" t="s">
        <v>51</v>
      </c>
    </row>
    <row r="193" spans="1:9" hidden="1">
      <c r="A193" s="13">
        <f t="shared" si="2"/>
        <v>188</v>
      </c>
      <c r="B193" s="10" t="s">
        <v>283</v>
      </c>
      <c r="C193" s="13" t="s">
        <v>5936</v>
      </c>
      <c r="D193" s="13" t="s">
        <v>18</v>
      </c>
      <c r="E193" s="13">
        <v>4</v>
      </c>
      <c r="F193" s="14">
        <v>44263</v>
      </c>
      <c r="G193" s="14">
        <v>46088</v>
      </c>
      <c r="H193" s="13" t="s">
        <v>14</v>
      </c>
      <c r="I193" s="13" t="s">
        <v>51</v>
      </c>
    </row>
    <row r="194" spans="1:9" hidden="1">
      <c r="A194" s="11">
        <f t="shared" si="2"/>
        <v>189</v>
      </c>
      <c r="B194" s="9" t="s">
        <v>288</v>
      </c>
      <c r="C194" s="11" t="s">
        <v>5937</v>
      </c>
      <c r="D194" s="11" t="s">
        <v>18</v>
      </c>
      <c r="E194" s="11">
        <v>5</v>
      </c>
      <c r="F194" s="12">
        <v>43752</v>
      </c>
      <c r="G194" s="12">
        <v>45578</v>
      </c>
      <c r="H194" s="11" t="s">
        <v>14</v>
      </c>
      <c r="I194" s="11" t="s">
        <v>51</v>
      </c>
    </row>
    <row r="195" spans="1:9" hidden="1">
      <c r="A195" s="13">
        <f t="shared" si="2"/>
        <v>190</v>
      </c>
      <c r="B195" s="10" t="s">
        <v>289</v>
      </c>
      <c r="C195" s="13" t="s">
        <v>5938</v>
      </c>
      <c r="D195" s="13" t="s">
        <v>18</v>
      </c>
      <c r="E195" s="13">
        <v>64</v>
      </c>
      <c r="F195" s="14">
        <v>44414</v>
      </c>
      <c r="G195" s="14">
        <v>46239</v>
      </c>
      <c r="H195" s="13" t="s">
        <v>14</v>
      </c>
      <c r="I195" s="13" t="s">
        <v>51</v>
      </c>
    </row>
    <row r="196" spans="1:9" hidden="1">
      <c r="A196" s="11">
        <f t="shared" si="2"/>
        <v>191</v>
      </c>
      <c r="B196" s="9" t="s">
        <v>291</v>
      </c>
      <c r="C196" s="11" t="s">
        <v>5939</v>
      </c>
      <c r="D196" s="11" t="s">
        <v>18</v>
      </c>
      <c r="E196" s="11">
        <v>6</v>
      </c>
      <c r="F196" s="12">
        <v>43810</v>
      </c>
      <c r="G196" s="12">
        <v>45636</v>
      </c>
      <c r="H196" s="11" t="s">
        <v>14</v>
      </c>
      <c r="I196" s="11" t="s">
        <v>51</v>
      </c>
    </row>
    <row r="197" spans="1:9" hidden="1">
      <c r="A197" s="13">
        <f t="shared" si="2"/>
        <v>192</v>
      </c>
      <c r="B197" s="10" t="s">
        <v>292</v>
      </c>
      <c r="C197" s="13" t="s">
        <v>5940</v>
      </c>
      <c r="D197" s="13" t="s">
        <v>27</v>
      </c>
      <c r="E197" s="13">
        <v>17</v>
      </c>
      <c r="F197" s="14">
        <v>43829</v>
      </c>
      <c r="G197" s="14">
        <v>45655</v>
      </c>
      <c r="H197" s="13" t="s">
        <v>14</v>
      </c>
      <c r="I197" s="13" t="s">
        <v>51</v>
      </c>
    </row>
    <row r="198" spans="1:9" hidden="1">
      <c r="A198" s="11">
        <f t="shared" si="2"/>
        <v>193</v>
      </c>
      <c r="B198" s="9" t="s">
        <v>296</v>
      </c>
      <c r="C198" s="11" t="s">
        <v>5941</v>
      </c>
      <c r="D198" s="11" t="s">
        <v>18</v>
      </c>
      <c r="E198" s="11">
        <v>13</v>
      </c>
      <c r="F198" s="12">
        <v>44158</v>
      </c>
      <c r="G198" s="12">
        <v>45983</v>
      </c>
      <c r="H198" s="11" t="s">
        <v>14</v>
      </c>
      <c r="I198" s="11" t="s">
        <v>51</v>
      </c>
    </row>
    <row r="199" spans="1:9" hidden="1">
      <c r="A199" s="13">
        <f t="shared" si="2"/>
        <v>194</v>
      </c>
      <c r="B199" s="10" t="s">
        <v>123</v>
      </c>
      <c r="C199" s="13" t="s">
        <v>5942</v>
      </c>
      <c r="D199" s="13" t="s">
        <v>18</v>
      </c>
      <c r="E199" s="13">
        <v>4</v>
      </c>
      <c r="F199" s="14">
        <v>44271</v>
      </c>
      <c r="G199" s="14">
        <v>46096</v>
      </c>
      <c r="H199" s="13" t="s">
        <v>14</v>
      </c>
      <c r="I199" s="13" t="s">
        <v>51</v>
      </c>
    </row>
    <row r="200" spans="1:9" hidden="1">
      <c r="A200" s="11">
        <f t="shared" ref="A200:A263" si="3">+A199+1</f>
        <v>195</v>
      </c>
      <c r="B200" s="9" t="s">
        <v>123</v>
      </c>
      <c r="C200" s="11" t="s">
        <v>5943</v>
      </c>
      <c r="D200" s="11" t="s">
        <v>18</v>
      </c>
      <c r="E200" s="11">
        <v>2</v>
      </c>
      <c r="F200" s="12">
        <v>44271</v>
      </c>
      <c r="G200" s="12">
        <v>46096</v>
      </c>
      <c r="H200" s="11" t="s">
        <v>14</v>
      </c>
      <c r="I200" s="11" t="s">
        <v>51</v>
      </c>
    </row>
    <row r="201" spans="1:9" hidden="1">
      <c r="A201" s="13">
        <f t="shared" si="3"/>
        <v>196</v>
      </c>
      <c r="B201" s="10" t="s">
        <v>36</v>
      </c>
      <c r="C201" s="13" t="s">
        <v>5944</v>
      </c>
      <c r="D201" s="13" t="s">
        <v>13</v>
      </c>
      <c r="E201" s="13">
        <v>180</v>
      </c>
      <c r="F201" s="14">
        <v>43868</v>
      </c>
      <c r="G201" s="14">
        <v>51325</v>
      </c>
      <c r="H201" s="13" t="s">
        <v>14</v>
      </c>
      <c r="I201" s="13" t="s">
        <v>51</v>
      </c>
    </row>
    <row r="202" spans="1:9" hidden="1">
      <c r="A202" s="11">
        <f t="shared" si="3"/>
        <v>197</v>
      </c>
      <c r="B202" s="9" t="s">
        <v>5685</v>
      </c>
      <c r="C202" s="11" t="s">
        <v>5945</v>
      </c>
      <c r="D202" s="11" t="s">
        <v>13</v>
      </c>
      <c r="E202" s="11">
        <v>184</v>
      </c>
      <c r="F202" s="12">
        <v>43868</v>
      </c>
      <c r="G202" s="12">
        <v>51325</v>
      </c>
      <c r="H202" s="11" t="s">
        <v>14</v>
      </c>
      <c r="I202" s="11" t="s">
        <v>51</v>
      </c>
    </row>
    <row r="203" spans="1:9" hidden="1">
      <c r="A203" s="13">
        <f t="shared" si="3"/>
        <v>198</v>
      </c>
      <c r="B203" s="10" t="s">
        <v>298</v>
      </c>
      <c r="C203" s="13" t="s">
        <v>5946</v>
      </c>
      <c r="D203" s="13" t="s">
        <v>18</v>
      </c>
      <c r="E203" s="13">
        <v>10</v>
      </c>
      <c r="F203" s="14">
        <v>44215</v>
      </c>
      <c r="G203" s="14">
        <v>46040</v>
      </c>
      <c r="H203" s="13" t="s">
        <v>14</v>
      </c>
      <c r="I203" s="13" t="s">
        <v>51</v>
      </c>
    </row>
    <row r="204" spans="1:9" hidden="1">
      <c r="A204" s="11">
        <f t="shared" si="3"/>
        <v>199</v>
      </c>
      <c r="B204" s="9" t="s">
        <v>299</v>
      </c>
      <c r="C204" s="11" t="s">
        <v>5947</v>
      </c>
      <c r="D204" s="11" t="s">
        <v>18</v>
      </c>
      <c r="E204" s="11">
        <v>7</v>
      </c>
      <c r="F204" s="12">
        <v>44711</v>
      </c>
      <c r="G204" s="12">
        <v>46536</v>
      </c>
      <c r="H204" s="11" t="s">
        <v>14</v>
      </c>
      <c r="I204" s="11" t="s">
        <v>51</v>
      </c>
    </row>
    <row r="205" spans="1:9" hidden="1">
      <c r="A205" s="13">
        <f t="shared" si="3"/>
        <v>200</v>
      </c>
      <c r="B205" s="10" t="s">
        <v>201</v>
      </c>
      <c r="C205" s="13" t="s">
        <v>5948</v>
      </c>
      <c r="D205" s="13" t="s">
        <v>18</v>
      </c>
      <c r="E205" s="13">
        <v>10</v>
      </c>
      <c r="F205" s="14">
        <v>44300</v>
      </c>
      <c r="G205" s="14">
        <v>46125</v>
      </c>
      <c r="H205" s="13" t="s">
        <v>14</v>
      </c>
      <c r="I205" s="13" t="s">
        <v>51</v>
      </c>
    </row>
    <row r="206" spans="1:9" hidden="1">
      <c r="A206" s="11">
        <f t="shared" si="3"/>
        <v>201</v>
      </c>
      <c r="B206" s="9" t="s">
        <v>783</v>
      </c>
      <c r="C206" s="11" t="s">
        <v>5949</v>
      </c>
      <c r="D206" s="11" t="s">
        <v>18</v>
      </c>
      <c r="E206" s="11">
        <v>1</v>
      </c>
      <c r="F206" s="12">
        <v>44300</v>
      </c>
      <c r="G206" s="12">
        <v>46125</v>
      </c>
      <c r="H206" s="11" t="s">
        <v>14</v>
      </c>
      <c r="I206" s="11" t="s">
        <v>51</v>
      </c>
    </row>
    <row r="207" spans="1:9" hidden="1">
      <c r="A207" s="13">
        <f t="shared" si="3"/>
        <v>202</v>
      </c>
      <c r="B207" s="10" t="s">
        <v>201</v>
      </c>
      <c r="C207" s="13" t="s">
        <v>5950</v>
      </c>
      <c r="D207" s="13" t="s">
        <v>18</v>
      </c>
      <c r="E207" s="13">
        <v>4</v>
      </c>
      <c r="F207" s="14">
        <v>44300</v>
      </c>
      <c r="G207" s="14">
        <v>46125</v>
      </c>
      <c r="H207" s="13" t="s">
        <v>14</v>
      </c>
      <c r="I207" s="13" t="s">
        <v>51</v>
      </c>
    </row>
    <row r="208" spans="1:9" hidden="1">
      <c r="A208" s="11">
        <f t="shared" si="3"/>
        <v>203</v>
      </c>
      <c r="B208" s="9" t="s">
        <v>311</v>
      </c>
      <c r="C208" s="11" t="s">
        <v>5951</v>
      </c>
      <c r="D208" s="11" t="s">
        <v>18</v>
      </c>
      <c r="E208" s="11">
        <v>2</v>
      </c>
      <c r="F208" s="12">
        <v>44280</v>
      </c>
      <c r="G208" s="12">
        <v>46105</v>
      </c>
      <c r="H208" s="11" t="s">
        <v>14</v>
      </c>
      <c r="I208" s="11" t="s">
        <v>51</v>
      </c>
    </row>
    <row r="209" spans="1:9" hidden="1">
      <c r="A209" s="13">
        <f t="shared" si="3"/>
        <v>204</v>
      </c>
      <c r="B209" s="10" t="s">
        <v>311</v>
      </c>
      <c r="C209" s="13" t="s">
        <v>5952</v>
      </c>
      <c r="D209" s="13" t="s">
        <v>18</v>
      </c>
      <c r="E209" s="13">
        <v>4</v>
      </c>
      <c r="F209" s="14">
        <v>44280</v>
      </c>
      <c r="G209" s="14">
        <v>46105</v>
      </c>
      <c r="H209" s="13" t="s">
        <v>14</v>
      </c>
      <c r="I209" s="13" t="s">
        <v>51</v>
      </c>
    </row>
    <row r="210" spans="1:9" hidden="1">
      <c r="A210" s="11">
        <f t="shared" si="3"/>
        <v>205</v>
      </c>
      <c r="B210" s="9" t="s">
        <v>312</v>
      </c>
      <c r="C210" s="11" t="s">
        <v>5953</v>
      </c>
      <c r="D210" s="11" t="s">
        <v>18</v>
      </c>
      <c r="E210" s="11">
        <v>5</v>
      </c>
      <c r="F210" s="12">
        <v>44271</v>
      </c>
      <c r="G210" s="12">
        <v>46096</v>
      </c>
      <c r="H210" s="11" t="s">
        <v>14</v>
      </c>
      <c r="I210" s="11" t="s">
        <v>51</v>
      </c>
    </row>
    <row r="211" spans="1:9" hidden="1">
      <c r="A211" s="13">
        <f t="shared" si="3"/>
        <v>206</v>
      </c>
      <c r="B211" s="10" t="s">
        <v>314</v>
      </c>
      <c r="C211" s="13" t="s">
        <v>5954</v>
      </c>
      <c r="D211" s="13" t="s">
        <v>18</v>
      </c>
      <c r="E211" s="13">
        <v>5</v>
      </c>
      <c r="F211" s="14">
        <v>44265</v>
      </c>
      <c r="G211" s="14">
        <v>46090</v>
      </c>
      <c r="H211" s="13" t="s">
        <v>14</v>
      </c>
      <c r="I211" s="13" t="s">
        <v>51</v>
      </c>
    </row>
    <row r="212" spans="1:9" hidden="1">
      <c r="A212" s="11">
        <f t="shared" si="3"/>
        <v>207</v>
      </c>
      <c r="B212" s="9" t="s">
        <v>315</v>
      </c>
      <c r="C212" s="11" t="s">
        <v>5955</v>
      </c>
      <c r="D212" s="11" t="s">
        <v>18</v>
      </c>
      <c r="E212" s="11">
        <v>36</v>
      </c>
      <c r="F212" s="12">
        <v>44237</v>
      </c>
      <c r="G212" s="12">
        <v>45578</v>
      </c>
      <c r="H212" s="11" t="s">
        <v>14</v>
      </c>
      <c r="I212" s="11" t="s">
        <v>51</v>
      </c>
    </row>
    <row r="213" spans="1:9" hidden="1">
      <c r="A213" s="13">
        <f t="shared" si="3"/>
        <v>208</v>
      </c>
      <c r="B213" s="10" t="s">
        <v>104</v>
      </c>
      <c r="C213" s="13" t="s">
        <v>5956</v>
      </c>
      <c r="D213" s="13" t="s">
        <v>18</v>
      </c>
      <c r="E213" s="13">
        <v>3</v>
      </c>
      <c r="F213" s="14">
        <v>44342</v>
      </c>
      <c r="G213" s="14">
        <v>46167</v>
      </c>
      <c r="H213" s="13" t="s">
        <v>14</v>
      </c>
      <c r="I213" s="13" t="s">
        <v>51</v>
      </c>
    </row>
    <row r="214" spans="1:9" hidden="1">
      <c r="A214" s="11">
        <f t="shared" si="3"/>
        <v>209</v>
      </c>
      <c r="B214" s="9" t="s">
        <v>319</v>
      </c>
      <c r="C214" s="11" t="s">
        <v>5957</v>
      </c>
      <c r="D214" s="11" t="s">
        <v>18</v>
      </c>
      <c r="E214" s="11">
        <v>8</v>
      </c>
      <c r="F214" s="12">
        <v>44294</v>
      </c>
      <c r="G214" s="12">
        <v>46119</v>
      </c>
      <c r="H214" s="11" t="s">
        <v>14</v>
      </c>
      <c r="I214" s="11" t="s">
        <v>51</v>
      </c>
    </row>
    <row r="215" spans="1:9" hidden="1">
      <c r="A215" s="13">
        <f t="shared" si="3"/>
        <v>210</v>
      </c>
      <c r="B215" s="10" t="s">
        <v>320</v>
      </c>
      <c r="C215" s="13" t="s">
        <v>5958</v>
      </c>
      <c r="D215" s="13" t="s">
        <v>18</v>
      </c>
      <c r="E215" s="13">
        <v>3</v>
      </c>
      <c r="F215" s="14">
        <v>44242</v>
      </c>
      <c r="G215" s="14">
        <v>46067</v>
      </c>
      <c r="H215" s="13" t="s">
        <v>14</v>
      </c>
      <c r="I215" s="13" t="s">
        <v>51</v>
      </c>
    </row>
    <row r="216" spans="1:9" hidden="1">
      <c r="A216" s="11">
        <f t="shared" si="3"/>
        <v>211</v>
      </c>
      <c r="B216" s="9" t="s">
        <v>320</v>
      </c>
      <c r="C216" s="11" t="s">
        <v>5959</v>
      </c>
      <c r="D216" s="11" t="s">
        <v>18</v>
      </c>
      <c r="E216" s="11">
        <v>16</v>
      </c>
      <c r="F216" s="12">
        <v>44242</v>
      </c>
      <c r="G216" s="12">
        <v>46067</v>
      </c>
      <c r="H216" s="11" t="s">
        <v>14</v>
      </c>
      <c r="I216" s="11" t="s">
        <v>51</v>
      </c>
    </row>
    <row r="217" spans="1:9" hidden="1">
      <c r="A217" s="13">
        <f t="shared" si="3"/>
        <v>212</v>
      </c>
      <c r="B217" s="10" t="s">
        <v>321</v>
      </c>
      <c r="C217" s="13" t="s">
        <v>5960</v>
      </c>
      <c r="D217" s="13" t="s">
        <v>18</v>
      </c>
      <c r="E217" s="13">
        <v>3</v>
      </c>
      <c r="F217" s="14">
        <v>44236</v>
      </c>
      <c r="G217" s="14">
        <v>46061</v>
      </c>
      <c r="H217" s="13" t="s">
        <v>14</v>
      </c>
      <c r="I217" s="13" t="s">
        <v>51</v>
      </c>
    </row>
    <row r="218" spans="1:9" hidden="1">
      <c r="A218" s="11">
        <f t="shared" si="3"/>
        <v>213</v>
      </c>
      <c r="B218" s="9" t="s">
        <v>323</v>
      </c>
      <c r="C218" s="11" t="s">
        <v>5961</v>
      </c>
      <c r="D218" s="11" t="s">
        <v>18</v>
      </c>
      <c r="E218" s="11">
        <v>7</v>
      </c>
      <c r="F218" s="12">
        <v>44231</v>
      </c>
      <c r="G218" s="12">
        <v>46056</v>
      </c>
      <c r="H218" s="11" t="s">
        <v>14</v>
      </c>
      <c r="I218" s="11" t="s">
        <v>51</v>
      </c>
    </row>
    <row r="219" spans="1:9" hidden="1">
      <c r="A219" s="13">
        <f t="shared" si="3"/>
        <v>214</v>
      </c>
      <c r="B219" s="10" t="s">
        <v>331</v>
      </c>
      <c r="C219" s="13" t="s">
        <v>5963</v>
      </c>
      <c r="D219" s="13" t="s">
        <v>18</v>
      </c>
      <c r="E219" s="13">
        <v>5</v>
      </c>
      <c r="F219" s="14">
        <v>44309</v>
      </c>
      <c r="G219" s="14">
        <v>46134</v>
      </c>
      <c r="H219" s="13" t="s">
        <v>14</v>
      </c>
      <c r="I219" s="13" t="s">
        <v>51</v>
      </c>
    </row>
    <row r="220" spans="1:9" hidden="1">
      <c r="A220" s="11">
        <f t="shared" si="3"/>
        <v>215</v>
      </c>
      <c r="B220" s="9" t="s">
        <v>262</v>
      </c>
      <c r="C220" s="11" t="s">
        <v>5964</v>
      </c>
      <c r="D220" s="11" t="s">
        <v>18</v>
      </c>
      <c r="E220" s="11">
        <v>4</v>
      </c>
      <c r="F220" s="12">
        <v>44308</v>
      </c>
      <c r="G220" s="12">
        <v>46133</v>
      </c>
      <c r="H220" s="11" t="s">
        <v>14</v>
      </c>
      <c r="I220" s="11" t="s">
        <v>51</v>
      </c>
    </row>
    <row r="221" spans="1:9" hidden="1">
      <c r="A221" s="13">
        <f t="shared" si="3"/>
        <v>216</v>
      </c>
      <c r="B221" s="10" t="s">
        <v>333</v>
      </c>
      <c r="C221" s="13" t="s">
        <v>5965</v>
      </c>
      <c r="D221" s="13" t="s">
        <v>18</v>
      </c>
      <c r="E221" s="13">
        <v>3</v>
      </c>
      <c r="F221" s="14">
        <v>44327</v>
      </c>
      <c r="G221" s="14">
        <v>46152</v>
      </c>
      <c r="H221" s="13" t="s">
        <v>14</v>
      </c>
      <c r="I221" s="13" t="s">
        <v>51</v>
      </c>
    </row>
    <row r="222" spans="1:9" hidden="1">
      <c r="A222" s="11">
        <f t="shared" si="3"/>
        <v>217</v>
      </c>
      <c r="B222" s="9" t="s">
        <v>333</v>
      </c>
      <c r="C222" s="11" t="s">
        <v>5966</v>
      </c>
      <c r="D222" s="11" t="s">
        <v>18</v>
      </c>
      <c r="E222" s="11">
        <v>3</v>
      </c>
      <c r="F222" s="12">
        <v>44327</v>
      </c>
      <c r="G222" s="12">
        <v>46152</v>
      </c>
      <c r="H222" s="11" t="s">
        <v>14</v>
      </c>
      <c r="I222" s="11" t="s">
        <v>51</v>
      </c>
    </row>
    <row r="223" spans="1:9" hidden="1">
      <c r="A223" s="13">
        <f t="shared" si="3"/>
        <v>218</v>
      </c>
      <c r="B223" s="10" t="s">
        <v>332</v>
      </c>
      <c r="C223" s="13" t="s">
        <v>5967</v>
      </c>
      <c r="D223" s="13" t="s">
        <v>18</v>
      </c>
      <c r="E223" s="13">
        <v>12</v>
      </c>
      <c r="F223" s="14">
        <v>44299</v>
      </c>
      <c r="G223" s="14">
        <v>46124</v>
      </c>
      <c r="H223" s="13" t="s">
        <v>14</v>
      </c>
      <c r="I223" s="13" t="s">
        <v>51</v>
      </c>
    </row>
    <row r="224" spans="1:9" hidden="1">
      <c r="A224" s="11">
        <f t="shared" si="3"/>
        <v>219</v>
      </c>
      <c r="B224" s="9" t="s">
        <v>336</v>
      </c>
      <c r="C224" s="11" t="s">
        <v>5968</v>
      </c>
      <c r="D224" s="11" t="s">
        <v>18</v>
      </c>
      <c r="E224" s="11">
        <v>2</v>
      </c>
      <c r="F224" s="12">
        <v>44326</v>
      </c>
      <c r="G224" s="12">
        <v>46151</v>
      </c>
      <c r="H224" s="11" t="s">
        <v>14</v>
      </c>
      <c r="I224" s="11" t="s">
        <v>51</v>
      </c>
    </row>
    <row r="225" spans="1:9" hidden="1">
      <c r="A225" s="13">
        <f t="shared" si="3"/>
        <v>220</v>
      </c>
      <c r="B225" s="10" t="s">
        <v>337</v>
      </c>
      <c r="C225" s="13" t="s">
        <v>5969</v>
      </c>
      <c r="D225" s="13" t="s">
        <v>18</v>
      </c>
      <c r="E225" s="13">
        <v>2</v>
      </c>
      <c r="F225" s="14">
        <v>44309</v>
      </c>
      <c r="G225" s="14">
        <v>46134</v>
      </c>
      <c r="H225" s="13" t="s">
        <v>14</v>
      </c>
      <c r="I225" s="13" t="s">
        <v>51</v>
      </c>
    </row>
    <row r="226" spans="1:9" hidden="1">
      <c r="A226" s="11">
        <f t="shared" si="3"/>
        <v>221</v>
      </c>
      <c r="B226" s="9" t="s">
        <v>340</v>
      </c>
      <c r="C226" s="11" t="s">
        <v>5970</v>
      </c>
      <c r="D226" s="11" t="s">
        <v>18</v>
      </c>
      <c r="E226" s="11">
        <v>4</v>
      </c>
      <c r="F226" s="12">
        <v>44769</v>
      </c>
      <c r="G226" s="12">
        <v>46594</v>
      </c>
      <c r="H226" s="11" t="s">
        <v>14</v>
      </c>
      <c r="I226" s="11" t="s">
        <v>51</v>
      </c>
    </row>
    <row r="227" spans="1:9" hidden="1">
      <c r="A227" s="13">
        <f t="shared" si="3"/>
        <v>222</v>
      </c>
      <c r="B227" s="10" t="s">
        <v>340</v>
      </c>
      <c r="C227" s="13" t="s">
        <v>5971</v>
      </c>
      <c r="D227" s="13" t="s">
        <v>18</v>
      </c>
      <c r="E227" s="13">
        <v>4</v>
      </c>
      <c r="F227" s="14">
        <v>44769</v>
      </c>
      <c r="G227" s="14">
        <v>46594</v>
      </c>
      <c r="H227" s="13" t="s">
        <v>14</v>
      </c>
      <c r="I227" s="13" t="s">
        <v>51</v>
      </c>
    </row>
    <row r="228" spans="1:9" hidden="1">
      <c r="A228" s="11">
        <f t="shared" si="3"/>
        <v>223</v>
      </c>
      <c r="B228" s="9" t="s">
        <v>303</v>
      </c>
      <c r="C228" s="11" t="s">
        <v>5972</v>
      </c>
      <c r="D228" s="11" t="s">
        <v>18</v>
      </c>
      <c r="E228" s="11">
        <v>4</v>
      </c>
      <c r="F228" s="12">
        <v>44467</v>
      </c>
      <c r="G228" s="12">
        <v>46292</v>
      </c>
      <c r="H228" s="11" t="s">
        <v>14</v>
      </c>
      <c r="I228" s="11" t="s">
        <v>51</v>
      </c>
    </row>
    <row r="229" spans="1:9" hidden="1">
      <c r="A229" s="13">
        <f t="shared" si="3"/>
        <v>224</v>
      </c>
      <c r="B229" s="10" t="s">
        <v>345</v>
      </c>
      <c r="C229" s="13" t="s">
        <v>5973</v>
      </c>
      <c r="D229" s="13" t="s">
        <v>18</v>
      </c>
      <c r="E229" s="13">
        <v>4</v>
      </c>
      <c r="F229" s="14">
        <v>44461</v>
      </c>
      <c r="G229" s="14">
        <v>46286</v>
      </c>
      <c r="H229" s="13" t="s">
        <v>14</v>
      </c>
      <c r="I229" s="13" t="s">
        <v>51</v>
      </c>
    </row>
    <row r="230" spans="1:9" hidden="1">
      <c r="A230" s="11">
        <f t="shared" si="3"/>
        <v>225</v>
      </c>
      <c r="B230" s="9" t="s">
        <v>345</v>
      </c>
      <c r="C230" s="11" t="s">
        <v>5974</v>
      </c>
      <c r="D230" s="11" t="s">
        <v>18</v>
      </c>
      <c r="E230" s="11">
        <v>4</v>
      </c>
      <c r="F230" s="12">
        <v>44461</v>
      </c>
      <c r="G230" s="12">
        <v>46286</v>
      </c>
      <c r="H230" s="11" t="s">
        <v>14</v>
      </c>
      <c r="I230" s="11" t="s">
        <v>51</v>
      </c>
    </row>
    <row r="231" spans="1:9" hidden="1">
      <c r="A231" s="13">
        <f t="shared" si="3"/>
        <v>226</v>
      </c>
      <c r="B231" s="10" t="s">
        <v>356</v>
      </c>
      <c r="C231" s="13" t="s">
        <v>5975</v>
      </c>
      <c r="D231" s="13" t="s">
        <v>18</v>
      </c>
      <c r="E231" s="13">
        <v>1</v>
      </c>
      <c r="F231" s="14">
        <v>44515</v>
      </c>
      <c r="G231" s="14">
        <v>46340</v>
      </c>
      <c r="H231" s="13" t="s">
        <v>14</v>
      </c>
      <c r="I231" s="13" t="s">
        <v>51</v>
      </c>
    </row>
    <row r="232" spans="1:9" hidden="1">
      <c r="A232" s="11">
        <f t="shared" si="3"/>
        <v>227</v>
      </c>
      <c r="B232" s="9" t="s">
        <v>364</v>
      </c>
      <c r="C232" s="11" t="s">
        <v>5976</v>
      </c>
      <c r="D232" s="11" t="s">
        <v>18</v>
      </c>
      <c r="E232" s="11">
        <v>30</v>
      </c>
      <c r="F232" s="12">
        <v>44533</v>
      </c>
      <c r="G232" s="12">
        <v>46358</v>
      </c>
      <c r="H232" s="11" t="s">
        <v>14</v>
      </c>
      <c r="I232" s="11" t="s">
        <v>51</v>
      </c>
    </row>
    <row r="233" spans="1:9" hidden="1">
      <c r="A233" s="13">
        <f t="shared" si="3"/>
        <v>228</v>
      </c>
      <c r="B233" s="10" t="s">
        <v>364</v>
      </c>
      <c r="C233" s="13" t="s">
        <v>5977</v>
      </c>
      <c r="D233" s="13" t="s">
        <v>18</v>
      </c>
      <c r="E233" s="13">
        <v>77</v>
      </c>
      <c r="F233" s="14">
        <v>44533</v>
      </c>
      <c r="G233" s="14">
        <v>46358</v>
      </c>
      <c r="H233" s="13" t="s">
        <v>14</v>
      </c>
      <c r="I233" s="13" t="s">
        <v>51</v>
      </c>
    </row>
    <row r="234" spans="1:9" hidden="1">
      <c r="A234" s="11">
        <f t="shared" si="3"/>
        <v>229</v>
      </c>
      <c r="B234" s="9" t="s">
        <v>336</v>
      </c>
      <c r="C234" s="11" t="s">
        <v>5978</v>
      </c>
      <c r="D234" s="11" t="s">
        <v>18</v>
      </c>
      <c r="E234" s="11">
        <v>11</v>
      </c>
      <c r="F234" s="12">
        <v>44657</v>
      </c>
      <c r="G234" s="12">
        <v>46482</v>
      </c>
      <c r="H234" s="11" t="s">
        <v>14</v>
      </c>
      <c r="I234" s="11" t="s">
        <v>51</v>
      </c>
    </row>
    <row r="235" spans="1:9" hidden="1">
      <c r="A235" s="13">
        <f t="shared" si="3"/>
        <v>230</v>
      </c>
      <c r="B235" s="10" t="s">
        <v>262</v>
      </c>
      <c r="C235" s="13" t="s">
        <v>5979</v>
      </c>
      <c r="D235" s="13" t="s">
        <v>18</v>
      </c>
      <c r="E235" s="13">
        <v>24</v>
      </c>
      <c r="F235" s="14">
        <v>45239</v>
      </c>
      <c r="G235" s="14">
        <v>47065</v>
      </c>
      <c r="H235" s="13" t="s">
        <v>14</v>
      </c>
      <c r="I235" s="13" t="s">
        <v>51</v>
      </c>
    </row>
    <row r="236" spans="1:9" hidden="1">
      <c r="A236" s="11">
        <f t="shared" si="3"/>
        <v>231</v>
      </c>
      <c r="B236" s="9" t="s">
        <v>5686</v>
      </c>
      <c r="C236" s="11" t="s">
        <v>5980</v>
      </c>
      <c r="D236" s="11" t="s">
        <v>18</v>
      </c>
      <c r="E236" s="11">
        <v>53</v>
      </c>
      <c r="F236" s="12">
        <v>45219</v>
      </c>
      <c r="G236" s="12">
        <v>47045</v>
      </c>
      <c r="H236" s="11" t="s">
        <v>14</v>
      </c>
      <c r="I236" s="11" t="s">
        <v>51</v>
      </c>
    </row>
    <row r="237" spans="1:9" hidden="1">
      <c r="A237" s="13">
        <f t="shared" si="3"/>
        <v>232</v>
      </c>
      <c r="B237" s="10" t="s">
        <v>5687</v>
      </c>
      <c r="C237" s="13" t="s">
        <v>5981</v>
      </c>
      <c r="D237" s="13" t="s">
        <v>18</v>
      </c>
      <c r="E237" s="13">
        <v>20</v>
      </c>
      <c r="F237" s="14">
        <v>45212</v>
      </c>
      <c r="G237" s="14">
        <v>47037</v>
      </c>
      <c r="H237" s="13" t="s">
        <v>14</v>
      </c>
      <c r="I237" s="13" t="s">
        <v>51</v>
      </c>
    </row>
    <row r="238" spans="1:9" hidden="1">
      <c r="A238" s="11">
        <f t="shared" si="3"/>
        <v>233</v>
      </c>
      <c r="B238" s="9" t="s">
        <v>372</v>
      </c>
      <c r="C238" s="11" t="s">
        <v>5982</v>
      </c>
      <c r="D238" s="11" t="s">
        <v>18</v>
      </c>
      <c r="E238" s="11">
        <v>4</v>
      </c>
      <c r="F238" s="12">
        <v>44888</v>
      </c>
      <c r="G238" s="12">
        <v>46713</v>
      </c>
      <c r="H238" s="11" t="s">
        <v>14</v>
      </c>
      <c r="I238" s="11" t="s">
        <v>51</v>
      </c>
    </row>
    <row r="239" spans="1:9" hidden="1">
      <c r="A239" s="13">
        <f t="shared" si="3"/>
        <v>234</v>
      </c>
      <c r="B239" s="10" t="s">
        <v>372</v>
      </c>
      <c r="C239" s="13" t="s">
        <v>5983</v>
      </c>
      <c r="D239" s="13" t="s">
        <v>18</v>
      </c>
      <c r="E239" s="13">
        <v>4</v>
      </c>
      <c r="F239" s="14">
        <v>44888</v>
      </c>
      <c r="G239" s="14">
        <v>46713</v>
      </c>
      <c r="H239" s="13" t="s">
        <v>14</v>
      </c>
      <c r="I239" s="13" t="s">
        <v>51</v>
      </c>
    </row>
    <row r="240" spans="1:9" hidden="1">
      <c r="A240" s="11">
        <f t="shared" si="3"/>
        <v>235</v>
      </c>
      <c r="B240" s="9" t="s">
        <v>375</v>
      </c>
      <c r="C240" s="11" t="s">
        <v>5984</v>
      </c>
      <c r="D240" s="11" t="s">
        <v>18</v>
      </c>
      <c r="E240" s="11">
        <v>15</v>
      </c>
      <c r="F240" s="12">
        <v>44896</v>
      </c>
      <c r="G240" s="12">
        <v>46721</v>
      </c>
      <c r="H240" s="11" t="s">
        <v>14</v>
      </c>
      <c r="I240" s="11" t="s">
        <v>51</v>
      </c>
    </row>
    <row r="241" spans="1:9" hidden="1">
      <c r="A241" s="13">
        <f t="shared" si="3"/>
        <v>236</v>
      </c>
      <c r="B241" s="10" t="s">
        <v>375</v>
      </c>
      <c r="C241" s="13" t="s">
        <v>5985</v>
      </c>
      <c r="D241" s="13" t="s">
        <v>18</v>
      </c>
      <c r="E241" s="13">
        <v>5</v>
      </c>
      <c r="F241" s="14">
        <v>44896</v>
      </c>
      <c r="G241" s="14">
        <v>46721</v>
      </c>
      <c r="H241" s="13" t="s">
        <v>14</v>
      </c>
      <c r="I241" s="13" t="s">
        <v>51</v>
      </c>
    </row>
    <row r="242" spans="1:9" hidden="1">
      <c r="A242" s="11">
        <f t="shared" si="3"/>
        <v>237</v>
      </c>
      <c r="B242" s="9" t="s">
        <v>375</v>
      </c>
      <c r="C242" s="11" t="s">
        <v>5986</v>
      </c>
      <c r="D242" s="11" t="s">
        <v>18</v>
      </c>
      <c r="E242" s="11">
        <v>8</v>
      </c>
      <c r="F242" s="12">
        <v>44896</v>
      </c>
      <c r="G242" s="12">
        <v>46721</v>
      </c>
      <c r="H242" s="11" t="s">
        <v>14</v>
      </c>
      <c r="I242" s="11" t="s">
        <v>51</v>
      </c>
    </row>
    <row r="243" spans="1:9" hidden="1">
      <c r="A243" s="13">
        <f t="shared" si="3"/>
        <v>238</v>
      </c>
      <c r="B243" s="10" t="s">
        <v>161</v>
      </c>
      <c r="C243" s="13" t="s">
        <v>5987</v>
      </c>
      <c r="D243" s="13" t="s">
        <v>18</v>
      </c>
      <c r="E243" s="13">
        <v>8</v>
      </c>
      <c r="F243" s="14">
        <v>44747</v>
      </c>
      <c r="G243" s="14">
        <v>46572</v>
      </c>
      <c r="H243" s="13" t="s">
        <v>14</v>
      </c>
      <c r="I243" s="13" t="s">
        <v>51</v>
      </c>
    </row>
    <row r="244" spans="1:9" hidden="1">
      <c r="A244" s="11">
        <f t="shared" si="3"/>
        <v>239</v>
      </c>
      <c r="B244" s="9" t="s">
        <v>376</v>
      </c>
      <c r="C244" s="11" t="s">
        <v>5988</v>
      </c>
      <c r="D244" s="11" t="s">
        <v>18</v>
      </c>
      <c r="E244" s="11">
        <v>9</v>
      </c>
      <c r="F244" s="12">
        <v>45013</v>
      </c>
      <c r="G244" s="12">
        <v>46839</v>
      </c>
      <c r="H244" s="11" t="s">
        <v>14</v>
      </c>
      <c r="I244" s="11" t="s">
        <v>51</v>
      </c>
    </row>
    <row r="245" spans="1:9" hidden="1">
      <c r="A245" s="13">
        <f t="shared" si="3"/>
        <v>240</v>
      </c>
      <c r="B245" s="10" t="s">
        <v>376</v>
      </c>
      <c r="C245" s="13" t="s">
        <v>5989</v>
      </c>
      <c r="D245" s="13" t="s">
        <v>18</v>
      </c>
      <c r="E245" s="13">
        <v>13</v>
      </c>
      <c r="F245" s="14">
        <v>44888</v>
      </c>
      <c r="G245" s="14">
        <v>46713</v>
      </c>
      <c r="H245" s="13" t="s">
        <v>14</v>
      </c>
      <c r="I245" s="13" t="s">
        <v>51</v>
      </c>
    </row>
    <row r="246" spans="1:9" hidden="1">
      <c r="A246" s="11">
        <f t="shared" si="3"/>
        <v>241</v>
      </c>
      <c r="B246" s="9" t="s">
        <v>376</v>
      </c>
      <c r="C246" s="11" t="s">
        <v>5990</v>
      </c>
      <c r="D246" s="11" t="s">
        <v>18</v>
      </c>
      <c r="E246" s="11">
        <v>12</v>
      </c>
      <c r="F246" s="12">
        <v>44888</v>
      </c>
      <c r="G246" s="12">
        <v>46713</v>
      </c>
      <c r="H246" s="11" t="s">
        <v>14</v>
      </c>
      <c r="I246" s="11" t="s">
        <v>51</v>
      </c>
    </row>
    <row r="247" spans="1:9" hidden="1">
      <c r="A247" s="13">
        <f t="shared" si="3"/>
        <v>242</v>
      </c>
      <c r="B247" s="10" t="s">
        <v>378</v>
      </c>
      <c r="C247" s="13" t="s">
        <v>5991</v>
      </c>
      <c r="D247" s="13" t="s">
        <v>18</v>
      </c>
      <c r="E247" s="13">
        <v>16</v>
      </c>
      <c r="F247" s="14">
        <v>44889</v>
      </c>
      <c r="G247" s="14">
        <v>46714</v>
      </c>
      <c r="H247" s="13" t="s">
        <v>14</v>
      </c>
      <c r="I247" s="13" t="s">
        <v>51</v>
      </c>
    </row>
    <row r="248" spans="1:9" hidden="1">
      <c r="A248" s="11">
        <f t="shared" si="3"/>
        <v>243</v>
      </c>
      <c r="B248" s="9" t="s">
        <v>162</v>
      </c>
      <c r="C248" s="11" t="s">
        <v>5992</v>
      </c>
      <c r="D248" s="11" t="s">
        <v>18</v>
      </c>
      <c r="E248" s="11">
        <v>438</v>
      </c>
      <c r="F248" s="12">
        <v>45006</v>
      </c>
      <c r="G248" s="12">
        <v>46832</v>
      </c>
      <c r="H248" s="11" t="s">
        <v>14</v>
      </c>
      <c r="I248" s="11" t="s">
        <v>51</v>
      </c>
    </row>
    <row r="249" spans="1:9" hidden="1">
      <c r="A249" s="13">
        <f t="shared" si="3"/>
        <v>244</v>
      </c>
      <c r="B249" s="10" t="s">
        <v>5688</v>
      </c>
      <c r="C249" s="13" t="s">
        <v>5993</v>
      </c>
      <c r="D249" s="13" t="s">
        <v>18</v>
      </c>
      <c r="E249" s="13">
        <v>2</v>
      </c>
      <c r="F249" s="14">
        <v>45050</v>
      </c>
      <c r="G249" s="14">
        <v>46876</v>
      </c>
      <c r="H249" s="13" t="s">
        <v>14</v>
      </c>
      <c r="I249" s="13" t="s">
        <v>51</v>
      </c>
    </row>
    <row r="250" spans="1:9" hidden="1">
      <c r="A250" s="11">
        <f t="shared" si="3"/>
        <v>245</v>
      </c>
      <c r="B250" s="9" t="s">
        <v>201</v>
      </c>
      <c r="C250" s="11" t="s">
        <v>5994</v>
      </c>
      <c r="D250" s="11" t="s">
        <v>18</v>
      </c>
      <c r="E250" s="11">
        <v>10</v>
      </c>
      <c r="F250" s="12">
        <v>44957</v>
      </c>
      <c r="G250" s="12">
        <v>46782</v>
      </c>
      <c r="H250" s="11" t="s">
        <v>14</v>
      </c>
      <c r="I250" s="11" t="s">
        <v>51</v>
      </c>
    </row>
    <row r="251" spans="1:9" hidden="1">
      <c r="A251" s="13">
        <f t="shared" si="3"/>
        <v>246</v>
      </c>
      <c r="B251" s="10" t="s">
        <v>201</v>
      </c>
      <c r="C251" s="13" t="s">
        <v>5995</v>
      </c>
      <c r="D251" s="13" t="s">
        <v>18</v>
      </c>
      <c r="E251" s="13">
        <v>6</v>
      </c>
      <c r="F251" s="14">
        <v>44957</v>
      </c>
      <c r="G251" s="14">
        <v>46782</v>
      </c>
      <c r="H251" s="13" t="s">
        <v>14</v>
      </c>
      <c r="I251" s="13" t="s">
        <v>51</v>
      </c>
    </row>
    <row r="252" spans="1:9" hidden="1">
      <c r="A252" s="11">
        <f t="shared" si="3"/>
        <v>247</v>
      </c>
      <c r="B252" s="9" t="s">
        <v>201</v>
      </c>
      <c r="C252" s="11" t="s">
        <v>5996</v>
      </c>
      <c r="D252" s="11" t="s">
        <v>18</v>
      </c>
      <c r="E252" s="11">
        <v>2</v>
      </c>
      <c r="F252" s="12">
        <v>44957</v>
      </c>
      <c r="G252" s="12">
        <v>46782</v>
      </c>
      <c r="H252" s="11" t="s">
        <v>14</v>
      </c>
      <c r="I252" s="11" t="s">
        <v>51</v>
      </c>
    </row>
    <row r="253" spans="1:9" hidden="1">
      <c r="A253" s="13">
        <f t="shared" si="3"/>
        <v>248</v>
      </c>
      <c r="B253" s="10" t="s">
        <v>5689</v>
      </c>
      <c r="C253" s="13" t="s">
        <v>5997</v>
      </c>
      <c r="D253" s="13" t="s">
        <v>18</v>
      </c>
      <c r="E253" s="13">
        <v>3</v>
      </c>
      <c r="F253" s="14">
        <v>44966</v>
      </c>
      <c r="G253" s="14">
        <v>46791</v>
      </c>
      <c r="H253" s="13" t="s">
        <v>14</v>
      </c>
      <c r="I253" s="13" t="s">
        <v>51</v>
      </c>
    </row>
    <row r="254" spans="1:9" hidden="1">
      <c r="A254" s="11">
        <f t="shared" si="3"/>
        <v>249</v>
      </c>
      <c r="B254" s="9" t="s">
        <v>382</v>
      </c>
      <c r="C254" s="11" t="s">
        <v>5998</v>
      </c>
      <c r="D254" s="11" t="s">
        <v>18</v>
      </c>
      <c r="E254" s="11">
        <v>5</v>
      </c>
      <c r="F254" s="12">
        <v>44915</v>
      </c>
      <c r="G254" s="12">
        <v>46740</v>
      </c>
      <c r="H254" s="11" t="s">
        <v>14</v>
      </c>
      <c r="I254" s="11" t="s">
        <v>51</v>
      </c>
    </row>
    <row r="255" spans="1:9" hidden="1">
      <c r="A255" s="13">
        <f t="shared" si="3"/>
        <v>250</v>
      </c>
      <c r="B255" s="10" t="s">
        <v>382</v>
      </c>
      <c r="C255" s="13" t="s">
        <v>5999</v>
      </c>
      <c r="D255" s="13" t="s">
        <v>18</v>
      </c>
      <c r="E255" s="13">
        <v>20</v>
      </c>
      <c r="F255" s="14">
        <v>44901</v>
      </c>
      <c r="G255" s="14">
        <v>46726</v>
      </c>
      <c r="H255" s="13" t="s">
        <v>14</v>
      </c>
      <c r="I255" s="13" t="s">
        <v>51</v>
      </c>
    </row>
    <row r="256" spans="1:9" hidden="1">
      <c r="A256" s="11">
        <f t="shared" si="3"/>
        <v>251</v>
      </c>
      <c r="B256" s="9" t="s">
        <v>382</v>
      </c>
      <c r="C256" s="11" t="s">
        <v>6000</v>
      </c>
      <c r="D256" s="11" t="s">
        <v>18</v>
      </c>
      <c r="E256" s="11">
        <v>8</v>
      </c>
      <c r="F256" s="12">
        <v>44901</v>
      </c>
      <c r="G256" s="12">
        <v>46726</v>
      </c>
      <c r="H256" s="11" t="s">
        <v>14</v>
      </c>
      <c r="I256" s="11" t="s">
        <v>51</v>
      </c>
    </row>
    <row r="257" spans="1:9" hidden="1">
      <c r="A257" s="13">
        <f t="shared" si="3"/>
        <v>252</v>
      </c>
      <c r="B257" s="10" t="s">
        <v>161</v>
      </c>
      <c r="C257" s="13" t="s">
        <v>6001</v>
      </c>
      <c r="D257" s="13" t="s">
        <v>18</v>
      </c>
      <c r="E257" s="13">
        <v>6</v>
      </c>
      <c r="F257" s="14">
        <v>45005</v>
      </c>
      <c r="G257" s="14">
        <v>46831</v>
      </c>
      <c r="H257" s="13" t="s">
        <v>14</v>
      </c>
      <c r="I257" s="13" t="s">
        <v>51</v>
      </c>
    </row>
    <row r="258" spans="1:9" hidden="1">
      <c r="A258" s="11">
        <f t="shared" si="3"/>
        <v>253</v>
      </c>
      <c r="B258" s="9" t="s">
        <v>166</v>
      </c>
      <c r="C258" s="11" t="s">
        <v>6002</v>
      </c>
      <c r="D258" s="11" t="s">
        <v>18</v>
      </c>
      <c r="E258" s="11">
        <v>40</v>
      </c>
      <c r="F258" s="12">
        <v>44985</v>
      </c>
      <c r="G258" s="12">
        <v>46810</v>
      </c>
      <c r="H258" s="11" t="s">
        <v>14</v>
      </c>
      <c r="I258" s="11" t="s">
        <v>51</v>
      </c>
    </row>
    <row r="259" spans="1:9" hidden="1">
      <c r="A259" s="13">
        <f t="shared" si="3"/>
        <v>254</v>
      </c>
      <c r="B259" s="10" t="s">
        <v>166</v>
      </c>
      <c r="C259" s="13" t="s">
        <v>6003</v>
      </c>
      <c r="D259" s="13" t="s">
        <v>18</v>
      </c>
      <c r="E259" s="13">
        <v>48</v>
      </c>
      <c r="F259" s="14">
        <v>45020</v>
      </c>
      <c r="G259" s="14">
        <v>46846</v>
      </c>
      <c r="H259" s="13" t="s">
        <v>14</v>
      </c>
      <c r="I259" s="13" t="s">
        <v>51</v>
      </c>
    </row>
    <row r="260" spans="1:9" hidden="1">
      <c r="A260" s="11">
        <f t="shared" si="3"/>
        <v>255</v>
      </c>
      <c r="B260" s="9" t="s">
        <v>466</v>
      </c>
      <c r="C260" s="11" t="s">
        <v>6004</v>
      </c>
      <c r="D260" s="11" t="s">
        <v>18</v>
      </c>
      <c r="E260" s="11">
        <v>8</v>
      </c>
      <c r="F260" s="12">
        <v>44989</v>
      </c>
      <c r="G260" s="12">
        <v>46815</v>
      </c>
      <c r="H260" s="11" t="s">
        <v>14</v>
      </c>
      <c r="I260" s="11" t="s">
        <v>51</v>
      </c>
    </row>
    <row r="261" spans="1:9" hidden="1">
      <c r="A261" s="13">
        <f t="shared" si="3"/>
        <v>256</v>
      </c>
      <c r="B261" s="10" t="s">
        <v>466</v>
      </c>
      <c r="C261" s="13" t="s">
        <v>6005</v>
      </c>
      <c r="D261" s="13" t="s">
        <v>18</v>
      </c>
      <c r="E261" s="13">
        <v>10</v>
      </c>
      <c r="F261" s="14">
        <v>44989</v>
      </c>
      <c r="G261" s="14">
        <v>46815</v>
      </c>
      <c r="H261" s="13" t="s">
        <v>14</v>
      </c>
      <c r="I261" s="13" t="s">
        <v>51</v>
      </c>
    </row>
    <row r="262" spans="1:9" hidden="1">
      <c r="A262" s="11">
        <f t="shared" si="3"/>
        <v>257</v>
      </c>
      <c r="B262" s="9" t="s">
        <v>466</v>
      </c>
      <c r="C262" s="11" t="s">
        <v>6006</v>
      </c>
      <c r="D262" s="11" t="s">
        <v>18</v>
      </c>
      <c r="E262" s="11">
        <v>12</v>
      </c>
      <c r="F262" s="12">
        <v>44989</v>
      </c>
      <c r="G262" s="12">
        <v>46815</v>
      </c>
      <c r="H262" s="11" t="s">
        <v>14</v>
      </c>
      <c r="I262" s="11" t="s">
        <v>51</v>
      </c>
    </row>
    <row r="263" spans="1:9" hidden="1">
      <c r="A263" s="13">
        <f t="shared" si="3"/>
        <v>258</v>
      </c>
      <c r="B263" s="10" t="s">
        <v>5690</v>
      </c>
      <c r="C263" s="13" t="s">
        <v>6007</v>
      </c>
      <c r="D263" s="13" t="s">
        <v>18</v>
      </c>
      <c r="E263" s="13">
        <v>2</v>
      </c>
      <c r="F263" s="14">
        <v>44984</v>
      </c>
      <c r="G263" s="14">
        <v>46809</v>
      </c>
      <c r="H263" s="13" t="s">
        <v>14</v>
      </c>
      <c r="I263" s="13" t="s">
        <v>51</v>
      </c>
    </row>
    <row r="264" spans="1:9" hidden="1">
      <c r="A264" s="11">
        <f t="shared" ref="A264:A327" si="4">+A263+1</f>
        <v>259</v>
      </c>
      <c r="B264" s="9" t="s">
        <v>5691</v>
      </c>
      <c r="C264" s="11" t="s">
        <v>6008</v>
      </c>
      <c r="D264" s="11" t="s">
        <v>18</v>
      </c>
      <c r="E264" s="11">
        <v>1</v>
      </c>
      <c r="F264" s="12">
        <v>44938</v>
      </c>
      <c r="G264" s="12">
        <v>46763</v>
      </c>
      <c r="H264" s="11" t="s">
        <v>14</v>
      </c>
      <c r="I264" s="11" t="s">
        <v>51</v>
      </c>
    </row>
    <row r="265" spans="1:9" hidden="1">
      <c r="A265" s="13">
        <f t="shared" si="4"/>
        <v>260</v>
      </c>
      <c r="B265" s="10" t="s">
        <v>25</v>
      </c>
      <c r="C265" s="13" t="s">
        <v>6009</v>
      </c>
      <c r="D265" s="13" t="s">
        <v>18</v>
      </c>
      <c r="E265" s="13">
        <v>13</v>
      </c>
      <c r="F265" s="14">
        <v>45125</v>
      </c>
      <c r="G265" s="14">
        <v>46951</v>
      </c>
      <c r="H265" s="13" t="s">
        <v>14</v>
      </c>
      <c r="I265" s="13" t="s">
        <v>51</v>
      </c>
    </row>
    <row r="266" spans="1:9" hidden="1">
      <c r="A266" s="11">
        <f t="shared" si="4"/>
        <v>261</v>
      </c>
      <c r="B266" s="9" t="s">
        <v>221</v>
      </c>
      <c r="C266" s="11" t="s">
        <v>6010</v>
      </c>
      <c r="D266" s="11" t="s">
        <v>18</v>
      </c>
      <c r="E266" s="11">
        <v>10</v>
      </c>
      <c r="F266" s="12">
        <v>45026</v>
      </c>
      <c r="G266" s="12">
        <v>46852</v>
      </c>
      <c r="H266" s="11" t="s">
        <v>14</v>
      </c>
      <c r="I266" s="11" t="s">
        <v>51</v>
      </c>
    </row>
    <row r="267" spans="1:9" hidden="1">
      <c r="A267" s="13">
        <f t="shared" si="4"/>
        <v>262</v>
      </c>
      <c r="B267" s="10" t="s">
        <v>5682</v>
      </c>
      <c r="C267" s="13" t="s">
        <v>6011</v>
      </c>
      <c r="D267" s="13" t="s">
        <v>18</v>
      </c>
      <c r="E267" s="13">
        <v>3</v>
      </c>
      <c r="F267" s="14">
        <v>44966</v>
      </c>
      <c r="G267" s="14">
        <v>46791</v>
      </c>
      <c r="H267" s="13" t="s">
        <v>14</v>
      </c>
      <c r="I267" s="13" t="s">
        <v>51</v>
      </c>
    </row>
    <row r="268" spans="1:9" hidden="1">
      <c r="A268" s="11">
        <f t="shared" si="4"/>
        <v>263</v>
      </c>
      <c r="B268" s="9" t="s">
        <v>1891</v>
      </c>
      <c r="C268" s="11" t="s">
        <v>6012</v>
      </c>
      <c r="D268" s="11" t="s">
        <v>18</v>
      </c>
      <c r="E268" s="11">
        <v>15</v>
      </c>
      <c r="F268" s="12">
        <v>44966</v>
      </c>
      <c r="G268" s="12">
        <v>46791</v>
      </c>
      <c r="H268" s="11" t="s">
        <v>14</v>
      </c>
      <c r="I268" s="11" t="s">
        <v>51</v>
      </c>
    </row>
    <row r="269" spans="1:9" hidden="1">
      <c r="A269" s="13">
        <f t="shared" si="4"/>
        <v>264</v>
      </c>
      <c r="B269" s="10" t="s">
        <v>1888</v>
      </c>
      <c r="C269" s="13" t="s">
        <v>6013</v>
      </c>
      <c r="D269" s="13" t="s">
        <v>18</v>
      </c>
      <c r="E269" s="13">
        <v>6</v>
      </c>
      <c r="F269" s="14">
        <v>44984</v>
      </c>
      <c r="G269" s="14">
        <v>46809</v>
      </c>
      <c r="H269" s="13" t="s">
        <v>14</v>
      </c>
      <c r="I269" s="13" t="s">
        <v>51</v>
      </c>
    </row>
    <row r="270" spans="1:9" hidden="1">
      <c r="A270" s="11">
        <f t="shared" si="4"/>
        <v>265</v>
      </c>
      <c r="B270" s="9" t="s">
        <v>1888</v>
      </c>
      <c r="C270" s="11" t="s">
        <v>6014</v>
      </c>
      <c r="D270" s="11" t="s">
        <v>18</v>
      </c>
      <c r="E270" s="11">
        <v>11</v>
      </c>
      <c r="F270" s="12">
        <v>44980</v>
      </c>
      <c r="G270" s="12">
        <v>46805</v>
      </c>
      <c r="H270" s="11" t="s">
        <v>14</v>
      </c>
      <c r="I270" s="11" t="s">
        <v>51</v>
      </c>
    </row>
    <row r="271" spans="1:9" hidden="1">
      <c r="A271" s="13">
        <f t="shared" si="4"/>
        <v>266</v>
      </c>
      <c r="B271" s="10" t="s">
        <v>1888</v>
      </c>
      <c r="C271" s="13" t="s">
        <v>6015</v>
      </c>
      <c r="D271" s="13" t="s">
        <v>18</v>
      </c>
      <c r="E271" s="13">
        <v>11</v>
      </c>
      <c r="F271" s="14">
        <v>45007</v>
      </c>
      <c r="G271" s="14">
        <v>46833</v>
      </c>
      <c r="H271" s="13" t="s">
        <v>14</v>
      </c>
      <c r="I271" s="13" t="s">
        <v>51</v>
      </c>
    </row>
    <row r="272" spans="1:9" hidden="1">
      <c r="A272" s="11">
        <f t="shared" si="4"/>
        <v>267</v>
      </c>
      <c r="B272" s="9" t="s">
        <v>253</v>
      </c>
      <c r="C272" s="11" t="s">
        <v>6016</v>
      </c>
      <c r="D272" s="11" t="s">
        <v>18</v>
      </c>
      <c r="E272" s="11">
        <v>6</v>
      </c>
      <c r="F272" s="12">
        <v>45050</v>
      </c>
      <c r="G272" s="12">
        <v>46876</v>
      </c>
      <c r="H272" s="11" t="s">
        <v>14</v>
      </c>
      <c r="I272" s="11" t="s">
        <v>51</v>
      </c>
    </row>
    <row r="273" spans="1:9" hidden="1">
      <c r="A273" s="13">
        <f t="shared" si="4"/>
        <v>268</v>
      </c>
      <c r="B273" s="10" t="s">
        <v>1273</v>
      </c>
      <c r="C273" s="13" t="s">
        <v>6017</v>
      </c>
      <c r="D273" s="13" t="s">
        <v>18</v>
      </c>
      <c r="E273" s="13">
        <v>185</v>
      </c>
      <c r="F273" s="14">
        <v>45050</v>
      </c>
      <c r="G273" s="14">
        <v>46876</v>
      </c>
      <c r="H273" s="13" t="s">
        <v>14</v>
      </c>
      <c r="I273" s="13" t="s">
        <v>51</v>
      </c>
    </row>
    <row r="274" spans="1:9" hidden="1">
      <c r="A274" s="11">
        <f t="shared" si="4"/>
        <v>269</v>
      </c>
      <c r="B274" s="9" t="s">
        <v>1273</v>
      </c>
      <c r="C274" s="11" t="s">
        <v>6018</v>
      </c>
      <c r="D274" s="11" t="s">
        <v>18</v>
      </c>
      <c r="E274" s="11">
        <v>152</v>
      </c>
      <c r="F274" s="12">
        <v>45050</v>
      </c>
      <c r="G274" s="12">
        <v>46876</v>
      </c>
      <c r="H274" s="11" t="s">
        <v>14</v>
      </c>
      <c r="I274" s="11" t="s">
        <v>51</v>
      </c>
    </row>
    <row r="275" spans="1:9" hidden="1">
      <c r="A275" s="13">
        <f t="shared" si="4"/>
        <v>270</v>
      </c>
      <c r="B275" s="10" t="s">
        <v>5692</v>
      </c>
      <c r="C275" s="13" t="s">
        <v>6019</v>
      </c>
      <c r="D275" s="13" t="s">
        <v>18</v>
      </c>
      <c r="E275" s="13">
        <v>7</v>
      </c>
      <c r="F275" s="14">
        <v>45021</v>
      </c>
      <c r="G275" s="14">
        <v>46847</v>
      </c>
      <c r="H275" s="13" t="s">
        <v>14</v>
      </c>
      <c r="I275" s="13" t="s">
        <v>51</v>
      </c>
    </row>
    <row r="276" spans="1:9" hidden="1">
      <c r="A276" s="11">
        <f t="shared" si="4"/>
        <v>271</v>
      </c>
      <c r="B276" s="9" t="s">
        <v>5692</v>
      </c>
      <c r="C276" s="11" t="s">
        <v>6020</v>
      </c>
      <c r="D276" s="11" t="s">
        <v>18</v>
      </c>
      <c r="E276" s="11">
        <v>3</v>
      </c>
      <c r="F276" s="12">
        <v>45021</v>
      </c>
      <c r="G276" s="12">
        <v>46847</v>
      </c>
      <c r="H276" s="11" t="s">
        <v>14</v>
      </c>
      <c r="I276" s="11" t="s">
        <v>51</v>
      </c>
    </row>
    <row r="277" spans="1:9" hidden="1">
      <c r="A277" s="13">
        <f t="shared" si="4"/>
        <v>272</v>
      </c>
      <c r="B277" s="10" t="s">
        <v>5693</v>
      </c>
      <c r="C277" s="13" t="s">
        <v>6021</v>
      </c>
      <c r="D277" s="13" t="s">
        <v>18</v>
      </c>
      <c r="E277" s="13">
        <v>9</v>
      </c>
      <c r="F277" s="14">
        <v>45006</v>
      </c>
      <c r="G277" s="14">
        <v>46832</v>
      </c>
      <c r="H277" s="13" t="s">
        <v>14</v>
      </c>
      <c r="I277" s="13" t="s">
        <v>51</v>
      </c>
    </row>
    <row r="278" spans="1:9" hidden="1">
      <c r="A278" s="11">
        <f t="shared" si="4"/>
        <v>273</v>
      </c>
      <c r="B278" s="9" t="s">
        <v>5693</v>
      </c>
      <c r="C278" s="11" t="s">
        <v>6022</v>
      </c>
      <c r="D278" s="11" t="s">
        <v>18</v>
      </c>
      <c r="E278" s="11">
        <v>5</v>
      </c>
      <c r="F278" s="12">
        <v>45006</v>
      </c>
      <c r="G278" s="12">
        <v>46832</v>
      </c>
      <c r="H278" s="11" t="s">
        <v>14</v>
      </c>
      <c r="I278" s="11" t="s">
        <v>51</v>
      </c>
    </row>
    <row r="279" spans="1:9" hidden="1">
      <c r="A279" s="13">
        <f t="shared" si="4"/>
        <v>274</v>
      </c>
      <c r="B279" s="10" t="s">
        <v>253</v>
      </c>
      <c r="C279" s="13" t="s">
        <v>6023</v>
      </c>
      <c r="D279" s="13" t="s">
        <v>18</v>
      </c>
      <c r="E279" s="13">
        <v>8</v>
      </c>
      <c r="F279" s="14">
        <v>45050</v>
      </c>
      <c r="G279" s="14">
        <v>46876</v>
      </c>
      <c r="H279" s="13" t="s">
        <v>14</v>
      </c>
      <c r="I279" s="13" t="s">
        <v>51</v>
      </c>
    </row>
    <row r="280" spans="1:9" hidden="1">
      <c r="A280" s="11">
        <f t="shared" si="4"/>
        <v>275</v>
      </c>
      <c r="B280" s="9" t="s">
        <v>25</v>
      </c>
      <c r="C280" s="11" t="s">
        <v>6024</v>
      </c>
      <c r="D280" s="11" t="s">
        <v>18</v>
      </c>
      <c r="E280" s="11">
        <v>6</v>
      </c>
      <c r="F280" s="12">
        <v>45125</v>
      </c>
      <c r="G280" s="12">
        <v>46951</v>
      </c>
      <c r="H280" s="11" t="s">
        <v>14</v>
      </c>
      <c r="I280" s="11" t="s">
        <v>51</v>
      </c>
    </row>
    <row r="281" spans="1:9" hidden="1">
      <c r="A281" s="13">
        <f t="shared" si="4"/>
        <v>276</v>
      </c>
      <c r="B281" s="10" t="s">
        <v>25</v>
      </c>
      <c r="C281" s="13" t="s">
        <v>6025</v>
      </c>
      <c r="D281" s="13" t="s">
        <v>18</v>
      </c>
      <c r="E281" s="13">
        <v>11</v>
      </c>
      <c r="F281" s="14">
        <v>45125</v>
      </c>
      <c r="G281" s="14">
        <v>46951</v>
      </c>
      <c r="H281" s="13" t="s">
        <v>14</v>
      </c>
      <c r="I281" s="13" t="s">
        <v>51</v>
      </c>
    </row>
    <row r="282" spans="1:9" hidden="1">
      <c r="A282" s="11">
        <f t="shared" si="4"/>
        <v>277</v>
      </c>
      <c r="B282" s="9" t="s">
        <v>25</v>
      </c>
      <c r="C282" s="11" t="s">
        <v>6026</v>
      </c>
      <c r="D282" s="11" t="s">
        <v>18</v>
      </c>
      <c r="E282" s="11">
        <v>2</v>
      </c>
      <c r="F282" s="12">
        <v>45125</v>
      </c>
      <c r="G282" s="12">
        <v>46951</v>
      </c>
      <c r="H282" s="11" t="s">
        <v>14</v>
      </c>
      <c r="I282" s="11" t="s">
        <v>51</v>
      </c>
    </row>
    <row r="283" spans="1:9" hidden="1">
      <c r="A283" s="13">
        <f t="shared" si="4"/>
        <v>278</v>
      </c>
      <c r="B283" s="10" t="s">
        <v>5694</v>
      </c>
      <c r="C283" s="13" t="s">
        <v>6027</v>
      </c>
      <c r="D283" s="13" t="s">
        <v>18</v>
      </c>
      <c r="E283" s="13">
        <v>38</v>
      </c>
      <c r="F283" s="14">
        <v>45055</v>
      </c>
      <c r="G283" s="14">
        <v>46881</v>
      </c>
      <c r="H283" s="13" t="s">
        <v>14</v>
      </c>
      <c r="I283" s="13" t="s">
        <v>51</v>
      </c>
    </row>
    <row r="284" spans="1:9" hidden="1">
      <c r="A284" s="11">
        <f t="shared" si="4"/>
        <v>279</v>
      </c>
      <c r="B284" s="9" t="s">
        <v>5695</v>
      </c>
      <c r="C284" s="11" t="s">
        <v>6028</v>
      </c>
      <c r="D284" s="11" t="s">
        <v>18</v>
      </c>
      <c r="E284" s="11">
        <v>5</v>
      </c>
      <c r="F284" s="12">
        <v>45020</v>
      </c>
      <c r="G284" s="12">
        <v>46846</v>
      </c>
      <c r="H284" s="11" t="s">
        <v>14</v>
      </c>
      <c r="I284" s="11" t="s">
        <v>51</v>
      </c>
    </row>
    <row r="285" spans="1:9" hidden="1">
      <c r="A285" s="13">
        <f t="shared" si="4"/>
        <v>280</v>
      </c>
      <c r="B285" s="10" t="s">
        <v>5696</v>
      </c>
      <c r="C285" s="13" t="s">
        <v>6029</v>
      </c>
      <c r="D285" s="13" t="s">
        <v>18</v>
      </c>
      <c r="E285" s="13">
        <v>53</v>
      </c>
      <c r="F285" s="14">
        <v>45050</v>
      </c>
      <c r="G285" s="14">
        <v>46876</v>
      </c>
      <c r="H285" s="13" t="s">
        <v>14</v>
      </c>
      <c r="I285" s="13" t="s">
        <v>51</v>
      </c>
    </row>
    <row r="286" spans="1:9" hidden="1">
      <c r="A286" s="11">
        <f t="shared" si="4"/>
        <v>281</v>
      </c>
      <c r="B286" s="9" t="s">
        <v>5697</v>
      </c>
      <c r="C286" s="11" t="s">
        <v>6030</v>
      </c>
      <c r="D286" s="11" t="s">
        <v>18</v>
      </c>
      <c r="E286" s="11">
        <v>2</v>
      </c>
      <c r="F286" s="12">
        <v>45050</v>
      </c>
      <c r="G286" s="12">
        <v>46876</v>
      </c>
      <c r="H286" s="11" t="s">
        <v>14</v>
      </c>
      <c r="I286" s="11" t="s">
        <v>51</v>
      </c>
    </row>
    <row r="287" spans="1:9" hidden="1">
      <c r="A287" s="13">
        <f t="shared" si="4"/>
        <v>282</v>
      </c>
      <c r="B287" s="10" t="s">
        <v>5697</v>
      </c>
      <c r="C287" s="13" t="s">
        <v>6031</v>
      </c>
      <c r="D287" s="13" t="s">
        <v>18</v>
      </c>
      <c r="E287" s="13">
        <v>11</v>
      </c>
      <c r="F287" s="14">
        <v>45021</v>
      </c>
      <c r="G287" s="14">
        <v>46847</v>
      </c>
      <c r="H287" s="13" t="s">
        <v>14</v>
      </c>
      <c r="I287" s="13" t="s">
        <v>51</v>
      </c>
    </row>
    <row r="288" spans="1:9" hidden="1">
      <c r="A288" s="11">
        <f t="shared" si="4"/>
        <v>283</v>
      </c>
      <c r="B288" s="9" t="s">
        <v>5698</v>
      </c>
      <c r="C288" s="11" t="s">
        <v>6032</v>
      </c>
      <c r="D288" s="11" t="s">
        <v>18</v>
      </c>
      <c r="E288" s="11">
        <v>9</v>
      </c>
      <c r="F288" s="12">
        <v>45233</v>
      </c>
      <c r="G288" s="12">
        <v>47059</v>
      </c>
      <c r="H288" s="11" t="s">
        <v>14</v>
      </c>
      <c r="I288" s="11" t="s">
        <v>51</v>
      </c>
    </row>
    <row r="289" spans="1:9" hidden="1">
      <c r="A289" s="13">
        <f t="shared" si="4"/>
        <v>284</v>
      </c>
      <c r="B289" s="10" t="s">
        <v>5699</v>
      </c>
      <c r="C289" s="13" t="s">
        <v>6033</v>
      </c>
      <c r="D289" s="13" t="s">
        <v>18</v>
      </c>
      <c r="E289" s="13">
        <v>3</v>
      </c>
      <c r="F289" s="14">
        <v>45203</v>
      </c>
      <c r="G289" s="14">
        <v>47029</v>
      </c>
      <c r="H289" s="13" t="s">
        <v>14</v>
      </c>
      <c r="I289" s="13" t="s">
        <v>51</v>
      </c>
    </row>
    <row r="290" spans="1:9" hidden="1">
      <c r="A290" s="11">
        <f t="shared" si="4"/>
        <v>285</v>
      </c>
      <c r="B290" s="9" t="s">
        <v>5695</v>
      </c>
      <c r="C290" s="11" t="s">
        <v>6034</v>
      </c>
      <c r="D290" s="11" t="s">
        <v>18</v>
      </c>
      <c r="E290" s="11">
        <v>14</v>
      </c>
      <c r="F290" s="12">
        <v>45020</v>
      </c>
      <c r="G290" s="12">
        <v>46846</v>
      </c>
      <c r="H290" s="11" t="s">
        <v>14</v>
      </c>
      <c r="I290" s="11" t="s">
        <v>51</v>
      </c>
    </row>
    <row r="291" spans="1:9" hidden="1">
      <c r="A291" s="13">
        <f t="shared" si="4"/>
        <v>286</v>
      </c>
      <c r="B291" s="10" t="s">
        <v>5700</v>
      </c>
      <c r="C291" s="13" t="s">
        <v>6035</v>
      </c>
      <c r="D291" s="13" t="s">
        <v>18</v>
      </c>
      <c r="E291" s="13">
        <v>36</v>
      </c>
      <c r="F291" s="14">
        <v>45033</v>
      </c>
      <c r="G291" s="14">
        <v>46859</v>
      </c>
      <c r="H291" s="13" t="s">
        <v>14</v>
      </c>
      <c r="I291" s="13" t="s">
        <v>51</v>
      </c>
    </row>
    <row r="292" spans="1:9" hidden="1">
      <c r="A292" s="11">
        <f t="shared" si="4"/>
        <v>287</v>
      </c>
      <c r="B292" s="9" t="s">
        <v>5700</v>
      </c>
      <c r="C292" s="11" t="s">
        <v>6036</v>
      </c>
      <c r="D292" s="11" t="s">
        <v>18</v>
      </c>
      <c r="E292" s="11">
        <v>8</v>
      </c>
      <c r="F292" s="12">
        <v>45033</v>
      </c>
      <c r="G292" s="12">
        <v>46859</v>
      </c>
      <c r="H292" s="11" t="s">
        <v>14</v>
      </c>
      <c r="I292" s="11" t="s">
        <v>51</v>
      </c>
    </row>
    <row r="293" spans="1:9" hidden="1">
      <c r="A293" s="13">
        <f t="shared" si="4"/>
        <v>288</v>
      </c>
      <c r="B293" s="10" t="s">
        <v>5701</v>
      </c>
      <c r="C293" s="13" t="s">
        <v>6038</v>
      </c>
      <c r="D293" s="13" t="s">
        <v>18</v>
      </c>
      <c r="E293" s="13">
        <v>10</v>
      </c>
      <c r="F293" s="14">
        <v>45026</v>
      </c>
      <c r="G293" s="14">
        <v>46852</v>
      </c>
      <c r="H293" s="13" t="s">
        <v>14</v>
      </c>
      <c r="I293" s="13" t="s">
        <v>51</v>
      </c>
    </row>
    <row r="294" spans="1:9" hidden="1">
      <c r="A294" s="11">
        <f t="shared" si="4"/>
        <v>289</v>
      </c>
      <c r="B294" s="9" t="s">
        <v>5701</v>
      </c>
      <c r="C294" s="11" t="s">
        <v>6039</v>
      </c>
      <c r="D294" s="11" t="s">
        <v>18</v>
      </c>
      <c r="E294" s="11">
        <v>10</v>
      </c>
      <c r="F294" s="12">
        <v>45026</v>
      </c>
      <c r="G294" s="12">
        <v>46852</v>
      </c>
      <c r="H294" s="11" t="s">
        <v>14</v>
      </c>
      <c r="I294" s="11" t="s">
        <v>51</v>
      </c>
    </row>
    <row r="295" spans="1:9" hidden="1">
      <c r="A295" s="13">
        <f t="shared" si="4"/>
        <v>290</v>
      </c>
      <c r="B295" s="10" t="s">
        <v>469</v>
      </c>
      <c r="C295" s="13" t="s">
        <v>6040</v>
      </c>
      <c r="D295" s="13" t="s">
        <v>18</v>
      </c>
      <c r="E295" s="13">
        <v>6</v>
      </c>
      <c r="F295" s="14">
        <v>45258</v>
      </c>
      <c r="G295" s="14">
        <v>47084</v>
      </c>
      <c r="H295" s="13" t="s">
        <v>14</v>
      </c>
      <c r="I295" s="13" t="s">
        <v>51</v>
      </c>
    </row>
    <row r="296" spans="1:9" hidden="1">
      <c r="A296" s="11">
        <f t="shared" si="4"/>
        <v>291</v>
      </c>
      <c r="B296" s="9" t="s">
        <v>336</v>
      </c>
      <c r="C296" s="11" t="s">
        <v>6041</v>
      </c>
      <c r="D296" s="11" t="s">
        <v>18</v>
      </c>
      <c r="E296" s="11">
        <v>4</v>
      </c>
      <c r="F296" s="12">
        <v>45120</v>
      </c>
      <c r="G296" s="12">
        <v>46946</v>
      </c>
      <c r="H296" s="11" t="s">
        <v>14</v>
      </c>
      <c r="I296" s="11" t="s">
        <v>51</v>
      </c>
    </row>
    <row r="297" spans="1:9" hidden="1">
      <c r="A297" s="13">
        <f t="shared" si="4"/>
        <v>292</v>
      </c>
      <c r="B297" s="10" t="s">
        <v>376</v>
      </c>
      <c r="C297" s="13" t="s">
        <v>6042</v>
      </c>
      <c r="D297" s="13" t="s">
        <v>18</v>
      </c>
      <c r="E297" s="13">
        <v>89</v>
      </c>
      <c r="F297" s="14">
        <v>45050</v>
      </c>
      <c r="G297" s="14">
        <v>46876</v>
      </c>
      <c r="H297" s="13" t="s">
        <v>14</v>
      </c>
      <c r="I297" s="13" t="s">
        <v>51</v>
      </c>
    </row>
    <row r="298" spans="1:9" hidden="1">
      <c r="A298" s="11">
        <f t="shared" si="4"/>
        <v>293</v>
      </c>
      <c r="B298" s="9" t="s">
        <v>376</v>
      </c>
      <c r="C298" s="11" t="s">
        <v>6043</v>
      </c>
      <c r="D298" s="11" t="s">
        <v>18</v>
      </c>
      <c r="E298" s="11">
        <v>14</v>
      </c>
      <c r="F298" s="12">
        <v>45040</v>
      </c>
      <c r="G298" s="12">
        <v>46866</v>
      </c>
      <c r="H298" s="11" t="s">
        <v>14</v>
      </c>
      <c r="I298" s="11" t="s">
        <v>51</v>
      </c>
    </row>
    <row r="299" spans="1:9" hidden="1">
      <c r="A299" s="13">
        <f t="shared" si="4"/>
        <v>294</v>
      </c>
      <c r="B299" s="10" t="s">
        <v>1885</v>
      </c>
      <c r="C299" s="13" t="s">
        <v>6044</v>
      </c>
      <c r="D299" s="13" t="s">
        <v>18</v>
      </c>
      <c r="E299" s="13">
        <v>52</v>
      </c>
      <c r="F299" s="14">
        <v>45028</v>
      </c>
      <c r="G299" s="14">
        <v>46854</v>
      </c>
      <c r="H299" s="13" t="s">
        <v>14</v>
      </c>
      <c r="I299" s="13" t="s">
        <v>51</v>
      </c>
    </row>
    <row r="300" spans="1:9" hidden="1">
      <c r="A300" s="11">
        <f t="shared" si="4"/>
        <v>295</v>
      </c>
      <c r="B300" s="9" t="s">
        <v>5702</v>
      </c>
      <c r="C300" s="11" t="s">
        <v>6045</v>
      </c>
      <c r="D300" s="11" t="s">
        <v>18</v>
      </c>
      <c r="E300" s="11">
        <v>12</v>
      </c>
      <c r="F300" s="12">
        <v>45083</v>
      </c>
      <c r="G300" s="12">
        <v>46909</v>
      </c>
      <c r="H300" s="11" t="s">
        <v>14</v>
      </c>
      <c r="I300" s="11" t="s">
        <v>51</v>
      </c>
    </row>
    <row r="301" spans="1:9" hidden="1">
      <c r="A301" s="13">
        <f t="shared" si="4"/>
        <v>296</v>
      </c>
      <c r="B301" s="10" t="s">
        <v>986</v>
      </c>
      <c r="C301" s="13" t="s">
        <v>6046</v>
      </c>
      <c r="D301" s="13" t="s">
        <v>18</v>
      </c>
      <c r="E301" s="13">
        <v>271</v>
      </c>
      <c r="F301" s="14">
        <v>45190</v>
      </c>
      <c r="G301" s="14">
        <v>47016</v>
      </c>
      <c r="H301" s="13" t="s">
        <v>14</v>
      </c>
      <c r="I301" s="13" t="s">
        <v>51</v>
      </c>
    </row>
    <row r="302" spans="1:9" hidden="1">
      <c r="A302" s="11">
        <f t="shared" si="4"/>
        <v>297</v>
      </c>
      <c r="B302" s="9" t="s">
        <v>5702</v>
      </c>
      <c r="C302" s="11" t="s">
        <v>6049</v>
      </c>
      <c r="D302" s="11" t="s">
        <v>18</v>
      </c>
      <c r="E302" s="11">
        <v>10</v>
      </c>
      <c r="F302" s="12">
        <v>45083</v>
      </c>
      <c r="G302" s="12">
        <v>46909</v>
      </c>
      <c r="H302" s="11" t="s">
        <v>14</v>
      </c>
      <c r="I302" s="11" t="s">
        <v>51</v>
      </c>
    </row>
    <row r="303" spans="1:9" hidden="1">
      <c r="A303" s="13">
        <f t="shared" si="4"/>
        <v>298</v>
      </c>
      <c r="B303" s="10" t="s">
        <v>5703</v>
      </c>
      <c r="C303" s="13" t="s">
        <v>6059</v>
      </c>
      <c r="D303" s="13" t="s">
        <v>18</v>
      </c>
      <c r="E303" s="13">
        <v>5</v>
      </c>
      <c r="F303" s="14">
        <v>45239</v>
      </c>
      <c r="G303" s="14">
        <v>47065</v>
      </c>
      <c r="H303" s="13" t="s">
        <v>14</v>
      </c>
      <c r="I303" s="13" t="s">
        <v>51</v>
      </c>
    </row>
    <row r="304" spans="1:9" hidden="1">
      <c r="A304" s="11">
        <f t="shared" si="4"/>
        <v>299</v>
      </c>
      <c r="B304" s="9" t="s">
        <v>5704</v>
      </c>
      <c r="C304" s="11" t="s">
        <v>6060</v>
      </c>
      <c r="D304" s="11" t="s">
        <v>18</v>
      </c>
      <c r="E304" s="11">
        <v>4</v>
      </c>
      <c r="F304" s="12">
        <v>45210</v>
      </c>
      <c r="G304" s="12">
        <v>47036</v>
      </c>
      <c r="H304" s="11" t="s">
        <v>14</v>
      </c>
      <c r="I304" s="11" t="s">
        <v>51</v>
      </c>
    </row>
    <row r="305" spans="1:9" hidden="1">
      <c r="A305" s="13">
        <f t="shared" si="4"/>
        <v>300</v>
      </c>
      <c r="B305" s="10" t="s">
        <v>5705</v>
      </c>
      <c r="C305" s="13" t="s">
        <v>6061</v>
      </c>
      <c r="D305" s="13" t="s">
        <v>18</v>
      </c>
      <c r="E305" s="13">
        <v>4</v>
      </c>
      <c r="F305" s="14">
        <v>45237</v>
      </c>
      <c r="G305" s="14">
        <v>47063</v>
      </c>
      <c r="H305" s="13" t="s">
        <v>14</v>
      </c>
      <c r="I305" s="13" t="s">
        <v>51</v>
      </c>
    </row>
    <row r="306" spans="1:9" hidden="1">
      <c r="A306" s="11">
        <f t="shared" si="4"/>
        <v>301</v>
      </c>
      <c r="B306" s="9" t="s">
        <v>5706</v>
      </c>
      <c r="C306" s="11" t="s">
        <v>6062</v>
      </c>
      <c r="D306" s="11" t="s">
        <v>18</v>
      </c>
      <c r="E306" s="11">
        <v>158</v>
      </c>
      <c r="F306" s="12">
        <v>45219</v>
      </c>
      <c r="G306" s="12">
        <v>47045</v>
      </c>
      <c r="H306" s="11" t="s">
        <v>14</v>
      </c>
      <c r="I306" s="11" t="s">
        <v>51</v>
      </c>
    </row>
    <row r="307" spans="1:9" hidden="1">
      <c r="A307" s="13">
        <f t="shared" si="4"/>
        <v>302</v>
      </c>
      <c r="B307" s="10" t="s">
        <v>36</v>
      </c>
      <c r="C307" s="13" t="s">
        <v>6063</v>
      </c>
      <c r="D307" s="13" t="s">
        <v>13</v>
      </c>
      <c r="E307" s="13">
        <v>7</v>
      </c>
      <c r="F307" s="14">
        <v>44107</v>
      </c>
      <c r="G307" s="14">
        <v>49584</v>
      </c>
      <c r="H307" s="13" t="s">
        <v>45</v>
      </c>
      <c r="I307" s="13" t="s">
        <v>51</v>
      </c>
    </row>
    <row r="308" spans="1:9" hidden="1">
      <c r="A308" s="11">
        <f t="shared" si="4"/>
        <v>303</v>
      </c>
      <c r="B308" s="9" t="s">
        <v>36</v>
      </c>
      <c r="C308" s="11" t="s">
        <v>6064</v>
      </c>
      <c r="D308" s="11" t="s">
        <v>13</v>
      </c>
      <c r="E308" s="11">
        <v>101</v>
      </c>
      <c r="F308" s="12">
        <v>44107</v>
      </c>
      <c r="G308" s="12">
        <v>49584</v>
      </c>
      <c r="H308" s="11" t="s">
        <v>45</v>
      </c>
      <c r="I308" s="11" t="s">
        <v>51</v>
      </c>
    </row>
    <row r="309" spans="1:9" hidden="1">
      <c r="A309" s="13">
        <f t="shared" si="4"/>
        <v>304</v>
      </c>
      <c r="B309" s="10" t="s">
        <v>36</v>
      </c>
      <c r="C309" s="13" t="s">
        <v>6065</v>
      </c>
      <c r="D309" s="13" t="s">
        <v>13</v>
      </c>
      <c r="E309" s="13">
        <v>284</v>
      </c>
      <c r="F309" s="14">
        <v>41891</v>
      </c>
      <c r="G309" s="14">
        <v>52848</v>
      </c>
      <c r="H309" s="13" t="s">
        <v>45</v>
      </c>
      <c r="I309" s="13" t="s">
        <v>51</v>
      </c>
    </row>
    <row r="310" spans="1:9" hidden="1">
      <c r="A310" s="11">
        <f t="shared" si="4"/>
        <v>305</v>
      </c>
      <c r="B310" s="9" t="s">
        <v>36</v>
      </c>
      <c r="C310" s="11" t="s">
        <v>6066</v>
      </c>
      <c r="D310" s="11" t="s">
        <v>13</v>
      </c>
      <c r="E310" s="11">
        <v>381</v>
      </c>
      <c r="F310" s="12">
        <v>41891</v>
      </c>
      <c r="G310" s="12">
        <v>52848</v>
      </c>
      <c r="H310" s="11" t="s">
        <v>45</v>
      </c>
      <c r="I310" s="11" t="s">
        <v>51</v>
      </c>
    </row>
    <row r="311" spans="1:9" hidden="1">
      <c r="A311" s="13">
        <f t="shared" si="4"/>
        <v>306</v>
      </c>
      <c r="B311" s="10" t="s">
        <v>36</v>
      </c>
      <c r="C311" s="13" t="s">
        <v>6067</v>
      </c>
      <c r="D311" s="13" t="s">
        <v>13</v>
      </c>
      <c r="E311" s="13">
        <v>20</v>
      </c>
      <c r="F311" s="14">
        <v>40393</v>
      </c>
      <c r="G311" s="14">
        <v>51350</v>
      </c>
      <c r="H311" s="13" t="s">
        <v>45</v>
      </c>
      <c r="I311" s="13" t="s">
        <v>51</v>
      </c>
    </row>
    <row r="312" spans="1:9" hidden="1">
      <c r="A312" s="11">
        <f t="shared" si="4"/>
        <v>307</v>
      </c>
      <c r="B312" s="9" t="s">
        <v>36</v>
      </c>
      <c r="C312" s="11" t="s">
        <v>6068</v>
      </c>
      <c r="D312" s="11" t="s">
        <v>13</v>
      </c>
      <c r="E312" s="11">
        <v>12</v>
      </c>
      <c r="F312" s="12">
        <v>40368</v>
      </c>
      <c r="G312" s="12">
        <v>51325</v>
      </c>
      <c r="H312" s="11" t="s">
        <v>45</v>
      </c>
      <c r="I312" s="11" t="s">
        <v>51</v>
      </c>
    </row>
    <row r="313" spans="1:9" hidden="1">
      <c r="A313" s="13">
        <f t="shared" si="4"/>
        <v>308</v>
      </c>
      <c r="B313" s="10" t="s">
        <v>36</v>
      </c>
      <c r="C313" s="13" t="s">
        <v>6069</v>
      </c>
      <c r="D313" s="13" t="s">
        <v>13</v>
      </c>
      <c r="E313" s="13">
        <v>75</v>
      </c>
      <c r="F313" s="14">
        <v>42032</v>
      </c>
      <c r="G313" s="14">
        <v>52989</v>
      </c>
      <c r="H313" s="13" t="s">
        <v>45</v>
      </c>
      <c r="I313" s="13" t="s">
        <v>51</v>
      </c>
    </row>
    <row r="314" spans="1:9" hidden="1">
      <c r="A314" s="11">
        <f t="shared" si="4"/>
        <v>309</v>
      </c>
      <c r="B314" s="9" t="s">
        <v>36</v>
      </c>
      <c r="C314" s="11" t="s">
        <v>6070</v>
      </c>
      <c r="D314" s="11" t="s">
        <v>13</v>
      </c>
      <c r="E314" s="11">
        <v>66</v>
      </c>
      <c r="F314" s="12">
        <v>40520</v>
      </c>
      <c r="G314" s="12">
        <v>51477</v>
      </c>
      <c r="H314" s="11" t="s">
        <v>45</v>
      </c>
      <c r="I314" s="11" t="s">
        <v>51</v>
      </c>
    </row>
    <row r="315" spans="1:9" hidden="1">
      <c r="A315" s="13">
        <f t="shared" si="4"/>
        <v>310</v>
      </c>
      <c r="B315" s="10" t="s">
        <v>36</v>
      </c>
      <c r="C315" s="13" t="s">
        <v>6071</v>
      </c>
      <c r="D315" s="13" t="s">
        <v>13</v>
      </c>
      <c r="E315" s="13">
        <v>148</v>
      </c>
      <c r="F315" s="14">
        <v>40393</v>
      </c>
      <c r="G315" s="14">
        <v>51350</v>
      </c>
      <c r="H315" s="13" t="s">
        <v>45</v>
      </c>
      <c r="I315" s="13" t="s">
        <v>51</v>
      </c>
    </row>
    <row r="316" spans="1:9" hidden="1">
      <c r="A316" s="11">
        <f t="shared" si="4"/>
        <v>311</v>
      </c>
      <c r="B316" s="9" t="s">
        <v>15</v>
      </c>
      <c r="C316" s="11" t="s">
        <v>6072</v>
      </c>
      <c r="D316" s="11" t="s">
        <v>13</v>
      </c>
      <c r="E316" s="11">
        <v>200</v>
      </c>
      <c r="F316" s="12">
        <v>41824</v>
      </c>
      <c r="G316" s="12">
        <v>52781</v>
      </c>
      <c r="H316" s="11" t="s">
        <v>45</v>
      </c>
      <c r="I316" s="11" t="s">
        <v>51</v>
      </c>
    </row>
    <row r="317" spans="1:9" hidden="1">
      <c r="A317" s="13">
        <f t="shared" si="4"/>
        <v>312</v>
      </c>
      <c r="B317" s="10" t="s">
        <v>96</v>
      </c>
      <c r="C317" s="13" t="s">
        <v>6073</v>
      </c>
      <c r="D317" s="13" t="s">
        <v>13</v>
      </c>
      <c r="E317" s="13">
        <v>471</v>
      </c>
      <c r="F317" s="14">
        <v>45093</v>
      </c>
      <c r="G317" s="14">
        <v>50571</v>
      </c>
      <c r="H317" s="13" t="s">
        <v>45</v>
      </c>
      <c r="I317" s="13" t="s">
        <v>51</v>
      </c>
    </row>
    <row r="318" spans="1:9" hidden="1">
      <c r="A318" s="11">
        <f t="shared" si="4"/>
        <v>313</v>
      </c>
      <c r="B318" s="9" t="s">
        <v>449</v>
      </c>
      <c r="C318" s="11" t="s">
        <v>6074</v>
      </c>
      <c r="D318" s="11" t="s">
        <v>13</v>
      </c>
      <c r="E318" s="11">
        <v>460</v>
      </c>
      <c r="F318" s="12">
        <v>44909</v>
      </c>
      <c r="G318" s="12">
        <v>54039</v>
      </c>
      <c r="H318" s="11" t="s">
        <v>45</v>
      </c>
      <c r="I318" s="11" t="s">
        <v>51</v>
      </c>
    </row>
    <row r="319" spans="1:9" hidden="1">
      <c r="A319" s="13">
        <f t="shared" si="4"/>
        <v>314</v>
      </c>
      <c r="B319" s="10" t="s">
        <v>149</v>
      </c>
      <c r="C319" s="13" t="s">
        <v>6075</v>
      </c>
      <c r="D319" s="13" t="s">
        <v>13</v>
      </c>
      <c r="E319" s="13">
        <v>151</v>
      </c>
      <c r="F319" s="14">
        <v>44146</v>
      </c>
      <c r="G319" s="14">
        <v>53276</v>
      </c>
      <c r="H319" s="13" t="s">
        <v>45</v>
      </c>
      <c r="I319" s="13" t="s">
        <v>51</v>
      </c>
    </row>
    <row r="320" spans="1:9" hidden="1">
      <c r="A320" s="11">
        <f t="shared" si="4"/>
        <v>315</v>
      </c>
      <c r="B320" s="9" t="s">
        <v>447</v>
      </c>
      <c r="C320" s="11" t="s">
        <v>6076</v>
      </c>
      <c r="D320" s="11" t="s">
        <v>13</v>
      </c>
      <c r="E320" s="11">
        <v>252</v>
      </c>
      <c r="F320" s="12">
        <v>45140</v>
      </c>
      <c r="G320" s="12">
        <v>54271</v>
      </c>
      <c r="H320" s="11" t="s">
        <v>45</v>
      </c>
      <c r="I320" s="11" t="s">
        <v>51</v>
      </c>
    </row>
    <row r="321" spans="1:9" hidden="1">
      <c r="A321" s="13">
        <f t="shared" si="4"/>
        <v>316</v>
      </c>
      <c r="B321" s="10" t="s">
        <v>159</v>
      </c>
      <c r="C321" s="13" t="s">
        <v>6077</v>
      </c>
      <c r="D321" s="13" t="s">
        <v>13</v>
      </c>
      <c r="E321" s="13">
        <v>177</v>
      </c>
      <c r="F321" s="14">
        <v>41536</v>
      </c>
      <c r="G321" s="14">
        <v>52492</v>
      </c>
      <c r="H321" s="13" t="s">
        <v>45</v>
      </c>
      <c r="I321" s="13" t="s">
        <v>51</v>
      </c>
    </row>
    <row r="322" spans="1:9" hidden="1">
      <c r="A322" s="11">
        <f t="shared" si="4"/>
        <v>317</v>
      </c>
      <c r="B322" s="9" t="s">
        <v>161</v>
      </c>
      <c r="C322" s="11" t="s">
        <v>6078</v>
      </c>
      <c r="D322" s="11" t="s">
        <v>13</v>
      </c>
      <c r="E322" s="11">
        <v>44</v>
      </c>
      <c r="F322" s="12">
        <v>41299</v>
      </c>
      <c r="G322" s="12">
        <v>52286</v>
      </c>
      <c r="H322" s="11" t="s">
        <v>45</v>
      </c>
      <c r="I322" s="11" t="s">
        <v>51</v>
      </c>
    </row>
    <row r="323" spans="1:9" hidden="1">
      <c r="A323" s="13">
        <f t="shared" si="4"/>
        <v>318</v>
      </c>
      <c r="B323" s="10" t="s">
        <v>5707</v>
      </c>
      <c r="C323" s="13" t="s">
        <v>6079</v>
      </c>
      <c r="D323" s="13" t="s">
        <v>13</v>
      </c>
      <c r="E323" s="13">
        <v>70</v>
      </c>
      <c r="F323" s="14">
        <v>41450</v>
      </c>
      <c r="G323" s="14">
        <v>52406</v>
      </c>
      <c r="H323" s="13" t="s">
        <v>45</v>
      </c>
      <c r="I323" s="13" t="s">
        <v>51</v>
      </c>
    </row>
    <row r="324" spans="1:9" hidden="1">
      <c r="A324" s="11">
        <f t="shared" si="4"/>
        <v>319</v>
      </c>
      <c r="B324" s="9" t="s">
        <v>15</v>
      </c>
      <c r="C324" s="11" t="s">
        <v>6080</v>
      </c>
      <c r="D324" s="11" t="s">
        <v>13</v>
      </c>
      <c r="E324" s="11">
        <v>49</v>
      </c>
      <c r="F324" s="12">
        <v>42216</v>
      </c>
      <c r="G324" s="12">
        <v>53173</v>
      </c>
      <c r="H324" s="11" t="s">
        <v>45</v>
      </c>
      <c r="I324" s="11" t="s">
        <v>51</v>
      </c>
    </row>
    <row r="325" spans="1:9" hidden="1">
      <c r="A325" s="13">
        <f t="shared" si="4"/>
        <v>320</v>
      </c>
      <c r="B325" s="10" t="s">
        <v>15</v>
      </c>
      <c r="C325" s="13" t="s">
        <v>6081</v>
      </c>
      <c r="D325" s="13" t="s">
        <v>13</v>
      </c>
      <c r="E325" s="13">
        <v>54</v>
      </c>
      <c r="F325" s="14">
        <v>42209</v>
      </c>
      <c r="G325" s="14">
        <v>53166</v>
      </c>
      <c r="H325" s="13" t="s">
        <v>45</v>
      </c>
      <c r="I325" s="13" t="s">
        <v>51</v>
      </c>
    </row>
    <row r="326" spans="1:9" hidden="1">
      <c r="A326" s="11">
        <f t="shared" si="4"/>
        <v>321</v>
      </c>
      <c r="B326" s="9" t="s">
        <v>192</v>
      </c>
      <c r="C326" s="11" t="s">
        <v>6082</v>
      </c>
      <c r="D326" s="11" t="s">
        <v>18</v>
      </c>
      <c r="E326" s="11">
        <v>20</v>
      </c>
      <c r="F326" s="12">
        <v>43531</v>
      </c>
      <c r="G326" s="12">
        <v>45357</v>
      </c>
      <c r="H326" s="11" t="s">
        <v>45</v>
      </c>
      <c r="I326" s="11" t="s">
        <v>51</v>
      </c>
    </row>
    <row r="327" spans="1:9" hidden="1">
      <c r="A327" s="13">
        <f t="shared" si="4"/>
        <v>322</v>
      </c>
      <c r="B327" s="10" t="s">
        <v>205</v>
      </c>
      <c r="C327" s="13" t="s">
        <v>6083</v>
      </c>
      <c r="D327" s="13" t="s">
        <v>18</v>
      </c>
      <c r="E327" s="13">
        <v>4</v>
      </c>
      <c r="F327" s="14">
        <v>43711</v>
      </c>
      <c r="G327" s="14">
        <v>45537</v>
      </c>
      <c r="H327" s="13" t="s">
        <v>45</v>
      </c>
      <c r="I327" s="13" t="s">
        <v>51</v>
      </c>
    </row>
    <row r="328" spans="1:9" hidden="1">
      <c r="A328" s="11">
        <f t="shared" ref="A328:A391" si="5">+A327+1</f>
        <v>323</v>
      </c>
      <c r="B328" s="9" t="s">
        <v>238</v>
      </c>
      <c r="C328" s="11" t="s">
        <v>6084</v>
      </c>
      <c r="D328" s="11" t="s">
        <v>18</v>
      </c>
      <c r="E328" s="11">
        <v>17</v>
      </c>
      <c r="F328" s="12">
        <v>43553</v>
      </c>
      <c r="G328" s="12">
        <v>45379</v>
      </c>
      <c r="H328" s="11" t="s">
        <v>45</v>
      </c>
      <c r="I328" s="11" t="s">
        <v>51</v>
      </c>
    </row>
    <row r="329" spans="1:9" hidden="1">
      <c r="A329" s="13">
        <f t="shared" si="5"/>
        <v>324</v>
      </c>
      <c r="B329" s="10" t="s">
        <v>1798</v>
      </c>
      <c r="C329" s="13" t="s">
        <v>6085</v>
      </c>
      <c r="D329" s="13" t="s">
        <v>18</v>
      </c>
      <c r="E329" s="13">
        <v>4</v>
      </c>
      <c r="F329" s="14">
        <v>43560</v>
      </c>
      <c r="G329" s="14">
        <v>45386</v>
      </c>
      <c r="H329" s="13" t="s">
        <v>45</v>
      </c>
      <c r="I329" s="13" t="s">
        <v>51</v>
      </c>
    </row>
    <row r="330" spans="1:9" hidden="1">
      <c r="A330" s="11">
        <f t="shared" si="5"/>
        <v>325</v>
      </c>
      <c r="B330" s="9" t="s">
        <v>1830</v>
      </c>
      <c r="C330" s="11" t="s">
        <v>6086</v>
      </c>
      <c r="D330" s="11" t="s">
        <v>18</v>
      </c>
      <c r="E330" s="11">
        <v>5</v>
      </c>
      <c r="F330" s="12">
        <v>43614</v>
      </c>
      <c r="G330" s="12">
        <v>45440</v>
      </c>
      <c r="H330" s="11" t="s">
        <v>45</v>
      </c>
      <c r="I330" s="11" t="s">
        <v>51</v>
      </c>
    </row>
    <row r="331" spans="1:9" hidden="1">
      <c r="A331" s="13">
        <f t="shared" si="5"/>
        <v>326</v>
      </c>
      <c r="B331" s="10" t="s">
        <v>253</v>
      </c>
      <c r="C331" s="13" t="s">
        <v>6087</v>
      </c>
      <c r="D331" s="13" t="s">
        <v>18</v>
      </c>
      <c r="E331" s="13">
        <v>5</v>
      </c>
      <c r="F331" s="14">
        <v>43614</v>
      </c>
      <c r="G331" s="14">
        <v>45440</v>
      </c>
      <c r="H331" s="13" t="s">
        <v>45</v>
      </c>
      <c r="I331" s="13" t="s">
        <v>51</v>
      </c>
    </row>
    <row r="332" spans="1:9" hidden="1">
      <c r="A332" s="11">
        <f t="shared" si="5"/>
        <v>327</v>
      </c>
      <c r="B332" s="9" t="s">
        <v>142</v>
      </c>
      <c r="C332" s="11" t="s">
        <v>6088</v>
      </c>
      <c r="D332" s="11" t="s">
        <v>18</v>
      </c>
      <c r="E332" s="11">
        <v>262</v>
      </c>
      <c r="F332" s="12">
        <v>44249</v>
      </c>
      <c r="G332" s="12">
        <v>46074</v>
      </c>
      <c r="H332" s="11" t="s">
        <v>45</v>
      </c>
      <c r="I332" s="11" t="s">
        <v>51</v>
      </c>
    </row>
    <row r="333" spans="1:9" hidden="1">
      <c r="A333" s="13">
        <f t="shared" si="5"/>
        <v>328</v>
      </c>
      <c r="B333" s="10" t="s">
        <v>253</v>
      </c>
      <c r="C333" s="13" t="s">
        <v>6089</v>
      </c>
      <c r="D333" s="13" t="s">
        <v>18</v>
      </c>
      <c r="E333" s="13">
        <v>18</v>
      </c>
      <c r="F333" s="14">
        <v>43829</v>
      </c>
      <c r="G333" s="14">
        <v>45655</v>
      </c>
      <c r="H333" s="13" t="s">
        <v>45</v>
      </c>
      <c r="I333" s="13" t="s">
        <v>51</v>
      </c>
    </row>
    <row r="334" spans="1:9" hidden="1">
      <c r="A334" s="11">
        <f t="shared" si="5"/>
        <v>329</v>
      </c>
      <c r="B334" s="9" t="s">
        <v>238</v>
      </c>
      <c r="C334" s="11" t="s">
        <v>6090</v>
      </c>
      <c r="D334" s="11" t="s">
        <v>18</v>
      </c>
      <c r="E334" s="11">
        <v>84</v>
      </c>
      <c r="F334" s="12">
        <v>44432</v>
      </c>
      <c r="G334" s="12">
        <v>46257</v>
      </c>
      <c r="H334" s="11" t="s">
        <v>45</v>
      </c>
      <c r="I334" s="11" t="s">
        <v>51</v>
      </c>
    </row>
    <row r="335" spans="1:9" hidden="1">
      <c r="A335" s="13">
        <f t="shared" si="5"/>
        <v>330</v>
      </c>
      <c r="B335" s="10" t="s">
        <v>25</v>
      </c>
      <c r="C335" s="13" t="s">
        <v>6091</v>
      </c>
      <c r="D335" s="13" t="s">
        <v>18</v>
      </c>
      <c r="E335" s="13">
        <v>81</v>
      </c>
      <c r="F335" s="14">
        <v>43728</v>
      </c>
      <c r="G335" s="14">
        <v>45554</v>
      </c>
      <c r="H335" s="13" t="s">
        <v>45</v>
      </c>
      <c r="I335" s="13" t="s">
        <v>51</v>
      </c>
    </row>
    <row r="336" spans="1:9" hidden="1">
      <c r="A336" s="11">
        <f t="shared" si="5"/>
        <v>331</v>
      </c>
      <c r="B336" s="9" t="s">
        <v>281</v>
      </c>
      <c r="C336" s="11" t="s">
        <v>6092</v>
      </c>
      <c r="D336" s="11" t="s">
        <v>18</v>
      </c>
      <c r="E336" s="11">
        <v>20</v>
      </c>
      <c r="F336" s="12">
        <v>44378</v>
      </c>
      <c r="G336" s="12">
        <v>46203</v>
      </c>
      <c r="H336" s="11" t="s">
        <v>45</v>
      </c>
      <c r="I336" s="11" t="s">
        <v>51</v>
      </c>
    </row>
    <row r="337" spans="1:9" hidden="1">
      <c r="A337" s="13">
        <f t="shared" si="5"/>
        <v>332</v>
      </c>
      <c r="B337" s="10" t="s">
        <v>284</v>
      </c>
      <c r="C337" s="13" t="s">
        <v>6093</v>
      </c>
      <c r="D337" s="13" t="s">
        <v>18</v>
      </c>
      <c r="E337" s="13">
        <v>12</v>
      </c>
      <c r="F337" s="14">
        <v>43697</v>
      </c>
      <c r="G337" s="14">
        <v>45523</v>
      </c>
      <c r="H337" s="13" t="s">
        <v>45</v>
      </c>
      <c r="I337" s="13" t="s">
        <v>51</v>
      </c>
    </row>
    <row r="338" spans="1:9" hidden="1">
      <c r="A338" s="11">
        <f t="shared" si="5"/>
        <v>333</v>
      </c>
      <c r="B338" s="9" t="s">
        <v>201</v>
      </c>
      <c r="C338" s="11" t="s">
        <v>6094</v>
      </c>
      <c r="D338" s="11" t="s">
        <v>27</v>
      </c>
      <c r="E338" s="11">
        <v>32</v>
      </c>
      <c r="F338" s="12">
        <v>44523</v>
      </c>
      <c r="G338" s="12">
        <v>46348</v>
      </c>
      <c r="H338" s="11" t="s">
        <v>45</v>
      </c>
      <c r="I338" s="11" t="s">
        <v>51</v>
      </c>
    </row>
    <row r="339" spans="1:9" hidden="1">
      <c r="A339" s="13">
        <f t="shared" si="5"/>
        <v>334</v>
      </c>
      <c r="B339" s="10" t="s">
        <v>238</v>
      </c>
      <c r="C339" s="13" t="s">
        <v>6095</v>
      </c>
      <c r="D339" s="13" t="s">
        <v>18</v>
      </c>
      <c r="E339" s="13">
        <v>8</v>
      </c>
      <c r="F339" s="14">
        <v>43752</v>
      </c>
      <c r="G339" s="14">
        <v>45578</v>
      </c>
      <c r="H339" s="13" t="s">
        <v>45</v>
      </c>
      <c r="I339" s="13" t="s">
        <v>51</v>
      </c>
    </row>
    <row r="340" spans="1:9" hidden="1">
      <c r="A340" s="11">
        <f t="shared" si="5"/>
        <v>335</v>
      </c>
      <c r="B340" s="9" t="s">
        <v>277</v>
      </c>
      <c r="C340" s="11" t="s">
        <v>6096</v>
      </c>
      <c r="D340" s="11" t="s">
        <v>18</v>
      </c>
      <c r="E340" s="11">
        <v>1</v>
      </c>
      <c r="F340" s="12">
        <v>44104</v>
      </c>
      <c r="G340" s="12">
        <v>45929</v>
      </c>
      <c r="H340" s="11" t="s">
        <v>45</v>
      </c>
      <c r="I340" s="11" t="s">
        <v>51</v>
      </c>
    </row>
    <row r="341" spans="1:9" hidden="1">
      <c r="A341" s="13">
        <f t="shared" si="5"/>
        <v>336</v>
      </c>
      <c r="B341" s="10" t="s">
        <v>277</v>
      </c>
      <c r="C341" s="13" t="s">
        <v>6097</v>
      </c>
      <c r="D341" s="13" t="s">
        <v>18</v>
      </c>
      <c r="E341" s="13">
        <v>1</v>
      </c>
      <c r="F341" s="14">
        <v>44329</v>
      </c>
      <c r="G341" s="14">
        <v>46154</v>
      </c>
      <c r="H341" s="13" t="s">
        <v>45</v>
      </c>
      <c r="I341" s="13" t="s">
        <v>51</v>
      </c>
    </row>
    <row r="342" spans="1:9" hidden="1">
      <c r="A342" s="11">
        <f t="shared" si="5"/>
        <v>337</v>
      </c>
      <c r="B342" s="9" t="s">
        <v>320</v>
      </c>
      <c r="C342" s="11" t="s">
        <v>6098</v>
      </c>
      <c r="D342" s="11" t="s">
        <v>18</v>
      </c>
      <c r="E342" s="11">
        <v>47</v>
      </c>
      <c r="F342" s="12">
        <v>44270</v>
      </c>
      <c r="G342" s="12">
        <v>46095</v>
      </c>
      <c r="H342" s="11" t="s">
        <v>45</v>
      </c>
      <c r="I342" s="11" t="s">
        <v>51</v>
      </c>
    </row>
    <row r="343" spans="1:9" hidden="1">
      <c r="A343" s="13">
        <f t="shared" si="5"/>
        <v>338</v>
      </c>
      <c r="B343" s="10" t="s">
        <v>337</v>
      </c>
      <c r="C343" s="13" t="s">
        <v>6099</v>
      </c>
      <c r="D343" s="13" t="s">
        <v>18</v>
      </c>
      <c r="E343" s="13">
        <v>4</v>
      </c>
      <c r="F343" s="14">
        <v>44309</v>
      </c>
      <c r="G343" s="14">
        <v>46134</v>
      </c>
      <c r="H343" s="13" t="s">
        <v>45</v>
      </c>
      <c r="I343" s="13" t="s">
        <v>51</v>
      </c>
    </row>
    <row r="344" spans="1:9" hidden="1">
      <c r="A344" s="11">
        <f t="shared" si="5"/>
        <v>339</v>
      </c>
      <c r="B344" s="9" t="s">
        <v>377</v>
      </c>
      <c r="C344" s="11" t="s">
        <v>6100</v>
      </c>
      <c r="D344" s="11" t="s">
        <v>18</v>
      </c>
      <c r="E344" s="11">
        <v>63</v>
      </c>
      <c r="F344" s="12">
        <v>44893</v>
      </c>
      <c r="G344" s="12">
        <v>46718</v>
      </c>
      <c r="H344" s="11" t="s">
        <v>45</v>
      </c>
      <c r="I344" s="11" t="s">
        <v>51</v>
      </c>
    </row>
    <row r="345" spans="1:9" hidden="1">
      <c r="A345" s="13">
        <f t="shared" si="5"/>
        <v>340</v>
      </c>
      <c r="B345" s="10" t="s">
        <v>5708</v>
      </c>
      <c r="C345" s="13" t="s">
        <v>6101</v>
      </c>
      <c r="D345" s="13" t="s">
        <v>18</v>
      </c>
      <c r="E345" s="13">
        <v>30</v>
      </c>
      <c r="F345" s="14">
        <v>44980</v>
      </c>
      <c r="G345" s="14">
        <v>46805</v>
      </c>
      <c r="H345" s="13" t="s">
        <v>45</v>
      </c>
      <c r="I345" s="13" t="s">
        <v>51</v>
      </c>
    </row>
    <row r="346" spans="1:9" hidden="1">
      <c r="A346" s="11">
        <f t="shared" si="5"/>
        <v>341</v>
      </c>
      <c r="B346" s="9" t="s">
        <v>194</v>
      </c>
      <c r="C346" s="11" t="s">
        <v>6102</v>
      </c>
      <c r="D346" s="11" t="s">
        <v>18</v>
      </c>
      <c r="E346" s="11">
        <v>6</v>
      </c>
      <c r="F346" s="12">
        <v>45083</v>
      </c>
      <c r="G346" s="12">
        <v>46909</v>
      </c>
      <c r="H346" s="11" t="s">
        <v>45</v>
      </c>
      <c r="I346" s="11" t="s">
        <v>51</v>
      </c>
    </row>
    <row r="347" spans="1:9" hidden="1">
      <c r="A347" s="13">
        <f t="shared" si="5"/>
        <v>342</v>
      </c>
      <c r="B347" s="10" t="s">
        <v>1033</v>
      </c>
      <c r="C347" s="13" t="s">
        <v>6103</v>
      </c>
      <c r="D347" s="13" t="s">
        <v>18</v>
      </c>
      <c r="E347" s="13">
        <v>6</v>
      </c>
      <c r="F347" s="14">
        <v>45233</v>
      </c>
      <c r="G347" s="14">
        <v>47059</v>
      </c>
      <c r="H347" s="13" t="s">
        <v>45</v>
      </c>
      <c r="I347" s="13" t="s">
        <v>51</v>
      </c>
    </row>
    <row r="348" spans="1:9" hidden="1">
      <c r="A348" s="11">
        <f t="shared" si="5"/>
        <v>343</v>
      </c>
      <c r="B348" s="9" t="s">
        <v>5682</v>
      </c>
      <c r="C348" s="11" t="s">
        <v>6104</v>
      </c>
      <c r="D348" s="11" t="s">
        <v>18</v>
      </c>
      <c r="E348" s="11">
        <v>6</v>
      </c>
      <c r="F348" s="12">
        <v>44966</v>
      </c>
      <c r="G348" s="12">
        <v>46791</v>
      </c>
      <c r="H348" s="11" t="s">
        <v>45</v>
      </c>
      <c r="I348" s="11" t="s">
        <v>51</v>
      </c>
    </row>
    <row r="349" spans="1:9" hidden="1">
      <c r="A349" s="13">
        <f t="shared" si="5"/>
        <v>344</v>
      </c>
      <c r="B349" s="10" t="s">
        <v>5692</v>
      </c>
      <c r="C349" s="13" t="s">
        <v>6105</v>
      </c>
      <c r="D349" s="13" t="s">
        <v>18</v>
      </c>
      <c r="E349" s="13">
        <v>5</v>
      </c>
      <c r="F349" s="14">
        <v>45021</v>
      </c>
      <c r="G349" s="14">
        <v>46847</v>
      </c>
      <c r="H349" s="13" t="s">
        <v>45</v>
      </c>
      <c r="I349" s="13" t="s">
        <v>51</v>
      </c>
    </row>
    <row r="350" spans="1:9" hidden="1">
      <c r="A350" s="11">
        <f t="shared" si="5"/>
        <v>345</v>
      </c>
      <c r="B350" s="9" t="s">
        <v>354</v>
      </c>
      <c r="C350" s="11" t="s">
        <v>6106</v>
      </c>
      <c r="D350" s="11" t="s">
        <v>18</v>
      </c>
      <c r="E350" s="11">
        <v>2</v>
      </c>
      <c r="F350" s="12">
        <v>45076</v>
      </c>
      <c r="G350" s="12">
        <v>46902</v>
      </c>
      <c r="H350" s="11" t="s">
        <v>45</v>
      </c>
      <c r="I350" s="11" t="s">
        <v>51</v>
      </c>
    </row>
    <row r="351" spans="1:9" hidden="1">
      <c r="A351" s="13">
        <f t="shared" si="5"/>
        <v>346</v>
      </c>
      <c r="B351" s="10" t="s">
        <v>253</v>
      </c>
      <c r="C351" s="13" t="s">
        <v>6107</v>
      </c>
      <c r="D351" s="13" t="s">
        <v>18</v>
      </c>
      <c r="E351" s="13">
        <v>10</v>
      </c>
      <c r="F351" s="14">
        <v>45050</v>
      </c>
      <c r="G351" s="14">
        <v>46876</v>
      </c>
      <c r="H351" s="13" t="s">
        <v>45</v>
      </c>
      <c r="I351" s="13" t="s">
        <v>51</v>
      </c>
    </row>
    <row r="352" spans="1:9" hidden="1">
      <c r="A352" s="11">
        <f t="shared" si="5"/>
        <v>347</v>
      </c>
      <c r="B352" s="9" t="s">
        <v>320</v>
      </c>
      <c r="C352" s="11" t="s">
        <v>6108</v>
      </c>
      <c r="D352" s="11" t="s">
        <v>18</v>
      </c>
      <c r="E352" s="11">
        <v>132</v>
      </c>
      <c r="F352" s="12">
        <v>45173</v>
      </c>
      <c r="G352" s="12">
        <v>46999</v>
      </c>
      <c r="H352" s="11" t="s">
        <v>45</v>
      </c>
      <c r="I352" s="11" t="s">
        <v>51</v>
      </c>
    </row>
    <row r="353" spans="1:9" hidden="1">
      <c r="A353" s="13">
        <f t="shared" si="5"/>
        <v>348</v>
      </c>
      <c r="B353" s="10" t="s">
        <v>470</v>
      </c>
      <c r="C353" s="13" t="s">
        <v>6109</v>
      </c>
      <c r="D353" s="13" t="s">
        <v>18</v>
      </c>
      <c r="E353" s="13">
        <v>40</v>
      </c>
      <c r="F353" s="14">
        <v>45007</v>
      </c>
      <c r="G353" s="14">
        <v>46833</v>
      </c>
      <c r="H353" s="13" t="s">
        <v>45</v>
      </c>
      <c r="I353" s="13" t="s">
        <v>51</v>
      </c>
    </row>
    <row r="354" spans="1:9" hidden="1">
      <c r="A354" s="11">
        <f t="shared" si="5"/>
        <v>349</v>
      </c>
      <c r="B354" s="9" t="s">
        <v>1885</v>
      </c>
      <c r="C354" s="11" t="s">
        <v>6110</v>
      </c>
      <c r="D354" s="11" t="s">
        <v>18</v>
      </c>
      <c r="E354" s="11">
        <v>40</v>
      </c>
      <c r="F354" s="12">
        <v>45028</v>
      </c>
      <c r="G354" s="12">
        <v>46854</v>
      </c>
      <c r="H354" s="11" t="s">
        <v>45</v>
      </c>
      <c r="I354" s="11" t="s">
        <v>51</v>
      </c>
    </row>
    <row r="355" spans="1:9" hidden="1">
      <c r="A355" s="13">
        <f t="shared" si="5"/>
        <v>350</v>
      </c>
      <c r="B355" s="10" t="s">
        <v>5702</v>
      </c>
      <c r="C355" s="13" t="s">
        <v>6111</v>
      </c>
      <c r="D355" s="13" t="s">
        <v>18</v>
      </c>
      <c r="E355" s="13">
        <v>20</v>
      </c>
      <c r="F355" s="14">
        <v>45083</v>
      </c>
      <c r="G355" s="14">
        <v>46909</v>
      </c>
      <c r="H355" s="13" t="s">
        <v>45</v>
      </c>
      <c r="I355" s="13" t="s">
        <v>51</v>
      </c>
    </row>
    <row r="356" spans="1:9" hidden="1">
      <c r="A356" s="11">
        <f t="shared" si="5"/>
        <v>351</v>
      </c>
      <c r="B356" s="9" t="s">
        <v>1894</v>
      </c>
      <c r="C356" s="11" t="s">
        <v>6112</v>
      </c>
      <c r="D356" s="11" t="s">
        <v>18</v>
      </c>
      <c r="E356" s="11">
        <v>3</v>
      </c>
      <c r="F356" s="12">
        <v>45239</v>
      </c>
      <c r="G356" s="12">
        <v>47065</v>
      </c>
      <c r="H356" s="11" t="s">
        <v>45</v>
      </c>
      <c r="I356" s="11" t="s">
        <v>51</v>
      </c>
    </row>
    <row r="357" spans="1:9" hidden="1">
      <c r="A357" s="13">
        <f t="shared" si="5"/>
        <v>352</v>
      </c>
      <c r="B357" s="10" t="s">
        <v>1894</v>
      </c>
      <c r="C357" s="13" t="s">
        <v>6113</v>
      </c>
      <c r="D357" s="13" t="s">
        <v>18</v>
      </c>
      <c r="E357" s="13">
        <v>2</v>
      </c>
      <c r="F357" s="14">
        <v>45239</v>
      </c>
      <c r="G357" s="14">
        <v>47065</v>
      </c>
      <c r="H357" s="13" t="s">
        <v>45</v>
      </c>
      <c r="I357" s="13" t="s">
        <v>51</v>
      </c>
    </row>
    <row r="358" spans="1:9" hidden="1">
      <c r="A358" s="11">
        <f t="shared" si="5"/>
        <v>353</v>
      </c>
      <c r="B358" s="9" t="s">
        <v>320</v>
      </c>
      <c r="C358" s="11" t="s">
        <v>6114</v>
      </c>
      <c r="D358" s="11" t="s">
        <v>18</v>
      </c>
      <c r="E358" s="11">
        <v>23</v>
      </c>
      <c r="F358" s="12">
        <v>45184</v>
      </c>
      <c r="G358" s="12">
        <v>47010</v>
      </c>
      <c r="H358" s="11" t="s">
        <v>45</v>
      </c>
      <c r="I358" s="11" t="s">
        <v>51</v>
      </c>
    </row>
    <row r="359" spans="1:9" hidden="1">
      <c r="A359" s="13">
        <f t="shared" si="5"/>
        <v>354</v>
      </c>
      <c r="B359" s="10" t="s">
        <v>5702</v>
      </c>
      <c r="C359" s="13" t="s">
        <v>6115</v>
      </c>
      <c r="D359" s="13" t="s">
        <v>18</v>
      </c>
      <c r="E359" s="13">
        <v>40</v>
      </c>
      <c r="F359" s="14">
        <v>45083</v>
      </c>
      <c r="G359" s="14">
        <v>46909</v>
      </c>
      <c r="H359" s="13" t="s">
        <v>45</v>
      </c>
      <c r="I359" s="13" t="s">
        <v>51</v>
      </c>
    </row>
    <row r="360" spans="1:9" hidden="1">
      <c r="A360" s="11">
        <f t="shared" si="5"/>
        <v>355</v>
      </c>
      <c r="B360" s="9" t="s">
        <v>5709</v>
      </c>
      <c r="C360" s="11" t="s">
        <v>6116</v>
      </c>
      <c r="D360" s="11" t="s">
        <v>18</v>
      </c>
      <c r="E360" s="11">
        <v>192</v>
      </c>
      <c r="F360" s="12">
        <v>45265</v>
      </c>
      <c r="G360" s="12">
        <v>47091</v>
      </c>
      <c r="H360" s="11" t="s">
        <v>45</v>
      </c>
      <c r="I360" s="11" t="s">
        <v>51</v>
      </c>
    </row>
    <row r="361" spans="1:9" hidden="1">
      <c r="A361" s="13">
        <f t="shared" si="5"/>
        <v>356</v>
      </c>
      <c r="B361" s="10" t="s">
        <v>1898</v>
      </c>
      <c r="C361" s="13" t="s">
        <v>6117</v>
      </c>
      <c r="D361" s="13" t="s">
        <v>18</v>
      </c>
      <c r="E361" s="13">
        <v>10</v>
      </c>
      <c r="F361" s="14">
        <v>45250</v>
      </c>
      <c r="G361" s="14">
        <v>47076</v>
      </c>
      <c r="H361" s="13" t="s">
        <v>45</v>
      </c>
      <c r="I361" s="13" t="s">
        <v>51</v>
      </c>
    </row>
    <row r="362" spans="1:9" hidden="1">
      <c r="A362" s="11">
        <f t="shared" si="5"/>
        <v>357</v>
      </c>
      <c r="B362" s="9" t="s">
        <v>5705</v>
      </c>
      <c r="C362" s="11" t="s">
        <v>6118</v>
      </c>
      <c r="D362" s="11" t="s">
        <v>18</v>
      </c>
      <c r="E362" s="11">
        <v>7</v>
      </c>
      <c r="F362" s="12">
        <v>45146</v>
      </c>
      <c r="G362" s="12">
        <v>46972</v>
      </c>
      <c r="H362" s="11" t="s">
        <v>45</v>
      </c>
      <c r="I362" s="11" t="s">
        <v>51</v>
      </c>
    </row>
    <row r="363" spans="1:9" hidden="1">
      <c r="A363" s="13">
        <f t="shared" si="5"/>
        <v>358</v>
      </c>
      <c r="B363" s="10" t="s">
        <v>5705</v>
      </c>
      <c r="C363" s="13" t="s">
        <v>6119</v>
      </c>
      <c r="D363" s="13" t="s">
        <v>18</v>
      </c>
      <c r="E363" s="13">
        <v>7</v>
      </c>
      <c r="F363" s="14">
        <v>45146</v>
      </c>
      <c r="G363" s="14">
        <v>46972</v>
      </c>
      <c r="H363" s="13" t="s">
        <v>45</v>
      </c>
      <c r="I363" s="13" t="s">
        <v>51</v>
      </c>
    </row>
    <row r="364" spans="1:9" hidden="1">
      <c r="A364" s="11">
        <f t="shared" si="5"/>
        <v>359</v>
      </c>
      <c r="B364" s="9" t="s">
        <v>105</v>
      </c>
      <c r="C364" s="11" t="s">
        <v>6120</v>
      </c>
      <c r="D364" s="11" t="s">
        <v>13</v>
      </c>
      <c r="E364" s="11">
        <v>213</v>
      </c>
      <c r="F364" s="12">
        <v>41771</v>
      </c>
      <c r="G364" s="12">
        <v>47249</v>
      </c>
      <c r="H364" s="11" t="s">
        <v>29</v>
      </c>
      <c r="I364" s="11" t="s">
        <v>51</v>
      </c>
    </row>
    <row r="365" spans="1:9" hidden="1">
      <c r="A365" s="13">
        <f t="shared" si="5"/>
        <v>360</v>
      </c>
      <c r="B365" s="10" t="s">
        <v>105</v>
      </c>
      <c r="C365" s="13" t="s">
        <v>6121</v>
      </c>
      <c r="D365" s="13" t="s">
        <v>13</v>
      </c>
      <c r="E365" s="13">
        <v>369</v>
      </c>
      <c r="F365" s="14">
        <v>41041</v>
      </c>
      <c r="G365" s="14">
        <v>47249</v>
      </c>
      <c r="H365" s="13" t="s">
        <v>29</v>
      </c>
      <c r="I365" s="13" t="s">
        <v>51</v>
      </c>
    </row>
    <row r="366" spans="1:9" hidden="1">
      <c r="A366" s="11">
        <f t="shared" si="5"/>
        <v>361</v>
      </c>
      <c r="B366" s="9" t="s">
        <v>106</v>
      </c>
      <c r="C366" s="11" t="s">
        <v>6122</v>
      </c>
      <c r="D366" s="11" t="s">
        <v>13</v>
      </c>
      <c r="E366" s="11">
        <v>356</v>
      </c>
      <c r="F366" s="12">
        <v>41771</v>
      </c>
      <c r="G366" s="12">
        <v>47249</v>
      </c>
      <c r="H366" s="11" t="s">
        <v>29</v>
      </c>
      <c r="I366" s="11" t="s">
        <v>51</v>
      </c>
    </row>
    <row r="367" spans="1:9" hidden="1">
      <c r="A367" s="13">
        <f t="shared" si="5"/>
        <v>362</v>
      </c>
      <c r="B367" s="10" t="s">
        <v>106</v>
      </c>
      <c r="C367" s="13" t="s">
        <v>6123</v>
      </c>
      <c r="D367" s="13" t="s">
        <v>13</v>
      </c>
      <c r="E367" s="13">
        <v>470</v>
      </c>
      <c r="F367" s="14">
        <v>41771</v>
      </c>
      <c r="G367" s="14">
        <v>47249</v>
      </c>
      <c r="H367" s="13" t="s">
        <v>29</v>
      </c>
      <c r="I367" s="13" t="s">
        <v>51</v>
      </c>
    </row>
    <row r="368" spans="1:9" hidden="1">
      <c r="A368" s="11">
        <f t="shared" si="5"/>
        <v>363</v>
      </c>
      <c r="B368" s="9" t="s">
        <v>106</v>
      </c>
      <c r="C368" s="11" t="s">
        <v>6124</v>
      </c>
      <c r="D368" s="11" t="s">
        <v>13</v>
      </c>
      <c r="E368" s="11">
        <v>344</v>
      </c>
      <c r="F368" s="12">
        <v>42159</v>
      </c>
      <c r="G368" s="12">
        <v>47637</v>
      </c>
      <c r="H368" s="11" t="s">
        <v>29</v>
      </c>
      <c r="I368" s="11" t="s">
        <v>51</v>
      </c>
    </row>
    <row r="369" spans="1:9" hidden="1">
      <c r="A369" s="13">
        <f t="shared" si="5"/>
        <v>364</v>
      </c>
      <c r="B369" s="10" t="s">
        <v>129</v>
      </c>
      <c r="C369" s="13" t="s">
        <v>6125</v>
      </c>
      <c r="D369" s="13" t="s">
        <v>13</v>
      </c>
      <c r="E369" s="13">
        <v>101</v>
      </c>
      <c r="F369" s="14">
        <v>39867</v>
      </c>
      <c r="G369" s="14">
        <v>50823</v>
      </c>
      <c r="H369" s="13" t="s">
        <v>29</v>
      </c>
      <c r="I369" s="13" t="s">
        <v>51</v>
      </c>
    </row>
    <row r="370" spans="1:9" hidden="1">
      <c r="A370" s="11">
        <f t="shared" si="5"/>
        <v>365</v>
      </c>
      <c r="B370" s="9" t="s">
        <v>106</v>
      </c>
      <c r="C370" s="11" t="s">
        <v>6126</v>
      </c>
      <c r="D370" s="11" t="s">
        <v>13</v>
      </c>
      <c r="E370" s="11">
        <v>267</v>
      </c>
      <c r="F370" s="12">
        <v>41771</v>
      </c>
      <c r="G370" s="12">
        <v>47249</v>
      </c>
      <c r="H370" s="11" t="s">
        <v>29</v>
      </c>
      <c r="I370" s="11" t="s">
        <v>51</v>
      </c>
    </row>
    <row r="371" spans="1:9" hidden="1">
      <c r="A371" s="13">
        <f t="shared" si="5"/>
        <v>366</v>
      </c>
      <c r="B371" s="10" t="s">
        <v>106</v>
      </c>
      <c r="C371" s="13" t="s">
        <v>6127</v>
      </c>
      <c r="D371" s="13" t="s">
        <v>13</v>
      </c>
      <c r="E371" s="13">
        <v>281</v>
      </c>
      <c r="F371" s="14">
        <v>41771</v>
      </c>
      <c r="G371" s="14">
        <v>47249</v>
      </c>
      <c r="H371" s="13" t="s">
        <v>29</v>
      </c>
      <c r="I371" s="13" t="s">
        <v>51</v>
      </c>
    </row>
    <row r="372" spans="1:9" hidden="1">
      <c r="A372" s="11">
        <f t="shared" si="5"/>
        <v>367</v>
      </c>
      <c r="B372" s="9" t="s">
        <v>106</v>
      </c>
      <c r="C372" s="11" t="s">
        <v>6128</v>
      </c>
      <c r="D372" s="11" t="s">
        <v>13</v>
      </c>
      <c r="E372" s="11">
        <v>54</v>
      </c>
      <c r="F372" s="12">
        <v>41771</v>
      </c>
      <c r="G372" s="12">
        <v>47249</v>
      </c>
      <c r="H372" s="11" t="s">
        <v>29</v>
      </c>
      <c r="I372" s="11" t="s">
        <v>51</v>
      </c>
    </row>
    <row r="373" spans="1:9" hidden="1">
      <c r="A373" s="13">
        <f t="shared" si="5"/>
        <v>368</v>
      </c>
      <c r="B373" s="10" t="s">
        <v>106</v>
      </c>
      <c r="C373" s="13" t="s">
        <v>6129</v>
      </c>
      <c r="D373" s="13" t="s">
        <v>13</v>
      </c>
      <c r="E373" s="13">
        <v>108</v>
      </c>
      <c r="F373" s="14">
        <v>41771</v>
      </c>
      <c r="G373" s="14">
        <v>47249</v>
      </c>
      <c r="H373" s="13" t="s">
        <v>29</v>
      </c>
      <c r="I373" s="13" t="s">
        <v>51</v>
      </c>
    </row>
    <row r="374" spans="1:9" hidden="1">
      <c r="A374" s="11">
        <f t="shared" si="5"/>
        <v>369</v>
      </c>
      <c r="B374" s="9" t="s">
        <v>106</v>
      </c>
      <c r="C374" s="11" t="s">
        <v>6130</v>
      </c>
      <c r="D374" s="11" t="s">
        <v>13</v>
      </c>
      <c r="E374" s="11">
        <v>36</v>
      </c>
      <c r="F374" s="12">
        <v>42159</v>
      </c>
      <c r="G374" s="12">
        <v>47637</v>
      </c>
      <c r="H374" s="11" t="s">
        <v>29</v>
      </c>
      <c r="I374" s="11" t="s">
        <v>51</v>
      </c>
    </row>
    <row r="375" spans="1:9" hidden="1">
      <c r="A375" s="13">
        <f t="shared" si="5"/>
        <v>370</v>
      </c>
      <c r="B375" s="10" t="s">
        <v>106</v>
      </c>
      <c r="C375" s="13" t="s">
        <v>6131</v>
      </c>
      <c r="D375" s="13" t="s">
        <v>13</v>
      </c>
      <c r="E375" s="13">
        <v>133</v>
      </c>
      <c r="F375" s="14">
        <v>41771</v>
      </c>
      <c r="G375" s="14">
        <v>47249</v>
      </c>
      <c r="H375" s="13" t="s">
        <v>29</v>
      </c>
      <c r="I375" s="13" t="s">
        <v>51</v>
      </c>
    </row>
    <row r="376" spans="1:9" hidden="1">
      <c r="A376" s="11">
        <f t="shared" si="5"/>
        <v>371</v>
      </c>
      <c r="B376" s="9" t="s">
        <v>106</v>
      </c>
      <c r="C376" s="11" t="s">
        <v>6132</v>
      </c>
      <c r="D376" s="11" t="s">
        <v>13</v>
      </c>
      <c r="E376" s="11">
        <v>100</v>
      </c>
      <c r="F376" s="12">
        <v>42159</v>
      </c>
      <c r="G376" s="12">
        <v>47637</v>
      </c>
      <c r="H376" s="11" t="s">
        <v>29</v>
      </c>
      <c r="I376" s="11" t="s">
        <v>51</v>
      </c>
    </row>
    <row r="377" spans="1:9" hidden="1">
      <c r="A377" s="13">
        <f t="shared" si="5"/>
        <v>372</v>
      </c>
      <c r="B377" s="10" t="s">
        <v>107</v>
      </c>
      <c r="C377" s="13" t="s">
        <v>6133</v>
      </c>
      <c r="D377" s="13" t="s">
        <v>13</v>
      </c>
      <c r="E377" s="13">
        <v>12</v>
      </c>
      <c r="F377" s="14">
        <v>41969</v>
      </c>
      <c r="G377" s="14">
        <v>52926</v>
      </c>
      <c r="H377" s="13" t="s">
        <v>29</v>
      </c>
      <c r="I377" s="13" t="s">
        <v>51</v>
      </c>
    </row>
    <row r="378" spans="1:9" hidden="1">
      <c r="A378" s="11">
        <f t="shared" si="5"/>
        <v>373</v>
      </c>
      <c r="B378" s="9" t="s">
        <v>243</v>
      </c>
      <c r="C378" s="11" t="s">
        <v>6134</v>
      </c>
      <c r="D378" s="11" t="s">
        <v>18</v>
      </c>
      <c r="E378" s="11">
        <v>52</v>
      </c>
      <c r="F378" s="12">
        <v>43535</v>
      </c>
      <c r="G378" s="12">
        <v>45361</v>
      </c>
      <c r="H378" s="11" t="s">
        <v>29</v>
      </c>
      <c r="I378" s="11" t="s">
        <v>51</v>
      </c>
    </row>
    <row r="379" spans="1:9" hidden="1">
      <c r="A379" s="13">
        <f t="shared" si="5"/>
        <v>374</v>
      </c>
      <c r="B379" s="10" t="s">
        <v>198</v>
      </c>
      <c r="C379" s="13" t="s">
        <v>6135</v>
      </c>
      <c r="D379" s="13" t="s">
        <v>18</v>
      </c>
      <c r="E379" s="13">
        <v>27</v>
      </c>
      <c r="F379" s="14">
        <v>43711</v>
      </c>
      <c r="G379" s="14">
        <v>45537</v>
      </c>
      <c r="H379" s="13" t="s">
        <v>29</v>
      </c>
      <c r="I379" s="13" t="s">
        <v>51</v>
      </c>
    </row>
    <row r="380" spans="1:9" hidden="1">
      <c r="A380" s="11">
        <f t="shared" si="5"/>
        <v>375</v>
      </c>
      <c r="B380" s="9" t="s">
        <v>274</v>
      </c>
      <c r="C380" s="11" t="s">
        <v>6136</v>
      </c>
      <c r="D380" s="11" t="s">
        <v>18</v>
      </c>
      <c r="E380" s="11">
        <v>9</v>
      </c>
      <c r="F380" s="12">
        <v>44358</v>
      </c>
      <c r="G380" s="12">
        <v>46183</v>
      </c>
      <c r="H380" s="11" t="s">
        <v>29</v>
      </c>
      <c r="I380" s="11" t="s">
        <v>51</v>
      </c>
    </row>
    <row r="381" spans="1:9" hidden="1">
      <c r="A381" s="13">
        <f t="shared" si="5"/>
        <v>376</v>
      </c>
      <c r="B381" s="10" t="s">
        <v>291</v>
      </c>
      <c r="C381" s="13" t="s">
        <v>6137</v>
      </c>
      <c r="D381" s="13" t="s">
        <v>18</v>
      </c>
      <c r="E381" s="13">
        <v>6</v>
      </c>
      <c r="F381" s="14">
        <v>43810</v>
      </c>
      <c r="G381" s="14">
        <v>45636</v>
      </c>
      <c r="H381" s="13" t="s">
        <v>29</v>
      </c>
      <c r="I381" s="13" t="s">
        <v>51</v>
      </c>
    </row>
    <row r="382" spans="1:9" hidden="1">
      <c r="A382" s="11">
        <f t="shared" si="5"/>
        <v>377</v>
      </c>
      <c r="B382" s="9" t="s">
        <v>300</v>
      </c>
      <c r="C382" s="11" t="s">
        <v>6138</v>
      </c>
      <c r="D382" s="11" t="s">
        <v>18</v>
      </c>
      <c r="E382" s="11">
        <v>6</v>
      </c>
      <c r="F382" s="12">
        <v>44232</v>
      </c>
      <c r="G382" s="12">
        <v>46057</v>
      </c>
      <c r="H382" s="11" t="s">
        <v>29</v>
      </c>
      <c r="I382" s="11" t="s">
        <v>51</v>
      </c>
    </row>
    <row r="383" spans="1:9" hidden="1">
      <c r="A383" s="13">
        <f t="shared" si="5"/>
        <v>378</v>
      </c>
      <c r="B383" s="10" t="s">
        <v>300</v>
      </c>
      <c r="C383" s="13" t="s">
        <v>6139</v>
      </c>
      <c r="D383" s="13" t="s">
        <v>18</v>
      </c>
      <c r="E383" s="13">
        <v>9</v>
      </c>
      <c r="F383" s="14">
        <v>44232</v>
      </c>
      <c r="G383" s="14">
        <v>46057</v>
      </c>
      <c r="H383" s="13" t="s">
        <v>29</v>
      </c>
      <c r="I383" s="13" t="s">
        <v>51</v>
      </c>
    </row>
    <row r="384" spans="1:9" hidden="1">
      <c r="A384" s="11">
        <f t="shared" si="5"/>
        <v>379</v>
      </c>
      <c r="B384" s="9" t="s">
        <v>322</v>
      </c>
      <c r="C384" s="11" t="s">
        <v>6140</v>
      </c>
      <c r="D384" s="11" t="s">
        <v>18</v>
      </c>
      <c r="E384" s="11">
        <v>6</v>
      </c>
      <c r="F384" s="12">
        <v>44252</v>
      </c>
      <c r="G384" s="12">
        <v>46077</v>
      </c>
      <c r="H384" s="11" t="s">
        <v>29</v>
      </c>
      <c r="I384" s="11" t="s">
        <v>51</v>
      </c>
    </row>
    <row r="385" spans="1:9" hidden="1">
      <c r="A385" s="13">
        <f t="shared" si="5"/>
        <v>380</v>
      </c>
      <c r="B385" s="10" t="s">
        <v>350</v>
      </c>
      <c r="C385" s="13" t="s">
        <v>6141</v>
      </c>
      <c r="D385" s="13" t="s">
        <v>18</v>
      </c>
      <c r="E385" s="13">
        <v>54</v>
      </c>
      <c r="F385" s="14">
        <v>44523</v>
      </c>
      <c r="G385" s="14">
        <v>46348</v>
      </c>
      <c r="H385" s="13" t="s">
        <v>29</v>
      </c>
      <c r="I385" s="13" t="s">
        <v>51</v>
      </c>
    </row>
    <row r="386" spans="1:9" hidden="1">
      <c r="A386" s="11">
        <f t="shared" si="5"/>
        <v>381</v>
      </c>
      <c r="B386" s="9" t="s">
        <v>350</v>
      </c>
      <c r="C386" s="11" t="s">
        <v>6142</v>
      </c>
      <c r="D386" s="11" t="s">
        <v>18</v>
      </c>
      <c r="E386" s="11">
        <v>54</v>
      </c>
      <c r="F386" s="12">
        <v>44523</v>
      </c>
      <c r="G386" s="12">
        <v>46348</v>
      </c>
      <c r="H386" s="11" t="s">
        <v>29</v>
      </c>
      <c r="I386" s="11" t="s">
        <v>51</v>
      </c>
    </row>
    <row r="387" spans="1:9" hidden="1">
      <c r="A387" s="13">
        <f t="shared" si="5"/>
        <v>382</v>
      </c>
      <c r="B387" s="10" t="s">
        <v>351</v>
      </c>
      <c r="C387" s="13" t="s">
        <v>6143</v>
      </c>
      <c r="D387" s="13" t="s">
        <v>18</v>
      </c>
      <c r="E387" s="13">
        <v>56</v>
      </c>
      <c r="F387" s="14">
        <v>44523</v>
      </c>
      <c r="G387" s="14">
        <v>46348</v>
      </c>
      <c r="H387" s="13" t="s">
        <v>29</v>
      </c>
      <c r="I387" s="13" t="s">
        <v>51</v>
      </c>
    </row>
    <row r="388" spans="1:9" hidden="1">
      <c r="A388" s="11">
        <f t="shared" si="5"/>
        <v>383</v>
      </c>
      <c r="B388" s="9" t="s">
        <v>351</v>
      </c>
      <c r="C388" s="11" t="s">
        <v>6144</v>
      </c>
      <c r="D388" s="11" t="s">
        <v>18</v>
      </c>
      <c r="E388" s="11">
        <v>36</v>
      </c>
      <c r="F388" s="12">
        <v>44523</v>
      </c>
      <c r="G388" s="12">
        <v>46348</v>
      </c>
      <c r="H388" s="11" t="s">
        <v>29</v>
      </c>
      <c r="I388" s="11" t="s">
        <v>51</v>
      </c>
    </row>
    <row r="389" spans="1:9" hidden="1">
      <c r="A389" s="13">
        <f t="shared" si="5"/>
        <v>384</v>
      </c>
      <c r="B389" s="10" t="s">
        <v>359</v>
      </c>
      <c r="C389" s="13" t="s">
        <v>6145</v>
      </c>
      <c r="D389" s="13" t="s">
        <v>18</v>
      </c>
      <c r="E389" s="13">
        <v>31</v>
      </c>
      <c r="F389" s="14">
        <v>44659</v>
      </c>
      <c r="G389" s="14">
        <v>46484</v>
      </c>
      <c r="H389" s="13" t="s">
        <v>29</v>
      </c>
      <c r="I389" s="13" t="s">
        <v>51</v>
      </c>
    </row>
    <row r="390" spans="1:9" hidden="1">
      <c r="A390" s="11">
        <f t="shared" si="5"/>
        <v>385</v>
      </c>
      <c r="B390" s="9" t="s">
        <v>366</v>
      </c>
      <c r="C390" s="11" t="s">
        <v>6146</v>
      </c>
      <c r="D390" s="11" t="s">
        <v>18</v>
      </c>
      <c r="E390" s="11">
        <v>130</v>
      </c>
      <c r="F390" s="12">
        <v>44592</v>
      </c>
      <c r="G390" s="12">
        <v>46417</v>
      </c>
      <c r="H390" s="11" t="s">
        <v>29</v>
      </c>
      <c r="I390" s="11" t="s">
        <v>51</v>
      </c>
    </row>
    <row r="391" spans="1:9" hidden="1">
      <c r="A391" s="13">
        <f t="shared" si="5"/>
        <v>386</v>
      </c>
      <c r="B391" s="10" t="s">
        <v>350</v>
      </c>
      <c r="C391" s="13" t="s">
        <v>6147</v>
      </c>
      <c r="D391" s="13" t="s">
        <v>18</v>
      </c>
      <c r="E391" s="13">
        <v>21</v>
      </c>
      <c r="F391" s="14">
        <v>44670</v>
      </c>
      <c r="G391" s="14">
        <v>46495</v>
      </c>
      <c r="H391" s="13" t="s">
        <v>29</v>
      </c>
      <c r="I391" s="13" t="s">
        <v>51</v>
      </c>
    </row>
    <row r="392" spans="1:9" hidden="1">
      <c r="A392" s="11">
        <f t="shared" ref="A392:A455" si="6">+A391+1</f>
        <v>387</v>
      </c>
      <c r="B392" s="9" t="s">
        <v>351</v>
      </c>
      <c r="C392" s="11" t="s">
        <v>6148</v>
      </c>
      <c r="D392" s="11" t="s">
        <v>18</v>
      </c>
      <c r="E392" s="11">
        <v>45</v>
      </c>
      <c r="F392" s="12">
        <v>44659</v>
      </c>
      <c r="G392" s="12">
        <v>46484</v>
      </c>
      <c r="H392" s="11" t="s">
        <v>29</v>
      </c>
      <c r="I392" s="11" t="s">
        <v>51</v>
      </c>
    </row>
    <row r="393" spans="1:9" hidden="1">
      <c r="A393" s="13">
        <f t="shared" si="6"/>
        <v>388</v>
      </c>
      <c r="B393" s="10" t="s">
        <v>351</v>
      </c>
      <c r="C393" s="13" t="s">
        <v>6149</v>
      </c>
      <c r="D393" s="13" t="s">
        <v>18</v>
      </c>
      <c r="E393" s="13">
        <v>18</v>
      </c>
      <c r="F393" s="14">
        <v>44659</v>
      </c>
      <c r="G393" s="14">
        <v>46484</v>
      </c>
      <c r="H393" s="13" t="s">
        <v>29</v>
      </c>
      <c r="I393" s="13" t="s">
        <v>51</v>
      </c>
    </row>
    <row r="394" spans="1:9" hidden="1">
      <c r="A394" s="11">
        <f t="shared" si="6"/>
        <v>389</v>
      </c>
      <c r="B394" s="9" t="s">
        <v>371</v>
      </c>
      <c r="C394" s="11" t="s">
        <v>6150</v>
      </c>
      <c r="D394" s="11" t="s">
        <v>18</v>
      </c>
      <c r="E394" s="11">
        <v>30</v>
      </c>
      <c r="F394" s="12">
        <v>44810</v>
      </c>
      <c r="G394" s="12">
        <v>46635</v>
      </c>
      <c r="H394" s="11" t="s">
        <v>29</v>
      </c>
      <c r="I394" s="11" t="s">
        <v>51</v>
      </c>
    </row>
    <row r="395" spans="1:9" hidden="1">
      <c r="A395" s="13">
        <f t="shared" si="6"/>
        <v>390</v>
      </c>
      <c r="B395" s="10" t="s">
        <v>350</v>
      </c>
      <c r="C395" s="13" t="s">
        <v>6151</v>
      </c>
      <c r="D395" s="13" t="s">
        <v>18</v>
      </c>
      <c r="E395" s="13">
        <v>53</v>
      </c>
      <c r="F395" s="14">
        <v>45049</v>
      </c>
      <c r="G395" s="14">
        <v>46875</v>
      </c>
      <c r="H395" s="13" t="s">
        <v>29</v>
      </c>
      <c r="I395" s="13" t="s">
        <v>51</v>
      </c>
    </row>
    <row r="396" spans="1:9" hidden="1">
      <c r="A396" s="11">
        <f t="shared" si="6"/>
        <v>391</v>
      </c>
      <c r="B396" s="9" t="s">
        <v>351</v>
      </c>
      <c r="C396" s="11" t="s">
        <v>6152</v>
      </c>
      <c r="D396" s="11" t="s">
        <v>18</v>
      </c>
      <c r="E396" s="11">
        <v>58</v>
      </c>
      <c r="F396" s="12">
        <v>45049</v>
      </c>
      <c r="G396" s="12">
        <v>46875</v>
      </c>
      <c r="H396" s="11" t="s">
        <v>29</v>
      </c>
      <c r="I396" s="11" t="s">
        <v>51</v>
      </c>
    </row>
    <row r="397" spans="1:9" hidden="1">
      <c r="A397" s="13">
        <f t="shared" si="6"/>
        <v>392</v>
      </c>
      <c r="B397" s="10" t="s">
        <v>378</v>
      </c>
      <c r="C397" s="13" t="s">
        <v>6153</v>
      </c>
      <c r="D397" s="13" t="s">
        <v>18</v>
      </c>
      <c r="E397" s="13">
        <v>12</v>
      </c>
      <c r="F397" s="14">
        <v>44889</v>
      </c>
      <c r="G397" s="14">
        <v>46714</v>
      </c>
      <c r="H397" s="13" t="s">
        <v>29</v>
      </c>
      <c r="I397" s="13" t="s">
        <v>51</v>
      </c>
    </row>
    <row r="398" spans="1:9" hidden="1">
      <c r="A398" s="11">
        <f t="shared" si="6"/>
        <v>393</v>
      </c>
      <c r="B398" s="9" t="s">
        <v>381</v>
      </c>
      <c r="C398" s="11" t="s">
        <v>6154</v>
      </c>
      <c r="D398" s="11" t="s">
        <v>18</v>
      </c>
      <c r="E398" s="11">
        <v>29</v>
      </c>
      <c r="F398" s="12">
        <v>44903</v>
      </c>
      <c r="G398" s="12">
        <v>46728</v>
      </c>
      <c r="H398" s="11" t="s">
        <v>29</v>
      </c>
      <c r="I398" s="11" t="s">
        <v>51</v>
      </c>
    </row>
    <row r="399" spans="1:9" hidden="1">
      <c r="A399" s="13">
        <f t="shared" si="6"/>
        <v>394</v>
      </c>
      <c r="B399" s="10" t="s">
        <v>5710</v>
      </c>
      <c r="C399" s="13" t="s">
        <v>6155</v>
      </c>
      <c r="D399" s="13" t="s">
        <v>18</v>
      </c>
      <c r="E399" s="13">
        <v>22</v>
      </c>
      <c r="F399" s="14">
        <v>45145</v>
      </c>
      <c r="G399" s="14">
        <v>46971</v>
      </c>
      <c r="H399" s="13" t="s">
        <v>29</v>
      </c>
      <c r="I399" s="13" t="s">
        <v>51</v>
      </c>
    </row>
    <row r="400" spans="1:9" hidden="1">
      <c r="A400" s="11">
        <f t="shared" si="6"/>
        <v>395</v>
      </c>
      <c r="B400" s="9" t="s">
        <v>5710</v>
      </c>
      <c r="C400" s="11" t="s">
        <v>6156</v>
      </c>
      <c r="D400" s="11" t="s">
        <v>18</v>
      </c>
      <c r="E400" s="11">
        <v>31</v>
      </c>
      <c r="F400" s="12">
        <v>45146</v>
      </c>
      <c r="G400" s="12">
        <v>46972</v>
      </c>
      <c r="H400" s="11" t="s">
        <v>29</v>
      </c>
      <c r="I400" s="11" t="s">
        <v>51</v>
      </c>
    </row>
    <row r="401" spans="1:9" hidden="1">
      <c r="A401" s="13">
        <f t="shared" si="6"/>
        <v>396</v>
      </c>
      <c r="B401" s="10" t="s">
        <v>5711</v>
      </c>
      <c r="C401" s="13" t="s">
        <v>6157</v>
      </c>
      <c r="D401" s="13" t="s">
        <v>18</v>
      </c>
      <c r="E401" s="13">
        <v>30</v>
      </c>
      <c r="F401" s="14">
        <v>45146</v>
      </c>
      <c r="G401" s="14">
        <v>46972</v>
      </c>
      <c r="H401" s="13" t="s">
        <v>29</v>
      </c>
      <c r="I401" s="13" t="s">
        <v>51</v>
      </c>
    </row>
    <row r="402" spans="1:9" hidden="1">
      <c r="A402" s="11">
        <f t="shared" si="6"/>
        <v>397</v>
      </c>
      <c r="B402" s="9" t="s">
        <v>5711</v>
      </c>
      <c r="C402" s="11" t="s">
        <v>6158</v>
      </c>
      <c r="D402" s="11" t="s">
        <v>18</v>
      </c>
      <c r="E402" s="11">
        <v>20</v>
      </c>
      <c r="F402" s="12">
        <v>45146</v>
      </c>
      <c r="G402" s="12">
        <v>46972</v>
      </c>
      <c r="H402" s="11" t="s">
        <v>29</v>
      </c>
      <c r="I402" s="11" t="s">
        <v>51</v>
      </c>
    </row>
    <row r="403" spans="1:9" hidden="1">
      <c r="A403" s="13">
        <f t="shared" si="6"/>
        <v>398</v>
      </c>
      <c r="B403" s="10" t="s">
        <v>5712</v>
      </c>
      <c r="C403" s="13" t="s">
        <v>6159</v>
      </c>
      <c r="D403" s="13" t="s">
        <v>18</v>
      </c>
      <c r="E403" s="13">
        <v>1</v>
      </c>
      <c r="F403" s="14">
        <v>45055</v>
      </c>
      <c r="G403" s="14">
        <v>46881</v>
      </c>
      <c r="H403" s="13" t="s">
        <v>29</v>
      </c>
      <c r="I403" s="13" t="s">
        <v>51</v>
      </c>
    </row>
    <row r="404" spans="1:9" hidden="1">
      <c r="A404" s="11">
        <f t="shared" si="6"/>
        <v>399</v>
      </c>
      <c r="B404" s="9" t="s">
        <v>5713</v>
      </c>
      <c r="C404" s="11" t="s">
        <v>6160</v>
      </c>
      <c r="D404" s="11" t="s">
        <v>18</v>
      </c>
      <c r="E404" s="11">
        <v>2</v>
      </c>
      <c r="F404" s="12">
        <v>45054</v>
      </c>
      <c r="G404" s="12">
        <v>46880</v>
      </c>
      <c r="H404" s="11" t="s">
        <v>29</v>
      </c>
      <c r="I404" s="11" t="s">
        <v>51</v>
      </c>
    </row>
    <row r="405" spans="1:9" hidden="1">
      <c r="A405" s="13">
        <f t="shared" si="6"/>
        <v>400</v>
      </c>
      <c r="B405" s="10" t="s">
        <v>5681</v>
      </c>
      <c r="C405" s="13" t="s">
        <v>6161</v>
      </c>
      <c r="D405" s="13" t="s">
        <v>18</v>
      </c>
      <c r="E405" s="13">
        <v>11</v>
      </c>
      <c r="F405" s="14">
        <v>45104</v>
      </c>
      <c r="G405" s="14">
        <v>46930</v>
      </c>
      <c r="H405" s="13" t="s">
        <v>29</v>
      </c>
      <c r="I405" s="13" t="s">
        <v>51</v>
      </c>
    </row>
    <row r="406" spans="1:9" hidden="1">
      <c r="A406" s="11">
        <f t="shared" si="6"/>
        <v>401</v>
      </c>
      <c r="B406" s="9" t="s">
        <v>5714</v>
      </c>
      <c r="C406" s="11" t="s">
        <v>6162</v>
      </c>
      <c r="D406" s="11" t="s">
        <v>18</v>
      </c>
      <c r="E406" s="11">
        <v>42</v>
      </c>
      <c r="F406" s="12">
        <v>45034</v>
      </c>
      <c r="G406" s="12">
        <v>46860</v>
      </c>
      <c r="H406" s="11" t="s">
        <v>29</v>
      </c>
      <c r="I406" s="11" t="s">
        <v>51</v>
      </c>
    </row>
    <row r="407" spans="1:9" hidden="1">
      <c r="A407" s="13">
        <f t="shared" si="6"/>
        <v>402</v>
      </c>
      <c r="B407" s="10" t="s">
        <v>381</v>
      </c>
      <c r="C407" s="13" t="s">
        <v>6163</v>
      </c>
      <c r="D407" s="13" t="s">
        <v>18</v>
      </c>
      <c r="E407" s="13">
        <v>37</v>
      </c>
      <c r="F407" s="14">
        <v>44911</v>
      </c>
      <c r="G407" s="14">
        <v>46736</v>
      </c>
      <c r="H407" s="13" t="s">
        <v>29</v>
      </c>
      <c r="I407" s="13" t="s">
        <v>51</v>
      </c>
    </row>
    <row r="408" spans="1:9" hidden="1">
      <c r="A408" s="11">
        <f t="shared" si="6"/>
        <v>403</v>
      </c>
      <c r="B408" s="9" t="s">
        <v>381</v>
      </c>
      <c r="C408" s="11" t="s">
        <v>6164</v>
      </c>
      <c r="D408" s="11" t="s">
        <v>18</v>
      </c>
      <c r="E408" s="11">
        <v>55</v>
      </c>
      <c r="F408" s="12">
        <v>44911</v>
      </c>
      <c r="G408" s="12">
        <v>46736</v>
      </c>
      <c r="H408" s="11" t="s">
        <v>29</v>
      </c>
      <c r="I408" s="11" t="s">
        <v>51</v>
      </c>
    </row>
    <row r="409" spans="1:9" hidden="1">
      <c r="A409" s="13">
        <f t="shared" si="6"/>
        <v>404</v>
      </c>
      <c r="B409" s="10" t="s">
        <v>5715</v>
      </c>
      <c r="C409" s="13" t="s">
        <v>6165</v>
      </c>
      <c r="D409" s="13" t="s">
        <v>18</v>
      </c>
      <c r="E409" s="13">
        <v>27</v>
      </c>
      <c r="F409" s="14">
        <v>45238</v>
      </c>
      <c r="G409" s="14">
        <v>47064</v>
      </c>
      <c r="H409" s="13" t="s">
        <v>29</v>
      </c>
      <c r="I409" s="13" t="s">
        <v>51</v>
      </c>
    </row>
    <row r="410" spans="1:9" hidden="1">
      <c r="A410" s="11">
        <f t="shared" si="6"/>
        <v>405</v>
      </c>
      <c r="B410" s="9" t="s">
        <v>432</v>
      </c>
      <c r="C410" s="11" t="s">
        <v>6166</v>
      </c>
      <c r="D410" s="11" t="s">
        <v>18</v>
      </c>
      <c r="E410" s="11">
        <v>94</v>
      </c>
      <c r="F410" s="12">
        <v>45134</v>
      </c>
      <c r="G410" s="12">
        <v>46960</v>
      </c>
      <c r="H410" s="11" t="s">
        <v>29</v>
      </c>
      <c r="I410" s="11" t="s">
        <v>51</v>
      </c>
    </row>
    <row r="411" spans="1:9" hidden="1">
      <c r="A411" s="13">
        <f t="shared" si="6"/>
        <v>406</v>
      </c>
      <c r="B411" s="10" t="s">
        <v>432</v>
      </c>
      <c r="C411" s="13" t="s">
        <v>6167</v>
      </c>
      <c r="D411" s="13" t="s">
        <v>18</v>
      </c>
      <c r="E411" s="13">
        <v>107</v>
      </c>
      <c r="F411" s="14">
        <v>45134</v>
      </c>
      <c r="G411" s="14">
        <v>46960</v>
      </c>
      <c r="H411" s="13" t="s">
        <v>29</v>
      </c>
      <c r="I411" s="13" t="s">
        <v>51</v>
      </c>
    </row>
    <row r="412" spans="1:9" hidden="1">
      <c r="A412" s="11">
        <f t="shared" si="6"/>
        <v>407</v>
      </c>
      <c r="B412" s="9" t="s">
        <v>5711</v>
      </c>
      <c r="C412" s="11" t="s">
        <v>6168</v>
      </c>
      <c r="D412" s="11" t="s">
        <v>18</v>
      </c>
      <c r="E412" s="11">
        <v>92</v>
      </c>
      <c r="F412" s="12">
        <v>45146</v>
      </c>
      <c r="G412" s="12">
        <v>46972</v>
      </c>
      <c r="H412" s="11" t="s">
        <v>29</v>
      </c>
      <c r="I412" s="11" t="s">
        <v>51</v>
      </c>
    </row>
    <row r="413" spans="1:9" hidden="1">
      <c r="A413" s="13">
        <f t="shared" si="6"/>
        <v>408</v>
      </c>
      <c r="B413" s="10" t="s">
        <v>108</v>
      </c>
      <c r="C413" s="13" t="s">
        <v>6169</v>
      </c>
      <c r="D413" s="13" t="s">
        <v>13</v>
      </c>
      <c r="E413" s="13">
        <v>417</v>
      </c>
      <c r="F413" s="14">
        <v>41792</v>
      </c>
      <c r="G413" s="14">
        <v>47270</v>
      </c>
      <c r="H413" s="13" t="s">
        <v>28</v>
      </c>
      <c r="I413" s="13" t="s">
        <v>51</v>
      </c>
    </row>
    <row r="414" spans="1:9" hidden="1">
      <c r="A414" s="11">
        <f t="shared" si="6"/>
        <v>409</v>
      </c>
      <c r="B414" s="9" t="s">
        <v>108</v>
      </c>
      <c r="C414" s="11" t="s">
        <v>6170</v>
      </c>
      <c r="D414" s="11" t="s">
        <v>13</v>
      </c>
      <c r="E414" s="11">
        <v>461</v>
      </c>
      <c r="F414" s="12">
        <v>42004</v>
      </c>
      <c r="G414" s="12">
        <v>47482</v>
      </c>
      <c r="H414" s="11" t="s">
        <v>28</v>
      </c>
      <c r="I414" s="11" t="s">
        <v>51</v>
      </c>
    </row>
    <row r="415" spans="1:9" hidden="1">
      <c r="A415" s="13">
        <f t="shared" si="6"/>
        <v>410</v>
      </c>
      <c r="B415" s="10" t="s">
        <v>108</v>
      </c>
      <c r="C415" s="13" t="s">
        <v>6171</v>
      </c>
      <c r="D415" s="13" t="s">
        <v>13</v>
      </c>
      <c r="E415" s="13">
        <v>385</v>
      </c>
      <c r="F415" s="14">
        <v>42004</v>
      </c>
      <c r="G415" s="14">
        <v>47482</v>
      </c>
      <c r="H415" s="13" t="s">
        <v>28</v>
      </c>
      <c r="I415" s="13" t="s">
        <v>51</v>
      </c>
    </row>
    <row r="416" spans="1:9" hidden="1">
      <c r="A416" s="11">
        <f t="shared" si="6"/>
        <v>411</v>
      </c>
      <c r="B416" s="9" t="s">
        <v>120</v>
      </c>
      <c r="C416" s="11" t="s">
        <v>6172</v>
      </c>
      <c r="D416" s="11" t="s">
        <v>13</v>
      </c>
      <c r="E416" s="11">
        <v>24</v>
      </c>
      <c r="F416" s="12">
        <v>44145</v>
      </c>
      <c r="G416" s="12">
        <v>53275</v>
      </c>
      <c r="H416" s="11" t="s">
        <v>28</v>
      </c>
      <c r="I416" s="11" t="s">
        <v>51</v>
      </c>
    </row>
    <row r="417" spans="1:9" hidden="1">
      <c r="A417" s="13">
        <f t="shared" si="6"/>
        <v>412</v>
      </c>
      <c r="B417" s="10" t="s">
        <v>120</v>
      </c>
      <c r="C417" s="13" t="s">
        <v>6173</v>
      </c>
      <c r="D417" s="13" t="s">
        <v>13</v>
      </c>
      <c r="E417" s="13">
        <v>27</v>
      </c>
      <c r="F417" s="14">
        <v>44145</v>
      </c>
      <c r="G417" s="14">
        <v>53275</v>
      </c>
      <c r="H417" s="13" t="s">
        <v>28</v>
      </c>
      <c r="I417" s="13" t="s">
        <v>51</v>
      </c>
    </row>
    <row r="418" spans="1:9" hidden="1">
      <c r="A418" s="11">
        <f t="shared" si="6"/>
        <v>413</v>
      </c>
      <c r="B418" s="9" t="s">
        <v>121</v>
      </c>
      <c r="C418" s="11" t="s">
        <v>6174</v>
      </c>
      <c r="D418" s="11" t="s">
        <v>27</v>
      </c>
      <c r="E418" s="11">
        <v>128</v>
      </c>
      <c r="F418" s="12">
        <v>43998</v>
      </c>
      <c r="G418" s="12">
        <v>45823</v>
      </c>
      <c r="H418" s="11" t="s">
        <v>28</v>
      </c>
      <c r="I418" s="11" t="s">
        <v>51</v>
      </c>
    </row>
    <row r="419" spans="1:9" hidden="1">
      <c r="A419" s="13">
        <f t="shared" si="6"/>
        <v>414</v>
      </c>
      <c r="B419" s="10" t="s">
        <v>121</v>
      </c>
      <c r="C419" s="13" t="s">
        <v>6175</v>
      </c>
      <c r="D419" s="13" t="s">
        <v>27</v>
      </c>
      <c r="E419" s="13">
        <v>99</v>
      </c>
      <c r="F419" s="14">
        <v>43998</v>
      </c>
      <c r="G419" s="14">
        <v>45823</v>
      </c>
      <c r="H419" s="13" t="s">
        <v>28</v>
      </c>
      <c r="I419" s="13" t="s">
        <v>51</v>
      </c>
    </row>
    <row r="420" spans="1:9" hidden="1">
      <c r="A420" s="11">
        <f t="shared" si="6"/>
        <v>415</v>
      </c>
      <c r="B420" s="9" t="s">
        <v>129</v>
      </c>
      <c r="C420" s="11" t="s">
        <v>6176</v>
      </c>
      <c r="D420" s="11" t="s">
        <v>13</v>
      </c>
      <c r="E420" s="11">
        <v>144</v>
      </c>
      <c r="F420" s="12">
        <v>39867</v>
      </c>
      <c r="G420" s="12">
        <v>50823</v>
      </c>
      <c r="H420" s="11" t="s">
        <v>28</v>
      </c>
      <c r="I420" s="11" t="s">
        <v>51</v>
      </c>
    </row>
    <row r="421" spans="1:9" hidden="1">
      <c r="A421" s="13">
        <f t="shared" si="6"/>
        <v>416</v>
      </c>
      <c r="B421" s="10" t="s">
        <v>129</v>
      </c>
      <c r="C421" s="13" t="s">
        <v>6177</v>
      </c>
      <c r="D421" s="13" t="s">
        <v>13</v>
      </c>
      <c r="E421" s="13">
        <v>72</v>
      </c>
      <c r="F421" s="14">
        <v>39867</v>
      </c>
      <c r="G421" s="14">
        <v>50823</v>
      </c>
      <c r="H421" s="13" t="s">
        <v>28</v>
      </c>
      <c r="I421" s="13" t="s">
        <v>51</v>
      </c>
    </row>
    <row r="422" spans="1:9" hidden="1">
      <c r="A422" s="11">
        <f t="shared" si="6"/>
        <v>417</v>
      </c>
      <c r="B422" s="9" t="s">
        <v>213</v>
      </c>
      <c r="C422" s="11" t="s">
        <v>6178</v>
      </c>
      <c r="D422" s="11" t="s">
        <v>18</v>
      </c>
      <c r="E422" s="11">
        <v>2</v>
      </c>
      <c r="F422" s="12">
        <v>43493</v>
      </c>
      <c r="G422" s="12">
        <v>45318</v>
      </c>
      <c r="H422" s="11" t="s">
        <v>28</v>
      </c>
      <c r="I422" s="11" t="s">
        <v>51</v>
      </c>
    </row>
    <row r="423" spans="1:9" hidden="1">
      <c r="A423" s="13">
        <f t="shared" si="6"/>
        <v>418</v>
      </c>
      <c r="B423" s="10" t="s">
        <v>211</v>
      </c>
      <c r="C423" s="13" t="s">
        <v>6179</v>
      </c>
      <c r="D423" s="13" t="s">
        <v>18</v>
      </c>
      <c r="E423" s="13">
        <v>4</v>
      </c>
      <c r="F423" s="14">
        <v>43493</v>
      </c>
      <c r="G423" s="14">
        <v>45318</v>
      </c>
      <c r="H423" s="13" t="s">
        <v>28</v>
      </c>
      <c r="I423" s="13" t="s">
        <v>51</v>
      </c>
    </row>
    <row r="424" spans="1:9" hidden="1">
      <c r="A424" s="11">
        <f t="shared" si="6"/>
        <v>419</v>
      </c>
      <c r="B424" s="9" t="s">
        <v>198</v>
      </c>
      <c r="C424" s="11" t="s">
        <v>6180</v>
      </c>
      <c r="D424" s="11" t="s">
        <v>18</v>
      </c>
      <c r="E424" s="11">
        <v>15</v>
      </c>
      <c r="F424" s="12">
        <v>43542</v>
      </c>
      <c r="G424" s="12">
        <v>45368</v>
      </c>
      <c r="H424" s="11" t="s">
        <v>28</v>
      </c>
      <c r="I424" s="11" t="s">
        <v>51</v>
      </c>
    </row>
    <row r="425" spans="1:9" hidden="1">
      <c r="A425" s="13">
        <f t="shared" si="6"/>
        <v>420</v>
      </c>
      <c r="B425" s="10" t="s">
        <v>269</v>
      </c>
      <c r="C425" s="13" t="s">
        <v>6181</v>
      </c>
      <c r="D425" s="13" t="s">
        <v>18</v>
      </c>
      <c r="E425" s="13">
        <v>62</v>
      </c>
      <c r="F425" s="14">
        <v>43670</v>
      </c>
      <c r="G425" s="14">
        <v>45496</v>
      </c>
      <c r="H425" s="13" t="s">
        <v>28</v>
      </c>
      <c r="I425" s="13" t="s">
        <v>51</v>
      </c>
    </row>
    <row r="426" spans="1:9" hidden="1">
      <c r="A426" s="11">
        <f t="shared" si="6"/>
        <v>421</v>
      </c>
      <c r="B426" s="9" t="s">
        <v>269</v>
      </c>
      <c r="C426" s="11" t="s">
        <v>6182</v>
      </c>
      <c r="D426" s="11" t="s">
        <v>18</v>
      </c>
      <c r="E426" s="11">
        <v>54</v>
      </c>
      <c r="F426" s="12">
        <v>43670</v>
      </c>
      <c r="G426" s="12">
        <v>45496</v>
      </c>
      <c r="H426" s="11" t="s">
        <v>28</v>
      </c>
      <c r="I426" s="11" t="s">
        <v>51</v>
      </c>
    </row>
    <row r="427" spans="1:9" hidden="1">
      <c r="A427" s="13">
        <f t="shared" si="6"/>
        <v>422</v>
      </c>
      <c r="B427" s="10" t="s">
        <v>269</v>
      </c>
      <c r="C427" s="13" t="s">
        <v>6183</v>
      </c>
      <c r="D427" s="13" t="s">
        <v>13</v>
      </c>
      <c r="E427" s="13">
        <v>38</v>
      </c>
      <c r="F427" s="14">
        <v>45000</v>
      </c>
      <c r="G427" s="14">
        <v>54131</v>
      </c>
      <c r="H427" s="13" t="s">
        <v>28</v>
      </c>
      <c r="I427" s="13" t="s">
        <v>51</v>
      </c>
    </row>
    <row r="428" spans="1:9" hidden="1">
      <c r="A428" s="11">
        <f t="shared" si="6"/>
        <v>423</v>
      </c>
      <c r="B428" s="9" t="s">
        <v>274</v>
      </c>
      <c r="C428" s="11" t="s">
        <v>6184</v>
      </c>
      <c r="D428" s="11" t="s">
        <v>18</v>
      </c>
      <c r="E428" s="11">
        <v>8</v>
      </c>
      <c r="F428" s="12">
        <v>44358</v>
      </c>
      <c r="G428" s="12">
        <v>46183</v>
      </c>
      <c r="H428" s="11" t="s">
        <v>28</v>
      </c>
      <c r="I428" s="11" t="s">
        <v>51</v>
      </c>
    </row>
    <row r="429" spans="1:9" hidden="1">
      <c r="A429" s="13">
        <f t="shared" si="6"/>
        <v>424</v>
      </c>
      <c r="B429" s="10" t="s">
        <v>275</v>
      </c>
      <c r="C429" s="13" t="s">
        <v>6185</v>
      </c>
      <c r="D429" s="13" t="s">
        <v>18</v>
      </c>
      <c r="E429" s="13">
        <v>25</v>
      </c>
      <c r="F429" s="14">
        <v>44022</v>
      </c>
      <c r="G429" s="14">
        <v>45847</v>
      </c>
      <c r="H429" s="13" t="s">
        <v>28</v>
      </c>
      <c r="I429" s="13" t="s">
        <v>51</v>
      </c>
    </row>
    <row r="430" spans="1:9" hidden="1">
      <c r="A430" s="11">
        <f t="shared" si="6"/>
        <v>425</v>
      </c>
      <c r="B430" s="9" t="s">
        <v>198</v>
      </c>
      <c r="C430" s="11" t="s">
        <v>6186</v>
      </c>
      <c r="D430" s="11" t="s">
        <v>18</v>
      </c>
      <c r="E430" s="11">
        <v>17</v>
      </c>
      <c r="F430" s="12">
        <v>43711</v>
      </c>
      <c r="G430" s="12">
        <v>45537</v>
      </c>
      <c r="H430" s="11" t="s">
        <v>28</v>
      </c>
      <c r="I430" s="11" t="s">
        <v>51</v>
      </c>
    </row>
    <row r="431" spans="1:9" hidden="1">
      <c r="A431" s="13">
        <f t="shared" si="6"/>
        <v>426</v>
      </c>
      <c r="B431" s="10" t="s">
        <v>269</v>
      </c>
      <c r="C431" s="13" t="s">
        <v>6187</v>
      </c>
      <c r="D431" s="13" t="s">
        <v>13</v>
      </c>
      <c r="E431" s="13">
        <v>32</v>
      </c>
      <c r="F431" s="14">
        <v>44966</v>
      </c>
      <c r="G431" s="14">
        <v>54096</v>
      </c>
      <c r="H431" s="13" t="s">
        <v>28</v>
      </c>
      <c r="I431" s="13" t="s">
        <v>51</v>
      </c>
    </row>
    <row r="432" spans="1:9" hidden="1">
      <c r="A432" s="11">
        <f t="shared" si="6"/>
        <v>427</v>
      </c>
      <c r="B432" s="9" t="s">
        <v>269</v>
      </c>
      <c r="C432" s="11" t="s">
        <v>6188</v>
      </c>
      <c r="D432" s="11" t="s">
        <v>13</v>
      </c>
      <c r="E432" s="11">
        <v>31</v>
      </c>
      <c r="F432" s="12">
        <v>44966</v>
      </c>
      <c r="G432" s="12">
        <v>54096</v>
      </c>
      <c r="H432" s="11" t="s">
        <v>28</v>
      </c>
      <c r="I432" s="11" t="s">
        <v>51</v>
      </c>
    </row>
    <row r="433" spans="1:9" hidden="1">
      <c r="A433" s="13">
        <f t="shared" si="6"/>
        <v>428</v>
      </c>
      <c r="B433" s="10" t="s">
        <v>282</v>
      </c>
      <c r="C433" s="13" t="s">
        <v>6189</v>
      </c>
      <c r="D433" s="13" t="s">
        <v>18</v>
      </c>
      <c r="E433" s="13">
        <v>40</v>
      </c>
      <c r="F433" s="14">
        <v>43714</v>
      </c>
      <c r="G433" s="14">
        <v>45540</v>
      </c>
      <c r="H433" s="13" t="s">
        <v>28</v>
      </c>
      <c r="I433" s="13" t="s">
        <v>51</v>
      </c>
    </row>
    <row r="434" spans="1:9" hidden="1">
      <c r="A434" s="11">
        <f t="shared" si="6"/>
        <v>429</v>
      </c>
      <c r="B434" s="9" t="s">
        <v>282</v>
      </c>
      <c r="C434" s="11" t="s">
        <v>6190</v>
      </c>
      <c r="D434" s="11" t="s">
        <v>13</v>
      </c>
      <c r="E434" s="11">
        <v>26</v>
      </c>
      <c r="F434" s="12">
        <v>44966</v>
      </c>
      <c r="G434" s="12">
        <v>54096</v>
      </c>
      <c r="H434" s="11" t="s">
        <v>28</v>
      </c>
      <c r="I434" s="11" t="s">
        <v>51</v>
      </c>
    </row>
    <row r="435" spans="1:9" hidden="1">
      <c r="A435" s="13">
        <f t="shared" si="6"/>
        <v>430</v>
      </c>
      <c r="B435" s="10" t="s">
        <v>282</v>
      </c>
      <c r="C435" s="13" t="s">
        <v>6191</v>
      </c>
      <c r="D435" s="13" t="s">
        <v>18</v>
      </c>
      <c r="E435" s="13">
        <v>14</v>
      </c>
      <c r="F435" s="14">
        <v>43783</v>
      </c>
      <c r="G435" s="14">
        <v>45609</v>
      </c>
      <c r="H435" s="13" t="s">
        <v>28</v>
      </c>
      <c r="I435" s="13" t="s">
        <v>51</v>
      </c>
    </row>
    <row r="436" spans="1:9" hidden="1">
      <c r="A436" s="11">
        <f t="shared" si="6"/>
        <v>431</v>
      </c>
      <c r="B436" s="9" t="s">
        <v>282</v>
      </c>
      <c r="C436" s="11" t="s">
        <v>6192</v>
      </c>
      <c r="D436" s="11" t="s">
        <v>18</v>
      </c>
      <c r="E436" s="11">
        <v>36</v>
      </c>
      <c r="F436" s="12">
        <v>43714</v>
      </c>
      <c r="G436" s="12">
        <v>45540</v>
      </c>
      <c r="H436" s="11" t="s">
        <v>28</v>
      </c>
      <c r="I436" s="11" t="s">
        <v>51</v>
      </c>
    </row>
    <row r="437" spans="1:9" hidden="1">
      <c r="A437" s="13">
        <f t="shared" si="6"/>
        <v>432</v>
      </c>
      <c r="B437" s="10" t="s">
        <v>282</v>
      </c>
      <c r="C437" s="13" t="s">
        <v>6193</v>
      </c>
      <c r="D437" s="13" t="s">
        <v>13</v>
      </c>
      <c r="E437" s="13">
        <v>25</v>
      </c>
      <c r="F437" s="14">
        <v>44966</v>
      </c>
      <c r="G437" s="14">
        <v>54096</v>
      </c>
      <c r="H437" s="13" t="s">
        <v>28</v>
      </c>
      <c r="I437" s="13" t="s">
        <v>51</v>
      </c>
    </row>
    <row r="438" spans="1:9" hidden="1">
      <c r="A438" s="11">
        <f t="shared" si="6"/>
        <v>433</v>
      </c>
      <c r="B438" s="9" t="s">
        <v>282</v>
      </c>
      <c r="C438" s="11" t="s">
        <v>6194</v>
      </c>
      <c r="D438" s="11" t="s">
        <v>13</v>
      </c>
      <c r="E438" s="11">
        <v>38</v>
      </c>
      <c r="F438" s="12">
        <v>44966</v>
      </c>
      <c r="G438" s="12">
        <v>54096</v>
      </c>
      <c r="H438" s="11" t="s">
        <v>28</v>
      </c>
      <c r="I438" s="11" t="s">
        <v>51</v>
      </c>
    </row>
    <row r="439" spans="1:9" hidden="1">
      <c r="A439" s="13">
        <f t="shared" si="6"/>
        <v>434</v>
      </c>
      <c r="B439" s="10" t="s">
        <v>282</v>
      </c>
      <c r="C439" s="13" t="s">
        <v>6195</v>
      </c>
      <c r="D439" s="13" t="s">
        <v>18</v>
      </c>
      <c r="E439" s="13">
        <v>81</v>
      </c>
      <c r="F439" s="14">
        <v>43714</v>
      </c>
      <c r="G439" s="14">
        <v>45540</v>
      </c>
      <c r="H439" s="13" t="s">
        <v>28</v>
      </c>
      <c r="I439" s="13" t="s">
        <v>51</v>
      </c>
    </row>
    <row r="440" spans="1:9" hidden="1">
      <c r="A440" s="11">
        <f t="shared" si="6"/>
        <v>435</v>
      </c>
      <c r="B440" s="9" t="s">
        <v>198</v>
      </c>
      <c r="C440" s="11" t="s">
        <v>6196</v>
      </c>
      <c r="D440" s="11" t="s">
        <v>18</v>
      </c>
      <c r="E440" s="11">
        <v>23</v>
      </c>
      <c r="F440" s="12">
        <v>43711</v>
      </c>
      <c r="G440" s="12">
        <v>45537</v>
      </c>
      <c r="H440" s="11" t="s">
        <v>28</v>
      </c>
      <c r="I440" s="11" t="s">
        <v>51</v>
      </c>
    </row>
    <row r="441" spans="1:9" hidden="1">
      <c r="A441" s="13">
        <f t="shared" si="6"/>
        <v>436</v>
      </c>
      <c r="B441" s="10" t="s">
        <v>297</v>
      </c>
      <c r="C441" s="13" t="s">
        <v>6197</v>
      </c>
      <c r="D441" s="13" t="s">
        <v>18</v>
      </c>
      <c r="E441" s="13">
        <v>20</v>
      </c>
      <c r="F441" s="14">
        <v>44047</v>
      </c>
      <c r="G441" s="14">
        <v>45872</v>
      </c>
      <c r="H441" s="13" t="s">
        <v>28</v>
      </c>
      <c r="I441" s="13" t="s">
        <v>51</v>
      </c>
    </row>
    <row r="442" spans="1:9" hidden="1">
      <c r="A442" s="11">
        <f t="shared" si="6"/>
        <v>437</v>
      </c>
      <c r="B442" s="9" t="s">
        <v>236</v>
      </c>
      <c r="C442" s="11" t="s">
        <v>6198</v>
      </c>
      <c r="D442" s="11" t="s">
        <v>18</v>
      </c>
      <c r="E442" s="11">
        <v>20</v>
      </c>
      <c r="F442" s="12">
        <v>44077</v>
      </c>
      <c r="G442" s="12">
        <v>45902</v>
      </c>
      <c r="H442" s="11" t="s">
        <v>28</v>
      </c>
      <c r="I442" s="11" t="s">
        <v>51</v>
      </c>
    </row>
    <row r="443" spans="1:9" hidden="1">
      <c r="A443" s="13">
        <f t="shared" si="6"/>
        <v>438</v>
      </c>
      <c r="B443" s="10" t="s">
        <v>236</v>
      </c>
      <c r="C443" s="13" t="s">
        <v>6199</v>
      </c>
      <c r="D443" s="13" t="s">
        <v>18</v>
      </c>
      <c r="E443" s="13">
        <v>21</v>
      </c>
      <c r="F443" s="14">
        <v>44077</v>
      </c>
      <c r="G443" s="14">
        <v>45902</v>
      </c>
      <c r="H443" s="13" t="s">
        <v>28</v>
      </c>
      <c r="I443" s="13" t="s">
        <v>51</v>
      </c>
    </row>
    <row r="444" spans="1:9" hidden="1">
      <c r="A444" s="11">
        <f t="shared" si="6"/>
        <v>439</v>
      </c>
      <c r="B444" s="9" t="s">
        <v>282</v>
      </c>
      <c r="C444" s="11" t="s">
        <v>6200</v>
      </c>
      <c r="D444" s="11" t="s">
        <v>18</v>
      </c>
      <c r="E444" s="11">
        <v>55</v>
      </c>
      <c r="F444" s="12">
        <v>44189</v>
      </c>
      <c r="G444" s="12">
        <v>46014</v>
      </c>
      <c r="H444" s="11" t="s">
        <v>28</v>
      </c>
      <c r="I444" s="11" t="s">
        <v>51</v>
      </c>
    </row>
    <row r="445" spans="1:9" hidden="1">
      <c r="A445" s="13">
        <f t="shared" si="6"/>
        <v>440</v>
      </c>
      <c r="B445" s="10" t="s">
        <v>282</v>
      </c>
      <c r="C445" s="13" t="s">
        <v>6201</v>
      </c>
      <c r="D445" s="13" t="s">
        <v>18</v>
      </c>
      <c r="E445" s="13">
        <v>51</v>
      </c>
      <c r="F445" s="14">
        <v>44189</v>
      </c>
      <c r="G445" s="14">
        <v>46014</v>
      </c>
      <c r="H445" s="13" t="s">
        <v>28</v>
      </c>
      <c r="I445" s="13" t="s">
        <v>51</v>
      </c>
    </row>
    <row r="446" spans="1:9" hidden="1">
      <c r="A446" s="11">
        <f t="shared" si="6"/>
        <v>441</v>
      </c>
      <c r="B446" s="9" t="s">
        <v>282</v>
      </c>
      <c r="C446" s="11" t="s">
        <v>6202</v>
      </c>
      <c r="D446" s="11" t="s">
        <v>18</v>
      </c>
      <c r="E446" s="11">
        <v>24</v>
      </c>
      <c r="F446" s="12">
        <v>44189</v>
      </c>
      <c r="G446" s="12">
        <v>46014</v>
      </c>
      <c r="H446" s="11" t="s">
        <v>28</v>
      </c>
      <c r="I446" s="11" t="s">
        <v>51</v>
      </c>
    </row>
    <row r="447" spans="1:9" hidden="1">
      <c r="A447" s="13">
        <f t="shared" si="6"/>
        <v>442</v>
      </c>
      <c r="B447" s="10" t="s">
        <v>322</v>
      </c>
      <c r="C447" s="13" t="s">
        <v>6203</v>
      </c>
      <c r="D447" s="13" t="s">
        <v>18</v>
      </c>
      <c r="E447" s="13">
        <v>2</v>
      </c>
      <c r="F447" s="14">
        <v>44252</v>
      </c>
      <c r="G447" s="14">
        <v>46077</v>
      </c>
      <c r="H447" s="13" t="s">
        <v>28</v>
      </c>
      <c r="I447" s="13" t="s">
        <v>51</v>
      </c>
    </row>
    <row r="448" spans="1:9" hidden="1">
      <c r="A448" s="11">
        <f t="shared" si="6"/>
        <v>443</v>
      </c>
      <c r="B448" s="9" t="s">
        <v>322</v>
      </c>
      <c r="C448" s="11" t="s">
        <v>6204</v>
      </c>
      <c r="D448" s="11" t="s">
        <v>18</v>
      </c>
      <c r="E448" s="11">
        <v>2</v>
      </c>
      <c r="F448" s="12">
        <v>44252</v>
      </c>
      <c r="G448" s="12">
        <v>46077</v>
      </c>
      <c r="H448" s="11" t="s">
        <v>28</v>
      </c>
      <c r="I448" s="11" t="s">
        <v>51</v>
      </c>
    </row>
    <row r="449" spans="1:9" hidden="1">
      <c r="A449" s="13">
        <f t="shared" si="6"/>
        <v>444</v>
      </c>
      <c r="B449" s="10" t="s">
        <v>339</v>
      </c>
      <c r="C449" s="13" t="s">
        <v>6205</v>
      </c>
      <c r="D449" s="13" t="s">
        <v>18</v>
      </c>
      <c r="E449" s="13">
        <v>63</v>
      </c>
      <c r="F449" s="14">
        <v>44454</v>
      </c>
      <c r="G449" s="14">
        <v>46279</v>
      </c>
      <c r="H449" s="13" t="s">
        <v>28</v>
      </c>
      <c r="I449" s="13" t="s">
        <v>51</v>
      </c>
    </row>
    <row r="450" spans="1:9" hidden="1">
      <c r="A450" s="11">
        <f t="shared" si="6"/>
        <v>445</v>
      </c>
      <c r="B450" s="9" t="s">
        <v>194</v>
      </c>
      <c r="C450" s="11" t="s">
        <v>6206</v>
      </c>
      <c r="D450" s="11" t="s">
        <v>18</v>
      </c>
      <c r="E450" s="11">
        <v>8</v>
      </c>
      <c r="F450" s="12">
        <v>44552</v>
      </c>
      <c r="G450" s="12">
        <v>46377</v>
      </c>
      <c r="H450" s="11" t="s">
        <v>28</v>
      </c>
      <c r="I450" s="11" t="s">
        <v>51</v>
      </c>
    </row>
    <row r="451" spans="1:9" hidden="1">
      <c r="A451" s="13">
        <f t="shared" si="6"/>
        <v>446</v>
      </c>
      <c r="B451" s="10" t="s">
        <v>355</v>
      </c>
      <c r="C451" s="13" t="s">
        <v>6207</v>
      </c>
      <c r="D451" s="13" t="s">
        <v>18</v>
      </c>
      <c r="E451" s="13">
        <v>9</v>
      </c>
      <c r="F451" s="14">
        <v>44718</v>
      </c>
      <c r="G451" s="14">
        <v>46543</v>
      </c>
      <c r="H451" s="13" t="s">
        <v>28</v>
      </c>
      <c r="I451" s="13" t="s">
        <v>51</v>
      </c>
    </row>
    <row r="452" spans="1:9" hidden="1">
      <c r="A452" s="11">
        <f t="shared" si="6"/>
        <v>447</v>
      </c>
      <c r="B452" s="9" t="s">
        <v>355</v>
      </c>
      <c r="C452" s="11" t="s">
        <v>6208</v>
      </c>
      <c r="D452" s="11" t="s">
        <v>18</v>
      </c>
      <c r="E452" s="11">
        <v>7</v>
      </c>
      <c r="F452" s="12">
        <v>44690</v>
      </c>
      <c r="G452" s="12">
        <v>46515</v>
      </c>
      <c r="H452" s="11" t="s">
        <v>28</v>
      </c>
      <c r="I452" s="11" t="s">
        <v>51</v>
      </c>
    </row>
    <row r="453" spans="1:9" hidden="1">
      <c r="A453" s="13">
        <f t="shared" si="6"/>
        <v>448</v>
      </c>
      <c r="B453" s="10" t="s">
        <v>355</v>
      </c>
      <c r="C453" s="13" t="s">
        <v>6209</v>
      </c>
      <c r="D453" s="13" t="s">
        <v>18</v>
      </c>
      <c r="E453" s="13">
        <v>6</v>
      </c>
      <c r="F453" s="14">
        <v>44690</v>
      </c>
      <c r="G453" s="14">
        <v>46515</v>
      </c>
      <c r="H453" s="13" t="s">
        <v>28</v>
      </c>
      <c r="I453" s="13" t="s">
        <v>51</v>
      </c>
    </row>
    <row r="454" spans="1:9" hidden="1">
      <c r="A454" s="11">
        <f t="shared" si="6"/>
        <v>449</v>
      </c>
      <c r="B454" s="9" t="s">
        <v>355</v>
      </c>
      <c r="C454" s="11" t="s">
        <v>6210</v>
      </c>
      <c r="D454" s="11" t="s">
        <v>18</v>
      </c>
      <c r="E454" s="11">
        <v>9</v>
      </c>
      <c r="F454" s="12">
        <v>44690</v>
      </c>
      <c r="G454" s="12">
        <v>46515</v>
      </c>
      <c r="H454" s="11" t="s">
        <v>28</v>
      </c>
      <c r="I454" s="11" t="s">
        <v>51</v>
      </c>
    </row>
    <row r="455" spans="1:9" hidden="1">
      <c r="A455" s="13">
        <f t="shared" si="6"/>
        <v>450</v>
      </c>
      <c r="B455" s="10" t="s">
        <v>366</v>
      </c>
      <c r="C455" s="13" t="s">
        <v>6211</v>
      </c>
      <c r="D455" s="13" t="s">
        <v>18</v>
      </c>
      <c r="E455" s="13">
        <v>41</v>
      </c>
      <c r="F455" s="14">
        <v>44592</v>
      </c>
      <c r="G455" s="14">
        <v>46417</v>
      </c>
      <c r="H455" s="13" t="s">
        <v>28</v>
      </c>
      <c r="I455" s="13" t="s">
        <v>51</v>
      </c>
    </row>
    <row r="456" spans="1:9" hidden="1">
      <c r="A456" s="11">
        <f t="shared" ref="A456:A519" si="7">+A455+1</f>
        <v>451</v>
      </c>
      <c r="B456" s="9" t="s">
        <v>5716</v>
      </c>
      <c r="C456" s="11" t="s">
        <v>6212</v>
      </c>
      <c r="D456" s="11" t="s">
        <v>18</v>
      </c>
      <c r="E456" s="11">
        <v>6</v>
      </c>
      <c r="F456" s="12">
        <v>44985</v>
      </c>
      <c r="G456" s="12">
        <v>46810</v>
      </c>
      <c r="H456" s="11" t="s">
        <v>28</v>
      </c>
      <c r="I456" s="11" t="s">
        <v>51</v>
      </c>
    </row>
    <row r="457" spans="1:9" hidden="1">
      <c r="A457" s="13">
        <f t="shared" si="7"/>
        <v>452</v>
      </c>
      <c r="B457" s="10" t="s">
        <v>5716</v>
      </c>
      <c r="C457" s="13" t="s">
        <v>6213</v>
      </c>
      <c r="D457" s="13" t="s">
        <v>18</v>
      </c>
      <c r="E457" s="13">
        <v>24</v>
      </c>
      <c r="F457" s="14">
        <v>44985</v>
      </c>
      <c r="G457" s="14">
        <v>46810</v>
      </c>
      <c r="H457" s="13" t="s">
        <v>28</v>
      </c>
      <c r="I457" s="13" t="s">
        <v>51</v>
      </c>
    </row>
    <row r="458" spans="1:9" hidden="1">
      <c r="A458" s="11">
        <f t="shared" si="7"/>
        <v>453</v>
      </c>
      <c r="B458" s="9" t="s">
        <v>5717</v>
      </c>
      <c r="C458" s="11" t="s">
        <v>6214</v>
      </c>
      <c r="D458" s="11" t="s">
        <v>18</v>
      </c>
      <c r="E458" s="11">
        <v>7</v>
      </c>
      <c r="F458" s="12">
        <v>44566</v>
      </c>
      <c r="G458" s="12">
        <v>46391</v>
      </c>
      <c r="H458" s="11" t="s">
        <v>28</v>
      </c>
      <c r="I458" s="11" t="s">
        <v>51</v>
      </c>
    </row>
    <row r="459" spans="1:9" hidden="1">
      <c r="A459" s="13">
        <f t="shared" si="7"/>
        <v>454</v>
      </c>
      <c r="B459" s="10" t="s">
        <v>121</v>
      </c>
      <c r="C459" s="13" t="s">
        <v>6215</v>
      </c>
      <c r="D459" s="13" t="s">
        <v>18</v>
      </c>
      <c r="E459" s="13">
        <v>170</v>
      </c>
      <c r="F459" s="14">
        <v>44931</v>
      </c>
      <c r="G459" s="14">
        <v>46756</v>
      </c>
      <c r="H459" s="13" t="s">
        <v>28</v>
      </c>
      <c r="I459" s="13" t="s">
        <v>51</v>
      </c>
    </row>
    <row r="460" spans="1:9" hidden="1">
      <c r="A460" s="11">
        <f t="shared" si="7"/>
        <v>455</v>
      </c>
      <c r="B460" s="9" t="s">
        <v>121</v>
      </c>
      <c r="C460" s="11" t="s">
        <v>6216</v>
      </c>
      <c r="D460" s="11" t="s">
        <v>18</v>
      </c>
      <c r="E460" s="11">
        <v>30</v>
      </c>
      <c r="F460" s="12">
        <v>44931</v>
      </c>
      <c r="G460" s="12">
        <v>46756</v>
      </c>
      <c r="H460" s="11" t="s">
        <v>28</v>
      </c>
      <c r="I460" s="11" t="s">
        <v>51</v>
      </c>
    </row>
    <row r="461" spans="1:9" hidden="1">
      <c r="A461" s="13">
        <f t="shared" si="7"/>
        <v>456</v>
      </c>
      <c r="B461" s="10" t="s">
        <v>121</v>
      </c>
      <c r="C461" s="13" t="s">
        <v>6217</v>
      </c>
      <c r="D461" s="13" t="s">
        <v>18</v>
      </c>
      <c r="E461" s="13">
        <v>152</v>
      </c>
      <c r="F461" s="14">
        <v>44931</v>
      </c>
      <c r="G461" s="14">
        <v>46756</v>
      </c>
      <c r="H461" s="13" t="s">
        <v>28</v>
      </c>
      <c r="I461" s="13" t="s">
        <v>51</v>
      </c>
    </row>
    <row r="462" spans="1:9" hidden="1">
      <c r="A462" s="11">
        <f t="shared" si="7"/>
        <v>457</v>
      </c>
      <c r="B462" s="9" t="s">
        <v>121</v>
      </c>
      <c r="C462" s="11" t="s">
        <v>6218</v>
      </c>
      <c r="D462" s="11" t="s">
        <v>18</v>
      </c>
      <c r="E462" s="11">
        <v>47</v>
      </c>
      <c r="F462" s="12">
        <v>44888</v>
      </c>
      <c r="G462" s="12">
        <v>46713</v>
      </c>
      <c r="H462" s="11" t="s">
        <v>28</v>
      </c>
      <c r="I462" s="11" t="s">
        <v>51</v>
      </c>
    </row>
    <row r="463" spans="1:9" hidden="1">
      <c r="A463" s="13">
        <f t="shared" si="7"/>
        <v>458</v>
      </c>
      <c r="B463" s="10" t="s">
        <v>121</v>
      </c>
      <c r="C463" s="13" t="s">
        <v>6219</v>
      </c>
      <c r="D463" s="13" t="s">
        <v>18</v>
      </c>
      <c r="E463" s="13">
        <v>35</v>
      </c>
      <c r="F463" s="14">
        <v>45007</v>
      </c>
      <c r="G463" s="14">
        <v>46833</v>
      </c>
      <c r="H463" s="13" t="s">
        <v>28</v>
      </c>
      <c r="I463" s="13" t="s">
        <v>51</v>
      </c>
    </row>
    <row r="464" spans="1:9" hidden="1">
      <c r="A464" s="11">
        <f t="shared" si="7"/>
        <v>459</v>
      </c>
      <c r="B464" s="9" t="s">
        <v>282</v>
      </c>
      <c r="C464" s="11" t="s">
        <v>6220</v>
      </c>
      <c r="D464" s="11" t="s">
        <v>18</v>
      </c>
      <c r="E464" s="11">
        <v>55</v>
      </c>
      <c r="F464" s="12">
        <v>44566</v>
      </c>
      <c r="G464" s="12">
        <v>46391</v>
      </c>
      <c r="H464" s="11" t="s">
        <v>28</v>
      </c>
      <c r="I464" s="11" t="s">
        <v>51</v>
      </c>
    </row>
    <row r="465" spans="1:9" hidden="1">
      <c r="A465" s="13">
        <f t="shared" si="7"/>
        <v>460</v>
      </c>
      <c r="B465" s="10" t="s">
        <v>282</v>
      </c>
      <c r="C465" s="13" t="s">
        <v>6221</v>
      </c>
      <c r="D465" s="13" t="s">
        <v>18</v>
      </c>
      <c r="E465" s="13">
        <v>45</v>
      </c>
      <c r="F465" s="14">
        <v>44566</v>
      </c>
      <c r="G465" s="14">
        <v>46391</v>
      </c>
      <c r="H465" s="13" t="s">
        <v>28</v>
      </c>
      <c r="I465" s="13" t="s">
        <v>51</v>
      </c>
    </row>
    <row r="466" spans="1:9" hidden="1">
      <c r="A466" s="11">
        <f t="shared" si="7"/>
        <v>461</v>
      </c>
      <c r="B466" s="9" t="s">
        <v>1884</v>
      </c>
      <c r="C466" s="11" t="s">
        <v>6222</v>
      </c>
      <c r="D466" s="11" t="s">
        <v>18</v>
      </c>
      <c r="E466" s="11">
        <v>72</v>
      </c>
      <c r="F466" s="12">
        <v>45215</v>
      </c>
      <c r="G466" s="12">
        <v>47041</v>
      </c>
      <c r="H466" s="11" t="s">
        <v>28</v>
      </c>
      <c r="I466" s="11" t="s">
        <v>51</v>
      </c>
    </row>
    <row r="467" spans="1:9" hidden="1">
      <c r="A467" s="13">
        <f t="shared" si="7"/>
        <v>462</v>
      </c>
      <c r="B467" s="10" t="s">
        <v>1884</v>
      </c>
      <c r="C467" s="13" t="s">
        <v>6223</v>
      </c>
      <c r="D467" s="13" t="s">
        <v>18</v>
      </c>
      <c r="E467" s="13">
        <v>54</v>
      </c>
      <c r="F467" s="14">
        <v>45215</v>
      </c>
      <c r="G467" s="14">
        <v>47041</v>
      </c>
      <c r="H467" s="13" t="s">
        <v>28</v>
      </c>
      <c r="I467" s="13" t="s">
        <v>51</v>
      </c>
    </row>
    <row r="468" spans="1:9" hidden="1">
      <c r="A468" s="11">
        <f t="shared" si="7"/>
        <v>463</v>
      </c>
      <c r="B468" s="9" t="s">
        <v>1884</v>
      </c>
      <c r="C468" s="11" t="s">
        <v>6224</v>
      </c>
      <c r="D468" s="11" t="s">
        <v>18</v>
      </c>
      <c r="E468" s="11">
        <v>49</v>
      </c>
      <c r="F468" s="12">
        <v>45215</v>
      </c>
      <c r="G468" s="12">
        <v>47041</v>
      </c>
      <c r="H468" s="11" t="s">
        <v>28</v>
      </c>
      <c r="I468" s="11" t="s">
        <v>51</v>
      </c>
    </row>
    <row r="469" spans="1:9" hidden="1">
      <c r="A469" s="13">
        <f t="shared" si="7"/>
        <v>464</v>
      </c>
      <c r="B469" s="10" t="s">
        <v>468</v>
      </c>
      <c r="C469" s="13" t="s">
        <v>6225</v>
      </c>
      <c r="D469" s="13" t="s">
        <v>18</v>
      </c>
      <c r="E469" s="13">
        <v>10</v>
      </c>
      <c r="F469" s="14">
        <v>45054</v>
      </c>
      <c r="G469" s="14">
        <v>46880</v>
      </c>
      <c r="H469" s="13" t="s">
        <v>28</v>
      </c>
      <c r="I469" s="13" t="s">
        <v>51</v>
      </c>
    </row>
    <row r="470" spans="1:9" hidden="1">
      <c r="A470" s="11">
        <f t="shared" si="7"/>
        <v>465</v>
      </c>
      <c r="B470" s="9" t="s">
        <v>468</v>
      </c>
      <c r="C470" s="11" t="s">
        <v>6226</v>
      </c>
      <c r="D470" s="11" t="s">
        <v>18</v>
      </c>
      <c r="E470" s="11">
        <v>46</v>
      </c>
      <c r="F470" s="12">
        <v>44980</v>
      </c>
      <c r="G470" s="12">
        <v>46805</v>
      </c>
      <c r="H470" s="11" t="s">
        <v>28</v>
      </c>
      <c r="I470" s="11" t="s">
        <v>51</v>
      </c>
    </row>
    <row r="471" spans="1:9" hidden="1">
      <c r="A471" s="13">
        <f t="shared" si="7"/>
        <v>466</v>
      </c>
      <c r="B471" s="10" t="s">
        <v>468</v>
      </c>
      <c r="C471" s="13" t="s">
        <v>6227</v>
      </c>
      <c r="D471" s="13" t="s">
        <v>18</v>
      </c>
      <c r="E471" s="13">
        <v>14</v>
      </c>
      <c r="F471" s="14">
        <v>44980</v>
      </c>
      <c r="G471" s="14">
        <v>46805</v>
      </c>
      <c r="H471" s="13" t="s">
        <v>28</v>
      </c>
      <c r="I471" s="13" t="s">
        <v>51</v>
      </c>
    </row>
    <row r="472" spans="1:9" hidden="1">
      <c r="A472" s="11">
        <f t="shared" si="7"/>
        <v>467</v>
      </c>
      <c r="B472" s="9" t="s">
        <v>5718</v>
      </c>
      <c r="C472" s="11" t="s">
        <v>6228</v>
      </c>
      <c r="D472" s="11" t="s">
        <v>18</v>
      </c>
      <c r="E472" s="11">
        <v>3</v>
      </c>
      <c r="F472" s="12">
        <v>45064</v>
      </c>
      <c r="G472" s="12">
        <v>46890</v>
      </c>
      <c r="H472" s="11" t="s">
        <v>28</v>
      </c>
      <c r="I472" s="11" t="s">
        <v>51</v>
      </c>
    </row>
    <row r="473" spans="1:9" hidden="1">
      <c r="A473" s="13">
        <f t="shared" si="7"/>
        <v>468</v>
      </c>
      <c r="B473" s="10" t="s">
        <v>5711</v>
      </c>
      <c r="C473" s="13" t="s">
        <v>6229</v>
      </c>
      <c r="D473" s="13" t="s">
        <v>18</v>
      </c>
      <c r="E473" s="13">
        <v>18</v>
      </c>
      <c r="F473" s="14">
        <v>45146</v>
      </c>
      <c r="G473" s="14">
        <v>46972</v>
      </c>
      <c r="H473" s="13" t="s">
        <v>28</v>
      </c>
      <c r="I473" s="13" t="s">
        <v>51</v>
      </c>
    </row>
    <row r="474" spans="1:9" hidden="1">
      <c r="A474" s="11">
        <f t="shared" si="7"/>
        <v>469</v>
      </c>
      <c r="B474" s="9" t="s">
        <v>5719</v>
      </c>
      <c r="C474" s="11" t="s">
        <v>6230</v>
      </c>
      <c r="D474" s="11" t="s">
        <v>18</v>
      </c>
      <c r="E474" s="11">
        <v>3</v>
      </c>
      <c r="F474" s="12">
        <v>45173</v>
      </c>
      <c r="G474" s="12">
        <v>46999</v>
      </c>
      <c r="H474" s="11" t="s">
        <v>28</v>
      </c>
      <c r="I474" s="11" t="s">
        <v>51</v>
      </c>
    </row>
    <row r="475" spans="1:9" hidden="1">
      <c r="A475" s="13">
        <f t="shared" si="7"/>
        <v>470</v>
      </c>
      <c r="B475" s="10" t="s">
        <v>5681</v>
      </c>
      <c r="C475" s="13" t="s">
        <v>6231</v>
      </c>
      <c r="D475" s="13" t="s">
        <v>18</v>
      </c>
      <c r="E475" s="13">
        <v>10</v>
      </c>
      <c r="F475" s="14">
        <v>45104</v>
      </c>
      <c r="G475" s="14">
        <v>46930</v>
      </c>
      <c r="H475" s="13" t="s">
        <v>28</v>
      </c>
      <c r="I475" s="13" t="s">
        <v>51</v>
      </c>
    </row>
    <row r="476" spans="1:9" hidden="1">
      <c r="A476" s="11">
        <f t="shared" si="7"/>
        <v>471</v>
      </c>
      <c r="B476" s="9" t="s">
        <v>468</v>
      </c>
      <c r="C476" s="11" t="s">
        <v>6232</v>
      </c>
      <c r="D476" s="11" t="s">
        <v>18</v>
      </c>
      <c r="E476" s="11">
        <v>73</v>
      </c>
      <c r="F476" s="12">
        <v>45054</v>
      </c>
      <c r="G476" s="12">
        <v>46880</v>
      </c>
      <c r="H476" s="11" t="s">
        <v>28</v>
      </c>
      <c r="I476" s="11" t="s">
        <v>51</v>
      </c>
    </row>
    <row r="477" spans="1:9" hidden="1">
      <c r="A477" s="13">
        <f t="shared" si="7"/>
        <v>472</v>
      </c>
      <c r="B477" s="10" t="s">
        <v>5711</v>
      </c>
      <c r="C477" s="13" t="s">
        <v>6233</v>
      </c>
      <c r="D477" s="13" t="s">
        <v>18</v>
      </c>
      <c r="E477" s="13">
        <v>10</v>
      </c>
      <c r="F477" s="14">
        <v>45146</v>
      </c>
      <c r="G477" s="14">
        <v>46972</v>
      </c>
      <c r="H477" s="13" t="s">
        <v>28</v>
      </c>
      <c r="I477" s="13" t="s">
        <v>51</v>
      </c>
    </row>
    <row r="478" spans="1:9" hidden="1">
      <c r="A478" s="11">
        <f t="shared" si="7"/>
        <v>473</v>
      </c>
      <c r="B478" s="9" t="s">
        <v>5714</v>
      </c>
      <c r="C478" s="11" t="s">
        <v>6234</v>
      </c>
      <c r="D478" s="11" t="s">
        <v>18</v>
      </c>
      <c r="E478" s="11">
        <v>8</v>
      </c>
      <c r="F478" s="12">
        <v>45069</v>
      </c>
      <c r="G478" s="12">
        <v>46895</v>
      </c>
      <c r="H478" s="11" t="s">
        <v>28</v>
      </c>
      <c r="I478" s="11" t="s">
        <v>51</v>
      </c>
    </row>
    <row r="479" spans="1:9" hidden="1">
      <c r="A479" s="13">
        <f t="shared" si="7"/>
        <v>474</v>
      </c>
      <c r="B479" s="10" t="s">
        <v>5710</v>
      </c>
      <c r="C479" s="13" t="s">
        <v>6235</v>
      </c>
      <c r="D479" s="13" t="s">
        <v>18</v>
      </c>
      <c r="E479" s="13">
        <v>20</v>
      </c>
      <c r="F479" s="14">
        <v>45145</v>
      </c>
      <c r="G479" s="14">
        <v>46971</v>
      </c>
      <c r="H479" s="13" t="s">
        <v>28</v>
      </c>
      <c r="I479" s="13" t="s">
        <v>51</v>
      </c>
    </row>
    <row r="480" spans="1:9" hidden="1">
      <c r="A480" s="11">
        <f t="shared" si="7"/>
        <v>475</v>
      </c>
      <c r="B480" s="9" t="s">
        <v>5682</v>
      </c>
      <c r="C480" s="11" t="s">
        <v>6236</v>
      </c>
      <c r="D480" s="11" t="s">
        <v>18</v>
      </c>
      <c r="E480" s="11">
        <v>10</v>
      </c>
      <c r="F480" s="12">
        <v>45002</v>
      </c>
      <c r="G480" s="12">
        <v>46828</v>
      </c>
      <c r="H480" s="11" t="s">
        <v>28</v>
      </c>
      <c r="I480" s="11" t="s">
        <v>51</v>
      </c>
    </row>
    <row r="481" spans="1:9" hidden="1">
      <c r="A481" s="13">
        <f t="shared" si="7"/>
        <v>476</v>
      </c>
      <c r="B481" s="10" t="s">
        <v>121</v>
      </c>
      <c r="C481" s="13" t="s">
        <v>6237</v>
      </c>
      <c r="D481" s="13" t="s">
        <v>18</v>
      </c>
      <c r="E481" s="13">
        <v>39</v>
      </c>
      <c r="F481" s="14">
        <v>45083</v>
      </c>
      <c r="G481" s="14">
        <v>46909</v>
      </c>
      <c r="H481" s="13" t="s">
        <v>28</v>
      </c>
      <c r="I481" s="13" t="s">
        <v>51</v>
      </c>
    </row>
    <row r="482" spans="1:9" hidden="1">
      <c r="A482" s="11">
        <f t="shared" si="7"/>
        <v>477</v>
      </c>
      <c r="B482" s="9" t="s">
        <v>5711</v>
      </c>
      <c r="C482" s="11" t="s">
        <v>6238</v>
      </c>
      <c r="D482" s="11" t="s">
        <v>18</v>
      </c>
      <c r="E482" s="11">
        <v>48</v>
      </c>
      <c r="F482" s="12">
        <v>45146</v>
      </c>
      <c r="G482" s="12">
        <v>46972</v>
      </c>
      <c r="H482" s="11" t="s">
        <v>28</v>
      </c>
      <c r="I482" s="11" t="s">
        <v>51</v>
      </c>
    </row>
    <row r="483" spans="1:9" hidden="1">
      <c r="A483" s="13">
        <f t="shared" si="7"/>
        <v>478</v>
      </c>
      <c r="B483" s="10" t="s">
        <v>5720</v>
      </c>
      <c r="C483" s="13" t="s">
        <v>6239</v>
      </c>
      <c r="D483" s="13" t="s">
        <v>18</v>
      </c>
      <c r="E483" s="13">
        <v>4</v>
      </c>
      <c r="F483" s="14">
        <v>45212</v>
      </c>
      <c r="G483" s="14">
        <v>47038</v>
      </c>
      <c r="H483" s="13" t="s">
        <v>28</v>
      </c>
      <c r="I483" s="13" t="s">
        <v>51</v>
      </c>
    </row>
    <row r="484" spans="1:9" hidden="1">
      <c r="A484" s="11">
        <f t="shared" si="7"/>
        <v>479</v>
      </c>
      <c r="B484" s="9" t="s">
        <v>5721</v>
      </c>
      <c r="C484" s="11" t="s">
        <v>6240</v>
      </c>
      <c r="D484" s="11" t="s">
        <v>27</v>
      </c>
      <c r="E484" s="11">
        <v>30</v>
      </c>
      <c r="F484" s="12">
        <v>37925</v>
      </c>
      <c r="G484" s="12">
        <v>46971</v>
      </c>
      <c r="H484" s="11" t="s">
        <v>23</v>
      </c>
      <c r="I484" s="11" t="s">
        <v>51</v>
      </c>
    </row>
    <row r="485" spans="1:9" hidden="1">
      <c r="A485" s="13">
        <f t="shared" si="7"/>
        <v>480</v>
      </c>
      <c r="B485" s="10" t="s">
        <v>65</v>
      </c>
      <c r="C485" s="13" t="s">
        <v>6241</v>
      </c>
      <c r="D485" s="13" t="s">
        <v>13</v>
      </c>
      <c r="E485" s="13">
        <v>10</v>
      </c>
      <c r="F485" s="14">
        <v>42411</v>
      </c>
      <c r="G485" s="14">
        <v>54101</v>
      </c>
      <c r="H485" s="13" t="s">
        <v>23</v>
      </c>
      <c r="I485" s="13" t="s">
        <v>51</v>
      </c>
    </row>
    <row r="486" spans="1:9" hidden="1">
      <c r="A486" s="11">
        <f t="shared" si="7"/>
        <v>481</v>
      </c>
      <c r="B486" s="9" t="s">
        <v>76</v>
      </c>
      <c r="C486" s="11" t="s">
        <v>6242</v>
      </c>
      <c r="D486" s="11" t="s">
        <v>13</v>
      </c>
      <c r="E486" s="11">
        <v>36</v>
      </c>
      <c r="F486" s="12">
        <v>43796</v>
      </c>
      <c r="G486" s="12">
        <v>52927</v>
      </c>
      <c r="H486" s="11" t="s">
        <v>23</v>
      </c>
      <c r="I486" s="11" t="s">
        <v>51</v>
      </c>
    </row>
    <row r="487" spans="1:9" hidden="1">
      <c r="A487" s="13">
        <f t="shared" si="7"/>
        <v>482</v>
      </c>
      <c r="B487" s="10" t="s">
        <v>65</v>
      </c>
      <c r="C487" s="13" t="s">
        <v>6243</v>
      </c>
      <c r="D487" s="13" t="s">
        <v>13</v>
      </c>
      <c r="E487" s="13">
        <v>1</v>
      </c>
      <c r="F487" s="14">
        <v>42411</v>
      </c>
      <c r="G487" s="14">
        <v>54097</v>
      </c>
      <c r="H487" s="13" t="s">
        <v>23</v>
      </c>
      <c r="I487" s="13" t="s">
        <v>51</v>
      </c>
    </row>
    <row r="488" spans="1:9" hidden="1">
      <c r="A488" s="11">
        <f t="shared" si="7"/>
        <v>483</v>
      </c>
      <c r="B488" s="9" t="s">
        <v>65</v>
      </c>
      <c r="C488" s="11" t="s">
        <v>6244</v>
      </c>
      <c r="D488" s="11" t="s">
        <v>13</v>
      </c>
      <c r="E488" s="11">
        <v>11</v>
      </c>
      <c r="F488" s="12">
        <v>42411</v>
      </c>
      <c r="G488" s="12">
        <v>54100</v>
      </c>
      <c r="H488" s="11" t="s">
        <v>23</v>
      </c>
      <c r="I488" s="11" t="s">
        <v>51</v>
      </c>
    </row>
    <row r="489" spans="1:9" hidden="1">
      <c r="A489" s="13">
        <f t="shared" si="7"/>
        <v>484</v>
      </c>
      <c r="B489" s="10" t="s">
        <v>212</v>
      </c>
      <c r="C489" s="13" t="s">
        <v>6245</v>
      </c>
      <c r="D489" s="13" t="s">
        <v>18</v>
      </c>
      <c r="E489" s="13">
        <v>2</v>
      </c>
      <c r="F489" s="14">
        <v>43550</v>
      </c>
      <c r="G489" s="14">
        <v>45376</v>
      </c>
      <c r="H489" s="13" t="s">
        <v>23</v>
      </c>
      <c r="I489" s="13" t="s">
        <v>51</v>
      </c>
    </row>
    <row r="490" spans="1:9" hidden="1">
      <c r="A490" s="11">
        <f t="shared" si="7"/>
        <v>485</v>
      </c>
      <c r="B490" s="9" t="s">
        <v>291</v>
      </c>
      <c r="C490" s="11" t="s">
        <v>6246</v>
      </c>
      <c r="D490" s="11" t="s">
        <v>18</v>
      </c>
      <c r="E490" s="11">
        <v>6</v>
      </c>
      <c r="F490" s="12">
        <v>43810</v>
      </c>
      <c r="G490" s="12">
        <v>45636</v>
      </c>
      <c r="H490" s="11" t="s">
        <v>23</v>
      </c>
      <c r="I490" s="11" t="s">
        <v>51</v>
      </c>
    </row>
    <row r="491" spans="1:9" hidden="1">
      <c r="A491" s="13">
        <f t="shared" si="7"/>
        <v>486</v>
      </c>
      <c r="B491" s="10" t="s">
        <v>347</v>
      </c>
      <c r="C491" s="13" t="s">
        <v>6247</v>
      </c>
      <c r="D491" s="13" t="s">
        <v>18</v>
      </c>
      <c r="E491" s="13">
        <v>5</v>
      </c>
      <c r="F491" s="14">
        <v>44775</v>
      </c>
      <c r="G491" s="14">
        <v>46600</v>
      </c>
      <c r="H491" s="13" t="s">
        <v>23</v>
      </c>
      <c r="I491" s="13" t="s">
        <v>51</v>
      </c>
    </row>
    <row r="492" spans="1:9" hidden="1">
      <c r="A492" s="11">
        <f t="shared" si="7"/>
        <v>487</v>
      </c>
      <c r="B492" s="9" t="s">
        <v>5681</v>
      </c>
      <c r="C492" s="11" t="s">
        <v>6248</v>
      </c>
      <c r="D492" s="11" t="s">
        <v>18</v>
      </c>
      <c r="E492" s="11">
        <v>1</v>
      </c>
      <c r="F492" s="12">
        <v>45076</v>
      </c>
      <c r="G492" s="12">
        <v>46902</v>
      </c>
      <c r="H492" s="11" t="s">
        <v>23</v>
      </c>
      <c r="I492" s="11" t="s">
        <v>51</v>
      </c>
    </row>
    <row r="493" spans="1:9" hidden="1">
      <c r="A493" s="13">
        <f t="shared" si="7"/>
        <v>488</v>
      </c>
      <c r="B493" s="10" t="s">
        <v>5722</v>
      </c>
      <c r="C493" s="13" t="s">
        <v>6249</v>
      </c>
      <c r="D493" s="13" t="s">
        <v>18</v>
      </c>
      <c r="E493" s="13">
        <v>220</v>
      </c>
      <c r="F493" s="14">
        <v>43496</v>
      </c>
      <c r="G493" s="14">
        <v>45321</v>
      </c>
      <c r="H493" s="13" t="s">
        <v>47</v>
      </c>
      <c r="I493" s="13" t="s">
        <v>51</v>
      </c>
    </row>
    <row r="494" spans="1:9" hidden="1">
      <c r="A494" s="11">
        <f t="shared" si="7"/>
        <v>489</v>
      </c>
      <c r="B494" s="9" t="s">
        <v>5722</v>
      </c>
      <c r="C494" s="11" t="s">
        <v>6250</v>
      </c>
      <c r="D494" s="11" t="s">
        <v>18</v>
      </c>
      <c r="E494" s="11">
        <v>220</v>
      </c>
      <c r="F494" s="12">
        <v>43496</v>
      </c>
      <c r="G494" s="12">
        <v>45321</v>
      </c>
      <c r="H494" s="11" t="s">
        <v>47</v>
      </c>
      <c r="I494" s="11" t="s">
        <v>51</v>
      </c>
    </row>
    <row r="495" spans="1:9" hidden="1">
      <c r="A495" s="13">
        <f t="shared" si="7"/>
        <v>490</v>
      </c>
      <c r="B495" s="10" t="s">
        <v>5722</v>
      </c>
      <c r="C495" s="13" t="s">
        <v>6251</v>
      </c>
      <c r="D495" s="13" t="s">
        <v>18</v>
      </c>
      <c r="E495" s="13">
        <v>232</v>
      </c>
      <c r="F495" s="14">
        <v>43496</v>
      </c>
      <c r="G495" s="14">
        <v>45321</v>
      </c>
      <c r="H495" s="13" t="s">
        <v>47</v>
      </c>
      <c r="I495" s="13" t="s">
        <v>51</v>
      </c>
    </row>
    <row r="496" spans="1:9" hidden="1">
      <c r="A496" s="11">
        <f t="shared" si="7"/>
        <v>491</v>
      </c>
      <c r="B496" s="9" t="s">
        <v>5722</v>
      </c>
      <c r="C496" s="11" t="s">
        <v>6252</v>
      </c>
      <c r="D496" s="11" t="s">
        <v>18</v>
      </c>
      <c r="E496" s="11">
        <v>230</v>
      </c>
      <c r="F496" s="12">
        <v>44910</v>
      </c>
      <c r="G496" s="12">
        <v>46735</v>
      </c>
      <c r="H496" s="11" t="s">
        <v>47</v>
      </c>
      <c r="I496" s="11" t="s">
        <v>51</v>
      </c>
    </row>
    <row r="497" spans="1:9" hidden="1">
      <c r="A497" s="13">
        <f t="shared" si="7"/>
        <v>492</v>
      </c>
      <c r="B497" s="10" t="s">
        <v>5722</v>
      </c>
      <c r="C497" s="13" t="s">
        <v>6253</v>
      </c>
      <c r="D497" s="13" t="s">
        <v>18</v>
      </c>
      <c r="E497" s="13">
        <v>92</v>
      </c>
      <c r="F497" s="14">
        <v>43414</v>
      </c>
      <c r="G497" s="14">
        <v>45239</v>
      </c>
      <c r="H497" s="13" t="s">
        <v>47</v>
      </c>
      <c r="I497" s="13" t="s">
        <v>51</v>
      </c>
    </row>
    <row r="498" spans="1:9" hidden="1">
      <c r="A498" s="11">
        <f t="shared" si="7"/>
        <v>493</v>
      </c>
      <c r="B498" s="9" t="s">
        <v>5722</v>
      </c>
      <c r="C498" s="11" t="s">
        <v>6254</v>
      </c>
      <c r="D498" s="11" t="s">
        <v>18</v>
      </c>
      <c r="E498" s="11">
        <v>213</v>
      </c>
      <c r="F498" s="12">
        <v>43083</v>
      </c>
      <c r="G498" s="12">
        <v>44908</v>
      </c>
      <c r="H498" s="11" t="s">
        <v>47</v>
      </c>
      <c r="I498" s="11" t="s">
        <v>51</v>
      </c>
    </row>
    <row r="499" spans="1:9" hidden="1">
      <c r="A499" s="13">
        <f t="shared" si="7"/>
        <v>494</v>
      </c>
      <c r="B499" s="10" t="s">
        <v>291</v>
      </c>
      <c r="C499" s="13" t="s">
        <v>6255</v>
      </c>
      <c r="D499" s="13" t="s">
        <v>18</v>
      </c>
      <c r="E499" s="13">
        <v>6</v>
      </c>
      <c r="F499" s="14">
        <v>43810</v>
      </c>
      <c r="G499" s="14">
        <v>45636</v>
      </c>
      <c r="H499" s="13" t="s">
        <v>47</v>
      </c>
      <c r="I499" s="13" t="s">
        <v>51</v>
      </c>
    </row>
    <row r="500" spans="1:9" hidden="1">
      <c r="A500" s="11">
        <f t="shared" si="7"/>
        <v>495</v>
      </c>
      <c r="B500" s="9" t="s">
        <v>373</v>
      </c>
      <c r="C500" s="11" t="s">
        <v>6256</v>
      </c>
      <c r="D500" s="11" t="s">
        <v>18</v>
      </c>
      <c r="E500" s="11">
        <v>6</v>
      </c>
      <c r="F500" s="12">
        <v>44638</v>
      </c>
      <c r="G500" s="12">
        <v>46463</v>
      </c>
      <c r="H500" s="11" t="s">
        <v>47</v>
      </c>
      <c r="I500" s="11" t="s">
        <v>51</v>
      </c>
    </row>
    <row r="501" spans="1:9" hidden="1">
      <c r="A501" s="13">
        <f t="shared" si="7"/>
        <v>496</v>
      </c>
      <c r="B501" s="10" t="s">
        <v>373</v>
      </c>
      <c r="C501" s="13" t="s">
        <v>6257</v>
      </c>
      <c r="D501" s="13" t="s">
        <v>18</v>
      </c>
      <c r="E501" s="13">
        <v>4</v>
      </c>
      <c r="F501" s="14">
        <v>44638</v>
      </c>
      <c r="G501" s="14">
        <v>46463</v>
      </c>
      <c r="H501" s="13" t="s">
        <v>47</v>
      </c>
      <c r="I501" s="13" t="s">
        <v>51</v>
      </c>
    </row>
    <row r="502" spans="1:9" hidden="1">
      <c r="A502" s="11">
        <f t="shared" si="7"/>
        <v>497</v>
      </c>
      <c r="B502" s="9" t="s">
        <v>465</v>
      </c>
      <c r="C502" s="11" t="s">
        <v>6258</v>
      </c>
      <c r="D502" s="11" t="s">
        <v>18</v>
      </c>
      <c r="E502" s="11">
        <v>33</v>
      </c>
      <c r="F502" s="12">
        <v>45007</v>
      </c>
      <c r="G502" s="12">
        <v>46833</v>
      </c>
      <c r="H502" s="11" t="s">
        <v>47</v>
      </c>
      <c r="I502" s="11" t="s">
        <v>51</v>
      </c>
    </row>
    <row r="503" spans="1:9" hidden="1">
      <c r="A503" s="13">
        <f t="shared" si="7"/>
        <v>498</v>
      </c>
      <c r="B503" s="10" t="s">
        <v>465</v>
      </c>
      <c r="C503" s="13" t="s">
        <v>6259</v>
      </c>
      <c r="D503" s="13" t="s">
        <v>18</v>
      </c>
      <c r="E503" s="13">
        <v>9</v>
      </c>
      <c r="F503" s="14">
        <v>44917</v>
      </c>
      <c r="G503" s="14">
        <v>46742</v>
      </c>
      <c r="H503" s="13" t="s">
        <v>47</v>
      </c>
      <c r="I503" s="13" t="s">
        <v>51</v>
      </c>
    </row>
    <row r="504" spans="1:9" hidden="1">
      <c r="A504" s="11">
        <f t="shared" si="7"/>
        <v>499</v>
      </c>
      <c r="B504" s="9" t="s">
        <v>5722</v>
      </c>
      <c r="C504" s="11" t="s">
        <v>6260</v>
      </c>
      <c r="D504" s="11" t="s">
        <v>13</v>
      </c>
      <c r="E504" s="11">
        <v>3</v>
      </c>
      <c r="F504" s="12">
        <v>39676</v>
      </c>
      <c r="G504" s="12">
        <v>45153</v>
      </c>
      <c r="H504" s="11" t="s">
        <v>31</v>
      </c>
      <c r="I504" s="11" t="s">
        <v>51</v>
      </c>
    </row>
    <row r="505" spans="1:9" hidden="1">
      <c r="A505" s="13">
        <f t="shared" si="7"/>
        <v>500</v>
      </c>
      <c r="B505" s="10" t="s">
        <v>5722</v>
      </c>
      <c r="C505" s="13" t="s">
        <v>6261</v>
      </c>
      <c r="D505" s="13" t="s">
        <v>13</v>
      </c>
      <c r="E505" s="13">
        <v>10</v>
      </c>
      <c r="F505" s="14">
        <v>39676</v>
      </c>
      <c r="G505" s="14">
        <v>45153</v>
      </c>
      <c r="H505" s="13" t="s">
        <v>31</v>
      </c>
      <c r="I505" s="13" t="s">
        <v>51</v>
      </c>
    </row>
    <row r="506" spans="1:9" hidden="1">
      <c r="A506" s="11">
        <f t="shared" si="7"/>
        <v>501</v>
      </c>
      <c r="B506" s="9" t="s">
        <v>5722</v>
      </c>
      <c r="C506" s="11" t="s">
        <v>6262</v>
      </c>
      <c r="D506" s="11" t="s">
        <v>13</v>
      </c>
      <c r="E506" s="11">
        <v>6</v>
      </c>
      <c r="F506" s="12">
        <v>39676</v>
      </c>
      <c r="G506" s="12">
        <v>45153</v>
      </c>
      <c r="H506" s="11" t="s">
        <v>31</v>
      </c>
      <c r="I506" s="11" t="s">
        <v>51</v>
      </c>
    </row>
    <row r="507" spans="1:9" hidden="1">
      <c r="A507" s="13">
        <f t="shared" si="7"/>
        <v>502</v>
      </c>
      <c r="B507" s="10" t="s">
        <v>5722</v>
      </c>
      <c r="C507" s="13" t="s">
        <v>6263</v>
      </c>
      <c r="D507" s="13" t="s">
        <v>13</v>
      </c>
      <c r="E507" s="13">
        <v>4</v>
      </c>
      <c r="F507" s="14">
        <v>39676</v>
      </c>
      <c r="G507" s="14">
        <v>45153</v>
      </c>
      <c r="H507" s="13" t="s">
        <v>31</v>
      </c>
      <c r="I507" s="13" t="s">
        <v>51</v>
      </c>
    </row>
    <row r="508" spans="1:9" hidden="1">
      <c r="A508" s="11">
        <f t="shared" si="7"/>
        <v>503</v>
      </c>
      <c r="B508" s="9" t="s">
        <v>5722</v>
      </c>
      <c r="C508" s="11" t="s">
        <v>6264</v>
      </c>
      <c r="D508" s="11" t="s">
        <v>13</v>
      </c>
      <c r="E508" s="11">
        <v>18</v>
      </c>
      <c r="F508" s="12">
        <v>39676</v>
      </c>
      <c r="G508" s="12">
        <v>45153</v>
      </c>
      <c r="H508" s="11" t="s">
        <v>31</v>
      </c>
      <c r="I508" s="11" t="s">
        <v>51</v>
      </c>
    </row>
    <row r="509" spans="1:9" hidden="1">
      <c r="A509" s="13">
        <f t="shared" si="7"/>
        <v>504</v>
      </c>
      <c r="B509" s="10" t="s">
        <v>5722</v>
      </c>
      <c r="C509" s="13" t="s">
        <v>6265</v>
      </c>
      <c r="D509" s="13" t="s">
        <v>13</v>
      </c>
      <c r="E509" s="13">
        <v>19</v>
      </c>
      <c r="F509" s="14">
        <v>39676</v>
      </c>
      <c r="G509" s="14">
        <v>45153</v>
      </c>
      <c r="H509" s="13" t="s">
        <v>31</v>
      </c>
      <c r="I509" s="13" t="s">
        <v>51</v>
      </c>
    </row>
    <row r="510" spans="1:9" hidden="1">
      <c r="A510" s="11">
        <f t="shared" si="7"/>
        <v>505</v>
      </c>
      <c r="B510" s="9" t="s">
        <v>5722</v>
      </c>
      <c r="C510" s="11" t="s">
        <v>6266</v>
      </c>
      <c r="D510" s="11" t="s">
        <v>13</v>
      </c>
      <c r="E510" s="11">
        <v>4</v>
      </c>
      <c r="F510" s="12">
        <v>39676</v>
      </c>
      <c r="G510" s="12">
        <v>45153</v>
      </c>
      <c r="H510" s="11" t="s">
        <v>31</v>
      </c>
      <c r="I510" s="11" t="s">
        <v>51</v>
      </c>
    </row>
    <row r="511" spans="1:9" hidden="1">
      <c r="A511" s="13">
        <f t="shared" si="7"/>
        <v>506</v>
      </c>
      <c r="B511" s="10" t="s">
        <v>5722</v>
      </c>
      <c r="C511" s="13" t="s">
        <v>6267</v>
      </c>
      <c r="D511" s="13" t="s">
        <v>13</v>
      </c>
      <c r="E511" s="13">
        <v>20</v>
      </c>
      <c r="F511" s="14">
        <v>39676</v>
      </c>
      <c r="G511" s="14">
        <v>45153</v>
      </c>
      <c r="H511" s="13" t="s">
        <v>31</v>
      </c>
      <c r="I511" s="13" t="s">
        <v>51</v>
      </c>
    </row>
    <row r="512" spans="1:9" hidden="1">
      <c r="A512" s="11">
        <f t="shared" si="7"/>
        <v>507</v>
      </c>
      <c r="B512" s="9" t="s">
        <v>5722</v>
      </c>
      <c r="C512" s="11" t="s">
        <v>6268</v>
      </c>
      <c r="D512" s="11" t="s">
        <v>13</v>
      </c>
      <c r="E512" s="11">
        <v>4</v>
      </c>
      <c r="F512" s="12">
        <v>39676</v>
      </c>
      <c r="G512" s="12">
        <v>45153</v>
      </c>
      <c r="H512" s="11" t="s">
        <v>31</v>
      </c>
      <c r="I512" s="11" t="s">
        <v>51</v>
      </c>
    </row>
    <row r="513" spans="1:9" hidden="1">
      <c r="A513" s="13">
        <f t="shared" si="7"/>
        <v>508</v>
      </c>
      <c r="B513" s="10" t="s">
        <v>5722</v>
      </c>
      <c r="C513" s="13" t="s">
        <v>6269</v>
      </c>
      <c r="D513" s="13" t="s">
        <v>13</v>
      </c>
      <c r="E513" s="13">
        <v>52</v>
      </c>
      <c r="F513" s="14">
        <v>39676</v>
      </c>
      <c r="G513" s="14">
        <v>45153</v>
      </c>
      <c r="H513" s="13" t="s">
        <v>31</v>
      </c>
      <c r="I513" s="13" t="s">
        <v>51</v>
      </c>
    </row>
    <row r="514" spans="1:9" hidden="1">
      <c r="A514" s="11">
        <f t="shared" si="7"/>
        <v>509</v>
      </c>
      <c r="B514" s="9" t="s">
        <v>5722</v>
      </c>
      <c r="C514" s="11" t="s">
        <v>6270</v>
      </c>
      <c r="D514" s="11" t="s">
        <v>13</v>
      </c>
      <c r="E514" s="11">
        <v>174</v>
      </c>
      <c r="F514" s="12">
        <v>41793</v>
      </c>
      <c r="G514" s="12">
        <v>52750</v>
      </c>
      <c r="H514" s="11" t="s">
        <v>31</v>
      </c>
      <c r="I514" s="11" t="s">
        <v>51</v>
      </c>
    </row>
    <row r="515" spans="1:9" hidden="1">
      <c r="A515" s="13">
        <f t="shared" si="7"/>
        <v>510</v>
      </c>
      <c r="B515" s="10" t="s">
        <v>30</v>
      </c>
      <c r="C515" s="13" t="s">
        <v>6271</v>
      </c>
      <c r="D515" s="13" t="s">
        <v>13</v>
      </c>
      <c r="E515" s="13">
        <v>462</v>
      </c>
      <c r="F515" s="14">
        <v>41624</v>
      </c>
      <c r="G515" s="14">
        <v>52580</v>
      </c>
      <c r="H515" s="13" t="s">
        <v>31</v>
      </c>
      <c r="I515" s="13" t="s">
        <v>51</v>
      </c>
    </row>
    <row r="516" spans="1:9" hidden="1">
      <c r="A516" s="11">
        <f t="shared" si="7"/>
        <v>511</v>
      </c>
      <c r="B516" s="9" t="s">
        <v>30</v>
      </c>
      <c r="C516" s="11" t="s">
        <v>6272</v>
      </c>
      <c r="D516" s="11" t="s">
        <v>13</v>
      </c>
      <c r="E516" s="11">
        <v>232</v>
      </c>
      <c r="F516" s="12">
        <v>41624</v>
      </c>
      <c r="G516" s="12">
        <v>52580</v>
      </c>
      <c r="H516" s="11" t="s">
        <v>31</v>
      </c>
      <c r="I516" s="11" t="s">
        <v>51</v>
      </c>
    </row>
    <row r="517" spans="1:9" hidden="1">
      <c r="A517" s="13">
        <f t="shared" si="7"/>
        <v>512</v>
      </c>
      <c r="B517" s="10" t="s">
        <v>223</v>
      </c>
      <c r="C517" s="13" t="s">
        <v>6275</v>
      </c>
      <c r="D517" s="13" t="s">
        <v>18</v>
      </c>
      <c r="E517" s="13">
        <v>10</v>
      </c>
      <c r="F517" s="14">
        <v>43650</v>
      </c>
      <c r="G517" s="14">
        <v>45476</v>
      </c>
      <c r="H517" s="13" t="s">
        <v>31</v>
      </c>
      <c r="I517" s="13" t="s">
        <v>51</v>
      </c>
    </row>
    <row r="518" spans="1:9" hidden="1">
      <c r="A518" s="11">
        <f t="shared" si="7"/>
        <v>513</v>
      </c>
      <c r="B518" s="9" t="s">
        <v>39</v>
      </c>
      <c r="C518" s="11" t="s">
        <v>6285</v>
      </c>
      <c r="D518" s="11" t="s">
        <v>13</v>
      </c>
      <c r="E518" s="11">
        <v>64</v>
      </c>
      <c r="F518" s="12">
        <v>44813</v>
      </c>
      <c r="G518" s="12">
        <v>53943</v>
      </c>
      <c r="H518" s="11" t="s">
        <v>20</v>
      </c>
      <c r="I518" s="11" t="s">
        <v>51</v>
      </c>
    </row>
    <row r="519" spans="1:9" hidden="1">
      <c r="A519" s="13">
        <f t="shared" si="7"/>
        <v>514</v>
      </c>
      <c r="B519" s="10" t="s">
        <v>177</v>
      </c>
      <c r="C519" s="13" t="s">
        <v>6293</v>
      </c>
      <c r="D519" s="13" t="s">
        <v>13</v>
      </c>
      <c r="E519" s="13">
        <v>8</v>
      </c>
      <c r="F519" s="14">
        <v>42811</v>
      </c>
      <c r="G519" s="14">
        <v>53767</v>
      </c>
      <c r="H519" s="13" t="s">
        <v>20</v>
      </c>
      <c r="I519" s="13" t="s">
        <v>51</v>
      </c>
    </row>
    <row r="520" spans="1:9" hidden="1">
      <c r="A520" s="11">
        <f t="shared" ref="A520:A583" si="8">+A519+1</f>
        <v>515</v>
      </c>
      <c r="B520" s="9" t="s">
        <v>181</v>
      </c>
      <c r="C520" s="11" t="s">
        <v>6294</v>
      </c>
      <c r="D520" s="11" t="s">
        <v>13</v>
      </c>
      <c r="E520" s="11">
        <v>12</v>
      </c>
      <c r="F520" s="12">
        <v>42817</v>
      </c>
      <c r="G520" s="12">
        <v>53767</v>
      </c>
      <c r="H520" s="11" t="s">
        <v>20</v>
      </c>
      <c r="I520" s="11" t="s">
        <v>51</v>
      </c>
    </row>
    <row r="521" spans="1:9" hidden="1">
      <c r="A521" s="13">
        <f t="shared" si="8"/>
        <v>516</v>
      </c>
      <c r="B521" s="10" t="s">
        <v>307</v>
      </c>
      <c r="C521" s="13" t="s">
        <v>6302</v>
      </c>
      <c r="D521" s="13" t="s">
        <v>18</v>
      </c>
      <c r="E521" s="13">
        <v>4</v>
      </c>
      <c r="F521" s="14">
        <v>44326</v>
      </c>
      <c r="G521" s="14">
        <v>46151</v>
      </c>
      <c r="H521" s="13" t="s">
        <v>20</v>
      </c>
      <c r="I521" s="13" t="s">
        <v>51</v>
      </c>
    </row>
    <row r="522" spans="1:9" hidden="1">
      <c r="A522" s="11">
        <f t="shared" si="8"/>
        <v>517</v>
      </c>
      <c r="B522" s="9" t="s">
        <v>312</v>
      </c>
      <c r="C522" s="11" t="s">
        <v>6303</v>
      </c>
      <c r="D522" s="11" t="s">
        <v>18</v>
      </c>
      <c r="E522" s="11">
        <v>5</v>
      </c>
      <c r="F522" s="12">
        <v>44298</v>
      </c>
      <c r="G522" s="12">
        <v>46123</v>
      </c>
      <c r="H522" s="11" t="s">
        <v>20</v>
      </c>
      <c r="I522" s="11" t="s">
        <v>51</v>
      </c>
    </row>
    <row r="523" spans="1:9" hidden="1">
      <c r="A523" s="13">
        <f t="shared" si="8"/>
        <v>518</v>
      </c>
      <c r="B523" s="10" t="s">
        <v>312</v>
      </c>
      <c r="C523" s="13" t="s">
        <v>6304</v>
      </c>
      <c r="D523" s="13" t="s">
        <v>18</v>
      </c>
      <c r="E523" s="13">
        <v>5</v>
      </c>
      <c r="F523" s="14">
        <v>44298</v>
      </c>
      <c r="G523" s="14">
        <v>46123</v>
      </c>
      <c r="H523" s="13" t="s">
        <v>20</v>
      </c>
      <c r="I523" s="13" t="s">
        <v>51</v>
      </c>
    </row>
    <row r="524" spans="1:9" hidden="1">
      <c r="A524" s="11">
        <f t="shared" si="8"/>
        <v>519</v>
      </c>
      <c r="B524" s="9" t="s">
        <v>312</v>
      </c>
      <c r="C524" s="11" t="s">
        <v>6305</v>
      </c>
      <c r="D524" s="11" t="s">
        <v>18</v>
      </c>
      <c r="E524" s="11">
        <v>5</v>
      </c>
      <c r="F524" s="12">
        <v>44298</v>
      </c>
      <c r="G524" s="12">
        <v>46123</v>
      </c>
      <c r="H524" s="11" t="s">
        <v>20</v>
      </c>
      <c r="I524" s="11" t="s">
        <v>51</v>
      </c>
    </row>
    <row r="525" spans="1:9" hidden="1">
      <c r="A525" s="13">
        <f t="shared" si="8"/>
        <v>520</v>
      </c>
      <c r="B525" s="10" t="s">
        <v>324</v>
      </c>
      <c r="C525" s="13" t="s">
        <v>6306</v>
      </c>
      <c r="D525" s="13" t="s">
        <v>18</v>
      </c>
      <c r="E525" s="13">
        <v>15</v>
      </c>
      <c r="F525" s="14">
        <v>44253</v>
      </c>
      <c r="G525" s="14">
        <v>46078</v>
      </c>
      <c r="H525" s="13" t="s">
        <v>20</v>
      </c>
      <c r="I525" s="13" t="s">
        <v>51</v>
      </c>
    </row>
    <row r="526" spans="1:9" hidden="1">
      <c r="A526" s="11">
        <f t="shared" si="8"/>
        <v>521</v>
      </c>
      <c r="B526" s="9" t="s">
        <v>324</v>
      </c>
      <c r="C526" s="11" t="s">
        <v>6307</v>
      </c>
      <c r="D526" s="11" t="s">
        <v>18</v>
      </c>
      <c r="E526" s="11">
        <v>10</v>
      </c>
      <c r="F526" s="12">
        <v>44253</v>
      </c>
      <c r="G526" s="12">
        <v>46078</v>
      </c>
      <c r="H526" s="11" t="s">
        <v>20</v>
      </c>
      <c r="I526" s="11" t="s">
        <v>51</v>
      </c>
    </row>
    <row r="527" spans="1:9" hidden="1">
      <c r="A527" s="13">
        <f t="shared" si="8"/>
        <v>522</v>
      </c>
      <c r="B527" s="10" t="s">
        <v>194</v>
      </c>
      <c r="C527" s="13" t="s">
        <v>6308</v>
      </c>
      <c r="D527" s="13" t="s">
        <v>18</v>
      </c>
      <c r="E527" s="13">
        <v>2</v>
      </c>
      <c r="F527" s="14">
        <v>45083</v>
      </c>
      <c r="G527" s="14">
        <v>46909</v>
      </c>
      <c r="H527" s="13" t="s">
        <v>20</v>
      </c>
      <c r="I527" s="13" t="s">
        <v>51</v>
      </c>
    </row>
    <row r="528" spans="1:9" hidden="1">
      <c r="A528" s="11">
        <f t="shared" si="8"/>
        <v>523</v>
      </c>
      <c r="B528" s="9" t="s">
        <v>197</v>
      </c>
      <c r="C528" s="11" t="s">
        <v>6310</v>
      </c>
      <c r="D528" s="11" t="s">
        <v>18</v>
      </c>
      <c r="E528" s="11">
        <v>7</v>
      </c>
      <c r="F528" s="12">
        <v>45007</v>
      </c>
      <c r="G528" s="12">
        <v>46833</v>
      </c>
      <c r="H528" s="11" t="s">
        <v>1644</v>
      </c>
      <c r="I528" s="11" t="s">
        <v>51</v>
      </c>
    </row>
    <row r="529" spans="1:9" hidden="1">
      <c r="A529" s="13">
        <f t="shared" si="8"/>
        <v>524</v>
      </c>
      <c r="B529" s="10" t="s">
        <v>235</v>
      </c>
      <c r="C529" s="13" t="s">
        <v>6311</v>
      </c>
      <c r="D529" s="13" t="s">
        <v>18</v>
      </c>
      <c r="E529" s="13">
        <v>2</v>
      </c>
      <c r="F529" s="14">
        <v>43529</v>
      </c>
      <c r="G529" s="14">
        <v>45355</v>
      </c>
      <c r="H529" s="13" t="s">
        <v>180</v>
      </c>
      <c r="I529" s="13" t="s">
        <v>51</v>
      </c>
    </row>
    <row r="530" spans="1:9" hidden="1">
      <c r="A530" s="11">
        <f t="shared" si="8"/>
        <v>525</v>
      </c>
      <c r="B530" s="9" t="s">
        <v>235</v>
      </c>
      <c r="C530" s="11" t="s">
        <v>6312</v>
      </c>
      <c r="D530" s="11" t="s">
        <v>18</v>
      </c>
      <c r="E530" s="11">
        <v>4</v>
      </c>
      <c r="F530" s="12">
        <v>43529</v>
      </c>
      <c r="G530" s="12">
        <v>45355</v>
      </c>
      <c r="H530" s="11" t="s">
        <v>180</v>
      </c>
      <c r="I530" s="11" t="s">
        <v>51</v>
      </c>
    </row>
    <row r="531" spans="1:9" hidden="1">
      <c r="A531" s="13">
        <f t="shared" si="8"/>
        <v>526</v>
      </c>
      <c r="B531" s="10" t="s">
        <v>317</v>
      </c>
      <c r="C531" s="13" t="s">
        <v>6313</v>
      </c>
      <c r="D531" s="13" t="s">
        <v>18</v>
      </c>
      <c r="E531" s="13">
        <v>2</v>
      </c>
      <c r="F531" s="14">
        <v>44309</v>
      </c>
      <c r="G531" s="14">
        <v>46134</v>
      </c>
      <c r="H531" s="13" t="s">
        <v>180</v>
      </c>
      <c r="I531" s="13" t="s">
        <v>51</v>
      </c>
    </row>
    <row r="532" spans="1:9" hidden="1">
      <c r="A532" s="11">
        <f t="shared" si="8"/>
        <v>527</v>
      </c>
      <c r="B532" s="9" t="s">
        <v>321</v>
      </c>
      <c r="C532" s="11" t="s">
        <v>6314</v>
      </c>
      <c r="D532" s="11" t="s">
        <v>18</v>
      </c>
      <c r="E532" s="11">
        <v>5</v>
      </c>
      <c r="F532" s="12">
        <v>44236</v>
      </c>
      <c r="G532" s="12">
        <v>46061</v>
      </c>
      <c r="H532" s="11" t="s">
        <v>180</v>
      </c>
      <c r="I532" s="11" t="s">
        <v>51</v>
      </c>
    </row>
    <row r="533" spans="1:9" hidden="1">
      <c r="A533" s="13">
        <f t="shared" si="8"/>
        <v>528</v>
      </c>
      <c r="B533" s="10" t="s">
        <v>59</v>
      </c>
      <c r="C533" s="13" t="s">
        <v>6315</v>
      </c>
      <c r="D533" s="13" t="s">
        <v>13</v>
      </c>
      <c r="E533" s="13">
        <v>448</v>
      </c>
      <c r="F533" s="14">
        <v>44091</v>
      </c>
      <c r="G533" s="14">
        <v>49568</v>
      </c>
      <c r="H533" s="13" t="s">
        <v>16</v>
      </c>
      <c r="I533" s="13" t="s">
        <v>51</v>
      </c>
    </row>
    <row r="534" spans="1:9" hidden="1">
      <c r="A534" s="11">
        <f t="shared" si="8"/>
        <v>529</v>
      </c>
      <c r="B534" s="9" t="s">
        <v>59</v>
      </c>
      <c r="C534" s="11" t="s">
        <v>6316</v>
      </c>
      <c r="D534" s="11" t="s">
        <v>13</v>
      </c>
      <c r="E534" s="11">
        <v>435</v>
      </c>
      <c r="F534" s="12">
        <v>40768</v>
      </c>
      <c r="G534" s="12">
        <v>46246</v>
      </c>
      <c r="H534" s="11" t="s">
        <v>16</v>
      </c>
      <c r="I534" s="11" t="s">
        <v>51</v>
      </c>
    </row>
    <row r="535" spans="1:9" hidden="1">
      <c r="A535" s="13">
        <f t="shared" si="8"/>
        <v>530</v>
      </c>
      <c r="B535" s="10" t="s">
        <v>77</v>
      </c>
      <c r="C535" s="13" t="s">
        <v>6317</v>
      </c>
      <c r="D535" s="13" t="s">
        <v>13</v>
      </c>
      <c r="E535" s="13">
        <v>207</v>
      </c>
      <c r="F535" s="14">
        <v>44687</v>
      </c>
      <c r="G535" s="14">
        <v>50165</v>
      </c>
      <c r="H535" s="13" t="s">
        <v>16</v>
      </c>
      <c r="I535" s="13" t="s">
        <v>51</v>
      </c>
    </row>
    <row r="536" spans="1:9">
      <c r="A536" s="11">
        <f t="shared" si="8"/>
        <v>531</v>
      </c>
      <c r="B536" s="9" t="s">
        <v>1621</v>
      </c>
      <c r="C536" s="11" t="s">
        <v>6318</v>
      </c>
      <c r="D536" s="11" t="s">
        <v>37</v>
      </c>
      <c r="E536" s="11">
        <v>79</v>
      </c>
      <c r="F536" s="12">
        <v>44689</v>
      </c>
      <c r="G536" s="12">
        <v>46514</v>
      </c>
      <c r="H536" s="11" t="s">
        <v>16</v>
      </c>
      <c r="I536" s="11" t="s">
        <v>51</v>
      </c>
    </row>
    <row r="537" spans="1:9" hidden="1">
      <c r="A537" s="13">
        <f t="shared" si="8"/>
        <v>532</v>
      </c>
      <c r="B537" s="10" t="s">
        <v>77</v>
      </c>
      <c r="C537" s="13" t="s">
        <v>6319</v>
      </c>
      <c r="D537" s="13" t="s">
        <v>13</v>
      </c>
      <c r="E537" s="13">
        <v>2</v>
      </c>
      <c r="F537" s="14">
        <v>44708</v>
      </c>
      <c r="G537" s="14">
        <v>50186</v>
      </c>
      <c r="H537" s="13" t="s">
        <v>16</v>
      </c>
      <c r="I537" s="13" t="s">
        <v>51</v>
      </c>
    </row>
    <row r="538" spans="1:9" hidden="1">
      <c r="A538" s="11">
        <f t="shared" si="8"/>
        <v>533</v>
      </c>
      <c r="B538" s="9" t="s">
        <v>35</v>
      </c>
      <c r="C538" s="11" t="s">
        <v>6320</v>
      </c>
      <c r="D538" s="11" t="s">
        <v>13</v>
      </c>
      <c r="E538" s="11">
        <v>3</v>
      </c>
      <c r="F538" s="12">
        <v>37403</v>
      </c>
      <c r="G538" s="12">
        <v>50186</v>
      </c>
      <c r="H538" s="11" t="s">
        <v>16</v>
      </c>
      <c r="I538" s="11" t="s">
        <v>51</v>
      </c>
    </row>
    <row r="539" spans="1:9" hidden="1">
      <c r="A539" s="13">
        <f t="shared" si="8"/>
        <v>534</v>
      </c>
      <c r="B539" s="10" t="s">
        <v>77</v>
      </c>
      <c r="C539" s="13" t="s">
        <v>6321</v>
      </c>
      <c r="D539" s="13" t="s">
        <v>13</v>
      </c>
      <c r="E539" s="13">
        <v>8</v>
      </c>
      <c r="F539" s="14">
        <v>44708</v>
      </c>
      <c r="G539" s="14">
        <v>50186</v>
      </c>
      <c r="H539" s="13" t="s">
        <v>16</v>
      </c>
      <c r="I539" s="13" t="s">
        <v>51</v>
      </c>
    </row>
    <row r="540" spans="1:9" hidden="1">
      <c r="A540" s="11">
        <f t="shared" si="8"/>
        <v>535</v>
      </c>
      <c r="B540" s="9" t="s">
        <v>78</v>
      </c>
      <c r="C540" s="11" t="s">
        <v>6322</v>
      </c>
      <c r="D540" s="11" t="s">
        <v>13</v>
      </c>
      <c r="E540" s="11">
        <v>29</v>
      </c>
      <c r="F540" s="12">
        <v>44281</v>
      </c>
      <c r="G540" s="12">
        <v>53411</v>
      </c>
      <c r="H540" s="11" t="s">
        <v>16</v>
      </c>
      <c r="I540" s="11" t="s">
        <v>51</v>
      </c>
    </row>
    <row r="541" spans="1:9" hidden="1">
      <c r="A541" s="13">
        <f t="shared" si="8"/>
        <v>536</v>
      </c>
      <c r="B541" s="10" t="s">
        <v>79</v>
      </c>
      <c r="C541" s="13" t="s">
        <v>6323</v>
      </c>
      <c r="D541" s="13" t="s">
        <v>13</v>
      </c>
      <c r="E541" s="13">
        <v>112</v>
      </c>
      <c r="F541" s="14">
        <v>44104</v>
      </c>
      <c r="G541" s="14">
        <v>53234</v>
      </c>
      <c r="H541" s="13" t="s">
        <v>16</v>
      </c>
      <c r="I541" s="13" t="s">
        <v>51</v>
      </c>
    </row>
    <row r="542" spans="1:9" hidden="1">
      <c r="A542" s="11">
        <f t="shared" si="8"/>
        <v>537</v>
      </c>
      <c r="B542" s="9" t="s">
        <v>79</v>
      </c>
      <c r="C542" s="11" t="s">
        <v>6324</v>
      </c>
      <c r="D542" s="11" t="s">
        <v>13</v>
      </c>
      <c r="E542" s="11">
        <v>96</v>
      </c>
      <c r="F542" s="12">
        <v>44104</v>
      </c>
      <c r="G542" s="12">
        <v>53234</v>
      </c>
      <c r="H542" s="11" t="s">
        <v>16</v>
      </c>
      <c r="I542" s="11" t="s">
        <v>51</v>
      </c>
    </row>
    <row r="543" spans="1:9" hidden="1">
      <c r="A543" s="13">
        <f t="shared" si="8"/>
        <v>538</v>
      </c>
      <c r="B543" s="10" t="s">
        <v>391</v>
      </c>
      <c r="C543" s="13" t="s">
        <v>6325</v>
      </c>
      <c r="D543" s="13" t="s">
        <v>27</v>
      </c>
      <c r="E543" s="13">
        <v>38</v>
      </c>
      <c r="F543" s="14">
        <v>45033</v>
      </c>
      <c r="G543" s="14">
        <v>46859</v>
      </c>
      <c r="H543" s="13" t="s">
        <v>16</v>
      </c>
      <c r="I543" s="13" t="s">
        <v>51</v>
      </c>
    </row>
    <row r="544" spans="1:9" hidden="1">
      <c r="A544" s="11">
        <f t="shared" si="8"/>
        <v>539</v>
      </c>
      <c r="B544" s="9" t="s">
        <v>79</v>
      </c>
      <c r="C544" s="11" t="s">
        <v>6326</v>
      </c>
      <c r="D544" s="11" t="s">
        <v>13</v>
      </c>
      <c r="E544" s="11">
        <v>86</v>
      </c>
      <c r="F544" s="12">
        <v>44104</v>
      </c>
      <c r="G544" s="12">
        <v>53234</v>
      </c>
      <c r="H544" s="11" t="s">
        <v>16</v>
      </c>
      <c r="I544" s="11" t="s">
        <v>51</v>
      </c>
    </row>
    <row r="545" spans="1:9" hidden="1">
      <c r="A545" s="13">
        <f t="shared" si="8"/>
        <v>540</v>
      </c>
      <c r="B545" s="10" t="s">
        <v>392</v>
      </c>
      <c r="C545" s="13" t="s">
        <v>6327</v>
      </c>
      <c r="D545" s="13" t="s">
        <v>13</v>
      </c>
      <c r="E545" s="13">
        <v>117</v>
      </c>
      <c r="F545" s="14">
        <v>45033</v>
      </c>
      <c r="G545" s="14">
        <v>54164</v>
      </c>
      <c r="H545" s="13" t="s">
        <v>16</v>
      </c>
      <c r="I545" s="13" t="s">
        <v>51</v>
      </c>
    </row>
    <row r="546" spans="1:9" hidden="1">
      <c r="A546" s="11">
        <f t="shared" si="8"/>
        <v>541</v>
      </c>
      <c r="B546" s="9" t="s">
        <v>392</v>
      </c>
      <c r="C546" s="11" t="s">
        <v>6328</v>
      </c>
      <c r="D546" s="11" t="s">
        <v>13</v>
      </c>
      <c r="E546" s="11">
        <v>103</v>
      </c>
      <c r="F546" s="12">
        <v>45033</v>
      </c>
      <c r="G546" s="12">
        <v>54164</v>
      </c>
      <c r="H546" s="11" t="s">
        <v>16</v>
      </c>
      <c r="I546" s="11" t="s">
        <v>51</v>
      </c>
    </row>
    <row r="547" spans="1:9" hidden="1">
      <c r="A547" s="13">
        <f t="shared" si="8"/>
        <v>542</v>
      </c>
      <c r="B547" s="10" t="s">
        <v>80</v>
      </c>
      <c r="C547" s="13" t="s">
        <v>6329</v>
      </c>
      <c r="D547" s="13" t="s">
        <v>13</v>
      </c>
      <c r="E547" s="13">
        <v>117</v>
      </c>
      <c r="F547" s="14">
        <v>43243</v>
      </c>
      <c r="G547" s="14">
        <v>52373</v>
      </c>
      <c r="H547" s="13" t="s">
        <v>16</v>
      </c>
      <c r="I547" s="13" t="s">
        <v>51</v>
      </c>
    </row>
    <row r="548" spans="1:9" hidden="1">
      <c r="A548" s="11">
        <f t="shared" si="8"/>
        <v>543</v>
      </c>
      <c r="B548" s="9" t="s">
        <v>392</v>
      </c>
      <c r="C548" s="11" t="s">
        <v>6330</v>
      </c>
      <c r="D548" s="11" t="s">
        <v>13</v>
      </c>
      <c r="E548" s="11">
        <v>106</v>
      </c>
      <c r="F548" s="12">
        <v>45033</v>
      </c>
      <c r="G548" s="12">
        <v>54164</v>
      </c>
      <c r="H548" s="11" t="s">
        <v>16</v>
      </c>
      <c r="I548" s="11" t="s">
        <v>51</v>
      </c>
    </row>
    <row r="549" spans="1:9" hidden="1">
      <c r="A549" s="13">
        <f t="shared" si="8"/>
        <v>544</v>
      </c>
      <c r="B549" s="10" t="s">
        <v>392</v>
      </c>
      <c r="C549" s="13" t="s">
        <v>6331</v>
      </c>
      <c r="D549" s="13" t="s">
        <v>13</v>
      </c>
      <c r="E549" s="13">
        <v>98</v>
      </c>
      <c r="F549" s="14">
        <v>45033</v>
      </c>
      <c r="G549" s="14">
        <v>54164</v>
      </c>
      <c r="H549" s="13" t="s">
        <v>16</v>
      </c>
      <c r="I549" s="13" t="s">
        <v>51</v>
      </c>
    </row>
    <row r="550" spans="1:9" hidden="1">
      <c r="A550" s="11">
        <f t="shared" si="8"/>
        <v>545</v>
      </c>
      <c r="B550" s="9" t="s">
        <v>80</v>
      </c>
      <c r="C550" s="11" t="s">
        <v>6332</v>
      </c>
      <c r="D550" s="11" t="s">
        <v>13</v>
      </c>
      <c r="E550" s="11">
        <v>15</v>
      </c>
      <c r="F550" s="12">
        <v>44281</v>
      </c>
      <c r="G550" s="12">
        <v>53411</v>
      </c>
      <c r="H550" s="11" t="s">
        <v>16</v>
      </c>
      <c r="I550" s="11" t="s">
        <v>51</v>
      </c>
    </row>
    <row r="551" spans="1:9" hidden="1">
      <c r="A551" s="13">
        <f t="shared" si="8"/>
        <v>546</v>
      </c>
      <c r="B551" s="10" t="s">
        <v>80</v>
      </c>
      <c r="C551" s="13" t="s">
        <v>6333</v>
      </c>
      <c r="D551" s="13" t="s">
        <v>13</v>
      </c>
      <c r="E551" s="13">
        <v>11</v>
      </c>
      <c r="F551" s="14">
        <v>44281</v>
      </c>
      <c r="G551" s="14">
        <v>53411</v>
      </c>
      <c r="H551" s="13" t="s">
        <v>16</v>
      </c>
      <c r="I551" s="13" t="s">
        <v>51</v>
      </c>
    </row>
    <row r="552" spans="1:9" hidden="1">
      <c r="A552" s="11">
        <f t="shared" si="8"/>
        <v>547</v>
      </c>
      <c r="B552" s="9" t="s">
        <v>83</v>
      </c>
      <c r="C552" s="11" t="s">
        <v>6334</v>
      </c>
      <c r="D552" s="11" t="s">
        <v>13</v>
      </c>
      <c r="E552" s="11">
        <v>22</v>
      </c>
      <c r="F552" s="12">
        <v>42809</v>
      </c>
      <c r="G552" s="12">
        <v>53765</v>
      </c>
      <c r="H552" s="11" t="s">
        <v>16</v>
      </c>
      <c r="I552" s="11" t="s">
        <v>51</v>
      </c>
    </row>
    <row r="553" spans="1:9" hidden="1">
      <c r="A553" s="13">
        <f t="shared" si="8"/>
        <v>548</v>
      </c>
      <c r="B553" s="10" t="s">
        <v>36</v>
      </c>
      <c r="C553" s="13" t="s">
        <v>6335</v>
      </c>
      <c r="D553" s="13" t="s">
        <v>13</v>
      </c>
      <c r="E553" s="13">
        <v>389</v>
      </c>
      <c r="F553" s="14">
        <v>40372</v>
      </c>
      <c r="G553" s="14">
        <v>51329</v>
      </c>
      <c r="H553" s="13" t="s">
        <v>16</v>
      </c>
      <c r="I553" s="13" t="s">
        <v>51</v>
      </c>
    </row>
    <row r="554" spans="1:9" hidden="1">
      <c r="A554" s="11">
        <f t="shared" si="8"/>
        <v>549</v>
      </c>
      <c r="B554" s="9" t="s">
        <v>36</v>
      </c>
      <c r="C554" s="11" t="s">
        <v>6336</v>
      </c>
      <c r="D554" s="11" t="s">
        <v>13</v>
      </c>
      <c r="E554" s="11">
        <v>371</v>
      </c>
      <c r="F554" s="12">
        <v>40520</v>
      </c>
      <c r="G554" s="12">
        <v>51477</v>
      </c>
      <c r="H554" s="11" t="s">
        <v>16</v>
      </c>
      <c r="I554" s="11" t="s">
        <v>51</v>
      </c>
    </row>
    <row r="555" spans="1:9" hidden="1">
      <c r="A555" s="13">
        <f t="shared" si="8"/>
        <v>550</v>
      </c>
      <c r="B555" s="10" t="s">
        <v>36</v>
      </c>
      <c r="C555" s="13" t="s">
        <v>6337</v>
      </c>
      <c r="D555" s="13" t="s">
        <v>13</v>
      </c>
      <c r="E555" s="13">
        <v>339</v>
      </c>
      <c r="F555" s="14">
        <v>40372</v>
      </c>
      <c r="G555" s="14">
        <v>51329</v>
      </c>
      <c r="H555" s="13" t="s">
        <v>16</v>
      </c>
      <c r="I555" s="13" t="s">
        <v>51</v>
      </c>
    </row>
    <row r="556" spans="1:9" hidden="1">
      <c r="A556" s="11">
        <f t="shared" si="8"/>
        <v>551</v>
      </c>
      <c r="B556" s="9" t="s">
        <v>36</v>
      </c>
      <c r="C556" s="11" t="s">
        <v>6338</v>
      </c>
      <c r="D556" s="11" t="s">
        <v>13</v>
      </c>
      <c r="E556" s="11">
        <v>374</v>
      </c>
      <c r="F556" s="12">
        <v>40368</v>
      </c>
      <c r="G556" s="12">
        <v>51325</v>
      </c>
      <c r="H556" s="11" t="s">
        <v>16</v>
      </c>
      <c r="I556" s="11" t="s">
        <v>51</v>
      </c>
    </row>
    <row r="557" spans="1:9" hidden="1">
      <c r="A557" s="13">
        <f t="shared" si="8"/>
        <v>552</v>
      </c>
      <c r="B557" s="10" t="s">
        <v>36</v>
      </c>
      <c r="C557" s="13" t="s">
        <v>6339</v>
      </c>
      <c r="D557" s="13" t="s">
        <v>13</v>
      </c>
      <c r="E557" s="13">
        <v>332</v>
      </c>
      <c r="F557" s="14">
        <v>41891</v>
      </c>
      <c r="G557" s="14">
        <v>52848</v>
      </c>
      <c r="H557" s="13" t="s">
        <v>16</v>
      </c>
      <c r="I557" s="13" t="s">
        <v>51</v>
      </c>
    </row>
    <row r="558" spans="1:9" hidden="1">
      <c r="A558" s="11">
        <f t="shared" si="8"/>
        <v>553</v>
      </c>
      <c r="B558" s="9" t="s">
        <v>84</v>
      </c>
      <c r="C558" s="11" t="s">
        <v>6340</v>
      </c>
      <c r="D558" s="11" t="s">
        <v>13</v>
      </c>
      <c r="E558" s="11">
        <v>19</v>
      </c>
      <c r="F558" s="12">
        <v>43080</v>
      </c>
      <c r="G558" s="12">
        <v>54036</v>
      </c>
      <c r="H558" s="11" t="s">
        <v>16</v>
      </c>
      <c r="I558" s="11" t="s">
        <v>51</v>
      </c>
    </row>
    <row r="559" spans="1:9" hidden="1">
      <c r="A559" s="13">
        <f t="shared" si="8"/>
        <v>554</v>
      </c>
      <c r="B559" s="10" t="s">
        <v>15</v>
      </c>
      <c r="C559" s="13" t="s">
        <v>6341</v>
      </c>
      <c r="D559" s="13" t="s">
        <v>13</v>
      </c>
      <c r="E559" s="13">
        <v>17</v>
      </c>
      <c r="F559" s="14">
        <v>40059</v>
      </c>
      <c r="G559" s="14">
        <v>51015</v>
      </c>
      <c r="H559" s="13" t="s">
        <v>16</v>
      </c>
      <c r="I559" s="13" t="s">
        <v>51</v>
      </c>
    </row>
    <row r="560" spans="1:9" hidden="1">
      <c r="A560" s="11">
        <f t="shared" si="8"/>
        <v>555</v>
      </c>
      <c r="B560" s="9" t="s">
        <v>15</v>
      </c>
      <c r="C560" s="11" t="s">
        <v>6342</v>
      </c>
      <c r="D560" s="11" t="s">
        <v>13</v>
      </c>
      <c r="E560" s="11">
        <v>12</v>
      </c>
      <c r="F560" s="12">
        <v>40801</v>
      </c>
      <c r="G560" s="12">
        <v>51758</v>
      </c>
      <c r="H560" s="11" t="s">
        <v>16</v>
      </c>
      <c r="I560" s="11" t="s">
        <v>51</v>
      </c>
    </row>
    <row r="561" spans="1:9" hidden="1">
      <c r="A561" s="13">
        <f t="shared" si="8"/>
        <v>556</v>
      </c>
      <c r="B561" s="10" t="s">
        <v>15</v>
      </c>
      <c r="C561" s="13" t="s">
        <v>6343</v>
      </c>
      <c r="D561" s="13" t="s">
        <v>13</v>
      </c>
      <c r="E561" s="13">
        <v>15</v>
      </c>
      <c r="F561" s="14">
        <v>41999</v>
      </c>
      <c r="G561" s="14">
        <v>52956</v>
      </c>
      <c r="H561" s="13" t="s">
        <v>16</v>
      </c>
      <c r="I561" s="13" t="s">
        <v>51</v>
      </c>
    </row>
    <row r="562" spans="1:9" hidden="1">
      <c r="A562" s="11">
        <f t="shared" si="8"/>
        <v>557</v>
      </c>
      <c r="B562" s="9" t="s">
        <v>15</v>
      </c>
      <c r="C562" s="11" t="s">
        <v>6344</v>
      </c>
      <c r="D562" s="11" t="s">
        <v>13</v>
      </c>
      <c r="E562" s="11">
        <v>5</v>
      </c>
      <c r="F562" s="12">
        <v>40801</v>
      </c>
      <c r="G562" s="12">
        <v>51758</v>
      </c>
      <c r="H562" s="11" t="s">
        <v>16</v>
      </c>
      <c r="I562" s="11" t="s">
        <v>51</v>
      </c>
    </row>
    <row r="563" spans="1:9" hidden="1">
      <c r="A563" s="13">
        <f t="shared" si="8"/>
        <v>558</v>
      </c>
      <c r="B563" s="10" t="s">
        <v>15</v>
      </c>
      <c r="C563" s="13" t="s">
        <v>6345</v>
      </c>
      <c r="D563" s="13" t="s">
        <v>13</v>
      </c>
      <c r="E563" s="13">
        <v>135</v>
      </c>
      <c r="F563" s="14">
        <v>39405</v>
      </c>
      <c r="G563" s="14">
        <v>50362</v>
      </c>
      <c r="H563" s="13" t="s">
        <v>16</v>
      </c>
      <c r="I563" s="13" t="s">
        <v>51</v>
      </c>
    </row>
    <row r="564" spans="1:9" hidden="1">
      <c r="A564" s="11">
        <f t="shared" si="8"/>
        <v>559</v>
      </c>
      <c r="B564" s="9" t="s">
        <v>85</v>
      </c>
      <c r="C564" s="11" t="s">
        <v>6346</v>
      </c>
      <c r="D564" s="11" t="s">
        <v>13</v>
      </c>
      <c r="E564" s="11">
        <v>32</v>
      </c>
      <c r="F564" s="12">
        <v>40124</v>
      </c>
      <c r="G564" s="12">
        <v>51080</v>
      </c>
      <c r="H564" s="11" t="s">
        <v>16</v>
      </c>
      <c r="I564" s="11" t="s">
        <v>51</v>
      </c>
    </row>
    <row r="565" spans="1:9" hidden="1">
      <c r="A565" s="13">
        <f t="shared" si="8"/>
        <v>560</v>
      </c>
      <c r="B565" s="10" t="s">
        <v>15</v>
      </c>
      <c r="C565" s="13" t="s">
        <v>6347</v>
      </c>
      <c r="D565" s="13" t="s">
        <v>13</v>
      </c>
      <c r="E565" s="13">
        <v>38</v>
      </c>
      <c r="F565" s="14">
        <v>41999</v>
      </c>
      <c r="G565" s="14">
        <v>52956</v>
      </c>
      <c r="H565" s="13" t="s">
        <v>16</v>
      </c>
      <c r="I565" s="13" t="s">
        <v>51</v>
      </c>
    </row>
    <row r="566" spans="1:9" hidden="1">
      <c r="A566" s="11">
        <f t="shared" si="8"/>
        <v>561</v>
      </c>
      <c r="B566" s="9" t="s">
        <v>15</v>
      </c>
      <c r="C566" s="11" t="s">
        <v>6348</v>
      </c>
      <c r="D566" s="11" t="s">
        <v>13</v>
      </c>
      <c r="E566" s="11">
        <v>12</v>
      </c>
      <c r="F566" s="12">
        <v>38969</v>
      </c>
      <c r="G566" s="12">
        <v>49926</v>
      </c>
      <c r="H566" s="11" t="s">
        <v>16</v>
      </c>
      <c r="I566" s="11" t="s">
        <v>51</v>
      </c>
    </row>
    <row r="567" spans="1:9" hidden="1">
      <c r="A567" s="13">
        <f t="shared" si="8"/>
        <v>562</v>
      </c>
      <c r="B567" s="10" t="s">
        <v>15</v>
      </c>
      <c r="C567" s="13" t="s">
        <v>6349</v>
      </c>
      <c r="D567" s="13" t="s">
        <v>13</v>
      </c>
      <c r="E567" s="13">
        <v>24</v>
      </c>
      <c r="F567" s="14">
        <v>42038</v>
      </c>
      <c r="G567" s="14">
        <v>52995</v>
      </c>
      <c r="H567" s="13" t="s">
        <v>16</v>
      </c>
      <c r="I567" s="13" t="s">
        <v>51</v>
      </c>
    </row>
    <row r="568" spans="1:9" hidden="1">
      <c r="A568" s="11">
        <f t="shared" si="8"/>
        <v>563</v>
      </c>
      <c r="B568" s="9" t="s">
        <v>88</v>
      </c>
      <c r="C568" s="11" t="s">
        <v>6350</v>
      </c>
      <c r="D568" s="11" t="s">
        <v>13</v>
      </c>
      <c r="E568" s="11">
        <v>14</v>
      </c>
      <c r="F568" s="12">
        <v>43381</v>
      </c>
      <c r="G568" s="12">
        <v>52511</v>
      </c>
      <c r="H568" s="11" t="s">
        <v>16</v>
      </c>
      <c r="I568" s="11" t="s">
        <v>51</v>
      </c>
    </row>
    <row r="569" spans="1:9" hidden="1">
      <c r="A569" s="13">
        <f t="shared" si="8"/>
        <v>564</v>
      </c>
      <c r="B569" s="10" t="s">
        <v>15</v>
      </c>
      <c r="C569" s="13" t="s">
        <v>6351</v>
      </c>
      <c r="D569" s="13" t="s">
        <v>13</v>
      </c>
      <c r="E569" s="13">
        <v>101</v>
      </c>
      <c r="F569" s="14">
        <v>40801</v>
      </c>
      <c r="G569" s="14">
        <v>51758</v>
      </c>
      <c r="H569" s="13" t="s">
        <v>16</v>
      </c>
      <c r="I569" s="13" t="s">
        <v>51</v>
      </c>
    </row>
    <row r="570" spans="1:9" hidden="1">
      <c r="A570" s="11">
        <f t="shared" si="8"/>
        <v>565</v>
      </c>
      <c r="B570" s="9" t="s">
        <v>15</v>
      </c>
      <c r="C570" s="11" t="s">
        <v>6352</v>
      </c>
      <c r="D570" s="11" t="s">
        <v>13</v>
      </c>
      <c r="E570" s="11">
        <v>179</v>
      </c>
      <c r="F570" s="12">
        <v>42038</v>
      </c>
      <c r="G570" s="12">
        <v>52995</v>
      </c>
      <c r="H570" s="11" t="s">
        <v>16</v>
      </c>
      <c r="I570" s="11" t="s">
        <v>51</v>
      </c>
    </row>
    <row r="571" spans="1:9" hidden="1">
      <c r="A571" s="13">
        <f t="shared" si="8"/>
        <v>566</v>
      </c>
      <c r="B571" s="10" t="s">
        <v>86</v>
      </c>
      <c r="C571" s="13" t="s">
        <v>6353</v>
      </c>
      <c r="D571" s="13" t="s">
        <v>13</v>
      </c>
      <c r="E571" s="13">
        <v>63</v>
      </c>
      <c r="F571" s="14">
        <v>45188</v>
      </c>
      <c r="G571" s="14">
        <v>50666</v>
      </c>
      <c r="H571" s="13" t="s">
        <v>16</v>
      </c>
      <c r="I571" s="13" t="s">
        <v>51</v>
      </c>
    </row>
    <row r="572" spans="1:9" hidden="1">
      <c r="A572" s="11">
        <f t="shared" si="8"/>
        <v>567</v>
      </c>
      <c r="B572" s="9" t="s">
        <v>90</v>
      </c>
      <c r="C572" s="11" t="s">
        <v>6354</v>
      </c>
      <c r="D572" s="11" t="s">
        <v>13</v>
      </c>
      <c r="E572" s="11">
        <v>17</v>
      </c>
      <c r="F572" s="12">
        <v>43719</v>
      </c>
      <c r="G572" s="12">
        <v>52850</v>
      </c>
      <c r="H572" s="11" t="s">
        <v>16</v>
      </c>
      <c r="I572" s="11" t="s">
        <v>51</v>
      </c>
    </row>
    <row r="573" spans="1:9" hidden="1">
      <c r="A573" s="13">
        <f t="shared" si="8"/>
        <v>568</v>
      </c>
      <c r="B573" s="10" t="s">
        <v>92</v>
      </c>
      <c r="C573" s="13" t="s">
        <v>6355</v>
      </c>
      <c r="D573" s="13" t="s">
        <v>13</v>
      </c>
      <c r="E573" s="13">
        <v>15</v>
      </c>
      <c r="F573" s="14">
        <v>43377</v>
      </c>
      <c r="G573" s="14">
        <v>52507</v>
      </c>
      <c r="H573" s="13" t="s">
        <v>16</v>
      </c>
      <c r="I573" s="13" t="s">
        <v>51</v>
      </c>
    </row>
    <row r="574" spans="1:9" hidden="1">
      <c r="A574" s="11">
        <f t="shared" si="8"/>
        <v>569</v>
      </c>
      <c r="B574" s="9" t="s">
        <v>36</v>
      </c>
      <c r="C574" s="11" t="s">
        <v>6356</v>
      </c>
      <c r="D574" s="11" t="s">
        <v>13</v>
      </c>
      <c r="E574" s="11">
        <v>183</v>
      </c>
      <c r="F574" s="12">
        <v>40245</v>
      </c>
      <c r="G574" s="12">
        <v>51202</v>
      </c>
      <c r="H574" s="11" t="s">
        <v>16</v>
      </c>
      <c r="I574" s="11" t="s">
        <v>51</v>
      </c>
    </row>
    <row r="575" spans="1:9" hidden="1">
      <c r="A575" s="13">
        <f t="shared" si="8"/>
        <v>570</v>
      </c>
      <c r="B575" s="10" t="s">
        <v>36</v>
      </c>
      <c r="C575" s="13" t="s">
        <v>6357</v>
      </c>
      <c r="D575" s="13" t="s">
        <v>13</v>
      </c>
      <c r="E575" s="13">
        <v>270</v>
      </c>
      <c r="F575" s="14">
        <v>40394</v>
      </c>
      <c r="G575" s="14">
        <v>51351</v>
      </c>
      <c r="H575" s="13" t="s">
        <v>16</v>
      </c>
      <c r="I575" s="13" t="s">
        <v>51</v>
      </c>
    </row>
    <row r="576" spans="1:9" hidden="1">
      <c r="A576" s="11">
        <f t="shared" si="8"/>
        <v>571</v>
      </c>
      <c r="B576" s="9" t="s">
        <v>36</v>
      </c>
      <c r="C576" s="11" t="s">
        <v>6358</v>
      </c>
      <c r="D576" s="11" t="s">
        <v>13</v>
      </c>
      <c r="E576" s="11">
        <v>10</v>
      </c>
      <c r="F576" s="12">
        <v>40245</v>
      </c>
      <c r="G576" s="12">
        <v>51202</v>
      </c>
      <c r="H576" s="11" t="s">
        <v>16</v>
      </c>
      <c r="I576" s="11" t="s">
        <v>51</v>
      </c>
    </row>
    <row r="577" spans="1:9" hidden="1">
      <c r="A577" s="13">
        <f t="shared" si="8"/>
        <v>572</v>
      </c>
      <c r="B577" s="10" t="s">
        <v>36</v>
      </c>
      <c r="C577" s="13" t="s">
        <v>6359</v>
      </c>
      <c r="D577" s="13" t="s">
        <v>13</v>
      </c>
      <c r="E577" s="13">
        <v>7</v>
      </c>
      <c r="F577" s="14">
        <v>40396</v>
      </c>
      <c r="G577" s="14">
        <v>51353</v>
      </c>
      <c r="H577" s="13" t="s">
        <v>16</v>
      </c>
      <c r="I577" s="13" t="s">
        <v>51</v>
      </c>
    </row>
    <row r="578" spans="1:9" hidden="1">
      <c r="A578" s="11">
        <f t="shared" si="8"/>
        <v>573</v>
      </c>
      <c r="B578" s="9" t="s">
        <v>93</v>
      </c>
      <c r="C578" s="11" t="s">
        <v>6360</v>
      </c>
      <c r="D578" s="11" t="s">
        <v>27</v>
      </c>
      <c r="E578" s="11">
        <v>7</v>
      </c>
      <c r="F578" s="12">
        <v>43510</v>
      </c>
      <c r="G578" s="12">
        <v>45335</v>
      </c>
      <c r="H578" s="11" t="s">
        <v>16</v>
      </c>
      <c r="I578" s="11" t="s">
        <v>51</v>
      </c>
    </row>
    <row r="579" spans="1:9" hidden="1">
      <c r="A579" s="13">
        <f t="shared" si="8"/>
        <v>574</v>
      </c>
      <c r="B579" s="10" t="s">
        <v>67</v>
      </c>
      <c r="C579" s="13" t="s">
        <v>6361</v>
      </c>
      <c r="D579" s="13" t="s">
        <v>13</v>
      </c>
      <c r="E579" s="13">
        <v>2</v>
      </c>
      <c r="F579" s="14">
        <v>36253</v>
      </c>
      <c r="G579" s="14">
        <v>47210</v>
      </c>
      <c r="H579" s="13" t="s">
        <v>16</v>
      </c>
      <c r="I579" s="13" t="s">
        <v>51</v>
      </c>
    </row>
    <row r="580" spans="1:9" hidden="1">
      <c r="A580" s="11">
        <f t="shared" si="8"/>
        <v>575</v>
      </c>
      <c r="B580" s="9" t="s">
        <v>15</v>
      </c>
      <c r="C580" s="11" t="s">
        <v>6362</v>
      </c>
      <c r="D580" s="11" t="s">
        <v>13</v>
      </c>
      <c r="E580" s="11">
        <v>68</v>
      </c>
      <c r="F580" s="12">
        <v>40059</v>
      </c>
      <c r="G580" s="12">
        <v>51015</v>
      </c>
      <c r="H580" s="11" t="s">
        <v>16</v>
      </c>
      <c r="I580" s="11" t="s">
        <v>51</v>
      </c>
    </row>
    <row r="581" spans="1:9" hidden="1">
      <c r="A581" s="13">
        <f t="shared" si="8"/>
        <v>576</v>
      </c>
      <c r="B581" s="10" t="s">
        <v>15</v>
      </c>
      <c r="C581" s="13" t="s">
        <v>6363</v>
      </c>
      <c r="D581" s="13" t="s">
        <v>13</v>
      </c>
      <c r="E581" s="13">
        <v>194</v>
      </c>
      <c r="F581" s="14">
        <v>40995</v>
      </c>
      <c r="G581" s="14">
        <v>51951</v>
      </c>
      <c r="H581" s="13" t="s">
        <v>16</v>
      </c>
      <c r="I581" s="13" t="s">
        <v>51</v>
      </c>
    </row>
    <row r="582" spans="1:9" hidden="1">
      <c r="A582" s="11">
        <f t="shared" si="8"/>
        <v>577</v>
      </c>
      <c r="B582" s="9" t="s">
        <v>15</v>
      </c>
      <c r="C582" s="11" t="s">
        <v>6364</v>
      </c>
      <c r="D582" s="11" t="s">
        <v>13</v>
      </c>
      <c r="E582" s="11">
        <v>7</v>
      </c>
      <c r="F582" s="12">
        <v>42949</v>
      </c>
      <c r="G582" s="12">
        <v>53905</v>
      </c>
      <c r="H582" s="11" t="s">
        <v>16</v>
      </c>
      <c r="I582" s="11" t="s">
        <v>51</v>
      </c>
    </row>
    <row r="583" spans="1:9" hidden="1">
      <c r="A583" s="13">
        <f t="shared" si="8"/>
        <v>578</v>
      </c>
      <c r="B583" s="10" t="s">
        <v>15</v>
      </c>
      <c r="C583" s="13" t="s">
        <v>6365</v>
      </c>
      <c r="D583" s="13" t="s">
        <v>13</v>
      </c>
      <c r="E583" s="13">
        <v>45</v>
      </c>
      <c r="F583" s="14">
        <v>42304</v>
      </c>
      <c r="G583" s="14">
        <v>53261</v>
      </c>
      <c r="H583" s="13" t="s">
        <v>16</v>
      </c>
      <c r="I583" s="13" t="s">
        <v>51</v>
      </c>
    </row>
    <row r="584" spans="1:9" hidden="1">
      <c r="A584" s="11">
        <f t="shared" ref="A584:A647" si="9">+A583+1</f>
        <v>579</v>
      </c>
      <c r="B584" s="9" t="s">
        <v>15</v>
      </c>
      <c r="C584" s="11" t="s">
        <v>6366</v>
      </c>
      <c r="D584" s="11" t="s">
        <v>13</v>
      </c>
      <c r="E584" s="11">
        <v>93</v>
      </c>
      <c r="F584" s="12">
        <v>42949</v>
      </c>
      <c r="G584" s="12">
        <v>53905</v>
      </c>
      <c r="H584" s="11" t="s">
        <v>16</v>
      </c>
      <c r="I584" s="11" t="s">
        <v>51</v>
      </c>
    </row>
    <row r="585" spans="1:9" hidden="1">
      <c r="A585" s="13">
        <f t="shared" si="9"/>
        <v>580</v>
      </c>
      <c r="B585" s="10" t="s">
        <v>96</v>
      </c>
      <c r="C585" s="13" t="s">
        <v>6367</v>
      </c>
      <c r="D585" s="13" t="s">
        <v>27</v>
      </c>
      <c r="E585" s="13">
        <v>4</v>
      </c>
      <c r="F585" s="14">
        <v>44019</v>
      </c>
      <c r="G585" s="14">
        <v>45844</v>
      </c>
      <c r="H585" s="13" t="s">
        <v>16</v>
      </c>
      <c r="I585" s="13" t="s">
        <v>51</v>
      </c>
    </row>
    <row r="586" spans="1:9" hidden="1">
      <c r="A586" s="11">
        <f t="shared" si="9"/>
        <v>581</v>
      </c>
      <c r="B586" s="9" t="s">
        <v>15</v>
      </c>
      <c r="C586" s="11" t="s">
        <v>6368</v>
      </c>
      <c r="D586" s="11" t="s">
        <v>13</v>
      </c>
      <c r="E586" s="11">
        <v>107</v>
      </c>
      <c r="F586" s="12">
        <v>38621</v>
      </c>
      <c r="G586" s="12">
        <v>49577</v>
      </c>
      <c r="H586" s="11" t="s">
        <v>16</v>
      </c>
      <c r="I586" s="11" t="s">
        <v>51</v>
      </c>
    </row>
    <row r="587" spans="1:9" hidden="1">
      <c r="A587" s="13">
        <f t="shared" si="9"/>
        <v>582</v>
      </c>
      <c r="B587" s="10" t="s">
        <v>97</v>
      </c>
      <c r="C587" s="13" t="s">
        <v>6369</v>
      </c>
      <c r="D587" s="13" t="s">
        <v>13</v>
      </c>
      <c r="E587" s="13">
        <v>5</v>
      </c>
      <c r="F587" s="14">
        <v>42245</v>
      </c>
      <c r="G587" s="14">
        <v>53202</v>
      </c>
      <c r="H587" s="13" t="s">
        <v>16</v>
      </c>
      <c r="I587" s="13" t="s">
        <v>51</v>
      </c>
    </row>
    <row r="588" spans="1:9" hidden="1">
      <c r="A588" s="11">
        <f t="shared" si="9"/>
        <v>583</v>
      </c>
      <c r="B588" s="9" t="s">
        <v>59</v>
      </c>
      <c r="C588" s="11" t="s">
        <v>6370</v>
      </c>
      <c r="D588" s="11" t="s">
        <v>13</v>
      </c>
      <c r="E588" s="11">
        <v>135</v>
      </c>
      <c r="F588" s="12">
        <v>40768</v>
      </c>
      <c r="G588" s="12">
        <v>46246</v>
      </c>
      <c r="H588" s="11" t="s">
        <v>16</v>
      </c>
      <c r="I588" s="11" t="s">
        <v>51</v>
      </c>
    </row>
    <row r="589" spans="1:9" hidden="1">
      <c r="A589" s="13">
        <f t="shared" si="9"/>
        <v>584</v>
      </c>
      <c r="B589" s="10" t="s">
        <v>59</v>
      </c>
      <c r="C589" s="13" t="s">
        <v>6371</v>
      </c>
      <c r="D589" s="13" t="s">
        <v>13</v>
      </c>
      <c r="E589" s="13">
        <v>322</v>
      </c>
      <c r="F589" s="14">
        <v>40768</v>
      </c>
      <c r="G589" s="14">
        <v>46246</v>
      </c>
      <c r="H589" s="13" t="s">
        <v>16</v>
      </c>
      <c r="I589" s="13" t="s">
        <v>51</v>
      </c>
    </row>
    <row r="590" spans="1:9" hidden="1">
      <c r="A590" s="11">
        <f t="shared" si="9"/>
        <v>585</v>
      </c>
      <c r="B590" s="9" t="s">
        <v>77</v>
      </c>
      <c r="C590" s="11" t="s">
        <v>6372</v>
      </c>
      <c r="D590" s="11" t="s">
        <v>13</v>
      </c>
      <c r="E590" s="11">
        <v>3</v>
      </c>
      <c r="F590" s="12">
        <v>39907</v>
      </c>
      <c r="G590" s="12">
        <v>45385</v>
      </c>
      <c r="H590" s="11" t="s">
        <v>16</v>
      </c>
      <c r="I590" s="11" t="s">
        <v>51</v>
      </c>
    </row>
    <row r="591" spans="1:9" hidden="1">
      <c r="A591" s="13">
        <f t="shared" si="9"/>
        <v>586</v>
      </c>
      <c r="B591" s="10" t="s">
        <v>69</v>
      </c>
      <c r="C591" s="13" t="s">
        <v>6373</v>
      </c>
      <c r="D591" s="13" t="s">
        <v>13</v>
      </c>
      <c r="E591" s="13">
        <v>13</v>
      </c>
      <c r="F591" s="14">
        <v>39906</v>
      </c>
      <c r="G591" s="14">
        <v>45385</v>
      </c>
      <c r="H591" s="13" t="s">
        <v>16</v>
      </c>
      <c r="I591" s="13" t="s">
        <v>51</v>
      </c>
    </row>
    <row r="592" spans="1:9" hidden="1">
      <c r="A592" s="11">
        <f t="shared" si="9"/>
        <v>587</v>
      </c>
      <c r="B592" s="9" t="s">
        <v>69</v>
      </c>
      <c r="C592" s="11" t="s">
        <v>6374</v>
      </c>
      <c r="D592" s="11" t="s">
        <v>13</v>
      </c>
      <c r="E592" s="11">
        <v>9</v>
      </c>
      <c r="F592" s="12">
        <v>39906</v>
      </c>
      <c r="G592" s="12">
        <v>45385</v>
      </c>
      <c r="H592" s="11" t="s">
        <v>16</v>
      </c>
      <c r="I592" s="11" t="s">
        <v>51</v>
      </c>
    </row>
    <row r="593" spans="1:9" hidden="1">
      <c r="A593" s="13">
        <f t="shared" si="9"/>
        <v>588</v>
      </c>
      <c r="B593" s="10" t="s">
        <v>124</v>
      </c>
      <c r="C593" s="13" t="s">
        <v>6375</v>
      </c>
      <c r="D593" s="13" t="s">
        <v>13</v>
      </c>
      <c r="E593" s="13">
        <v>47</v>
      </c>
      <c r="F593" s="14">
        <v>42830</v>
      </c>
      <c r="G593" s="14">
        <v>53786</v>
      </c>
      <c r="H593" s="13" t="s">
        <v>16</v>
      </c>
      <c r="I593" s="13" t="s">
        <v>51</v>
      </c>
    </row>
    <row r="594" spans="1:9" hidden="1">
      <c r="A594" s="11">
        <f t="shared" si="9"/>
        <v>589</v>
      </c>
      <c r="B594" s="9" t="s">
        <v>126</v>
      </c>
      <c r="C594" s="11" t="s">
        <v>6376</v>
      </c>
      <c r="D594" s="11" t="s">
        <v>13</v>
      </c>
      <c r="E594" s="11">
        <v>4</v>
      </c>
      <c r="F594" s="12">
        <v>42688</v>
      </c>
      <c r="G594" s="12">
        <v>53644</v>
      </c>
      <c r="H594" s="11" t="s">
        <v>16</v>
      </c>
      <c r="I594" s="11" t="s">
        <v>51</v>
      </c>
    </row>
    <row r="595" spans="1:9" hidden="1">
      <c r="A595" s="13">
        <f t="shared" si="9"/>
        <v>590</v>
      </c>
      <c r="B595" s="10" t="s">
        <v>59</v>
      </c>
      <c r="C595" s="13" t="s">
        <v>6377</v>
      </c>
      <c r="D595" s="13" t="s">
        <v>13</v>
      </c>
      <c r="E595" s="13">
        <v>405</v>
      </c>
      <c r="F595" s="14">
        <v>44091</v>
      </c>
      <c r="G595" s="14">
        <v>49568</v>
      </c>
      <c r="H595" s="13" t="s">
        <v>16</v>
      </c>
      <c r="I595" s="13" t="s">
        <v>51</v>
      </c>
    </row>
    <row r="596" spans="1:9" hidden="1">
      <c r="A596" s="11">
        <f t="shared" si="9"/>
        <v>591</v>
      </c>
      <c r="B596" s="9" t="s">
        <v>59</v>
      </c>
      <c r="C596" s="11" t="s">
        <v>6378</v>
      </c>
      <c r="D596" s="11" t="s">
        <v>13</v>
      </c>
      <c r="E596" s="11">
        <v>134</v>
      </c>
      <c r="F596" s="12">
        <v>44091</v>
      </c>
      <c r="G596" s="12">
        <v>49568</v>
      </c>
      <c r="H596" s="11" t="s">
        <v>16</v>
      </c>
      <c r="I596" s="11" t="s">
        <v>51</v>
      </c>
    </row>
    <row r="597" spans="1:9" hidden="1">
      <c r="A597" s="13">
        <f t="shared" si="9"/>
        <v>592</v>
      </c>
      <c r="B597" s="10" t="s">
        <v>36</v>
      </c>
      <c r="C597" s="13" t="s">
        <v>6379</v>
      </c>
      <c r="D597" s="13" t="s">
        <v>13</v>
      </c>
      <c r="E597" s="13">
        <v>8</v>
      </c>
      <c r="F597" s="14">
        <v>40393</v>
      </c>
      <c r="G597" s="14">
        <v>51350</v>
      </c>
      <c r="H597" s="13" t="s">
        <v>16</v>
      </c>
      <c r="I597" s="13" t="s">
        <v>51</v>
      </c>
    </row>
    <row r="598" spans="1:9" hidden="1">
      <c r="A598" s="11">
        <f t="shared" si="9"/>
        <v>593</v>
      </c>
      <c r="B598" s="9" t="s">
        <v>15</v>
      </c>
      <c r="C598" s="11" t="s">
        <v>6380</v>
      </c>
      <c r="D598" s="11" t="s">
        <v>13</v>
      </c>
      <c r="E598" s="11">
        <v>28</v>
      </c>
      <c r="F598" s="12">
        <v>44973</v>
      </c>
      <c r="G598" s="12">
        <v>51013</v>
      </c>
      <c r="H598" s="11" t="s">
        <v>16</v>
      </c>
      <c r="I598" s="11" t="s">
        <v>51</v>
      </c>
    </row>
    <row r="599" spans="1:9" hidden="1">
      <c r="A599" s="13">
        <f t="shared" si="9"/>
        <v>594</v>
      </c>
      <c r="B599" s="10" t="s">
        <v>136</v>
      </c>
      <c r="C599" s="13" t="s">
        <v>6381</v>
      </c>
      <c r="D599" s="13" t="s">
        <v>13</v>
      </c>
      <c r="E599" s="13">
        <v>17</v>
      </c>
      <c r="F599" s="14">
        <v>42716</v>
      </c>
      <c r="G599" s="14">
        <v>53672</v>
      </c>
      <c r="H599" s="13" t="s">
        <v>16</v>
      </c>
      <c r="I599" s="13" t="s">
        <v>51</v>
      </c>
    </row>
    <row r="600" spans="1:9" hidden="1">
      <c r="A600" s="11">
        <f t="shared" si="9"/>
        <v>595</v>
      </c>
      <c r="B600" s="9" t="s">
        <v>138</v>
      </c>
      <c r="C600" s="11" t="s">
        <v>6382</v>
      </c>
      <c r="D600" s="11" t="s">
        <v>13</v>
      </c>
      <c r="E600" s="11">
        <v>40</v>
      </c>
      <c r="F600" s="12">
        <v>43252</v>
      </c>
      <c r="G600" s="12">
        <v>54209</v>
      </c>
      <c r="H600" s="11" t="s">
        <v>16</v>
      </c>
      <c r="I600" s="11" t="s">
        <v>51</v>
      </c>
    </row>
    <row r="601" spans="1:9" hidden="1">
      <c r="A601" s="13">
        <f t="shared" si="9"/>
        <v>596</v>
      </c>
      <c r="B601" s="10" t="s">
        <v>35</v>
      </c>
      <c r="C601" s="13" t="s">
        <v>6383</v>
      </c>
      <c r="D601" s="13" t="s">
        <v>13</v>
      </c>
      <c r="E601" s="13">
        <v>5</v>
      </c>
      <c r="F601" s="14">
        <v>41024</v>
      </c>
      <c r="G601" s="14">
        <v>51980</v>
      </c>
      <c r="H601" s="13" t="s">
        <v>16</v>
      </c>
      <c r="I601" s="13" t="s">
        <v>51</v>
      </c>
    </row>
    <row r="602" spans="1:9" hidden="1">
      <c r="A602" s="11">
        <f t="shared" si="9"/>
        <v>597</v>
      </c>
      <c r="B602" s="9" t="s">
        <v>141</v>
      </c>
      <c r="C602" s="11" t="s">
        <v>6384</v>
      </c>
      <c r="D602" s="11" t="s">
        <v>13</v>
      </c>
      <c r="E602" s="11">
        <v>10</v>
      </c>
      <c r="F602" s="12">
        <v>42300</v>
      </c>
      <c r="G602" s="12">
        <v>53257</v>
      </c>
      <c r="H602" s="11" t="s">
        <v>16</v>
      </c>
      <c r="I602" s="11" t="s">
        <v>51</v>
      </c>
    </row>
    <row r="603" spans="1:9" hidden="1">
      <c r="A603" s="13">
        <f t="shared" si="9"/>
        <v>598</v>
      </c>
      <c r="B603" s="10" t="s">
        <v>38</v>
      </c>
      <c r="C603" s="13" t="s">
        <v>6385</v>
      </c>
      <c r="D603" s="13" t="s">
        <v>18</v>
      </c>
      <c r="E603" s="13">
        <v>98</v>
      </c>
      <c r="F603" s="14">
        <v>42767</v>
      </c>
      <c r="G603" s="14">
        <v>46418</v>
      </c>
      <c r="H603" s="13" t="s">
        <v>16</v>
      </c>
      <c r="I603" s="13" t="s">
        <v>51</v>
      </c>
    </row>
    <row r="604" spans="1:9" hidden="1">
      <c r="A604" s="11">
        <f t="shared" si="9"/>
        <v>599</v>
      </c>
      <c r="B604" s="9" t="s">
        <v>143</v>
      </c>
      <c r="C604" s="11" t="s">
        <v>6386</v>
      </c>
      <c r="D604" s="11" t="s">
        <v>13</v>
      </c>
      <c r="E604" s="11">
        <v>12</v>
      </c>
      <c r="F604" s="12">
        <v>43336</v>
      </c>
      <c r="G604" s="12">
        <v>52466</v>
      </c>
      <c r="H604" s="11" t="s">
        <v>16</v>
      </c>
      <c r="I604" s="11" t="s">
        <v>51</v>
      </c>
    </row>
    <row r="605" spans="1:9" hidden="1">
      <c r="A605" s="13">
        <f t="shared" si="9"/>
        <v>600</v>
      </c>
      <c r="B605" s="10" t="s">
        <v>146</v>
      </c>
      <c r="C605" s="13" t="s">
        <v>6387</v>
      </c>
      <c r="D605" s="13" t="s">
        <v>13</v>
      </c>
      <c r="E605" s="13">
        <v>6</v>
      </c>
      <c r="F605" s="14">
        <v>43179</v>
      </c>
      <c r="G605" s="14">
        <v>54136</v>
      </c>
      <c r="H605" s="13" t="s">
        <v>16</v>
      </c>
      <c r="I605" s="13" t="s">
        <v>51</v>
      </c>
    </row>
    <row r="606" spans="1:9" hidden="1">
      <c r="A606" s="11">
        <f t="shared" si="9"/>
        <v>601</v>
      </c>
      <c r="B606" s="9" t="s">
        <v>15</v>
      </c>
      <c r="C606" s="11" t="s">
        <v>6388</v>
      </c>
      <c r="D606" s="11" t="s">
        <v>13</v>
      </c>
      <c r="E606" s="11">
        <v>14</v>
      </c>
      <c r="F606" s="12">
        <v>40801</v>
      </c>
      <c r="G606" s="12">
        <v>51758</v>
      </c>
      <c r="H606" s="11" t="s">
        <v>16</v>
      </c>
      <c r="I606" s="11" t="s">
        <v>51</v>
      </c>
    </row>
    <row r="607" spans="1:9" hidden="1">
      <c r="A607" s="13">
        <f t="shared" si="9"/>
        <v>602</v>
      </c>
      <c r="B607" s="10" t="s">
        <v>38</v>
      </c>
      <c r="C607" s="13" t="s">
        <v>6389</v>
      </c>
      <c r="D607" s="13" t="s">
        <v>18</v>
      </c>
      <c r="E607" s="13">
        <v>75</v>
      </c>
      <c r="F607" s="14">
        <v>42767</v>
      </c>
      <c r="G607" s="14">
        <v>46418</v>
      </c>
      <c r="H607" s="13" t="s">
        <v>16</v>
      </c>
      <c r="I607" s="13" t="s">
        <v>51</v>
      </c>
    </row>
    <row r="608" spans="1:9" hidden="1">
      <c r="A608" s="11">
        <f t="shared" si="9"/>
        <v>603</v>
      </c>
      <c r="B608" s="9" t="s">
        <v>154</v>
      </c>
      <c r="C608" s="11" t="s">
        <v>6393</v>
      </c>
      <c r="D608" s="11" t="s">
        <v>13</v>
      </c>
      <c r="E608" s="11">
        <v>10</v>
      </c>
      <c r="F608" s="12">
        <v>42259</v>
      </c>
      <c r="G608" s="12">
        <v>53216</v>
      </c>
      <c r="H608" s="11" t="s">
        <v>16</v>
      </c>
      <c r="I608" s="11" t="s">
        <v>51</v>
      </c>
    </row>
    <row r="609" spans="1:9" hidden="1">
      <c r="A609" s="13">
        <f t="shared" si="9"/>
        <v>604</v>
      </c>
      <c r="B609" s="10" t="s">
        <v>124</v>
      </c>
      <c r="C609" s="13" t="s">
        <v>6394</v>
      </c>
      <c r="D609" s="13" t="s">
        <v>13</v>
      </c>
      <c r="E609" s="13">
        <v>51</v>
      </c>
      <c r="F609" s="14">
        <v>42830</v>
      </c>
      <c r="G609" s="14">
        <v>53786</v>
      </c>
      <c r="H609" s="13" t="s">
        <v>16</v>
      </c>
      <c r="I609" s="13" t="s">
        <v>51</v>
      </c>
    </row>
    <row r="610" spans="1:9" hidden="1">
      <c r="A610" s="11">
        <f t="shared" si="9"/>
        <v>605</v>
      </c>
      <c r="B610" s="9" t="s">
        <v>157</v>
      </c>
      <c r="C610" s="11" t="s">
        <v>6395</v>
      </c>
      <c r="D610" s="11" t="s">
        <v>13</v>
      </c>
      <c r="E610" s="11">
        <v>62</v>
      </c>
      <c r="F610" s="12">
        <v>41141</v>
      </c>
      <c r="G610" s="12">
        <v>52097</v>
      </c>
      <c r="H610" s="11" t="s">
        <v>16</v>
      </c>
      <c r="I610" s="11" t="s">
        <v>51</v>
      </c>
    </row>
    <row r="611" spans="1:9" hidden="1">
      <c r="A611" s="13">
        <f t="shared" si="9"/>
        <v>606</v>
      </c>
      <c r="B611" s="10" t="s">
        <v>157</v>
      </c>
      <c r="C611" s="13" t="s">
        <v>6396</v>
      </c>
      <c r="D611" s="13" t="s">
        <v>13</v>
      </c>
      <c r="E611" s="13">
        <v>204</v>
      </c>
      <c r="F611" s="14">
        <v>41141</v>
      </c>
      <c r="G611" s="14">
        <v>52097</v>
      </c>
      <c r="H611" s="13" t="s">
        <v>16</v>
      </c>
      <c r="I611" s="13" t="s">
        <v>51</v>
      </c>
    </row>
    <row r="612" spans="1:9" hidden="1">
      <c r="A612" s="11">
        <f t="shared" si="9"/>
        <v>607</v>
      </c>
      <c r="B612" s="9" t="s">
        <v>157</v>
      </c>
      <c r="C612" s="11" t="s">
        <v>6397</v>
      </c>
      <c r="D612" s="11" t="s">
        <v>13</v>
      </c>
      <c r="E612" s="11">
        <v>202</v>
      </c>
      <c r="F612" s="12">
        <v>41141</v>
      </c>
      <c r="G612" s="12">
        <v>52097</v>
      </c>
      <c r="H612" s="11" t="s">
        <v>16</v>
      </c>
      <c r="I612" s="11" t="s">
        <v>51</v>
      </c>
    </row>
    <row r="613" spans="1:9" hidden="1">
      <c r="A613" s="13">
        <f t="shared" si="9"/>
        <v>608</v>
      </c>
      <c r="B613" s="10" t="s">
        <v>88</v>
      </c>
      <c r="C613" s="13" t="s">
        <v>6398</v>
      </c>
      <c r="D613" s="13" t="s">
        <v>13</v>
      </c>
      <c r="E613" s="13">
        <v>28</v>
      </c>
      <c r="F613" s="14">
        <v>42209</v>
      </c>
      <c r="G613" s="14">
        <v>53166</v>
      </c>
      <c r="H613" s="13" t="s">
        <v>16</v>
      </c>
      <c r="I613" s="13" t="s">
        <v>51</v>
      </c>
    </row>
    <row r="614" spans="1:9" hidden="1">
      <c r="A614" s="11">
        <f t="shared" si="9"/>
        <v>609</v>
      </c>
      <c r="B614" s="9" t="s">
        <v>167</v>
      </c>
      <c r="C614" s="11" t="s">
        <v>6399</v>
      </c>
      <c r="D614" s="11" t="s">
        <v>13</v>
      </c>
      <c r="E614" s="11">
        <v>102</v>
      </c>
      <c r="F614" s="12">
        <v>42839</v>
      </c>
      <c r="G614" s="12">
        <v>51353</v>
      </c>
      <c r="H614" s="11" t="s">
        <v>16</v>
      </c>
      <c r="I614" s="11" t="s">
        <v>51</v>
      </c>
    </row>
    <row r="615" spans="1:9" hidden="1">
      <c r="A615" s="13">
        <f t="shared" si="9"/>
        <v>610</v>
      </c>
      <c r="B615" s="10" t="s">
        <v>172</v>
      </c>
      <c r="C615" s="13" t="s">
        <v>6400</v>
      </c>
      <c r="D615" s="13" t="s">
        <v>18</v>
      </c>
      <c r="E615" s="13">
        <v>54</v>
      </c>
      <c r="F615" s="14">
        <v>44495</v>
      </c>
      <c r="G615" s="14">
        <v>46320</v>
      </c>
      <c r="H615" s="13" t="s">
        <v>16</v>
      </c>
      <c r="I615" s="13" t="s">
        <v>51</v>
      </c>
    </row>
    <row r="616" spans="1:9" hidden="1">
      <c r="A616" s="11">
        <f t="shared" si="9"/>
        <v>611</v>
      </c>
      <c r="B616" s="9" t="s">
        <v>176</v>
      </c>
      <c r="C616" s="11" t="s">
        <v>6401</v>
      </c>
      <c r="D616" s="11" t="s">
        <v>27</v>
      </c>
      <c r="E616" s="11">
        <v>5</v>
      </c>
      <c r="F616" s="12">
        <v>42895</v>
      </c>
      <c r="G616" s="12">
        <v>46546</v>
      </c>
      <c r="H616" s="11" t="s">
        <v>16</v>
      </c>
      <c r="I616" s="11" t="s">
        <v>51</v>
      </c>
    </row>
    <row r="617" spans="1:9" hidden="1">
      <c r="A617" s="13">
        <f t="shared" si="9"/>
        <v>612</v>
      </c>
      <c r="B617" s="10" t="s">
        <v>188</v>
      </c>
      <c r="C617" s="13" t="s">
        <v>6402</v>
      </c>
      <c r="D617" s="13" t="s">
        <v>13</v>
      </c>
      <c r="E617" s="13">
        <v>74</v>
      </c>
      <c r="F617" s="14">
        <v>43046</v>
      </c>
      <c r="G617" s="14">
        <v>54002</v>
      </c>
      <c r="H617" s="13" t="s">
        <v>16</v>
      </c>
      <c r="I617" s="13" t="s">
        <v>51</v>
      </c>
    </row>
    <row r="618" spans="1:9" hidden="1">
      <c r="A618" s="11">
        <f t="shared" si="9"/>
        <v>613</v>
      </c>
      <c r="B618" s="9" t="s">
        <v>190</v>
      </c>
      <c r="C618" s="11" t="s">
        <v>6403</v>
      </c>
      <c r="D618" s="11" t="s">
        <v>13</v>
      </c>
      <c r="E618" s="11">
        <v>8</v>
      </c>
      <c r="F618" s="12">
        <v>43711</v>
      </c>
      <c r="G618" s="12">
        <v>52842</v>
      </c>
      <c r="H618" s="11" t="s">
        <v>16</v>
      </c>
      <c r="I618" s="11" t="s">
        <v>51</v>
      </c>
    </row>
    <row r="619" spans="1:9" hidden="1">
      <c r="A619" s="13">
        <f t="shared" si="9"/>
        <v>614</v>
      </c>
      <c r="B619" s="10" t="s">
        <v>192</v>
      </c>
      <c r="C619" s="13" t="s">
        <v>6404</v>
      </c>
      <c r="D619" s="13" t="s">
        <v>18</v>
      </c>
      <c r="E619" s="13">
        <v>14</v>
      </c>
      <c r="F619" s="14">
        <v>43531</v>
      </c>
      <c r="G619" s="14">
        <v>45357</v>
      </c>
      <c r="H619" s="13" t="s">
        <v>16</v>
      </c>
      <c r="I619" s="13" t="s">
        <v>51</v>
      </c>
    </row>
    <row r="620" spans="1:9" hidden="1">
      <c r="A620" s="11">
        <f t="shared" si="9"/>
        <v>615</v>
      </c>
      <c r="B620" s="9" t="s">
        <v>207</v>
      </c>
      <c r="C620" s="11" t="s">
        <v>6405</v>
      </c>
      <c r="D620" s="11" t="s">
        <v>18</v>
      </c>
      <c r="E620" s="11">
        <v>5</v>
      </c>
      <c r="F620" s="12">
        <v>43510</v>
      </c>
      <c r="G620" s="12">
        <v>45335</v>
      </c>
      <c r="H620" s="11" t="s">
        <v>16</v>
      </c>
      <c r="I620" s="11" t="s">
        <v>51</v>
      </c>
    </row>
    <row r="621" spans="1:9" hidden="1">
      <c r="A621" s="13">
        <f t="shared" si="9"/>
        <v>616</v>
      </c>
      <c r="B621" s="10" t="s">
        <v>97</v>
      </c>
      <c r="C621" s="13" t="s">
        <v>6406</v>
      </c>
      <c r="D621" s="13" t="s">
        <v>18</v>
      </c>
      <c r="E621" s="13">
        <v>19</v>
      </c>
      <c r="F621" s="14">
        <v>43493</v>
      </c>
      <c r="G621" s="14">
        <v>45318</v>
      </c>
      <c r="H621" s="13" t="s">
        <v>16</v>
      </c>
      <c r="I621" s="13" t="s">
        <v>51</v>
      </c>
    </row>
    <row r="622" spans="1:9" hidden="1">
      <c r="A622" s="11">
        <f t="shared" si="9"/>
        <v>617</v>
      </c>
      <c r="B622" s="9" t="s">
        <v>88</v>
      </c>
      <c r="C622" s="11" t="s">
        <v>6407</v>
      </c>
      <c r="D622" s="11" t="s">
        <v>13</v>
      </c>
      <c r="E622" s="11">
        <v>25</v>
      </c>
      <c r="F622" s="12">
        <v>43496</v>
      </c>
      <c r="G622" s="12">
        <v>52626</v>
      </c>
      <c r="H622" s="11" t="s">
        <v>16</v>
      </c>
      <c r="I622" s="11" t="s">
        <v>51</v>
      </c>
    </row>
    <row r="623" spans="1:9" hidden="1">
      <c r="A623" s="13">
        <f t="shared" si="9"/>
        <v>618</v>
      </c>
      <c r="B623" s="10" t="s">
        <v>97</v>
      </c>
      <c r="C623" s="13" t="s">
        <v>6408</v>
      </c>
      <c r="D623" s="13" t="s">
        <v>18</v>
      </c>
      <c r="E623" s="13">
        <v>16</v>
      </c>
      <c r="F623" s="14">
        <v>43493</v>
      </c>
      <c r="G623" s="14">
        <v>45318</v>
      </c>
      <c r="H623" s="13" t="s">
        <v>16</v>
      </c>
      <c r="I623" s="13" t="s">
        <v>51</v>
      </c>
    </row>
    <row r="624" spans="1:9" hidden="1">
      <c r="A624" s="11">
        <f t="shared" si="9"/>
        <v>619</v>
      </c>
      <c r="B624" s="9" t="s">
        <v>218</v>
      </c>
      <c r="C624" s="11" t="s">
        <v>6409</v>
      </c>
      <c r="D624" s="11" t="s">
        <v>18</v>
      </c>
      <c r="E624" s="11">
        <v>5</v>
      </c>
      <c r="F624" s="12">
        <v>43550</v>
      </c>
      <c r="G624" s="12">
        <v>45376</v>
      </c>
      <c r="H624" s="11" t="s">
        <v>16</v>
      </c>
      <c r="I624" s="11" t="s">
        <v>51</v>
      </c>
    </row>
    <row r="625" spans="1:9" hidden="1">
      <c r="A625" s="13">
        <f t="shared" si="9"/>
        <v>620</v>
      </c>
      <c r="B625" s="10" t="s">
        <v>221</v>
      </c>
      <c r="C625" s="13" t="s">
        <v>6410</v>
      </c>
      <c r="D625" s="13" t="s">
        <v>18</v>
      </c>
      <c r="E625" s="13">
        <v>10</v>
      </c>
      <c r="F625" s="14">
        <v>43510</v>
      </c>
      <c r="G625" s="14">
        <v>45335</v>
      </c>
      <c r="H625" s="13" t="s">
        <v>16</v>
      </c>
      <c r="I625" s="13" t="s">
        <v>51</v>
      </c>
    </row>
    <row r="626" spans="1:9" hidden="1">
      <c r="A626" s="11">
        <f t="shared" si="9"/>
        <v>621</v>
      </c>
      <c r="B626" s="9" t="s">
        <v>221</v>
      </c>
      <c r="C626" s="11" t="s">
        <v>6411</v>
      </c>
      <c r="D626" s="11" t="s">
        <v>18</v>
      </c>
      <c r="E626" s="11">
        <v>19</v>
      </c>
      <c r="F626" s="12">
        <v>43510</v>
      </c>
      <c r="G626" s="12">
        <v>45335</v>
      </c>
      <c r="H626" s="11" t="s">
        <v>16</v>
      </c>
      <c r="I626" s="11" t="s">
        <v>51</v>
      </c>
    </row>
    <row r="627" spans="1:9" hidden="1">
      <c r="A627" s="13">
        <f t="shared" si="9"/>
        <v>622</v>
      </c>
      <c r="B627" s="10" t="s">
        <v>221</v>
      </c>
      <c r="C627" s="13" t="s">
        <v>6412</v>
      </c>
      <c r="D627" s="13" t="s">
        <v>18</v>
      </c>
      <c r="E627" s="13">
        <v>8</v>
      </c>
      <c r="F627" s="14">
        <v>43510</v>
      </c>
      <c r="G627" s="14">
        <v>45335</v>
      </c>
      <c r="H627" s="13" t="s">
        <v>16</v>
      </c>
      <c r="I627" s="13" t="s">
        <v>51</v>
      </c>
    </row>
    <row r="628" spans="1:9" hidden="1">
      <c r="A628" s="11">
        <f t="shared" si="9"/>
        <v>623</v>
      </c>
      <c r="B628" s="9" t="s">
        <v>198</v>
      </c>
      <c r="C628" s="11" t="s">
        <v>6413</v>
      </c>
      <c r="D628" s="11" t="s">
        <v>18</v>
      </c>
      <c r="E628" s="11">
        <v>6</v>
      </c>
      <c r="F628" s="12">
        <v>43585</v>
      </c>
      <c r="G628" s="12">
        <v>45411</v>
      </c>
      <c r="H628" s="11" t="s">
        <v>16</v>
      </c>
      <c r="I628" s="11" t="s">
        <v>51</v>
      </c>
    </row>
    <row r="629" spans="1:9" hidden="1">
      <c r="A629" s="13">
        <f t="shared" si="9"/>
        <v>624</v>
      </c>
      <c r="B629" s="10" t="s">
        <v>197</v>
      </c>
      <c r="C629" s="13" t="s">
        <v>6414</v>
      </c>
      <c r="D629" s="13" t="s">
        <v>18</v>
      </c>
      <c r="E629" s="13">
        <v>4</v>
      </c>
      <c r="F629" s="14">
        <v>43577</v>
      </c>
      <c r="G629" s="14">
        <v>45403</v>
      </c>
      <c r="H629" s="13" t="s">
        <v>16</v>
      </c>
      <c r="I629" s="13" t="s">
        <v>51</v>
      </c>
    </row>
    <row r="630" spans="1:9" hidden="1">
      <c r="A630" s="11">
        <f t="shared" si="9"/>
        <v>625</v>
      </c>
      <c r="B630" s="9" t="s">
        <v>229</v>
      </c>
      <c r="C630" s="11" t="s">
        <v>6415</v>
      </c>
      <c r="D630" s="11" t="s">
        <v>18</v>
      </c>
      <c r="E630" s="11">
        <v>1</v>
      </c>
      <c r="F630" s="12">
        <v>43585</v>
      </c>
      <c r="G630" s="12">
        <v>45411</v>
      </c>
      <c r="H630" s="11" t="s">
        <v>16</v>
      </c>
      <c r="I630" s="11" t="s">
        <v>51</v>
      </c>
    </row>
    <row r="631" spans="1:9" hidden="1">
      <c r="A631" s="13">
        <f t="shared" si="9"/>
        <v>626</v>
      </c>
      <c r="B631" s="10" t="s">
        <v>222</v>
      </c>
      <c r="C631" s="13" t="s">
        <v>6416</v>
      </c>
      <c r="D631" s="13" t="s">
        <v>18</v>
      </c>
      <c r="E631" s="13">
        <v>20</v>
      </c>
      <c r="F631" s="14">
        <v>43543</v>
      </c>
      <c r="G631" s="14">
        <v>45369</v>
      </c>
      <c r="H631" s="13" t="s">
        <v>16</v>
      </c>
      <c r="I631" s="13" t="s">
        <v>51</v>
      </c>
    </row>
    <row r="632" spans="1:9" hidden="1">
      <c r="A632" s="11">
        <f t="shared" si="9"/>
        <v>627</v>
      </c>
      <c r="B632" s="9" t="s">
        <v>222</v>
      </c>
      <c r="C632" s="11" t="s">
        <v>6417</v>
      </c>
      <c r="D632" s="11" t="s">
        <v>18</v>
      </c>
      <c r="E632" s="11">
        <v>18</v>
      </c>
      <c r="F632" s="12">
        <v>43543</v>
      </c>
      <c r="G632" s="12">
        <v>45369</v>
      </c>
      <c r="H632" s="11" t="s">
        <v>16</v>
      </c>
      <c r="I632" s="11" t="s">
        <v>51</v>
      </c>
    </row>
    <row r="633" spans="1:9" hidden="1">
      <c r="A633" s="13">
        <f t="shared" si="9"/>
        <v>628</v>
      </c>
      <c r="B633" s="10" t="s">
        <v>222</v>
      </c>
      <c r="C633" s="13" t="s">
        <v>6418</v>
      </c>
      <c r="D633" s="13" t="s">
        <v>18</v>
      </c>
      <c r="E633" s="13">
        <v>10</v>
      </c>
      <c r="F633" s="14">
        <v>43543</v>
      </c>
      <c r="G633" s="14">
        <v>45369</v>
      </c>
      <c r="H633" s="13" t="s">
        <v>16</v>
      </c>
      <c r="I633" s="13" t="s">
        <v>51</v>
      </c>
    </row>
    <row r="634" spans="1:9" hidden="1">
      <c r="A634" s="11">
        <f t="shared" si="9"/>
        <v>629</v>
      </c>
      <c r="B634" s="9" t="s">
        <v>222</v>
      </c>
      <c r="C634" s="11" t="s">
        <v>6419</v>
      </c>
      <c r="D634" s="11" t="s">
        <v>18</v>
      </c>
      <c r="E634" s="11">
        <v>12</v>
      </c>
      <c r="F634" s="12">
        <v>43543</v>
      </c>
      <c r="G634" s="12">
        <v>45369</v>
      </c>
      <c r="H634" s="11" t="s">
        <v>16</v>
      </c>
      <c r="I634" s="11" t="s">
        <v>51</v>
      </c>
    </row>
    <row r="635" spans="1:9" hidden="1">
      <c r="A635" s="13">
        <f t="shared" si="9"/>
        <v>630</v>
      </c>
      <c r="B635" s="10" t="s">
        <v>222</v>
      </c>
      <c r="C635" s="13" t="s">
        <v>6420</v>
      </c>
      <c r="D635" s="13" t="s">
        <v>18</v>
      </c>
      <c r="E635" s="13">
        <v>18</v>
      </c>
      <c r="F635" s="14">
        <v>43535</v>
      </c>
      <c r="G635" s="14">
        <v>45361</v>
      </c>
      <c r="H635" s="13" t="s">
        <v>16</v>
      </c>
      <c r="I635" s="13" t="s">
        <v>51</v>
      </c>
    </row>
    <row r="636" spans="1:9" hidden="1">
      <c r="A636" s="11">
        <f t="shared" si="9"/>
        <v>631</v>
      </c>
      <c r="B636" s="9" t="s">
        <v>226</v>
      </c>
      <c r="C636" s="11" t="s">
        <v>6421</v>
      </c>
      <c r="D636" s="11" t="s">
        <v>18</v>
      </c>
      <c r="E636" s="11">
        <v>10</v>
      </c>
      <c r="F636" s="12">
        <v>43577</v>
      </c>
      <c r="G636" s="12">
        <v>45403</v>
      </c>
      <c r="H636" s="11" t="s">
        <v>16</v>
      </c>
      <c r="I636" s="11" t="s">
        <v>51</v>
      </c>
    </row>
    <row r="637" spans="1:9" hidden="1">
      <c r="A637" s="13">
        <f t="shared" si="9"/>
        <v>632</v>
      </c>
      <c r="B637" s="10" t="s">
        <v>226</v>
      </c>
      <c r="C637" s="13" t="s">
        <v>6422</v>
      </c>
      <c r="D637" s="13" t="s">
        <v>18</v>
      </c>
      <c r="E637" s="13">
        <v>6</v>
      </c>
      <c r="F637" s="14">
        <v>43577</v>
      </c>
      <c r="G637" s="14">
        <v>45403</v>
      </c>
      <c r="H637" s="13" t="s">
        <v>16</v>
      </c>
      <c r="I637" s="13" t="s">
        <v>51</v>
      </c>
    </row>
    <row r="638" spans="1:9">
      <c r="A638" s="11">
        <f t="shared" si="9"/>
        <v>633</v>
      </c>
      <c r="B638" s="9" t="s">
        <v>36</v>
      </c>
      <c r="C638" s="11" t="s">
        <v>6423</v>
      </c>
      <c r="D638" s="11" t="s">
        <v>37</v>
      </c>
      <c r="E638" s="11">
        <v>3</v>
      </c>
      <c r="F638" s="12">
        <v>44673</v>
      </c>
      <c r="G638" s="12">
        <v>46498</v>
      </c>
      <c r="H638" s="11" t="s">
        <v>16</v>
      </c>
      <c r="I638" s="11" t="s">
        <v>51</v>
      </c>
    </row>
    <row r="639" spans="1:9" hidden="1">
      <c r="A639" s="13">
        <f t="shared" si="9"/>
        <v>634</v>
      </c>
      <c r="B639" s="10" t="s">
        <v>236</v>
      </c>
      <c r="C639" s="13" t="s">
        <v>6424</v>
      </c>
      <c r="D639" s="13" t="s">
        <v>18</v>
      </c>
      <c r="E639" s="13">
        <v>24</v>
      </c>
      <c r="F639" s="14">
        <v>43508</v>
      </c>
      <c r="G639" s="14">
        <v>45333</v>
      </c>
      <c r="H639" s="13" t="s">
        <v>16</v>
      </c>
      <c r="I639" s="13" t="s">
        <v>51</v>
      </c>
    </row>
    <row r="640" spans="1:9" hidden="1">
      <c r="A640" s="11">
        <f t="shared" si="9"/>
        <v>635</v>
      </c>
      <c r="B640" s="9" t="s">
        <v>236</v>
      </c>
      <c r="C640" s="11" t="s">
        <v>6425</v>
      </c>
      <c r="D640" s="11" t="s">
        <v>18</v>
      </c>
      <c r="E640" s="11">
        <v>88</v>
      </c>
      <c r="F640" s="12">
        <v>43508</v>
      </c>
      <c r="G640" s="12">
        <v>45333</v>
      </c>
      <c r="H640" s="11" t="s">
        <v>16</v>
      </c>
      <c r="I640" s="11" t="s">
        <v>51</v>
      </c>
    </row>
    <row r="641" spans="1:9" hidden="1">
      <c r="A641" s="13">
        <f t="shared" si="9"/>
        <v>636</v>
      </c>
      <c r="B641" s="10" t="s">
        <v>236</v>
      </c>
      <c r="C641" s="13" t="s">
        <v>6426</v>
      </c>
      <c r="D641" s="13" t="s">
        <v>18</v>
      </c>
      <c r="E641" s="13">
        <v>24</v>
      </c>
      <c r="F641" s="14">
        <v>43508</v>
      </c>
      <c r="G641" s="14">
        <v>45333</v>
      </c>
      <c r="H641" s="13" t="s">
        <v>16</v>
      </c>
      <c r="I641" s="13" t="s">
        <v>51</v>
      </c>
    </row>
    <row r="642" spans="1:9" hidden="1">
      <c r="A642" s="11">
        <f t="shared" si="9"/>
        <v>637</v>
      </c>
      <c r="B642" s="9" t="s">
        <v>236</v>
      </c>
      <c r="C642" s="11" t="s">
        <v>6427</v>
      </c>
      <c r="D642" s="11" t="s">
        <v>18</v>
      </c>
      <c r="E642" s="11">
        <v>82</v>
      </c>
      <c r="F642" s="12">
        <v>43508</v>
      </c>
      <c r="G642" s="12">
        <v>45333</v>
      </c>
      <c r="H642" s="11" t="s">
        <v>16</v>
      </c>
      <c r="I642" s="11" t="s">
        <v>51</v>
      </c>
    </row>
    <row r="643" spans="1:9" hidden="1">
      <c r="A643" s="13">
        <f t="shared" si="9"/>
        <v>638</v>
      </c>
      <c r="B643" s="10" t="s">
        <v>237</v>
      </c>
      <c r="C643" s="13" t="s">
        <v>6428</v>
      </c>
      <c r="D643" s="13" t="s">
        <v>18</v>
      </c>
      <c r="E643" s="13">
        <v>22</v>
      </c>
      <c r="F643" s="14">
        <v>43508</v>
      </c>
      <c r="G643" s="14">
        <v>45333</v>
      </c>
      <c r="H643" s="13" t="s">
        <v>16</v>
      </c>
      <c r="I643" s="13" t="s">
        <v>51</v>
      </c>
    </row>
    <row r="644" spans="1:9" hidden="1">
      <c r="A644" s="11">
        <f t="shared" si="9"/>
        <v>639</v>
      </c>
      <c r="B644" s="9" t="s">
        <v>237</v>
      </c>
      <c r="C644" s="11" t="s">
        <v>6429</v>
      </c>
      <c r="D644" s="11" t="s">
        <v>18</v>
      </c>
      <c r="E644" s="11">
        <v>28</v>
      </c>
      <c r="F644" s="12">
        <v>43508</v>
      </c>
      <c r="G644" s="12">
        <v>45333</v>
      </c>
      <c r="H644" s="11" t="s">
        <v>16</v>
      </c>
      <c r="I644" s="11" t="s">
        <v>51</v>
      </c>
    </row>
    <row r="645" spans="1:9" hidden="1">
      <c r="A645" s="13">
        <f t="shared" si="9"/>
        <v>640</v>
      </c>
      <c r="B645" s="10" t="s">
        <v>239</v>
      </c>
      <c r="C645" s="13" t="s">
        <v>6430</v>
      </c>
      <c r="D645" s="13" t="s">
        <v>18</v>
      </c>
      <c r="E645" s="13">
        <v>10</v>
      </c>
      <c r="F645" s="14">
        <v>43508</v>
      </c>
      <c r="G645" s="14">
        <v>45333</v>
      </c>
      <c r="H645" s="13" t="s">
        <v>16</v>
      </c>
      <c r="I645" s="13" t="s">
        <v>51</v>
      </c>
    </row>
    <row r="646" spans="1:9" hidden="1">
      <c r="A646" s="11">
        <f t="shared" si="9"/>
        <v>641</v>
      </c>
      <c r="B646" s="9" t="s">
        <v>239</v>
      </c>
      <c r="C646" s="11" t="s">
        <v>6431</v>
      </c>
      <c r="D646" s="11" t="s">
        <v>18</v>
      </c>
      <c r="E646" s="11">
        <v>5</v>
      </c>
      <c r="F646" s="12">
        <v>43508</v>
      </c>
      <c r="G646" s="12">
        <v>45333</v>
      </c>
      <c r="H646" s="11" t="s">
        <v>16</v>
      </c>
      <c r="I646" s="11" t="s">
        <v>51</v>
      </c>
    </row>
    <row r="647" spans="1:9" hidden="1">
      <c r="A647" s="13">
        <f t="shared" si="9"/>
        <v>642</v>
      </c>
      <c r="B647" s="10" t="s">
        <v>242</v>
      </c>
      <c r="C647" s="13" t="s">
        <v>6432</v>
      </c>
      <c r="D647" s="13" t="s">
        <v>18</v>
      </c>
      <c r="E647" s="13">
        <v>50</v>
      </c>
      <c r="F647" s="14">
        <v>43560</v>
      </c>
      <c r="G647" s="14">
        <v>45386</v>
      </c>
      <c r="H647" s="13" t="s">
        <v>16</v>
      </c>
      <c r="I647" s="13" t="s">
        <v>51</v>
      </c>
    </row>
    <row r="648" spans="1:9" hidden="1">
      <c r="A648" s="11">
        <f t="shared" ref="A648:A711" si="10">+A647+1</f>
        <v>643</v>
      </c>
      <c r="B648" s="9" t="s">
        <v>245</v>
      </c>
      <c r="C648" s="11" t="s">
        <v>6433</v>
      </c>
      <c r="D648" s="11" t="s">
        <v>18</v>
      </c>
      <c r="E648" s="11">
        <v>4</v>
      </c>
      <c r="F648" s="12">
        <v>43543</v>
      </c>
      <c r="G648" s="12">
        <v>45369</v>
      </c>
      <c r="H648" s="11" t="s">
        <v>16</v>
      </c>
      <c r="I648" s="11" t="s">
        <v>51</v>
      </c>
    </row>
    <row r="649" spans="1:9" hidden="1">
      <c r="A649" s="13">
        <f t="shared" si="10"/>
        <v>644</v>
      </c>
      <c r="B649" s="10" t="s">
        <v>245</v>
      </c>
      <c r="C649" s="13" t="s">
        <v>6434</v>
      </c>
      <c r="D649" s="13" t="s">
        <v>18</v>
      </c>
      <c r="E649" s="13">
        <v>6</v>
      </c>
      <c r="F649" s="14">
        <v>43543</v>
      </c>
      <c r="G649" s="14">
        <v>45369</v>
      </c>
      <c r="H649" s="13" t="s">
        <v>16</v>
      </c>
      <c r="I649" s="13" t="s">
        <v>51</v>
      </c>
    </row>
    <row r="650" spans="1:9" hidden="1">
      <c r="A650" s="11">
        <f t="shared" si="10"/>
        <v>645</v>
      </c>
      <c r="B650" s="9" t="s">
        <v>248</v>
      </c>
      <c r="C650" s="11" t="s">
        <v>6436</v>
      </c>
      <c r="D650" s="11" t="s">
        <v>18</v>
      </c>
      <c r="E650" s="11">
        <v>275</v>
      </c>
      <c r="F650" s="12">
        <v>43529</v>
      </c>
      <c r="G650" s="12">
        <v>45355</v>
      </c>
      <c r="H650" s="11" t="s">
        <v>16</v>
      </c>
      <c r="I650" s="11" t="s">
        <v>51</v>
      </c>
    </row>
    <row r="651" spans="1:9" hidden="1">
      <c r="A651" s="13">
        <f t="shared" si="10"/>
        <v>646</v>
      </c>
      <c r="B651" s="10" t="s">
        <v>250</v>
      </c>
      <c r="C651" s="13" t="s">
        <v>6437</v>
      </c>
      <c r="D651" s="13" t="s">
        <v>18</v>
      </c>
      <c r="E651" s="13">
        <v>3</v>
      </c>
      <c r="F651" s="14">
        <v>43557</v>
      </c>
      <c r="G651" s="14">
        <v>45383</v>
      </c>
      <c r="H651" s="13" t="s">
        <v>16</v>
      </c>
      <c r="I651" s="13" t="s">
        <v>51</v>
      </c>
    </row>
    <row r="652" spans="1:9" hidden="1">
      <c r="A652" s="11">
        <f t="shared" si="10"/>
        <v>647</v>
      </c>
      <c r="B652" s="9" t="s">
        <v>251</v>
      </c>
      <c r="C652" s="11" t="s">
        <v>6438</v>
      </c>
      <c r="D652" s="11" t="s">
        <v>18</v>
      </c>
      <c r="E652" s="11">
        <v>13</v>
      </c>
      <c r="F652" s="12">
        <v>43557</v>
      </c>
      <c r="G652" s="12">
        <v>45383</v>
      </c>
      <c r="H652" s="11" t="s">
        <v>16</v>
      </c>
      <c r="I652" s="11" t="s">
        <v>51</v>
      </c>
    </row>
    <row r="653" spans="1:9" hidden="1">
      <c r="A653" s="13">
        <f t="shared" si="10"/>
        <v>648</v>
      </c>
      <c r="B653" s="10" t="s">
        <v>253</v>
      </c>
      <c r="C653" s="13" t="s">
        <v>6439</v>
      </c>
      <c r="D653" s="13" t="s">
        <v>18</v>
      </c>
      <c r="E653" s="13">
        <v>10</v>
      </c>
      <c r="F653" s="14">
        <v>43585</v>
      </c>
      <c r="G653" s="14">
        <v>45411</v>
      </c>
      <c r="H653" s="13" t="s">
        <v>16</v>
      </c>
      <c r="I653" s="13" t="s">
        <v>51</v>
      </c>
    </row>
    <row r="654" spans="1:9" hidden="1">
      <c r="A654" s="11">
        <f t="shared" si="10"/>
        <v>649</v>
      </c>
      <c r="B654" s="9" t="s">
        <v>257</v>
      </c>
      <c r="C654" s="11" t="s">
        <v>6441</v>
      </c>
      <c r="D654" s="11" t="s">
        <v>18</v>
      </c>
      <c r="E654" s="11">
        <v>154</v>
      </c>
      <c r="F654" s="12">
        <v>43535</v>
      </c>
      <c r="G654" s="12">
        <v>45361</v>
      </c>
      <c r="H654" s="11" t="s">
        <v>16</v>
      </c>
      <c r="I654" s="11" t="s">
        <v>51</v>
      </c>
    </row>
    <row r="655" spans="1:9" hidden="1">
      <c r="A655" s="13">
        <f t="shared" si="10"/>
        <v>650</v>
      </c>
      <c r="B655" s="10" t="s">
        <v>257</v>
      </c>
      <c r="C655" s="13" t="s">
        <v>6442</v>
      </c>
      <c r="D655" s="13" t="s">
        <v>18</v>
      </c>
      <c r="E655" s="13">
        <v>99</v>
      </c>
      <c r="F655" s="14">
        <v>43535</v>
      </c>
      <c r="G655" s="14">
        <v>45361</v>
      </c>
      <c r="H655" s="13" t="s">
        <v>16</v>
      </c>
      <c r="I655" s="13" t="s">
        <v>51</v>
      </c>
    </row>
    <row r="656" spans="1:9" hidden="1">
      <c r="A656" s="11">
        <f t="shared" si="10"/>
        <v>651</v>
      </c>
      <c r="B656" s="9" t="s">
        <v>257</v>
      </c>
      <c r="C656" s="11" t="s">
        <v>6443</v>
      </c>
      <c r="D656" s="11" t="s">
        <v>18</v>
      </c>
      <c r="E656" s="11">
        <v>117</v>
      </c>
      <c r="F656" s="12">
        <v>43535</v>
      </c>
      <c r="G656" s="12">
        <v>45361</v>
      </c>
      <c r="H656" s="11" t="s">
        <v>16</v>
      </c>
      <c r="I656" s="11" t="s">
        <v>51</v>
      </c>
    </row>
    <row r="657" spans="1:9" hidden="1">
      <c r="A657" s="13">
        <f t="shared" si="10"/>
        <v>652</v>
      </c>
      <c r="B657" s="10" t="s">
        <v>258</v>
      </c>
      <c r="C657" s="13" t="s">
        <v>6444</v>
      </c>
      <c r="D657" s="13" t="s">
        <v>18</v>
      </c>
      <c r="E657" s="13">
        <v>12</v>
      </c>
      <c r="F657" s="14">
        <v>43623</v>
      </c>
      <c r="G657" s="14">
        <v>45449</v>
      </c>
      <c r="H657" s="13" t="s">
        <v>16</v>
      </c>
      <c r="I657" s="13" t="s">
        <v>51</v>
      </c>
    </row>
    <row r="658" spans="1:9" hidden="1">
      <c r="A658" s="11">
        <f t="shared" si="10"/>
        <v>653</v>
      </c>
      <c r="B658" s="9" t="s">
        <v>1836</v>
      </c>
      <c r="C658" s="11" t="s">
        <v>6445</v>
      </c>
      <c r="D658" s="11" t="s">
        <v>18</v>
      </c>
      <c r="E658" s="11">
        <v>135</v>
      </c>
      <c r="F658" s="12">
        <v>43546</v>
      </c>
      <c r="G658" s="12">
        <v>45372</v>
      </c>
      <c r="H658" s="11" t="s">
        <v>16</v>
      </c>
      <c r="I658" s="11" t="s">
        <v>51</v>
      </c>
    </row>
    <row r="659" spans="1:9" hidden="1">
      <c r="A659" s="13">
        <f t="shared" si="10"/>
        <v>654</v>
      </c>
      <c r="B659" s="10" t="s">
        <v>1837</v>
      </c>
      <c r="C659" s="13" t="s">
        <v>6446</v>
      </c>
      <c r="D659" s="13" t="s">
        <v>18</v>
      </c>
      <c r="E659" s="13">
        <v>32</v>
      </c>
      <c r="F659" s="14">
        <v>43550</v>
      </c>
      <c r="G659" s="14">
        <v>45376</v>
      </c>
      <c r="H659" s="13" t="s">
        <v>16</v>
      </c>
      <c r="I659" s="13" t="s">
        <v>51</v>
      </c>
    </row>
    <row r="660" spans="1:9" hidden="1">
      <c r="A660" s="11">
        <f t="shared" si="10"/>
        <v>655</v>
      </c>
      <c r="B660" s="9" t="s">
        <v>1838</v>
      </c>
      <c r="C660" s="11" t="s">
        <v>6447</v>
      </c>
      <c r="D660" s="11" t="s">
        <v>18</v>
      </c>
      <c r="E660" s="11">
        <v>51</v>
      </c>
      <c r="F660" s="12">
        <v>43550</v>
      </c>
      <c r="G660" s="12">
        <v>45376</v>
      </c>
      <c r="H660" s="11" t="s">
        <v>16</v>
      </c>
      <c r="I660" s="11" t="s">
        <v>51</v>
      </c>
    </row>
    <row r="661" spans="1:9" hidden="1">
      <c r="A661" s="13">
        <f t="shared" si="10"/>
        <v>656</v>
      </c>
      <c r="B661" s="10" t="s">
        <v>238</v>
      </c>
      <c r="C661" s="13" t="s">
        <v>6448</v>
      </c>
      <c r="D661" s="13" t="s">
        <v>18</v>
      </c>
      <c r="E661" s="13">
        <v>4</v>
      </c>
      <c r="F661" s="14">
        <v>43550</v>
      </c>
      <c r="G661" s="14">
        <v>45376</v>
      </c>
      <c r="H661" s="13" t="s">
        <v>16</v>
      </c>
      <c r="I661" s="13" t="s">
        <v>51</v>
      </c>
    </row>
    <row r="662" spans="1:9" hidden="1">
      <c r="A662" s="11">
        <f t="shared" si="10"/>
        <v>657</v>
      </c>
      <c r="B662" s="9" t="s">
        <v>261</v>
      </c>
      <c r="C662" s="11" t="s">
        <v>6449</v>
      </c>
      <c r="D662" s="11" t="s">
        <v>18</v>
      </c>
      <c r="E662" s="11">
        <v>88</v>
      </c>
      <c r="F662" s="12">
        <v>43550</v>
      </c>
      <c r="G662" s="12">
        <v>45376</v>
      </c>
      <c r="H662" s="11" t="s">
        <v>16</v>
      </c>
      <c r="I662" s="11" t="s">
        <v>51</v>
      </c>
    </row>
    <row r="663" spans="1:9" hidden="1">
      <c r="A663" s="13">
        <f t="shared" si="10"/>
        <v>658</v>
      </c>
      <c r="B663" s="10" t="s">
        <v>261</v>
      </c>
      <c r="C663" s="13" t="s">
        <v>6450</v>
      </c>
      <c r="D663" s="13" t="s">
        <v>18</v>
      </c>
      <c r="E663" s="13">
        <v>29</v>
      </c>
      <c r="F663" s="14">
        <v>43550</v>
      </c>
      <c r="G663" s="14">
        <v>45376</v>
      </c>
      <c r="H663" s="13" t="s">
        <v>16</v>
      </c>
      <c r="I663" s="13" t="s">
        <v>51</v>
      </c>
    </row>
    <row r="664" spans="1:9" hidden="1">
      <c r="A664" s="11">
        <f t="shared" si="10"/>
        <v>659</v>
      </c>
      <c r="B664" s="9" t="s">
        <v>222</v>
      </c>
      <c r="C664" s="11" t="s">
        <v>6451</v>
      </c>
      <c r="D664" s="11" t="s">
        <v>18</v>
      </c>
      <c r="E664" s="11">
        <v>22</v>
      </c>
      <c r="F664" s="12">
        <v>44392</v>
      </c>
      <c r="G664" s="12">
        <v>46217</v>
      </c>
      <c r="H664" s="11" t="s">
        <v>16</v>
      </c>
      <c r="I664" s="11" t="s">
        <v>51</v>
      </c>
    </row>
    <row r="665" spans="1:9" hidden="1">
      <c r="A665" s="13">
        <f t="shared" si="10"/>
        <v>660</v>
      </c>
      <c r="B665" s="10" t="s">
        <v>253</v>
      </c>
      <c r="C665" s="13" t="s">
        <v>6452</v>
      </c>
      <c r="D665" s="13" t="s">
        <v>18</v>
      </c>
      <c r="E665" s="13">
        <v>8</v>
      </c>
      <c r="F665" s="14">
        <v>43614</v>
      </c>
      <c r="G665" s="14">
        <v>45440</v>
      </c>
      <c r="H665" s="13" t="s">
        <v>16</v>
      </c>
      <c r="I665" s="13" t="s">
        <v>51</v>
      </c>
    </row>
    <row r="666" spans="1:9" hidden="1">
      <c r="A666" s="11">
        <f t="shared" si="10"/>
        <v>661</v>
      </c>
      <c r="B666" s="9" t="s">
        <v>263</v>
      </c>
      <c r="C666" s="11" t="s">
        <v>6453</v>
      </c>
      <c r="D666" s="11" t="s">
        <v>18</v>
      </c>
      <c r="E666" s="11">
        <v>60</v>
      </c>
      <c r="F666" s="12">
        <v>43633</v>
      </c>
      <c r="G666" s="12">
        <v>45459</v>
      </c>
      <c r="H666" s="11" t="s">
        <v>16</v>
      </c>
      <c r="I666" s="11" t="s">
        <v>51</v>
      </c>
    </row>
    <row r="667" spans="1:9" hidden="1">
      <c r="A667" s="13">
        <f t="shared" si="10"/>
        <v>662</v>
      </c>
      <c r="B667" s="10" t="s">
        <v>263</v>
      </c>
      <c r="C667" s="13" t="s">
        <v>6454</v>
      </c>
      <c r="D667" s="13" t="s">
        <v>18</v>
      </c>
      <c r="E667" s="13">
        <v>139</v>
      </c>
      <c r="F667" s="14">
        <v>43633</v>
      </c>
      <c r="G667" s="14">
        <v>45459</v>
      </c>
      <c r="H667" s="13" t="s">
        <v>16</v>
      </c>
      <c r="I667" s="13" t="s">
        <v>51</v>
      </c>
    </row>
    <row r="668" spans="1:9" hidden="1">
      <c r="A668" s="11">
        <f t="shared" si="10"/>
        <v>663</v>
      </c>
      <c r="B668" s="9" t="s">
        <v>263</v>
      </c>
      <c r="C668" s="11" t="s">
        <v>6455</v>
      </c>
      <c r="D668" s="11" t="s">
        <v>18</v>
      </c>
      <c r="E668" s="11">
        <v>333</v>
      </c>
      <c r="F668" s="12">
        <v>43633</v>
      </c>
      <c r="G668" s="12">
        <v>45459</v>
      </c>
      <c r="H668" s="11" t="s">
        <v>16</v>
      </c>
      <c r="I668" s="11" t="s">
        <v>51</v>
      </c>
    </row>
    <row r="669" spans="1:9" hidden="1">
      <c r="A669" s="13">
        <f t="shared" si="10"/>
        <v>664</v>
      </c>
      <c r="B669" s="10" t="s">
        <v>263</v>
      </c>
      <c r="C669" s="13" t="s">
        <v>6456</v>
      </c>
      <c r="D669" s="13" t="s">
        <v>18</v>
      </c>
      <c r="E669" s="13">
        <v>269</v>
      </c>
      <c r="F669" s="14">
        <v>43633</v>
      </c>
      <c r="G669" s="14">
        <v>45459</v>
      </c>
      <c r="H669" s="13" t="s">
        <v>16</v>
      </c>
      <c r="I669" s="13" t="s">
        <v>51</v>
      </c>
    </row>
    <row r="670" spans="1:9" hidden="1">
      <c r="A670" s="11">
        <f t="shared" si="10"/>
        <v>665</v>
      </c>
      <c r="B670" s="9" t="s">
        <v>263</v>
      </c>
      <c r="C670" s="11" t="s">
        <v>6457</v>
      </c>
      <c r="D670" s="11" t="s">
        <v>18</v>
      </c>
      <c r="E670" s="11">
        <v>341</v>
      </c>
      <c r="F670" s="12">
        <v>43633</v>
      </c>
      <c r="G670" s="12">
        <v>45459</v>
      </c>
      <c r="H670" s="11" t="s">
        <v>16</v>
      </c>
      <c r="I670" s="11" t="s">
        <v>51</v>
      </c>
    </row>
    <row r="671" spans="1:9" hidden="1">
      <c r="A671" s="13">
        <f t="shared" si="10"/>
        <v>666</v>
      </c>
      <c r="B671" s="10" t="s">
        <v>263</v>
      </c>
      <c r="C671" s="13" t="s">
        <v>6458</v>
      </c>
      <c r="D671" s="13" t="s">
        <v>18</v>
      </c>
      <c r="E671" s="13">
        <v>247</v>
      </c>
      <c r="F671" s="14">
        <v>43633</v>
      </c>
      <c r="G671" s="14">
        <v>45459</v>
      </c>
      <c r="H671" s="13" t="s">
        <v>16</v>
      </c>
      <c r="I671" s="13" t="s">
        <v>51</v>
      </c>
    </row>
    <row r="672" spans="1:9" hidden="1">
      <c r="A672" s="11">
        <f t="shared" si="10"/>
        <v>667</v>
      </c>
      <c r="B672" s="9" t="s">
        <v>263</v>
      </c>
      <c r="C672" s="11" t="s">
        <v>6459</v>
      </c>
      <c r="D672" s="11" t="s">
        <v>18</v>
      </c>
      <c r="E672" s="11">
        <v>198</v>
      </c>
      <c r="F672" s="12">
        <v>43633</v>
      </c>
      <c r="G672" s="12">
        <v>45459</v>
      </c>
      <c r="H672" s="11" t="s">
        <v>16</v>
      </c>
      <c r="I672" s="11" t="s">
        <v>51</v>
      </c>
    </row>
    <row r="673" spans="1:9" hidden="1">
      <c r="A673" s="13">
        <f t="shared" si="10"/>
        <v>668</v>
      </c>
      <c r="B673" s="10" t="s">
        <v>263</v>
      </c>
      <c r="C673" s="13" t="s">
        <v>6460</v>
      </c>
      <c r="D673" s="13" t="s">
        <v>18</v>
      </c>
      <c r="E673" s="13">
        <v>427</v>
      </c>
      <c r="F673" s="14">
        <v>43633</v>
      </c>
      <c r="G673" s="14">
        <v>45459</v>
      </c>
      <c r="H673" s="13" t="s">
        <v>16</v>
      </c>
      <c r="I673" s="13" t="s">
        <v>51</v>
      </c>
    </row>
    <row r="674" spans="1:9" hidden="1">
      <c r="A674" s="11">
        <f t="shared" si="10"/>
        <v>669</v>
      </c>
      <c r="B674" s="9" t="s">
        <v>253</v>
      </c>
      <c r="C674" s="11" t="s">
        <v>6461</v>
      </c>
      <c r="D674" s="11" t="s">
        <v>18</v>
      </c>
      <c r="E674" s="11">
        <v>4</v>
      </c>
      <c r="F674" s="12">
        <v>43614</v>
      </c>
      <c r="G674" s="12">
        <v>45440</v>
      </c>
      <c r="H674" s="11" t="s">
        <v>16</v>
      </c>
      <c r="I674" s="11" t="s">
        <v>51</v>
      </c>
    </row>
    <row r="675" spans="1:9" hidden="1">
      <c r="A675" s="13">
        <f t="shared" si="10"/>
        <v>670</v>
      </c>
      <c r="B675" s="10" t="s">
        <v>267</v>
      </c>
      <c r="C675" s="13" t="s">
        <v>6463</v>
      </c>
      <c r="D675" s="13" t="s">
        <v>18</v>
      </c>
      <c r="E675" s="13">
        <v>6</v>
      </c>
      <c r="F675" s="14">
        <v>43605</v>
      </c>
      <c r="G675" s="14">
        <v>45431</v>
      </c>
      <c r="H675" s="13" t="s">
        <v>16</v>
      </c>
      <c r="I675" s="13" t="s">
        <v>51</v>
      </c>
    </row>
    <row r="676" spans="1:9" hidden="1">
      <c r="A676" s="11">
        <f t="shared" si="10"/>
        <v>671</v>
      </c>
      <c r="B676" s="9" t="s">
        <v>268</v>
      </c>
      <c r="C676" s="11" t="s">
        <v>6464</v>
      </c>
      <c r="D676" s="11" t="s">
        <v>18</v>
      </c>
      <c r="E676" s="11">
        <v>28</v>
      </c>
      <c r="F676" s="12">
        <v>43644</v>
      </c>
      <c r="G676" s="12">
        <v>45470</v>
      </c>
      <c r="H676" s="11" t="s">
        <v>16</v>
      </c>
      <c r="I676" s="11" t="s">
        <v>51</v>
      </c>
    </row>
    <row r="677" spans="1:9" hidden="1">
      <c r="A677" s="13">
        <f t="shared" si="10"/>
        <v>672</v>
      </c>
      <c r="B677" s="10" t="s">
        <v>79</v>
      </c>
      <c r="C677" s="13" t="s">
        <v>6465</v>
      </c>
      <c r="D677" s="13" t="s">
        <v>13</v>
      </c>
      <c r="E677" s="13">
        <v>47</v>
      </c>
      <c r="F677" s="14">
        <v>44104</v>
      </c>
      <c r="G677" s="14">
        <v>53234</v>
      </c>
      <c r="H677" s="13" t="s">
        <v>16</v>
      </c>
      <c r="I677" s="13" t="s">
        <v>51</v>
      </c>
    </row>
    <row r="678" spans="1:9" hidden="1">
      <c r="A678" s="11">
        <f t="shared" si="10"/>
        <v>673</v>
      </c>
      <c r="B678" s="9" t="s">
        <v>79</v>
      </c>
      <c r="C678" s="11" t="s">
        <v>6466</v>
      </c>
      <c r="D678" s="11" t="s">
        <v>13</v>
      </c>
      <c r="E678" s="11">
        <v>63</v>
      </c>
      <c r="F678" s="12">
        <v>44104</v>
      </c>
      <c r="G678" s="12">
        <v>53234</v>
      </c>
      <c r="H678" s="11" t="s">
        <v>16</v>
      </c>
      <c r="I678" s="11" t="s">
        <v>51</v>
      </c>
    </row>
    <row r="679" spans="1:9" hidden="1">
      <c r="A679" s="13">
        <f t="shared" si="10"/>
        <v>674</v>
      </c>
      <c r="B679" s="10" t="s">
        <v>275</v>
      </c>
      <c r="C679" s="13" t="s">
        <v>6467</v>
      </c>
      <c r="D679" s="13" t="s">
        <v>18</v>
      </c>
      <c r="E679" s="13">
        <v>25</v>
      </c>
      <c r="F679" s="14">
        <v>44022</v>
      </c>
      <c r="G679" s="14">
        <v>45847</v>
      </c>
      <c r="H679" s="13" t="s">
        <v>16</v>
      </c>
      <c r="I679" s="13" t="s">
        <v>51</v>
      </c>
    </row>
    <row r="680" spans="1:9" hidden="1">
      <c r="A680" s="11">
        <f t="shared" si="10"/>
        <v>675</v>
      </c>
      <c r="B680" s="9" t="s">
        <v>239</v>
      </c>
      <c r="C680" s="11" t="s">
        <v>6468</v>
      </c>
      <c r="D680" s="11" t="s">
        <v>18</v>
      </c>
      <c r="E680" s="11">
        <v>12</v>
      </c>
      <c r="F680" s="12">
        <v>43752</v>
      </c>
      <c r="G680" s="12">
        <v>45578</v>
      </c>
      <c r="H680" s="11" t="s">
        <v>16</v>
      </c>
      <c r="I680" s="11" t="s">
        <v>51</v>
      </c>
    </row>
    <row r="681" spans="1:9" hidden="1">
      <c r="A681" s="13">
        <f t="shared" si="10"/>
        <v>676</v>
      </c>
      <c r="B681" s="10" t="s">
        <v>98</v>
      </c>
      <c r="C681" s="13" t="s">
        <v>6469</v>
      </c>
      <c r="D681" s="13" t="s">
        <v>18</v>
      </c>
      <c r="E681" s="13">
        <v>14</v>
      </c>
      <c r="F681" s="14">
        <v>44256</v>
      </c>
      <c r="G681" s="14">
        <v>46081</v>
      </c>
      <c r="H681" s="13" t="s">
        <v>16</v>
      </c>
      <c r="I681" s="13" t="s">
        <v>51</v>
      </c>
    </row>
    <row r="682" spans="1:9" hidden="1">
      <c r="A682" s="11">
        <f t="shared" si="10"/>
        <v>677</v>
      </c>
      <c r="B682" s="9" t="s">
        <v>279</v>
      </c>
      <c r="C682" s="11" t="s">
        <v>6470</v>
      </c>
      <c r="D682" s="11" t="s">
        <v>18</v>
      </c>
      <c r="E682" s="11">
        <v>3</v>
      </c>
      <c r="F682" s="12">
        <v>43752</v>
      </c>
      <c r="G682" s="12">
        <v>45578</v>
      </c>
      <c r="H682" s="11" t="s">
        <v>16</v>
      </c>
      <c r="I682" s="11" t="s">
        <v>51</v>
      </c>
    </row>
    <row r="683" spans="1:9" hidden="1">
      <c r="A683" s="13">
        <f t="shared" si="10"/>
        <v>678</v>
      </c>
      <c r="B683" s="10" t="s">
        <v>280</v>
      </c>
      <c r="C683" s="13" t="s">
        <v>6471</v>
      </c>
      <c r="D683" s="13" t="s">
        <v>18</v>
      </c>
      <c r="E683" s="13">
        <v>20</v>
      </c>
      <c r="F683" s="14">
        <v>43738</v>
      </c>
      <c r="G683" s="14">
        <v>45564</v>
      </c>
      <c r="H683" s="13" t="s">
        <v>16</v>
      </c>
      <c r="I683" s="13" t="s">
        <v>51</v>
      </c>
    </row>
    <row r="684" spans="1:9" hidden="1">
      <c r="A684" s="11">
        <f t="shared" si="10"/>
        <v>679</v>
      </c>
      <c r="B684" s="9" t="s">
        <v>280</v>
      </c>
      <c r="C684" s="11" t="s">
        <v>6472</v>
      </c>
      <c r="D684" s="11" t="s">
        <v>18</v>
      </c>
      <c r="E684" s="11">
        <v>8</v>
      </c>
      <c r="F684" s="12">
        <v>43738</v>
      </c>
      <c r="G684" s="12">
        <v>45564</v>
      </c>
      <c r="H684" s="11" t="s">
        <v>16</v>
      </c>
      <c r="I684" s="11" t="s">
        <v>51</v>
      </c>
    </row>
    <row r="685" spans="1:9" hidden="1">
      <c r="A685" s="13">
        <f t="shared" si="10"/>
        <v>680</v>
      </c>
      <c r="B685" s="10" t="s">
        <v>280</v>
      </c>
      <c r="C685" s="13" t="s">
        <v>6473</v>
      </c>
      <c r="D685" s="13" t="s">
        <v>18</v>
      </c>
      <c r="E685" s="13">
        <v>4</v>
      </c>
      <c r="F685" s="14">
        <v>43738</v>
      </c>
      <c r="G685" s="14">
        <v>45564</v>
      </c>
      <c r="H685" s="13" t="s">
        <v>16</v>
      </c>
      <c r="I685" s="13" t="s">
        <v>51</v>
      </c>
    </row>
    <row r="686" spans="1:9" hidden="1">
      <c r="A686" s="11">
        <f t="shared" si="10"/>
        <v>681</v>
      </c>
      <c r="B686" s="9" t="s">
        <v>280</v>
      </c>
      <c r="C686" s="11" t="s">
        <v>6474</v>
      </c>
      <c r="D686" s="11" t="s">
        <v>18</v>
      </c>
      <c r="E686" s="11">
        <v>18</v>
      </c>
      <c r="F686" s="12">
        <v>43738</v>
      </c>
      <c r="G686" s="12">
        <v>45564</v>
      </c>
      <c r="H686" s="11" t="s">
        <v>16</v>
      </c>
      <c r="I686" s="11" t="s">
        <v>51</v>
      </c>
    </row>
    <row r="687" spans="1:9" hidden="1">
      <c r="A687" s="13">
        <f t="shared" si="10"/>
        <v>682</v>
      </c>
      <c r="B687" s="10" t="s">
        <v>280</v>
      </c>
      <c r="C687" s="13" t="s">
        <v>6475</v>
      </c>
      <c r="D687" s="13" t="s">
        <v>18</v>
      </c>
      <c r="E687" s="13">
        <v>15</v>
      </c>
      <c r="F687" s="14">
        <v>43738</v>
      </c>
      <c r="G687" s="14">
        <v>45564</v>
      </c>
      <c r="H687" s="13" t="s">
        <v>16</v>
      </c>
      <c r="I687" s="13" t="s">
        <v>51</v>
      </c>
    </row>
    <row r="688" spans="1:9" hidden="1">
      <c r="A688" s="11">
        <f t="shared" si="10"/>
        <v>683</v>
      </c>
      <c r="B688" s="9" t="s">
        <v>280</v>
      </c>
      <c r="C688" s="11" t="s">
        <v>6476</v>
      </c>
      <c r="D688" s="11" t="s">
        <v>18</v>
      </c>
      <c r="E688" s="11">
        <v>14</v>
      </c>
      <c r="F688" s="12">
        <v>43738</v>
      </c>
      <c r="G688" s="12">
        <v>45564</v>
      </c>
      <c r="H688" s="11" t="s">
        <v>16</v>
      </c>
      <c r="I688" s="11" t="s">
        <v>51</v>
      </c>
    </row>
    <row r="689" spans="1:9" hidden="1">
      <c r="A689" s="13">
        <f t="shared" si="10"/>
        <v>684</v>
      </c>
      <c r="B689" s="10" t="s">
        <v>285</v>
      </c>
      <c r="C689" s="13" t="s">
        <v>6477</v>
      </c>
      <c r="D689" s="13" t="s">
        <v>18</v>
      </c>
      <c r="E689" s="13">
        <v>5</v>
      </c>
      <c r="F689" s="14">
        <v>43777</v>
      </c>
      <c r="G689" s="14">
        <v>45603</v>
      </c>
      <c r="H689" s="13" t="s">
        <v>16</v>
      </c>
      <c r="I689" s="13" t="s">
        <v>51</v>
      </c>
    </row>
    <row r="690" spans="1:9" hidden="1">
      <c r="A690" s="11">
        <f t="shared" si="10"/>
        <v>685</v>
      </c>
      <c r="B690" s="9" t="s">
        <v>287</v>
      </c>
      <c r="C690" s="11" t="s">
        <v>6478</v>
      </c>
      <c r="D690" s="11" t="s">
        <v>18</v>
      </c>
      <c r="E690" s="11">
        <v>124</v>
      </c>
      <c r="F690" s="12">
        <v>43916</v>
      </c>
      <c r="G690" s="12">
        <v>45741</v>
      </c>
      <c r="H690" s="11" t="s">
        <v>16</v>
      </c>
      <c r="I690" s="11" t="s">
        <v>51</v>
      </c>
    </row>
    <row r="691" spans="1:9" hidden="1">
      <c r="A691" s="13">
        <f t="shared" si="10"/>
        <v>686</v>
      </c>
      <c r="B691" s="10" t="s">
        <v>287</v>
      </c>
      <c r="C691" s="13" t="s">
        <v>6479</v>
      </c>
      <c r="D691" s="13" t="s">
        <v>18</v>
      </c>
      <c r="E691" s="13">
        <v>74</v>
      </c>
      <c r="F691" s="14">
        <v>44411</v>
      </c>
      <c r="G691" s="14">
        <v>46236</v>
      </c>
      <c r="H691" s="13" t="s">
        <v>16</v>
      </c>
      <c r="I691" s="13" t="s">
        <v>51</v>
      </c>
    </row>
    <row r="692" spans="1:9" hidden="1">
      <c r="A692" s="11">
        <f t="shared" si="10"/>
        <v>687</v>
      </c>
      <c r="B692" s="9" t="s">
        <v>287</v>
      </c>
      <c r="C692" s="11" t="s">
        <v>6480</v>
      </c>
      <c r="D692" s="11" t="s">
        <v>18</v>
      </c>
      <c r="E692" s="11">
        <v>63</v>
      </c>
      <c r="F692" s="12">
        <v>44411</v>
      </c>
      <c r="G692" s="12">
        <v>46236</v>
      </c>
      <c r="H692" s="11" t="s">
        <v>16</v>
      </c>
      <c r="I692" s="11" t="s">
        <v>51</v>
      </c>
    </row>
    <row r="693" spans="1:9" hidden="1">
      <c r="A693" s="13">
        <f t="shared" si="10"/>
        <v>688</v>
      </c>
      <c r="B693" s="10" t="s">
        <v>291</v>
      </c>
      <c r="C693" s="13" t="s">
        <v>6483</v>
      </c>
      <c r="D693" s="13" t="s">
        <v>18</v>
      </c>
      <c r="E693" s="13">
        <v>6</v>
      </c>
      <c r="F693" s="14">
        <v>43810</v>
      </c>
      <c r="G693" s="14">
        <v>45636</v>
      </c>
      <c r="H693" s="13" t="s">
        <v>16</v>
      </c>
      <c r="I693" s="13" t="s">
        <v>51</v>
      </c>
    </row>
    <row r="694" spans="1:9" hidden="1">
      <c r="A694" s="11">
        <f t="shared" si="10"/>
        <v>689</v>
      </c>
      <c r="B694" s="9" t="s">
        <v>294</v>
      </c>
      <c r="C694" s="11" t="s">
        <v>6484</v>
      </c>
      <c r="D694" s="11" t="s">
        <v>18</v>
      </c>
      <c r="E694" s="11">
        <v>1</v>
      </c>
      <c r="F694" s="12">
        <v>44272</v>
      </c>
      <c r="G694" s="12">
        <v>46097</v>
      </c>
      <c r="H694" s="11" t="s">
        <v>16</v>
      </c>
      <c r="I694" s="11" t="s">
        <v>51</v>
      </c>
    </row>
    <row r="695" spans="1:9" hidden="1">
      <c r="A695" s="13">
        <f t="shared" si="10"/>
        <v>690</v>
      </c>
      <c r="B695" s="10" t="s">
        <v>236</v>
      </c>
      <c r="C695" s="13" t="s">
        <v>6486</v>
      </c>
      <c r="D695" s="13" t="s">
        <v>18</v>
      </c>
      <c r="E695" s="13">
        <v>7</v>
      </c>
      <c r="F695" s="14">
        <v>44077</v>
      </c>
      <c r="G695" s="14">
        <v>45902</v>
      </c>
      <c r="H695" s="13" t="s">
        <v>16</v>
      </c>
      <c r="I695" s="13" t="s">
        <v>51</v>
      </c>
    </row>
    <row r="696" spans="1:9" hidden="1">
      <c r="A696" s="11">
        <f t="shared" si="10"/>
        <v>691</v>
      </c>
      <c r="B696" s="9" t="s">
        <v>236</v>
      </c>
      <c r="C696" s="11" t="s">
        <v>6487</v>
      </c>
      <c r="D696" s="11" t="s">
        <v>18</v>
      </c>
      <c r="E696" s="11">
        <v>6</v>
      </c>
      <c r="F696" s="12">
        <v>44077</v>
      </c>
      <c r="G696" s="12">
        <v>45902</v>
      </c>
      <c r="H696" s="11" t="s">
        <v>16</v>
      </c>
      <c r="I696" s="11" t="s">
        <v>51</v>
      </c>
    </row>
    <row r="697" spans="1:9" hidden="1">
      <c r="A697" s="13">
        <f t="shared" si="10"/>
        <v>692</v>
      </c>
      <c r="B697" s="10" t="s">
        <v>236</v>
      </c>
      <c r="C697" s="13" t="s">
        <v>6488</v>
      </c>
      <c r="D697" s="13" t="s">
        <v>18</v>
      </c>
      <c r="E697" s="13">
        <v>10</v>
      </c>
      <c r="F697" s="14">
        <v>44077</v>
      </c>
      <c r="G697" s="14">
        <v>45902</v>
      </c>
      <c r="H697" s="13" t="s">
        <v>16</v>
      </c>
      <c r="I697" s="13" t="s">
        <v>51</v>
      </c>
    </row>
    <row r="698" spans="1:9" hidden="1">
      <c r="A698" s="11">
        <f t="shared" si="10"/>
        <v>693</v>
      </c>
      <c r="B698" s="9" t="s">
        <v>236</v>
      </c>
      <c r="C698" s="11" t="s">
        <v>6489</v>
      </c>
      <c r="D698" s="11" t="s">
        <v>18</v>
      </c>
      <c r="E698" s="11">
        <v>8</v>
      </c>
      <c r="F698" s="12">
        <v>44077</v>
      </c>
      <c r="G698" s="12">
        <v>45902</v>
      </c>
      <c r="H698" s="11" t="s">
        <v>16</v>
      </c>
      <c r="I698" s="11" t="s">
        <v>51</v>
      </c>
    </row>
    <row r="699" spans="1:9" hidden="1">
      <c r="A699" s="13">
        <f t="shared" si="10"/>
        <v>694</v>
      </c>
      <c r="B699" s="10" t="s">
        <v>236</v>
      </c>
      <c r="C699" s="13" t="s">
        <v>6490</v>
      </c>
      <c r="D699" s="13" t="s">
        <v>18</v>
      </c>
      <c r="E699" s="13">
        <v>12</v>
      </c>
      <c r="F699" s="14">
        <v>44077</v>
      </c>
      <c r="G699" s="14">
        <v>45902</v>
      </c>
      <c r="H699" s="13" t="s">
        <v>16</v>
      </c>
      <c r="I699" s="13" t="s">
        <v>51</v>
      </c>
    </row>
    <row r="700" spans="1:9" hidden="1">
      <c r="A700" s="11">
        <f t="shared" si="10"/>
        <v>695</v>
      </c>
      <c r="B700" s="9" t="s">
        <v>302</v>
      </c>
      <c r="C700" s="11" t="s">
        <v>6491</v>
      </c>
      <c r="D700" s="11" t="s">
        <v>18</v>
      </c>
      <c r="E700" s="11">
        <v>10</v>
      </c>
      <c r="F700" s="12">
        <v>44104</v>
      </c>
      <c r="G700" s="12">
        <v>45929</v>
      </c>
      <c r="H700" s="11" t="s">
        <v>16</v>
      </c>
      <c r="I700" s="11" t="s">
        <v>51</v>
      </c>
    </row>
    <row r="701" spans="1:9" hidden="1">
      <c r="A701" s="13">
        <f t="shared" si="10"/>
        <v>696</v>
      </c>
      <c r="B701" s="10" t="s">
        <v>71</v>
      </c>
      <c r="C701" s="13" t="s">
        <v>6492</v>
      </c>
      <c r="D701" s="13" t="s">
        <v>18</v>
      </c>
      <c r="E701" s="13">
        <v>31</v>
      </c>
      <c r="F701" s="14">
        <v>44225</v>
      </c>
      <c r="G701" s="14">
        <v>46050</v>
      </c>
      <c r="H701" s="13" t="s">
        <v>16</v>
      </c>
      <c r="I701" s="13" t="s">
        <v>51</v>
      </c>
    </row>
    <row r="702" spans="1:9" hidden="1">
      <c r="A702" s="11">
        <f t="shared" si="10"/>
        <v>697</v>
      </c>
      <c r="B702" s="9" t="s">
        <v>71</v>
      </c>
      <c r="C702" s="11" t="s">
        <v>6493</v>
      </c>
      <c r="D702" s="11" t="s">
        <v>18</v>
      </c>
      <c r="E702" s="11">
        <v>22</v>
      </c>
      <c r="F702" s="12">
        <v>44236</v>
      </c>
      <c r="G702" s="12">
        <v>46061</v>
      </c>
      <c r="H702" s="11" t="s">
        <v>16</v>
      </c>
      <c r="I702" s="11" t="s">
        <v>51</v>
      </c>
    </row>
    <row r="703" spans="1:9" hidden="1">
      <c r="A703" s="13">
        <f t="shared" si="10"/>
        <v>698</v>
      </c>
      <c r="B703" s="10" t="s">
        <v>305</v>
      </c>
      <c r="C703" s="13" t="s">
        <v>6495</v>
      </c>
      <c r="D703" s="13" t="s">
        <v>18</v>
      </c>
      <c r="E703" s="13">
        <v>12</v>
      </c>
      <c r="F703" s="14">
        <v>44217</v>
      </c>
      <c r="G703" s="14">
        <v>46042</v>
      </c>
      <c r="H703" s="13" t="s">
        <v>16</v>
      </c>
      <c r="I703" s="13" t="s">
        <v>51</v>
      </c>
    </row>
    <row r="704" spans="1:9" hidden="1">
      <c r="A704" s="11">
        <f t="shared" si="10"/>
        <v>699</v>
      </c>
      <c r="B704" s="9" t="s">
        <v>123</v>
      </c>
      <c r="C704" s="11" t="s">
        <v>6496</v>
      </c>
      <c r="D704" s="11" t="s">
        <v>18</v>
      </c>
      <c r="E704" s="11">
        <v>4</v>
      </c>
      <c r="F704" s="12">
        <v>44281</v>
      </c>
      <c r="G704" s="12">
        <v>46106</v>
      </c>
      <c r="H704" s="11" t="s">
        <v>16</v>
      </c>
      <c r="I704" s="11" t="s">
        <v>51</v>
      </c>
    </row>
    <row r="705" spans="1:9" hidden="1">
      <c r="A705" s="13">
        <f t="shared" si="10"/>
        <v>700</v>
      </c>
      <c r="B705" s="10" t="s">
        <v>314</v>
      </c>
      <c r="C705" s="13" t="s">
        <v>6497</v>
      </c>
      <c r="D705" s="13" t="s">
        <v>18</v>
      </c>
      <c r="E705" s="13">
        <v>5</v>
      </c>
      <c r="F705" s="14">
        <v>44643</v>
      </c>
      <c r="G705" s="14">
        <v>46468</v>
      </c>
      <c r="H705" s="13" t="s">
        <v>16</v>
      </c>
      <c r="I705" s="13" t="s">
        <v>51</v>
      </c>
    </row>
    <row r="706" spans="1:9" hidden="1">
      <c r="A706" s="11">
        <f t="shared" si="10"/>
        <v>701</v>
      </c>
      <c r="B706" s="9" t="s">
        <v>318</v>
      </c>
      <c r="C706" s="11" t="s">
        <v>6498</v>
      </c>
      <c r="D706" s="11" t="s">
        <v>18</v>
      </c>
      <c r="E706" s="11">
        <v>4</v>
      </c>
      <c r="F706" s="12">
        <v>44341</v>
      </c>
      <c r="G706" s="12">
        <v>46166</v>
      </c>
      <c r="H706" s="11" t="s">
        <v>16</v>
      </c>
      <c r="I706" s="11" t="s">
        <v>51</v>
      </c>
    </row>
    <row r="707" spans="1:9" hidden="1">
      <c r="A707" s="13">
        <f t="shared" si="10"/>
        <v>702</v>
      </c>
      <c r="B707" s="10" t="s">
        <v>320</v>
      </c>
      <c r="C707" s="13" t="s">
        <v>6499</v>
      </c>
      <c r="D707" s="13" t="s">
        <v>18</v>
      </c>
      <c r="E707" s="13">
        <v>13</v>
      </c>
      <c r="F707" s="14">
        <v>44242</v>
      </c>
      <c r="G707" s="14">
        <v>46067</v>
      </c>
      <c r="H707" s="13" t="s">
        <v>16</v>
      </c>
      <c r="I707" s="13" t="s">
        <v>51</v>
      </c>
    </row>
    <row r="708" spans="1:9" hidden="1">
      <c r="A708" s="11">
        <f t="shared" si="10"/>
        <v>703</v>
      </c>
      <c r="B708" s="9" t="s">
        <v>321</v>
      </c>
      <c r="C708" s="11" t="s">
        <v>6500</v>
      </c>
      <c r="D708" s="11" t="s">
        <v>18</v>
      </c>
      <c r="E708" s="11">
        <v>10</v>
      </c>
      <c r="F708" s="12">
        <v>44236</v>
      </c>
      <c r="G708" s="12">
        <v>46061</v>
      </c>
      <c r="H708" s="11" t="s">
        <v>16</v>
      </c>
      <c r="I708" s="11" t="s">
        <v>51</v>
      </c>
    </row>
    <row r="709" spans="1:9" hidden="1">
      <c r="A709" s="13">
        <f t="shared" si="10"/>
        <v>704</v>
      </c>
      <c r="B709" s="10" t="s">
        <v>321</v>
      </c>
      <c r="C709" s="13" t="s">
        <v>6501</v>
      </c>
      <c r="D709" s="13" t="s">
        <v>18</v>
      </c>
      <c r="E709" s="13">
        <v>23</v>
      </c>
      <c r="F709" s="14">
        <v>44236</v>
      </c>
      <c r="G709" s="14">
        <v>46061</v>
      </c>
      <c r="H709" s="13" t="s">
        <v>16</v>
      </c>
      <c r="I709" s="13" t="s">
        <v>51</v>
      </c>
    </row>
    <row r="710" spans="1:9" hidden="1">
      <c r="A710" s="11">
        <f t="shared" si="10"/>
        <v>705</v>
      </c>
      <c r="B710" s="9" t="s">
        <v>320</v>
      </c>
      <c r="C710" s="11" t="s">
        <v>6502</v>
      </c>
      <c r="D710" s="11" t="s">
        <v>18</v>
      </c>
      <c r="E710" s="11">
        <v>8</v>
      </c>
      <c r="F710" s="12">
        <v>44252</v>
      </c>
      <c r="G710" s="12">
        <v>46077</v>
      </c>
      <c r="H710" s="11" t="s">
        <v>16</v>
      </c>
      <c r="I710" s="11" t="s">
        <v>51</v>
      </c>
    </row>
    <row r="711" spans="1:9" hidden="1">
      <c r="A711" s="13">
        <f t="shared" si="10"/>
        <v>706</v>
      </c>
      <c r="B711" s="10" t="s">
        <v>224</v>
      </c>
      <c r="C711" s="13" t="s">
        <v>6503</v>
      </c>
      <c r="D711" s="13" t="s">
        <v>18</v>
      </c>
      <c r="E711" s="13">
        <v>4</v>
      </c>
      <c r="F711" s="14">
        <v>44299</v>
      </c>
      <c r="G711" s="14">
        <v>46124</v>
      </c>
      <c r="H711" s="13" t="s">
        <v>16</v>
      </c>
      <c r="I711" s="13" t="s">
        <v>51</v>
      </c>
    </row>
    <row r="712" spans="1:9" hidden="1">
      <c r="A712" s="11">
        <f t="shared" ref="A712:A775" si="11">+A711+1</f>
        <v>707</v>
      </c>
      <c r="B712" s="9" t="s">
        <v>329</v>
      </c>
      <c r="C712" s="11" t="s">
        <v>6504</v>
      </c>
      <c r="D712" s="11" t="s">
        <v>18</v>
      </c>
      <c r="E712" s="11">
        <v>3</v>
      </c>
      <c r="F712" s="12">
        <v>44560</v>
      </c>
      <c r="G712" s="12">
        <v>46385</v>
      </c>
      <c r="H712" s="11" t="s">
        <v>16</v>
      </c>
      <c r="I712" s="11" t="s">
        <v>51</v>
      </c>
    </row>
    <row r="713" spans="1:9" hidden="1">
      <c r="A713" s="13">
        <f t="shared" si="11"/>
        <v>708</v>
      </c>
      <c r="B713" s="10" t="s">
        <v>330</v>
      </c>
      <c r="C713" s="13" t="s">
        <v>6505</v>
      </c>
      <c r="D713" s="13" t="s">
        <v>18</v>
      </c>
      <c r="E713" s="13">
        <v>4</v>
      </c>
      <c r="F713" s="14">
        <v>44299</v>
      </c>
      <c r="G713" s="14">
        <v>46124</v>
      </c>
      <c r="H713" s="13" t="s">
        <v>16</v>
      </c>
      <c r="I713" s="13" t="s">
        <v>51</v>
      </c>
    </row>
    <row r="714" spans="1:9" hidden="1">
      <c r="A714" s="11">
        <f t="shared" si="11"/>
        <v>709</v>
      </c>
      <c r="B714" s="9" t="s">
        <v>330</v>
      </c>
      <c r="C714" s="11" t="s">
        <v>6506</v>
      </c>
      <c r="D714" s="11" t="s">
        <v>18</v>
      </c>
      <c r="E714" s="11">
        <v>10</v>
      </c>
      <c r="F714" s="12">
        <v>44299</v>
      </c>
      <c r="G714" s="12">
        <v>46124</v>
      </c>
      <c r="H714" s="11" t="s">
        <v>16</v>
      </c>
      <c r="I714" s="11" t="s">
        <v>51</v>
      </c>
    </row>
    <row r="715" spans="1:9" hidden="1">
      <c r="A715" s="13">
        <f t="shared" si="11"/>
        <v>710</v>
      </c>
      <c r="B715" s="10" t="s">
        <v>332</v>
      </c>
      <c r="C715" s="13" t="s">
        <v>6507</v>
      </c>
      <c r="D715" s="13" t="s">
        <v>18</v>
      </c>
      <c r="E715" s="13">
        <v>12</v>
      </c>
      <c r="F715" s="14">
        <v>44270</v>
      </c>
      <c r="G715" s="14">
        <v>46095</v>
      </c>
      <c r="H715" s="13" t="s">
        <v>16</v>
      </c>
      <c r="I715" s="13" t="s">
        <v>51</v>
      </c>
    </row>
    <row r="716" spans="1:9" hidden="1">
      <c r="A716" s="11">
        <f t="shared" si="11"/>
        <v>711</v>
      </c>
      <c r="B716" s="9" t="s">
        <v>332</v>
      </c>
      <c r="C716" s="11" t="s">
        <v>6508</v>
      </c>
      <c r="D716" s="11" t="s">
        <v>18</v>
      </c>
      <c r="E716" s="11">
        <v>6</v>
      </c>
      <c r="F716" s="12">
        <v>44270</v>
      </c>
      <c r="G716" s="12">
        <v>46095</v>
      </c>
      <c r="H716" s="11" t="s">
        <v>16</v>
      </c>
      <c r="I716" s="11" t="s">
        <v>51</v>
      </c>
    </row>
    <row r="717" spans="1:9">
      <c r="A717" s="13">
        <f t="shared" si="11"/>
        <v>712</v>
      </c>
      <c r="B717" s="10" t="s">
        <v>36</v>
      </c>
      <c r="C717" s="13" t="s">
        <v>6509</v>
      </c>
      <c r="D717" s="13" t="s">
        <v>37</v>
      </c>
      <c r="E717" s="13">
        <v>3</v>
      </c>
      <c r="F717" s="14">
        <v>45204</v>
      </c>
      <c r="G717" s="14">
        <v>47030</v>
      </c>
      <c r="H717" s="13" t="s">
        <v>16</v>
      </c>
      <c r="I717" s="13" t="s">
        <v>51</v>
      </c>
    </row>
    <row r="718" spans="1:9" hidden="1">
      <c r="A718" s="11">
        <f t="shared" si="11"/>
        <v>713</v>
      </c>
      <c r="B718" s="9" t="s">
        <v>334</v>
      </c>
      <c r="C718" s="11" t="s">
        <v>6510</v>
      </c>
      <c r="D718" s="11" t="s">
        <v>18</v>
      </c>
      <c r="E718" s="11">
        <v>21</v>
      </c>
      <c r="F718" s="12">
        <v>44322</v>
      </c>
      <c r="G718" s="12">
        <v>46147</v>
      </c>
      <c r="H718" s="11" t="s">
        <v>16</v>
      </c>
      <c r="I718" s="11" t="s">
        <v>51</v>
      </c>
    </row>
    <row r="719" spans="1:9" hidden="1">
      <c r="A719" s="13">
        <f t="shared" si="11"/>
        <v>714</v>
      </c>
      <c r="B719" s="10" t="s">
        <v>222</v>
      </c>
      <c r="C719" s="13" t="s">
        <v>6511</v>
      </c>
      <c r="D719" s="13" t="s">
        <v>18</v>
      </c>
      <c r="E719" s="13">
        <v>59</v>
      </c>
      <c r="F719" s="14">
        <v>44592</v>
      </c>
      <c r="G719" s="14">
        <v>46417</v>
      </c>
      <c r="H719" s="13" t="s">
        <v>16</v>
      </c>
      <c r="I719" s="13" t="s">
        <v>51</v>
      </c>
    </row>
    <row r="720" spans="1:9" hidden="1">
      <c r="A720" s="11">
        <f t="shared" si="11"/>
        <v>715</v>
      </c>
      <c r="B720" s="9" t="s">
        <v>83</v>
      </c>
      <c r="C720" s="11" t="s">
        <v>6512</v>
      </c>
      <c r="D720" s="11" t="s">
        <v>18</v>
      </c>
      <c r="E720" s="11">
        <v>1</v>
      </c>
      <c r="F720" s="12">
        <v>44515</v>
      </c>
      <c r="G720" s="12">
        <v>46340</v>
      </c>
      <c r="H720" s="11" t="s">
        <v>16</v>
      </c>
      <c r="I720" s="11" t="s">
        <v>51</v>
      </c>
    </row>
    <row r="721" spans="1:9" hidden="1">
      <c r="A721" s="13">
        <f t="shared" si="11"/>
        <v>716</v>
      </c>
      <c r="B721" s="10" t="s">
        <v>343</v>
      </c>
      <c r="C721" s="13" t="s">
        <v>6513</v>
      </c>
      <c r="D721" s="13" t="s">
        <v>18</v>
      </c>
      <c r="E721" s="13">
        <v>10</v>
      </c>
      <c r="F721" s="14">
        <v>44449</v>
      </c>
      <c r="G721" s="14">
        <v>46274</v>
      </c>
      <c r="H721" s="13" t="s">
        <v>16</v>
      </c>
      <c r="I721" s="13" t="s">
        <v>51</v>
      </c>
    </row>
    <row r="722" spans="1:9" hidden="1">
      <c r="A722" s="11">
        <f t="shared" si="11"/>
        <v>717</v>
      </c>
      <c r="B722" s="9" t="s">
        <v>344</v>
      </c>
      <c r="C722" s="11" t="s">
        <v>6514</v>
      </c>
      <c r="D722" s="11" t="s">
        <v>18</v>
      </c>
      <c r="E722" s="11">
        <v>5</v>
      </c>
      <c r="F722" s="12">
        <v>44592</v>
      </c>
      <c r="G722" s="12">
        <v>46417</v>
      </c>
      <c r="H722" s="11" t="s">
        <v>16</v>
      </c>
      <c r="I722" s="11" t="s">
        <v>51</v>
      </c>
    </row>
    <row r="723" spans="1:9" hidden="1">
      <c r="A723" s="13">
        <f t="shared" si="11"/>
        <v>718</v>
      </c>
      <c r="B723" s="10" t="s">
        <v>344</v>
      </c>
      <c r="C723" s="13" t="s">
        <v>6515</v>
      </c>
      <c r="D723" s="13" t="s">
        <v>18</v>
      </c>
      <c r="E723" s="13">
        <v>2</v>
      </c>
      <c r="F723" s="14">
        <v>44592</v>
      </c>
      <c r="G723" s="14">
        <v>46417</v>
      </c>
      <c r="H723" s="13" t="s">
        <v>16</v>
      </c>
      <c r="I723" s="13" t="s">
        <v>51</v>
      </c>
    </row>
    <row r="724" spans="1:9" hidden="1">
      <c r="A724" s="11">
        <f t="shared" si="11"/>
        <v>719</v>
      </c>
      <c r="B724" s="9" t="s">
        <v>344</v>
      </c>
      <c r="C724" s="11" t="s">
        <v>6516</v>
      </c>
      <c r="D724" s="11" t="s">
        <v>18</v>
      </c>
      <c r="E724" s="11">
        <v>3</v>
      </c>
      <c r="F724" s="12">
        <v>44592</v>
      </c>
      <c r="G724" s="12">
        <v>46417</v>
      </c>
      <c r="H724" s="11" t="s">
        <v>16</v>
      </c>
      <c r="I724" s="11" t="s">
        <v>51</v>
      </c>
    </row>
    <row r="725" spans="1:9" hidden="1">
      <c r="A725" s="13">
        <f t="shared" si="11"/>
        <v>720</v>
      </c>
      <c r="B725" s="10" t="s">
        <v>345</v>
      </c>
      <c r="C725" s="13" t="s">
        <v>6517</v>
      </c>
      <c r="D725" s="13" t="s">
        <v>18</v>
      </c>
      <c r="E725" s="13">
        <v>4</v>
      </c>
      <c r="F725" s="14">
        <v>44461</v>
      </c>
      <c r="G725" s="14">
        <v>46286</v>
      </c>
      <c r="H725" s="13" t="s">
        <v>16</v>
      </c>
      <c r="I725" s="13" t="s">
        <v>51</v>
      </c>
    </row>
    <row r="726" spans="1:9" hidden="1">
      <c r="A726" s="11">
        <f t="shared" si="11"/>
        <v>721</v>
      </c>
      <c r="B726" s="9" t="s">
        <v>204</v>
      </c>
      <c r="C726" s="11" t="s">
        <v>6518</v>
      </c>
      <c r="D726" s="11" t="s">
        <v>13</v>
      </c>
      <c r="E726" s="11">
        <v>2</v>
      </c>
      <c r="F726" s="12">
        <v>44776</v>
      </c>
      <c r="G726" s="12">
        <v>51013</v>
      </c>
      <c r="H726" s="11" t="s">
        <v>16</v>
      </c>
      <c r="I726" s="11" t="s">
        <v>51</v>
      </c>
    </row>
    <row r="727" spans="1:9" hidden="1">
      <c r="A727" s="13">
        <f t="shared" si="11"/>
        <v>722</v>
      </c>
      <c r="B727" s="10" t="s">
        <v>352</v>
      </c>
      <c r="C727" s="13" t="s">
        <v>6519</v>
      </c>
      <c r="D727" s="13" t="s">
        <v>18</v>
      </c>
      <c r="E727" s="13">
        <v>6</v>
      </c>
      <c r="F727" s="14">
        <v>44442</v>
      </c>
      <c r="G727" s="14">
        <v>46267</v>
      </c>
      <c r="H727" s="13" t="s">
        <v>16</v>
      </c>
      <c r="I727" s="13" t="s">
        <v>51</v>
      </c>
    </row>
    <row r="728" spans="1:9" hidden="1">
      <c r="A728" s="11">
        <f t="shared" si="11"/>
        <v>723</v>
      </c>
      <c r="B728" s="9" t="s">
        <v>352</v>
      </c>
      <c r="C728" s="11" t="s">
        <v>6520</v>
      </c>
      <c r="D728" s="11" t="s">
        <v>18</v>
      </c>
      <c r="E728" s="11">
        <v>17</v>
      </c>
      <c r="F728" s="12">
        <v>44552</v>
      </c>
      <c r="G728" s="12">
        <v>46377</v>
      </c>
      <c r="H728" s="11" t="s">
        <v>16</v>
      </c>
      <c r="I728" s="11" t="s">
        <v>51</v>
      </c>
    </row>
    <row r="729" spans="1:9" hidden="1">
      <c r="A729" s="13">
        <f t="shared" si="11"/>
        <v>724</v>
      </c>
      <c r="B729" s="10" t="s">
        <v>352</v>
      </c>
      <c r="C729" s="13" t="s">
        <v>6521</v>
      </c>
      <c r="D729" s="13" t="s">
        <v>18</v>
      </c>
      <c r="E729" s="13">
        <v>12</v>
      </c>
      <c r="F729" s="14">
        <v>44442</v>
      </c>
      <c r="G729" s="14">
        <v>46267</v>
      </c>
      <c r="H729" s="13" t="s">
        <v>16</v>
      </c>
      <c r="I729" s="13" t="s">
        <v>51</v>
      </c>
    </row>
    <row r="730" spans="1:9" hidden="1">
      <c r="A730" s="11">
        <f t="shared" si="11"/>
        <v>725</v>
      </c>
      <c r="B730" s="9" t="s">
        <v>320</v>
      </c>
      <c r="C730" s="11" t="s">
        <v>6522</v>
      </c>
      <c r="D730" s="11" t="s">
        <v>18</v>
      </c>
      <c r="E730" s="11">
        <v>8</v>
      </c>
      <c r="F730" s="12">
        <v>44566</v>
      </c>
      <c r="G730" s="12">
        <v>46391</v>
      </c>
      <c r="H730" s="11" t="s">
        <v>16</v>
      </c>
      <c r="I730" s="11" t="s">
        <v>51</v>
      </c>
    </row>
    <row r="731" spans="1:9" hidden="1">
      <c r="A731" s="13">
        <f t="shared" si="11"/>
        <v>726</v>
      </c>
      <c r="B731" s="10" t="s">
        <v>360</v>
      </c>
      <c r="C731" s="13" t="s">
        <v>6523</v>
      </c>
      <c r="D731" s="13" t="s">
        <v>18</v>
      </c>
      <c r="E731" s="13">
        <v>8</v>
      </c>
      <c r="F731" s="14">
        <v>44739</v>
      </c>
      <c r="G731" s="14">
        <v>46564</v>
      </c>
      <c r="H731" s="13" t="s">
        <v>16</v>
      </c>
      <c r="I731" s="13" t="s">
        <v>51</v>
      </c>
    </row>
    <row r="732" spans="1:9" hidden="1">
      <c r="A732" s="11">
        <f t="shared" si="11"/>
        <v>727</v>
      </c>
      <c r="B732" s="9" t="s">
        <v>360</v>
      </c>
      <c r="C732" s="11" t="s">
        <v>6524</v>
      </c>
      <c r="D732" s="11" t="s">
        <v>18</v>
      </c>
      <c r="E732" s="11">
        <v>4</v>
      </c>
      <c r="F732" s="12">
        <v>44739</v>
      </c>
      <c r="G732" s="12">
        <v>46564</v>
      </c>
      <c r="H732" s="11" t="s">
        <v>16</v>
      </c>
      <c r="I732" s="11" t="s">
        <v>51</v>
      </c>
    </row>
    <row r="733" spans="1:9" hidden="1">
      <c r="A733" s="13">
        <f t="shared" si="11"/>
        <v>728</v>
      </c>
      <c r="B733" s="10" t="s">
        <v>363</v>
      </c>
      <c r="C733" s="13" t="s">
        <v>6525</v>
      </c>
      <c r="D733" s="13" t="s">
        <v>18</v>
      </c>
      <c r="E733" s="13">
        <v>7</v>
      </c>
      <c r="F733" s="14">
        <v>44738</v>
      </c>
      <c r="G733" s="14">
        <v>46563</v>
      </c>
      <c r="H733" s="13" t="s">
        <v>16</v>
      </c>
      <c r="I733" s="13" t="s">
        <v>51</v>
      </c>
    </row>
    <row r="734" spans="1:9" hidden="1">
      <c r="A734" s="11">
        <f t="shared" si="11"/>
        <v>729</v>
      </c>
      <c r="B734" s="9" t="s">
        <v>83</v>
      </c>
      <c r="C734" s="11" t="s">
        <v>6529</v>
      </c>
      <c r="D734" s="11" t="s">
        <v>18</v>
      </c>
      <c r="E734" s="11">
        <v>15</v>
      </c>
      <c r="F734" s="12">
        <v>44515</v>
      </c>
      <c r="G734" s="12">
        <v>46340</v>
      </c>
      <c r="H734" s="11" t="s">
        <v>16</v>
      </c>
      <c r="I734" s="11" t="s">
        <v>51</v>
      </c>
    </row>
    <row r="735" spans="1:9" hidden="1">
      <c r="A735" s="13">
        <f t="shared" si="11"/>
        <v>730</v>
      </c>
      <c r="B735" s="10" t="s">
        <v>371</v>
      </c>
      <c r="C735" s="13" t="s">
        <v>6530</v>
      </c>
      <c r="D735" s="13" t="s">
        <v>18</v>
      </c>
      <c r="E735" s="13">
        <v>4</v>
      </c>
      <c r="F735" s="14">
        <v>44810</v>
      </c>
      <c r="G735" s="14">
        <v>46635</v>
      </c>
      <c r="H735" s="13" t="s">
        <v>16</v>
      </c>
      <c r="I735" s="13" t="s">
        <v>51</v>
      </c>
    </row>
    <row r="736" spans="1:9" hidden="1">
      <c r="A736" s="11">
        <f t="shared" si="11"/>
        <v>731</v>
      </c>
      <c r="B736" s="9" t="s">
        <v>5723</v>
      </c>
      <c r="C736" s="11" t="s">
        <v>6531</v>
      </c>
      <c r="D736" s="11" t="s">
        <v>18</v>
      </c>
      <c r="E736" s="11">
        <v>4</v>
      </c>
      <c r="F736" s="12">
        <v>45194</v>
      </c>
      <c r="G736" s="12">
        <v>47020</v>
      </c>
      <c r="H736" s="11" t="s">
        <v>16</v>
      </c>
      <c r="I736" s="11" t="s">
        <v>51</v>
      </c>
    </row>
    <row r="737" spans="1:9" hidden="1">
      <c r="A737" s="13">
        <f t="shared" si="11"/>
        <v>732</v>
      </c>
      <c r="B737" s="10" t="s">
        <v>5724</v>
      </c>
      <c r="C737" s="13" t="s">
        <v>6532</v>
      </c>
      <c r="D737" s="13" t="s">
        <v>18</v>
      </c>
      <c r="E737" s="13">
        <v>115</v>
      </c>
      <c r="F737" s="14">
        <v>45034</v>
      </c>
      <c r="G737" s="14">
        <v>46860</v>
      </c>
      <c r="H737" s="13" t="s">
        <v>16</v>
      </c>
      <c r="I737" s="13" t="s">
        <v>51</v>
      </c>
    </row>
    <row r="738" spans="1:9" hidden="1">
      <c r="A738" s="11">
        <f t="shared" si="11"/>
        <v>733</v>
      </c>
      <c r="B738" s="9" t="s">
        <v>98</v>
      </c>
      <c r="C738" s="11" t="s">
        <v>6533</v>
      </c>
      <c r="D738" s="11" t="s">
        <v>18</v>
      </c>
      <c r="E738" s="11">
        <v>8</v>
      </c>
      <c r="F738" s="12">
        <v>44946</v>
      </c>
      <c r="G738" s="12">
        <v>46771</v>
      </c>
      <c r="H738" s="11" t="s">
        <v>16</v>
      </c>
      <c r="I738" s="11" t="s">
        <v>51</v>
      </c>
    </row>
    <row r="739" spans="1:9" hidden="1">
      <c r="A739" s="13">
        <f t="shared" si="11"/>
        <v>734</v>
      </c>
      <c r="B739" s="10" t="s">
        <v>320</v>
      </c>
      <c r="C739" s="13" t="s">
        <v>6534</v>
      </c>
      <c r="D739" s="13" t="s">
        <v>18</v>
      </c>
      <c r="E739" s="13">
        <v>34</v>
      </c>
      <c r="F739" s="14">
        <v>44984</v>
      </c>
      <c r="G739" s="14">
        <v>46809</v>
      </c>
      <c r="H739" s="13" t="s">
        <v>16</v>
      </c>
      <c r="I739" s="13" t="s">
        <v>51</v>
      </c>
    </row>
    <row r="740" spans="1:9" hidden="1">
      <c r="A740" s="11">
        <f t="shared" si="11"/>
        <v>735</v>
      </c>
      <c r="B740" s="9" t="s">
        <v>986</v>
      </c>
      <c r="C740" s="11" t="s">
        <v>6535</v>
      </c>
      <c r="D740" s="11" t="s">
        <v>18</v>
      </c>
      <c r="E740" s="11">
        <v>135</v>
      </c>
      <c r="F740" s="12">
        <v>44994</v>
      </c>
      <c r="G740" s="12">
        <v>46820</v>
      </c>
      <c r="H740" s="11" t="s">
        <v>16</v>
      </c>
      <c r="I740" s="11" t="s">
        <v>51</v>
      </c>
    </row>
    <row r="741" spans="1:9" hidden="1">
      <c r="A741" s="13">
        <f t="shared" si="11"/>
        <v>736</v>
      </c>
      <c r="B741" s="10" t="s">
        <v>5727</v>
      </c>
      <c r="C741" s="13" t="s">
        <v>6555</v>
      </c>
      <c r="D741" s="13" t="s">
        <v>18</v>
      </c>
      <c r="E741" s="13">
        <v>5</v>
      </c>
      <c r="F741" s="14">
        <v>45099</v>
      </c>
      <c r="G741" s="14">
        <v>46925</v>
      </c>
      <c r="H741" s="13" t="s">
        <v>16</v>
      </c>
      <c r="I741" s="13" t="s">
        <v>51</v>
      </c>
    </row>
    <row r="742" spans="1:9" hidden="1">
      <c r="A742" s="11">
        <f t="shared" si="11"/>
        <v>737</v>
      </c>
      <c r="B742" s="9" t="s">
        <v>5728</v>
      </c>
      <c r="C742" s="11" t="s">
        <v>6557</v>
      </c>
      <c r="D742" s="11" t="s">
        <v>18</v>
      </c>
      <c r="E742" s="11">
        <v>20</v>
      </c>
      <c r="F742" s="12">
        <v>45117</v>
      </c>
      <c r="G742" s="12">
        <v>46943</v>
      </c>
      <c r="H742" s="11" t="s">
        <v>16</v>
      </c>
      <c r="I742" s="11" t="s">
        <v>51</v>
      </c>
    </row>
    <row r="743" spans="1:9" hidden="1">
      <c r="A743" s="13">
        <f t="shared" si="11"/>
        <v>738</v>
      </c>
      <c r="B743" s="10" t="s">
        <v>5728</v>
      </c>
      <c r="C743" s="13" t="s">
        <v>6558</v>
      </c>
      <c r="D743" s="13" t="s">
        <v>18</v>
      </c>
      <c r="E743" s="13">
        <v>20</v>
      </c>
      <c r="F743" s="14">
        <v>45117</v>
      </c>
      <c r="G743" s="14">
        <v>46943</v>
      </c>
      <c r="H743" s="13" t="s">
        <v>16</v>
      </c>
      <c r="I743" s="13" t="s">
        <v>51</v>
      </c>
    </row>
    <row r="744" spans="1:9" hidden="1">
      <c r="A744" s="11">
        <f t="shared" si="11"/>
        <v>739</v>
      </c>
      <c r="B744" s="9" t="s">
        <v>981</v>
      </c>
      <c r="C744" s="11" t="s">
        <v>6559</v>
      </c>
      <c r="D744" s="11" t="s">
        <v>18</v>
      </c>
      <c r="E744" s="11">
        <v>71</v>
      </c>
      <c r="F744" s="12">
        <v>45033</v>
      </c>
      <c r="G744" s="12">
        <v>46859</v>
      </c>
      <c r="H744" s="11" t="s">
        <v>16</v>
      </c>
      <c r="I744" s="11" t="s">
        <v>51</v>
      </c>
    </row>
    <row r="745" spans="1:9" hidden="1">
      <c r="A745" s="13">
        <f t="shared" si="11"/>
        <v>740</v>
      </c>
      <c r="B745" s="10" t="s">
        <v>981</v>
      </c>
      <c r="C745" s="13" t="s">
        <v>6560</v>
      </c>
      <c r="D745" s="13" t="s">
        <v>18</v>
      </c>
      <c r="E745" s="13">
        <v>17</v>
      </c>
      <c r="F745" s="14">
        <v>45033</v>
      </c>
      <c r="G745" s="14">
        <v>46859</v>
      </c>
      <c r="H745" s="13" t="s">
        <v>16</v>
      </c>
      <c r="I745" s="13" t="s">
        <v>51</v>
      </c>
    </row>
    <row r="746" spans="1:9" hidden="1">
      <c r="A746" s="11">
        <f t="shared" si="11"/>
        <v>741</v>
      </c>
      <c r="B746" s="9" t="s">
        <v>245</v>
      </c>
      <c r="C746" s="11" t="s">
        <v>6561</v>
      </c>
      <c r="D746" s="11" t="s">
        <v>18</v>
      </c>
      <c r="E746" s="11">
        <v>14</v>
      </c>
      <c r="F746" s="12">
        <v>45184</v>
      </c>
      <c r="G746" s="12">
        <v>47010</v>
      </c>
      <c r="H746" s="11" t="s">
        <v>16</v>
      </c>
      <c r="I746" s="11" t="s">
        <v>51</v>
      </c>
    </row>
    <row r="747" spans="1:9" hidden="1">
      <c r="A747" s="13">
        <f t="shared" si="11"/>
        <v>742</v>
      </c>
      <c r="B747" s="10" t="s">
        <v>86</v>
      </c>
      <c r="C747" s="13" t="s">
        <v>6562</v>
      </c>
      <c r="D747" s="13" t="s">
        <v>18</v>
      </c>
      <c r="E747" s="13">
        <v>9</v>
      </c>
      <c r="F747" s="14">
        <v>45034</v>
      </c>
      <c r="G747" s="14">
        <v>46860</v>
      </c>
      <c r="H747" s="13" t="s">
        <v>16</v>
      </c>
      <c r="I747" s="13" t="s">
        <v>51</v>
      </c>
    </row>
    <row r="748" spans="1:9" hidden="1">
      <c r="A748" s="11">
        <f t="shared" si="11"/>
        <v>743</v>
      </c>
      <c r="B748" s="9" t="s">
        <v>5696</v>
      </c>
      <c r="C748" s="11" t="s">
        <v>6563</v>
      </c>
      <c r="D748" s="11" t="s">
        <v>18</v>
      </c>
      <c r="E748" s="11">
        <v>264</v>
      </c>
      <c r="F748" s="12">
        <v>44994</v>
      </c>
      <c r="G748" s="12">
        <v>46820</v>
      </c>
      <c r="H748" s="11" t="s">
        <v>16</v>
      </c>
      <c r="I748" s="11" t="s">
        <v>51</v>
      </c>
    </row>
    <row r="749" spans="1:9" hidden="1">
      <c r="A749" s="13">
        <f t="shared" si="11"/>
        <v>744</v>
      </c>
      <c r="B749" s="10" t="s">
        <v>5697</v>
      </c>
      <c r="C749" s="13" t="s">
        <v>6564</v>
      </c>
      <c r="D749" s="13" t="s">
        <v>18</v>
      </c>
      <c r="E749" s="13">
        <v>3</v>
      </c>
      <c r="F749" s="14">
        <v>45021</v>
      </c>
      <c r="G749" s="14">
        <v>46847</v>
      </c>
      <c r="H749" s="13" t="s">
        <v>16</v>
      </c>
      <c r="I749" s="13" t="s">
        <v>51</v>
      </c>
    </row>
    <row r="750" spans="1:9" hidden="1">
      <c r="A750" s="11">
        <f t="shared" si="11"/>
        <v>745</v>
      </c>
      <c r="B750" s="9" t="s">
        <v>176</v>
      </c>
      <c r="C750" s="11" t="s">
        <v>6565</v>
      </c>
      <c r="D750" s="11" t="s">
        <v>13</v>
      </c>
      <c r="E750" s="11">
        <v>4</v>
      </c>
      <c r="F750" s="12">
        <v>44973</v>
      </c>
      <c r="G750" s="12">
        <v>51013</v>
      </c>
      <c r="H750" s="11" t="s">
        <v>16</v>
      </c>
      <c r="I750" s="11" t="s">
        <v>51</v>
      </c>
    </row>
    <row r="751" spans="1:9" hidden="1">
      <c r="A751" s="13">
        <f t="shared" si="11"/>
        <v>746</v>
      </c>
      <c r="B751" s="10" t="s">
        <v>5729</v>
      </c>
      <c r="C751" s="13" t="s">
        <v>6566</v>
      </c>
      <c r="D751" s="13" t="s">
        <v>13</v>
      </c>
      <c r="E751" s="13">
        <v>2</v>
      </c>
      <c r="F751" s="14">
        <v>44973</v>
      </c>
      <c r="G751" s="14">
        <v>51013</v>
      </c>
      <c r="H751" s="13" t="s">
        <v>16</v>
      </c>
      <c r="I751" s="13" t="s">
        <v>51</v>
      </c>
    </row>
    <row r="752" spans="1:9" hidden="1">
      <c r="A752" s="11">
        <f t="shared" si="11"/>
        <v>747</v>
      </c>
      <c r="B752" s="9" t="s">
        <v>1842</v>
      </c>
      <c r="C752" s="11" t="s">
        <v>6567</v>
      </c>
      <c r="D752" s="11" t="s">
        <v>13</v>
      </c>
      <c r="E752" s="11">
        <v>2</v>
      </c>
      <c r="F752" s="12">
        <v>44973</v>
      </c>
      <c r="G752" s="12">
        <v>51013</v>
      </c>
      <c r="H752" s="11" t="s">
        <v>16</v>
      </c>
      <c r="I752" s="11" t="s">
        <v>51</v>
      </c>
    </row>
    <row r="753" spans="1:9" hidden="1">
      <c r="A753" s="13">
        <f t="shared" si="11"/>
        <v>748</v>
      </c>
      <c r="B753" s="10" t="s">
        <v>5724</v>
      </c>
      <c r="C753" s="13" t="s">
        <v>6568</v>
      </c>
      <c r="D753" s="13" t="s">
        <v>18</v>
      </c>
      <c r="E753" s="13">
        <v>228</v>
      </c>
      <c r="F753" s="14">
        <v>45043</v>
      </c>
      <c r="G753" s="14">
        <v>46869</v>
      </c>
      <c r="H753" s="13" t="s">
        <v>16</v>
      </c>
      <c r="I753" s="13" t="s">
        <v>51</v>
      </c>
    </row>
    <row r="754" spans="1:9" hidden="1">
      <c r="A754" s="11">
        <f t="shared" si="11"/>
        <v>749</v>
      </c>
      <c r="B754" s="9" t="s">
        <v>5724</v>
      </c>
      <c r="C754" s="11" t="s">
        <v>6569</v>
      </c>
      <c r="D754" s="11" t="s">
        <v>18</v>
      </c>
      <c r="E754" s="11">
        <v>52</v>
      </c>
      <c r="F754" s="12">
        <v>45034</v>
      </c>
      <c r="G754" s="12">
        <v>46860</v>
      </c>
      <c r="H754" s="11" t="s">
        <v>16</v>
      </c>
      <c r="I754" s="11" t="s">
        <v>51</v>
      </c>
    </row>
    <row r="755" spans="1:9" hidden="1">
      <c r="A755" s="13">
        <f t="shared" si="11"/>
        <v>750</v>
      </c>
      <c r="B755" s="10" t="s">
        <v>35</v>
      </c>
      <c r="C755" s="13" t="s">
        <v>6570</v>
      </c>
      <c r="D755" s="13" t="s">
        <v>18</v>
      </c>
      <c r="E755" s="13">
        <v>11</v>
      </c>
      <c r="F755" s="14">
        <v>45162</v>
      </c>
      <c r="G755" s="14">
        <v>46988</v>
      </c>
      <c r="H755" s="13" t="s">
        <v>16</v>
      </c>
      <c r="I755" s="13" t="s">
        <v>51</v>
      </c>
    </row>
    <row r="756" spans="1:9" hidden="1">
      <c r="A756" s="11">
        <f t="shared" si="11"/>
        <v>751</v>
      </c>
      <c r="B756" s="9" t="s">
        <v>35</v>
      </c>
      <c r="C756" s="11" t="s">
        <v>6571</v>
      </c>
      <c r="D756" s="11" t="s">
        <v>18</v>
      </c>
      <c r="E756" s="11">
        <v>1</v>
      </c>
      <c r="F756" s="12">
        <v>45162</v>
      </c>
      <c r="G756" s="12">
        <v>46988</v>
      </c>
      <c r="H756" s="11" t="s">
        <v>16</v>
      </c>
      <c r="I756" s="11" t="s">
        <v>51</v>
      </c>
    </row>
    <row r="757" spans="1:9" hidden="1">
      <c r="A757" s="13">
        <f t="shared" si="11"/>
        <v>752</v>
      </c>
      <c r="B757" s="10" t="s">
        <v>35</v>
      </c>
      <c r="C757" s="13" t="s">
        <v>6572</v>
      </c>
      <c r="D757" s="13" t="s">
        <v>18</v>
      </c>
      <c r="E757" s="13">
        <v>4</v>
      </c>
      <c r="F757" s="14">
        <v>45162</v>
      </c>
      <c r="G757" s="14">
        <v>46988</v>
      </c>
      <c r="H757" s="13" t="s">
        <v>16</v>
      </c>
      <c r="I757" s="13" t="s">
        <v>51</v>
      </c>
    </row>
    <row r="758" spans="1:9" hidden="1">
      <c r="A758" s="11">
        <f t="shared" si="11"/>
        <v>753</v>
      </c>
      <c r="B758" s="9" t="s">
        <v>5694</v>
      </c>
      <c r="C758" s="11" t="s">
        <v>6573</v>
      </c>
      <c r="D758" s="11" t="s">
        <v>18</v>
      </c>
      <c r="E758" s="11">
        <v>16</v>
      </c>
      <c r="F758" s="12">
        <v>45218</v>
      </c>
      <c r="G758" s="12">
        <v>47044</v>
      </c>
      <c r="H758" s="11" t="s">
        <v>16</v>
      </c>
      <c r="I758" s="11" t="s">
        <v>51</v>
      </c>
    </row>
    <row r="759" spans="1:9" hidden="1">
      <c r="A759" s="13">
        <f t="shared" si="11"/>
        <v>754</v>
      </c>
      <c r="B759" s="10" t="s">
        <v>5694</v>
      </c>
      <c r="C759" s="13" t="s">
        <v>6574</v>
      </c>
      <c r="D759" s="13" t="s">
        <v>18</v>
      </c>
      <c r="E759" s="13">
        <v>6</v>
      </c>
      <c r="F759" s="14">
        <v>45236</v>
      </c>
      <c r="G759" s="14">
        <v>47062</v>
      </c>
      <c r="H759" s="13" t="s">
        <v>16</v>
      </c>
      <c r="I759" s="13" t="s">
        <v>51</v>
      </c>
    </row>
    <row r="760" spans="1:9" hidden="1">
      <c r="A760" s="11">
        <f t="shared" si="11"/>
        <v>755</v>
      </c>
      <c r="B760" s="9" t="s">
        <v>5705</v>
      </c>
      <c r="C760" s="11" t="s">
        <v>6575</v>
      </c>
      <c r="D760" s="11" t="s">
        <v>18</v>
      </c>
      <c r="E760" s="11">
        <v>2</v>
      </c>
      <c r="F760" s="12">
        <v>45146</v>
      </c>
      <c r="G760" s="12">
        <v>46972</v>
      </c>
      <c r="H760" s="11" t="s">
        <v>16</v>
      </c>
      <c r="I760" s="11" t="s">
        <v>51</v>
      </c>
    </row>
    <row r="761" spans="1:9" hidden="1">
      <c r="A761" s="13">
        <f t="shared" si="11"/>
        <v>756</v>
      </c>
      <c r="B761" s="10" t="s">
        <v>363</v>
      </c>
      <c r="C761" s="13" t="s">
        <v>6576</v>
      </c>
      <c r="D761" s="13" t="s">
        <v>18</v>
      </c>
      <c r="E761" s="13">
        <v>13</v>
      </c>
      <c r="F761" s="14">
        <v>45218</v>
      </c>
      <c r="G761" s="14">
        <v>47044</v>
      </c>
      <c r="H761" s="13" t="s">
        <v>16</v>
      </c>
      <c r="I761" s="13" t="s">
        <v>51</v>
      </c>
    </row>
    <row r="762" spans="1:9" hidden="1">
      <c r="A762" s="11">
        <f t="shared" si="11"/>
        <v>757</v>
      </c>
      <c r="B762" s="9" t="s">
        <v>5714</v>
      </c>
      <c r="C762" s="11" t="s">
        <v>6577</v>
      </c>
      <c r="D762" s="11" t="s">
        <v>18</v>
      </c>
      <c r="E762" s="11">
        <v>17</v>
      </c>
      <c r="F762" s="12">
        <v>45134</v>
      </c>
      <c r="G762" s="12">
        <v>46960</v>
      </c>
      <c r="H762" s="11" t="s">
        <v>16</v>
      </c>
      <c r="I762" s="11" t="s">
        <v>51</v>
      </c>
    </row>
    <row r="763" spans="1:9" hidden="1">
      <c r="A763" s="13">
        <f t="shared" si="11"/>
        <v>758</v>
      </c>
      <c r="B763" s="10" t="s">
        <v>1888</v>
      </c>
      <c r="C763" s="13" t="s">
        <v>6578</v>
      </c>
      <c r="D763" s="13" t="s">
        <v>18</v>
      </c>
      <c r="E763" s="13">
        <v>4</v>
      </c>
      <c r="F763" s="14">
        <v>45212</v>
      </c>
      <c r="G763" s="14">
        <v>47038</v>
      </c>
      <c r="H763" s="13" t="s">
        <v>16</v>
      </c>
      <c r="I763" s="13" t="s">
        <v>51</v>
      </c>
    </row>
    <row r="764" spans="1:9" hidden="1">
      <c r="A764" s="11">
        <f t="shared" si="11"/>
        <v>759</v>
      </c>
      <c r="B764" s="9" t="s">
        <v>1888</v>
      </c>
      <c r="C764" s="11" t="s">
        <v>6579</v>
      </c>
      <c r="D764" s="11" t="s">
        <v>18</v>
      </c>
      <c r="E764" s="11">
        <v>13</v>
      </c>
      <c r="F764" s="12">
        <v>45212</v>
      </c>
      <c r="G764" s="12">
        <v>47038</v>
      </c>
      <c r="H764" s="11" t="s">
        <v>16</v>
      </c>
      <c r="I764" s="11" t="s">
        <v>51</v>
      </c>
    </row>
    <row r="765" spans="1:9" hidden="1">
      <c r="A765" s="13">
        <f t="shared" si="11"/>
        <v>760</v>
      </c>
      <c r="B765" s="10" t="s">
        <v>1888</v>
      </c>
      <c r="C765" s="13" t="s">
        <v>6580</v>
      </c>
      <c r="D765" s="13" t="s">
        <v>18</v>
      </c>
      <c r="E765" s="13">
        <v>8</v>
      </c>
      <c r="F765" s="14">
        <v>45212</v>
      </c>
      <c r="G765" s="14">
        <v>47038</v>
      </c>
      <c r="H765" s="13" t="s">
        <v>16</v>
      </c>
      <c r="I765" s="13" t="s">
        <v>51</v>
      </c>
    </row>
    <row r="766" spans="1:9" hidden="1">
      <c r="A766" s="11">
        <f t="shared" si="11"/>
        <v>761</v>
      </c>
      <c r="B766" s="9" t="s">
        <v>1888</v>
      </c>
      <c r="C766" s="11" t="s">
        <v>6581</v>
      </c>
      <c r="D766" s="11" t="s">
        <v>18</v>
      </c>
      <c r="E766" s="11">
        <v>1</v>
      </c>
      <c r="F766" s="12">
        <v>45212</v>
      </c>
      <c r="G766" s="12">
        <v>47038</v>
      </c>
      <c r="H766" s="11" t="s">
        <v>16</v>
      </c>
      <c r="I766" s="11" t="s">
        <v>51</v>
      </c>
    </row>
    <row r="767" spans="1:9" hidden="1">
      <c r="A767" s="13">
        <f t="shared" si="11"/>
        <v>762</v>
      </c>
      <c r="B767" s="10" t="s">
        <v>141</v>
      </c>
      <c r="C767" s="13" t="s">
        <v>6585</v>
      </c>
      <c r="D767" s="13" t="s">
        <v>13</v>
      </c>
      <c r="E767" s="13">
        <v>10</v>
      </c>
      <c r="F767" s="14">
        <v>45080</v>
      </c>
      <c r="G767" s="14">
        <v>51654</v>
      </c>
      <c r="H767" s="13" t="s">
        <v>16</v>
      </c>
      <c r="I767" s="13" t="s">
        <v>51</v>
      </c>
    </row>
    <row r="768" spans="1:9" hidden="1">
      <c r="A768" s="11">
        <f t="shared" si="11"/>
        <v>763</v>
      </c>
      <c r="B768" s="9" t="s">
        <v>50</v>
      </c>
      <c r="C768" s="11" t="s">
        <v>6586</v>
      </c>
      <c r="D768" s="11" t="s">
        <v>13</v>
      </c>
      <c r="E768" s="11">
        <v>216</v>
      </c>
      <c r="F768" s="12">
        <v>36104</v>
      </c>
      <c r="G768" s="12">
        <v>48216</v>
      </c>
      <c r="H768" s="11" t="s">
        <v>41</v>
      </c>
      <c r="I768" s="11" t="s">
        <v>51</v>
      </c>
    </row>
    <row r="769" spans="1:9" hidden="1">
      <c r="A769" s="13">
        <f t="shared" si="11"/>
        <v>764</v>
      </c>
      <c r="B769" s="10" t="s">
        <v>52</v>
      </c>
      <c r="C769" s="13" t="s">
        <v>6587</v>
      </c>
      <c r="D769" s="13" t="s">
        <v>13</v>
      </c>
      <c r="E769" s="13">
        <v>203</v>
      </c>
      <c r="F769" s="14">
        <v>42632</v>
      </c>
      <c r="G769" s="14">
        <v>48109</v>
      </c>
      <c r="H769" s="13" t="s">
        <v>41</v>
      </c>
      <c r="I769" s="13" t="s">
        <v>51</v>
      </c>
    </row>
    <row r="770" spans="1:9" hidden="1">
      <c r="A770" s="11">
        <f t="shared" si="11"/>
        <v>765</v>
      </c>
      <c r="B770" s="9" t="s">
        <v>53</v>
      </c>
      <c r="C770" s="11" t="s">
        <v>6588</v>
      </c>
      <c r="D770" s="11" t="s">
        <v>13</v>
      </c>
      <c r="E770" s="11">
        <v>351</v>
      </c>
      <c r="F770" s="12">
        <v>42556</v>
      </c>
      <c r="G770" s="12">
        <v>48033</v>
      </c>
      <c r="H770" s="11" t="s">
        <v>41</v>
      </c>
      <c r="I770" s="11" t="s">
        <v>51</v>
      </c>
    </row>
    <row r="771" spans="1:9" hidden="1">
      <c r="A771" s="13">
        <f t="shared" si="11"/>
        <v>766</v>
      </c>
      <c r="B771" s="10" t="s">
        <v>40</v>
      </c>
      <c r="C771" s="13" t="s">
        <v>6589</v>
      </c>
      <c r="D771" s="13" t="s">
        <v>13</v>
      </c>
      <c r="E771" s="13">
        <v>302</v>
      </c>
      <c r="F771" s="14">
        <v>38093</v>
      </c>
      <c r="G771" s="14">
        <v>44666</v>
      </c>
      <c r="H771" s="13" t="s">
        <v>41</v>
      </c>
      <c r="I771" s="13" t="s">
        <v>51</v>
      </c>
    </row>
    <row r="772" spans="1:9" hidden="1">
      <c r="A772" s="11">
        <f t="shared" si="11"/>
        <v>767</v>
      </c>
      <c r="B772" s="9" t="s">
        <v>40</v>
      </c>
      <c r="C772" s="11" t="s">
        <v>6590</v>
      </c>
      <c r="D772" s="11" t="s">
        <v>13</v>
      </c>
      <c r="E772" s="11">
        <v>256</v>
      </c>
      <c r="F772" s="12">
        <v>42557</v>
      </c>
      <c r="G772" s="12">
        <v>48034</v>
      </c>
      <c r="H772" s="11" t="s">
        <v>41</v>
      </c>
      <c r="I772" s="11" t="s">
        <v>51</v>
      </c>
    </row>
    <row r="773" spans="1:9" hidden="1">
      <c r="A773" s="13">
        <f t="shared" si="11"/>
        <v>768</v>
      </c>
      <c r="B773" s="10" t="s">
        <v>53</v>
      </c>
      <c r="C773" s="13" t="s">
        <v>6591</v>
      </c>
      <c r="D773" s="13" t="s">
        <v>13</v>
      </c>
      <c r="E773" s="13">
        <v>346</v>
      </c>
      <c r="F773" s="14">
        <v>42557</v>
      </c>
      <c r="G773" s="14">
        <v>48034</v>
      </c>
      <c r="H773" s="13" t="s">
        <v>41</v>
      </c>
      <c r="I773" s="13" t="s">
        <v>51</v>
      </c>
    </row>
    <row r="774" spans="1:9" hidden="1">
      <c r="A774" s="11">
        <f t="shared" si="11"/>
        <v>769</v>
      </c>
      <c r="B774" s="9" t="s">
        <v>53</v>
      </c>
      <c r="C774" s="11" t="s">
        <v>6592</v>
      </c>
      <c r="D774" s="11" t="s">
        <v>13</v>
      </c>
      <c r="E774" s="11">
        <v>267</v>
      </c>
      <c r="F774" s="12">
        <v>42557</v>
      </c>
      <c r="G774" s="12">
        <v>48034</v>
      </c>
      <c r="H774" s="11" t="s">
        <v>41</v>
      </c>
      <c r="I774" s="11" t="s">
        <v>51</v>
      </c>
    </row>
    <row r="775" spans="1:9" hidden="1">
      <c r="A775" s="13">
        <f t="shared" si="11"/>
        <v>770</v>
      </c>
      <c r="B775" s="10" t="s">
        <v>410</v>
      </c>
      <c r="C775" s="13" t="s">
        <v>6593</v>
      </c>
      <c r="D775" s="13" t="s">
        <v>18</v>
      </c>
      <c r="E775" s="13">
        <v>200</v>
      </c>
      <c r="F775" s="14">
        <v>39377</v>
      </c>
      <c r="G775" s="14">
        <v>41203</v>
      </c>
      <c r="H775" s="13" t="s">
        <v>41</v>
      </c>
      <c r="I775" s="13" t="s">
        <v>51</v>
      </c>
    </row>
    <row r="776" spans="1:9" hidden="1">
      <c r="A776" s="11">
        <f t="shared" ref="A776:A839" si="12">+A775+1</f>
        <v>771</v>
      </c>
      <c r="B776" s="9" t="s">
        <v>116</v>
      </c>
      <c r="C776" s="11" t="s">
        <v>6594</v>
      </c>
      <c r="D776" s="11" t="s">
        <v>13</v>
      </c>
      <c r="E776" s="11">
        <v>126</v>
      </c>
      <c r="F776" s="12">
        <v>43725</v>
      </c>
      <c r="G776" s="12">
        <v>52856</v>
      </c>
      <c r="H776" s="11" t="s">
        <v>41</v>
      </c>
      <c r="I776" s="11" t="s">
        <v>51</v>
      </c>
    </row>
    <row r="777" spans="1:9" hidden="1">
      <c r="A777" s="13">
        <f t="shared" si="12"/>
        <v>772</v>
      </c>
      <c r="B777" s="10" t="s">
        <v>116</v>
      </c>
      <c r="C777" s="13" t="s">
        <v>6595</v>
      </c>
      <c r="D777" s="13" t="s">
        <v>13</v>
      </c>
      <c r="E777" s="13">
        <v>192</v>
      </c>
      <c r="F777" s="14">
        <v>43725</v>
      </c>
      <c r="G777" s="14">
        <v>52856</v>
      </c>
      <c r="H777" s="13" t="s">
        <v>41</v>
      </c>
      <c r="I777" s="13" t="s">
        <v>51</v>
      </c>
    </row>
    <row r="778" spans="1:9" hidden="1">
      <c r="A778" s="11">
        <f t="shared" si="12"/>
        <v>773</v>
      </c>
      <c r="B778" s="9" t="s">
        <v>86</v>
      </c>
      <c r="C778" s="11" t="s">
        <v>6596</v>
      </c>
      <c r="D778" s="11" t="s">
        <v>27</v>
      </c>
      <c r="E778" s="11">
        <v>190</v>
      </c>
      <c r="F778" s="12">
        <v>43510</v>
      </c>
      <c r="G778" s="12">
        <v>45342</v>
      </c>
      <c r="H778" s="11" t="s">
        <v>41</v>
      </c>
      <c r="I778" s="11" t="s">
        <v>51</v>
      </c>
    </row>
    <row r="779" spans="1:9" hidden="1">
      <c r="A779" s="13">
        <f t="shared" si="12"/>
        <v>774</v>
      </c>
      <c r="B779" s="10" t="s">
        <v>171</v>
      </c>
      <c r="C779" s="13" t="s">
        <v>6597</v>
      </c>
      <c r="D779" s="13" t="s">
        <v>18</v>
      </c>
      <c r="E779" s="13">
        <v>130</v>
      </c>
      <c r="F779" s="14">
        <v>42992</v>
      </c>
      <c r="G779" s="14">
        <v>44817</v>
      </c>
      <c r="H779" s="13" t="s">
        <v>41</v>
      </c>
      <c r="I779" s="13" t="s">
        <v>51</v>
      </c>
    </row>
    <row r="780" spans="1:9" hidden="1">
      <c r="A780" s="11">
        <f t="shared" si="12"/>
        <v>775</v>
      </c>
      <c r="B780" s="9" t="s">
        <v>209</v>
      </c>
      <c r="C780" s="11" t="s">
        <v>6598</v>
      </c>
      <c r="D780" s="11" t="s">
        <v>18</v>
      </c>
      <c r="E780" s="11">
        <v>6</v>
      </c>
      <c r="F780" s="12">
        <v>43560</v>
      </c>
      <c r="G780" s="12">
        <v>45386</v>
      </c>
      <c r="H780" s="11" t="s">
        <v>41</v>
      </c>
      <c r="I780" s="11" t="s">
        <v>51</v>
      </c>
    </row>
    <row r="781" spans="1:9" hidden="1">
      <c r="A781" s="13">
        <f t="shared" si="12"/>
        <v>776</v>
      </c>
      <c r="B781" s="10" t="s">
        <v>209</v>
      </c>
      <c r="C781" s="13" t="s">
        <v>6599</v>
      </c>
      <c r="D781" s="13" t="s">
        <v>18</v>
      </c>
      <c r="E781" s="13">
        <v>5</v>
      </c>
      <c r="F781" s="14">
        <v>43560</v>
      </c>
      <c r="G781" s="14">
        <v>45386</v>
      </c>
      <c r="H781" s="13" t="s">
        <v>41</v>
      </c>
      <c r="I781" s="13" t="s">
        <v>51</v>
      </c>
    </row>
    <row r="782" spans="1:9" hidden="1">
      <c r="A782" s="11">
        <f t="shared" si="12"/>
        <v>777</v>
      </c>
      <c r="B782" s="9" t="s">
        <v>209</v>
      </c>
      <c r="C782" s="11" t="s">
        <v>6600</v>
      </c>
      <c r="D782" s="11" t="s">
        <v>18</v>
      </c>
      <c r="E782" s="11">
        <v>4</v>
      </c>
      <c r="F782" s="12">
        <v>43560</v>
      </c>
      <c r="G782" s="12">
        <v>45386</v>
      </c>
      <c r="H782" s="11" t="s">
        <v>41</v>
      </c>
      <c r="I782" s="11" t="s">
        <v>51</v>
      </c>
    </row>
    <row r="783" spans="1:9" hidden="1">
      <c r="A783" s="13">
        <f t="shared" si="12"/>
        <v>778</v>
      </c>
      <c r="B783" s="10" t="s">
        <v>252</v>
      </c>
      <c r="C783" s="13" t="s">
        <v>6601</v>
      </c>
      <c r="D783" s="13" t="s">
        <v>18</v>
      </c>
      <c r="E783" s="13">
        <v>1</v>
      </c>
      <c r="F783" s="14">
        <v>43560</v>
      </c>
      <c r="G783" s="14">
        <v>45386</v>
      </c>
      <c r="H783" s="13" t="s">
        <v>41</v>
      </c>
      <c r="I783" s="13" t="s">
        <v>51</v>
      </c>
    </row>
    <row r="784" spans="1:9" hidden="1">
      <c r="A784" s="11">
        <f t="shared" si="12"/>
        <v>779</v>
      </c>
      <c r="B784" s="9" t="s">
        <v>214</v>
      </c>
      <c r="C784" s="11" t="s">
        <v>6602</v>
      </c>
      <c r="D784" s="11" t="s">
        <v>18</v>
      </c>
      <c r="E784" s="11">
        <v>2</v>
      </c>
      <c r="F784" s="12">
        <v>43684</v>
      </c>
      <c r="G784" s="12">
        <v>45510</v>
      </c>
      <c r="H784" s="11" t="s">
        <v>41</v>
      </c>
      <c r="I784" s="11" t="s">
        <v>51</v>
      </c>
    </row>
    <row r="785" spans="1:9" hidden="1">
      <c r="A785" s="13">
        <f t="shared" si="12"/>
        <v>780</v>
      </c>
      <c r="B785" s="10" t="s">
        <v>271</v>
      </c>
      <c r="C785" s="13" t="s">
        <v>6603</v>
      </c>
      <c r="D785" s="13" t="s">
        <v>18</v>
      </c>
      <c r="E785" s="13">
        <v>5</v>
      </c>
      <c r="F785" s="14">
        <v>44256</v>
      </c>
      <c r="G785" s="14">
        <v>46081</v>
      </c>
      <c r="H785" s="13" t="s">
        <v>41</v>
      </c>
      <c r="I785" s="13" t="s">
        <v>51</v>
      </c>
    </row>
    <row r="786" spans="1:9" hidden="1">
      <c r="A786" s="11">
        <f t="shared" si="12"/>
        <v>781</v>
      </c>
      <c r="B786" s="9" t="s">
        <v>295</v>
      </c>
      <c r="C786" s="11" t="s">
        <v>6604</v>
      </c>
      <c r="D786" s="11" t="s">
        <v>18</v>
      </c>
      <c r="E786" s="11">
        <v>5</v>
      </c>
      <c r="F786" s="12">
        <v>43922</v>
      </c>
      <c r="G786" s="12">
        <v>45747</v>
      </c>
      <c r="H786" s="11" t="s">
        <v>41</v>
      </c>
      <c r="I786" s="11" t="s">
        <v>51</v>
      </c>
    </row>
    <row r="787" spans="1:9" hidden="1">
      <c r="A787" s="13">
        <f t="shared" si="12"/>
        <v>782</v>
      </c>
      <c r="B787" s="10" t="s">
        <v>314</v>
      </c>
      <c r="C787" s="13" t="s">
        <v>6605</v>
      </c>
      <c r="D787" s="13" t="s">
        <v>18</v>
      </c>
      <c r="E787" s="13">
        <v>10</v>
      </c>
      <c r="F787" s="14">
        <v>44265</v>
      </c>
      <c r="G787" s="14">
        <v>46090</v>
      </c>
      <c r="H787" s="13" t="s">
        <v>41</v>
      </c>
      <c r="I787" s="13" t="s">
        <v>51</v>
      </c>
    </row>
    <row r="788" spans="1:9" hidden="1">
      <c r="A788" s="11">
        <f t="shared" si="12"/>
        <v>783</v>
      </c>
      <c r="B788" s="9" t="s">
        <v>327</v>
      </c>
      <c r="C788" s="11" t="s">
        <v>6606</v>
      </c>
      <c r="D788" s="11" t="s">
        <v>18</v>
      </c>
      <c r="E788" s="11">
        <v>54</v>
      </c>
      <c r="F788" s="12">
        <v>44299</v>
      </c>
      <c r="G788" s="12">
        <v>46124</v>
      </c>
      <c r="H788" s="11" t="s">
        <v>41</v>
      </c>
      <c r="I788" s="11" t="s">
        <v>51</v>
      </c>
    </row>
    <row r="789" spans="1:9" hidden="1">
      <c r="A789" s="13">
        <f t="shared" si="12"/>
        <v>784</v>
      </c>
      <c r="B789" s="10" t="s">
        <v>467</v>
      </c>
      <c r="C789" s="13" t="s">
        <v>6607</v>
      </c>
      <c r="D789" s="13" t="s">
        <v>13</v>
      </c>
      <c r="E789" s="13">
        <v>32</v>
      </c>
      <c r="F789" s="14">
        <v>45243</v>
      </c>
      <c r="G789" s="14">
        <v>50721</v>
      </c>
      <c r="H789" s="13" t="s">
        <v>41</v>
      </c>
      <c r="I789" s="13" t="s">
        <v>51</v>
      </c>
    </row>
    <row r="790" spans="1:9" hidden="1">
      <c r="A790" s="11">
        <f t="shared" si="12"/>
        <v>785</v>
      </c>
      <c r="B790" s="9" t="s">
        <v>362</v>
      </c>
      <c r="C790" s="11" t="s">
        <v>6608</v>
      </c>
      <c r="D790" s="11" t="s">
        <v>18</v>
      </c>
      <c r="E790" s="11">
        <v>22</v>
      </c>
      <c r="F790" s="12">
        <v>44862</v>
      </c>
      <c r="G790" s="12">
        <v>46687</v>
      </c>
      <c r="H790" s="11" t="s">
        <v>41</v>
      </c>
      <c r="I790" s="11" t="s">
        <v>51</v>
      </c>
    </row>
    <row r="791" spans="1:9" hidden="1">
      <c r="A791" s="13">
        <f t="shared" si="12"/>
        <v>786</v>
      </c>
      <c r="B791" s="10" t="s">
        <v>362</v>
      </c>
      <c r="C791" s="13" t="s">
        <v>6609</v>
      </c>
      <c r="D791" s="13" t="s">
        <v>18</v>
      </c>
      <c r="E791" s="13">
        <v>10</v>
      </c>
      <c r="F791" s="14">
        <v>44862</v>
      </c>
      <c r="G791" s="14">
        <v>46687</v>
      </c>
      <c r="H791" s="13" t="s">
        <v>41</v>
      </c>
      <c r="I791" s="13" t="s">
        <v>51</v>
      </c>
    </row>
    <row r="792" spans="1:9" hidden="1">
      <c r="A792" s="11">
        <f t="shared" si="12"/>
        <v>787</v>
      </c>
      <c r="B792" s="9" t="s">
        <v>327</v>
      </c>
      <c r="C792" s="11" t="s">
        <v>6610</v>
      </c>
      <c r="D792" s="11" t="s">
        <v>18</v>
      </c>
      <c r="E792" s="11">
        <v>24</v>
      </c>
      <c r="F792" s="12">
        <v>45202</v>
      </c>
      <c r="G792" s="12">
        <v>47028</v>
      </c>
      <c r="H792" s="11" t="s">
        <v>41</v>
      </c>
      <c r="I792" s="11" t="s">
        <v>51</v>
      </c>
    </row>
    <row r="793" spans="1:9" hidden="1">
      <c r="A793" s="13">
        <f t="shared" si="12"/>
        <v>788</v>
      </c>
      <c r="B793" s="10" t="s">
        <v>221</v>
      </c>
      <c r="C793" s="13" t="s">
        <v>6611</v>
      </c>
      <c r="D793" s="13" t="s">
        <v>18</v>
      </c>
      <c r="E793" s="13">
        <v>3</v>
      </c>
      <c r="F793" s="14">
        <v>44889</v>
      </c>
      <c r="G793" s="14">
        <v>46714</v>
      </c>
      <c r="H793" s="13" t="s">
        <v>41</v>
      </c>
      <c r="I793" s="13" t="s">
        <v>51</v>
      </c>
    </row>
    <row r="794" spans="1:9" hidden="1">
      <c r="A794" s="11">
        <f t="shared" si="12"/>
        <v>789</v>
      </c>
      <c r="B794" s="9" t="s">
        <v>377</v>
      </c>
      <c r="C794" s="11" t="s">
        <v>6612</v>
      </c>
      <c r="D794" s="11" t="s">
        <v>18</v>
      </c>
      <c r="E794" s="11">
        <v>98</v>
      </c>
      <c r="F794" s="12">
        <v>44893</v>
      </c>
      <c r="G794" s="12">
        <v>46718</v>
      </c>
      <c r="H794" s="11" t="s">
        <v>41</v>
      </c>
      <c r="I794" s="11" t="s">
        <v>51</v>
      </c>
    </row>
    <row r="795" spans="1:9" hidden="1">
      <c r="A795" s="13">
        <f t="shared" si="12"/>
        <v>790</v>
      </c>
      <c r="B795" s="10" t="s">
        <v>378</v>
      </c>
      <c r="C795" s="13" t="s">
        <v>6613</v>
      </c>
      <c r="D795" s="13" t="s">
        <v>18</v>
      </c>
      <c r="E795" s="13">
        <v>20</v>
      </c>
      <c r="F795" s="14">
        <v>44889</v>
      </c>
      <c r="G795" s="14">
        <v>46714</v>
      </c>
      <c r="H795" s="13" t="s">
        <v>41</v>
      </c>
      <c r="I795" s="13" t="s">
        <v>51</v>
      </c>
    </row>
    <row r="796" spans="1:9" hidden="1">
      <c r="A796" s="11">
        <f t="shared" si="12"/>
        <v>791</v>
      </c>
      <c r="B796" s="9" t="s">
        <v>121</v>
      </c>
      <c r="C796" s="11" t="s">
        <v>6614</v>
      </c>
      <c r="D796" s="11" t="s">
        <v>18</v>
      </c>
      <c r="E796" s="11">
        <v>65</v>
      </c>
      <c r="F796" s="12">
        <v>44931</v>
      </c>
      <c r="G796" s="12">
        <v>46756</v>
      </c>
      <c r="H796" s="11" t="s">
        <v>41</v>
      </c>
      <c r="I796" s="11" t="s">
        <v>51</v>
      </c>
    </row>
    <row r="797" spans="1:9" hidden="1">
      <c r="A797" s="13">
        <f t="shared" si="12"/>
        <v>792</v>
      </c>
      <c r="B797" s="10" t="s">
        <v>363</v>
      </c>
      <c r="C797" s="13" t="s">
        <v>6615</v>
      </c>
      <c r="D797" s="13" t="s">
        <v>18</v>
      </c>
      <c r="E797" s="13">
        <v>20</v>
      </c>
      <c r="F797" s="14">
        <v>44966</v>
      </c>
      <c r="G797" s="14">
        <v>46791</v>
      </c>
      <c r="H797" s="13" t="s">
        <v>41</v>
      </c>
      <c r="I797" s="13" t="s">
        <v>51</v>
      </c>
    </row>
    <row r="798" spans="1:9" hidden="1">
      <c r="A798" s="11">
        <f t="shared" si="12"/>
        <v>793</v>
      </c>
      <c r="B798" s="9" t="s">
        <v>363</v>
      </c>
      <c r="C798" s="11" t="s">
        <v>6616</v>
      </c>
      <c r="D798" s="11" t="s">
        <v>18</v>
      </c>
      <c r="E798" s="11">
        <v>32</v>
      </c>
      <c r="F798" s="12">
        <v>44966</v>
      </c>
      <c r="G798" s="12">
        <v>46791</v>
      </c>
      <c r="H798" s="11" t="s">
        <v>41</v>
      </c>
      <c r="I798" s="11" t="s">
        <v>51</v>
      </c>
    </row>
    <row r="799" spans="1:9" hidden="1">
      <c r="A799" s="13">
        <f t="shared" si="12"/>
        <v>794</v>
      </c>
      <c r="B799" s="10" t="s">
        <v>467</v>
      </c>
      <c r="C799" s="13" t="s">
        <v>6617</v>
      </c>
      <c r="D799" s="13" t="s">
        <v>18</v>
      </c>
      <c r="E799" s="13">
        <v>25</v>
      </c>
      <c r="F799" s="14">
        <v>44986</v>
      </c>
      <c r="G799" s="14">
        <v>46812</v>
      </c>
      <c r="H799" s="13" t="s">
        <v>41</v>
      </c>
      <c r="I799" s="13" t="s">
        <v>51</v>
      </c>
    </row>
    <row r="800" spans="1:9" hidden="1">
      <c r="A800" s="11">
        <f t="shared" si="12"/>
        <v>795</v>
      </c>
      <c r="B800" s="9" t="s">
        <v>467</v>
      </c>
      <c r="C800" s="11" t="s">
        <v>6618</v>
      </c>
      <c r="D800" s="11" t="s">
        <v>18</v>
      </c>
      <c r="E800" s="11">
        <v>8</v>
      </c>
      <c r="F800" s="12">
        <v>44986</v>
      </c>
      <c r="G800" s="12">
        <v>46812</v>
      </c>
      <c r="H800" s="11" t="s">
        <v>41</v>
      </c>
      <c r="I800" s="11" t="s">
        <v>51</v>
      </c>
    </row>
    <row r="801" spans="1:9" hidden="1">
      <c r="A801" s="13">
        <f t="shared" si="12"/>
        <v>796</v>
      </c>
      <c r="B801" s="10" t="s">
        <v>467</v>
      </c>
      <c r="C801" s="13" t="s">
        <v>6619</v>
      </c>
      <c r="D801" s="13" t="s">
        <v>18</v>
      </c>
      <c r="E801" s="13">
        <v>6</v>
      </c>
      <c r="F801" s="14">
        <v>44957</v>
      </c>
      <c r="G801" s="14">
        <v>46782</v>
      </c>
      <c r="H801" s="13" t="s">
        <v>41</v>
      </c>
      <c r="I801" s="13" t="s">
        <v>51</v>
      </c>
    </row>
    <row r="802" spans="1:9" hidden="1">
      <c r="A802" s="11">
        <f t="shared" si="12"/>
        <v>797</v>
      </c>
      <c r="B802" s="9" t="s">
        <v>467</v>
      </c>
      <c r="C802" s="11" t="s">
        <v>6620</v>
      </c>
      <c r="D802" s="11" t="s">
        <v>18</v>
      </c>
      <c r="E802" s="11">
        <v>24</v>
      </c>
      <c r="F802" s="12">
        <v>44986</v>
      </c>
      <c r="G802" s="12">
        <v>46812</v>
      </c>
      <c r="H802" s="11" t="s">
        <v>41</v>
      </c>
      <c r="I802" s="11" t="s">
        <v>51</v>
      </c>
    </row>
    <row r="803" spans="1:9" hidden="1">
      <c r="A803" s="13">
        <f t="shared" si="12"/>
        <v>798</v>
      </c>
      <c r="B803" s="10" t="s">
        <v>5730</v>
      </c>
      <c r="C803" s="13" t="s">
        <v>6621</v>
      </c>
      <c r="D803" s="13" t="s">
        <v>18</v>
      </c>
      <c r="E803" s="13">
        <v>6</v>
      </c>
      <c r="F803" s="14">
        <v>45237</v>
      </c>
      <c r="G803" s="14">
        <v>47063</v>
      </c>
      <c r="H803" s="13" t="s">
        <v>41</v>
      </c>
      <c r="I803" s="13" t="s">
        <v>51</v>
      </c>
    </row>
    <row r="804" spans="1:9" hidden="1">
      <c r="A804" s="11">
        <f t="shared" si="12"/>
        <v>799</v>
      </c>
      <c r="B804" s="9" t="s">
        <v>432</v>
      </c>
      <c r="C804" s="11" t="s">
        <v>6622</v>
      </c>
      <c r="D804" s="11" t="s">
        <v>18</v>
      </c>
      <c r="E804" s="11">
        <v>7</v>
      </c>
      <c r="F804" s="12">
        <v>45104</v>
      </c>
      <c r="G804" s="12">
        <v>46930</v>
      </c>
      <c r="H804" s="11" t="s">
        <v>41</v>
      </c>
      <c r="I804" s="11" t="s">
        <v>51</v>
      </c>
    </row>
    <row r="805" spans="1:9" hidden="1">
      <c r="A805" s="13">
        <f t="shared" si="12"/>
        <v>800</v>
      </c>
      <c r="B805" s="10" t="s">
        <v>86</v>
      </c>
      <c r="C805" s="13" t="s">
        <v>6623</v>
      </c>
      <c r="D805" s="13" t="s">
        <v>18</v>
      </c>
      <c r="E805" s="13">
        <v>40</v>
      </c>
      <c r="F805" s="14">
        <v>45034</v>
      </c>
      <c r="G805" s="14">
        <v>46860</v>
      </c>
      <c r="H805" s="13" t="s">
        <v>41</v>
      </c>
      <c r="I805" s="13" t="s">
        <v>51</v>
      </c>
    </row>
    <row r="806" spans="1:9" hidden="1">
      <c r="A806" s="11">
        <f t="shared" si="12"/>
        <v>801</v>
      </c>
      <c r="B806" s="9" t="s">
        <v>5730</v>
      </c>
      <c r="C806" s="11" t="s">
        <v>6624</v>
      </c>
      <c r="D806" s="11" t="s">
        <v>18</v>
      </c>
      <c r="E806" s="11">
        <v>5</v>
      </c>
      <c r="F806" s="12">
        <v>45037</v>
      </c>
      <c r="G806" s="12">
        <v>46863</v>
      </c>
      <c r="H806" s="11" t="s">
        <v>41</v>
      </c>
      <c r="I806" s="11" t="s">
        <v>51</v>
      </c>
    </row>
    <row r="807" spans="1:9" hidden="1">
      <c r="A807" s="13">
        <f t="shared" si="12"/>
        <v>802</v>
      </c>
      <c r="B807" s="10" t="s">
        <v>5730</v>
      </c>
      <c r="C807" s="13" t="s">
        <v>6625</v>
      </c>
      <c r="D807" s="13" t="s">
        <v>18</v>
      </c>
      <c r="E807" s="13">
        <v>5</v>
      </c>
      <c r="F807" s="14">
        <v>45077</v>
      </c>
      <c r="G807" s="14">
        <v>46903</v>
      </c>
      <c r="H807" s="13" t="s">
        <v>41</v>
      </c>
      <c r="I807" s="13" t="s">
        <v>51</v>
      </c>
    </row>
    <row r="808" spans="1:9" hidden="1">
      <c r="A808" s="11">
        <f t="shared" si="12"/>
        <v>803</v>
      </c>
      <c r="B808" s="9" t="s">
        <v>5731</v>
      </c>
      <c r="C808" s="11" t="s">
        <v>6626</v>
      </c>
      <c r="D808" s="11" t="s">
        <v>18</v>
      </c>
      <c r="E808" s="11">
        <v>10</v>
      </c>
      <c r="F808" s="12">
        <v>45021</v>
      </c>
      <c r="G808" s="12">
        <v>46847</v>
      </c>
      <c r="H808" s="11" t="s">
        <v>41</v>
      </c>
      <c r="I808" s="11" t="s">
        <v>51</v>
      </c>
    </row>
    <row r="809" spans="1:9" hidden="1">
      <c r="A809" s="13">
        <f t="shared" si="12"/>
        <v>804</v>
      </c>
      <c r="B809" s="10" t="s">
        <v>5715</v>
      </c>
      <c r="C809" s="13" t="s">
        <v>6627</v>
      </c>
      <c r="D809" s="13" t="s">
        <v>18</v>
      </c>
      <c r="E809" s="13">
        <v>32</v>
      </c>
      <c r="F809" s="14">
        <v>45238</v>
      </c>
      <c r="G809" s="14">
        <v>47064</v>
      </c>
      <c r="H809" s="13" t="s">
        <v>41</v>
      </c>
      <c r="I809" s="13" t="s">
        <v>51</v>
      </c>
    </row>
    <row r="810" spans="1:9" hidden="1">
      <c r="A810" s="11">
        <f t="shared" si="12"/>
        <v>805</v>
      </c>
      <c r="B810" s="9" t="s">
        <v>5731</v>
      </c>
      <c r="C810" s="11" t="s">
        <v>6628</v>
      </c>
      <c r="D810" s="11" t="s">
        <v>18</v>
      </c>
      <c r="E810" s="11">
        <v>35</v>
      </c>
      <c r="F810" s="12">
        <v>45145</v>
      </c>
      <c r="G810" s="12">
        <v>46971</v>
      </c>
      <c r="H810" s="11" t="s">
        <v>41</v>
      </c>
      <c r="I810" s="11" t="s">
        <v>51</v>
      </c>
    </row>
    <row r="811" spans="1:9" hidden="1">
      <c r="A811" s="13">
        <f t="shared" si="12"/>
        <v>806</v>
      </c>
      <c r="B811" s="10" t="s">
        <v>5731</v>
      </c>
      <c r="C811" s="13" t="s">
        <v>6629</v>
      </c>
      <c r="D811" s="13" t="s">
        <v>18</v>
      </c>
      <c r="E811" s="13">
        <v>15</v>
      </c>
      <c r="F811" s="14">
        <v>45145</v>
      </c>
      <c r="G811" s="14">
        <v>46971</v>
      </c>
      <c r="H811" s="13" t="s">
        <v>41</v>
      </c>
      <c r="I811" s="13" t="s">
        <v>51</v>
      </c>
    </row>
    <row r="812" spans="1:9" hidden="1">
      <c r="A812" s="11">
        <f t="shared" si="12"/>
        <v>807</v>
      </c>
      <c r="B812" s="9" t="s">
        <v>5731</v>
      </c>
      <c r="C812" s="11" t="s">
        <v>6630</v>
      </c>
      <c r="D812" s="11" t="s">
        <v>18</v>
      </c>
      <c r="E812" s="11">
        <v>25</v>
      </c>
      <c r="F812" s="12">
        <v>45145</v>
      </c>
      <c r="G812" s="12">
        <v>46971</v>
      </c>
      <c r="H812" s="11" t="s">
        <v>41</v>
      </c>
      <c r="I812" s="11" t="s">
        <v>51</v>
      </c>
    </row>
    <row r="813" spans="1:9" hidden="1">
      <c r="A813" s="13">
        <f t="shared" si="12"/>
        <v>808</v>
      </c>
      <c r="B813" s="10" t="s">
        <v>5732</v>
      </c>
      <c r="C813" s="13" t="s">
        <v>6631</v>
      </c>
      <c r="D813" s="13" t="s">
        <v>18</v>
      </c>
      <c r="E813" s="13">
        <v>18</v>
      </c>
      <c r="F813" s="14">
        <v>45265</v>
      </c>
      <c r="G813" s="14">
        <v>47091</v>
      </c>
      <c r="H813" s="13" t="s">
        <v>41</v>
      </c>
      <c r="I813" s="13" t="s">
        <v>51</v>
      </c>
    </row>
    <row r="814" spans="1:9" hidden="1">
      <c r="A814" s="11">
        <f t="shared" si="12"/>
        <v>809</v>
      </c>
      <c r="B814" s="9" t="s">
        <v>5712</v>
      </c>
      <c r="C814" s="11" t="s">
        <v>6632</v>
      </c>
      <c r="D814" s="11" t="s">
        <v>18</v>
      </c>
      <c r="E814" s="11">
        <v>1</v>
      </c>
      <c r="F814" s="12">
        <v>45071</v>
      </c>
      <c r="G814" s="12">
        <v>46897</v>
      </c>
      <c r="H814" s="11" t="s">
        <v>6633</v>
      </c>
      <c r="I814" s="11" t="s">
        <v>51</v>
      </c>
    </row>
    <row r="815" spans="1:9" hidden="1">
      <c r="A815" s="13">
        <f t="shared" si="12"/>
        <v>810</v>
      </c>
      <c r="B815" s="10" t="s">
        <v>5712</v>
      </c>
      <c r="C815" s="13" t="s">
        <v>6634</v>
      </c>
      <c r="D815" s="13" t="s">
        <v>18</v>
      </c>
      <c r="E815" s="13">
        <v>1</v>
      </c>
      <c r="F815" s="14">
        <v>45104</v>
      </c>
      <c r="G815" s="14">
        <v>46930</v>
      </c>
      <c r="H815" s="13" t="s">
        <v>6633</v>
      </c>
      <c r="I815" s="13" t="s">
        <v>51</v>
      </c>
    </row>
    <row r="816" spans="1:9" hidden="1">
      <c r="A816" s="11">
        <f t="shared" si="12"/>
        <v>811</v>
      </c>
      <c r="B816" s="9" t="s">
        <v>50</v>
      </c>
      <c r="C816" s="11" t="s">
        <v>6635</v>
      </c>
      <c r="D816" s="11" t="s">
        <v>13</v>
      </c>
      <c r="E816" s="11">
        <v>324</v>
      </c>
      <c r="F816" s="12">
        <v>36254</v>
      </c>
      <c r="G816" s="12">
        <v>48216</v>
      </c>
      <c r="H816" s="11" t="s">
        <v>19</v>
      </c>
      <c r="I816" s="11" t="s">
        <v>51</v>
      </c>
    </row>
    <row r="817" spans="1:9" hidden="1">
      <c r="A817" s="13">
        <f t="shared" si="12"/>
        <v>812</v>
      </c>
      <c r="B817" s="10" t="s">
        <v>5733</v>
      </c>
      <c r="C817" s="13" t="s">
        <v>6636</v>
      </c>
      <c r="D817" s="13" t="s">
        <v>18</v>
      </c>
      <c r="E817" s="13">
        <v>170</v>
      </c>
      <c r="F817" s="14">
        <v>41204</v>
      </c>
      <c r="G817" s="14">
        <v>45769</v>
      </c>
      <c r="H817" s="13" t="s">
        <v>19</v>
      </c>
      <c r="I817" s="13" t="s">
        <v>51</v>
      </c>
    </row>
    <row r="818" spans="1:9" hidden="1">
      <c r="A818" s="11">
        <f t="shared" si="12"/>
        <v>813</v>
      </c>
      <c r="B818" s="9" t="s">
        <v>17</v>
      </c>
      <c r="C818" s="11" t="s">
        <v>6637</v>
      </c>
      <c r="D818" s="11" t="s">
        <v>13</v>
      </c>
      <c r="E818" s="11">
        <v>151</v>
      </c>
      <c r="F818" s="12">
        <v>42038</v>
      </c>
      <c r="G818" s="12">
        <v>52995</v>
      </c>
      <c r="H818" s="11" t="s">
        <v>19</v>
      </c>
      <c r="I818" s="11" t="s">
        <v>51</v>
      </c>
    </row>
    <row r="819" spans="1:9" hidden="1">
      <c r="A819" s="13">
        <f t="shared" si="12"/>
        <v>814</v>
      </c>
      <c r="B819" s="10" t="s">
        <v>174</v>
      </c>
      <c r="C819" s="13" t="s">
        <v>6638</v>
      </c>
      <c r="D819" s="13" t="s">
        <v>18</v>
      </c>
      <c r="E819" s="13">
        <v>4</v>
      </c>
      <c r="F819" s="14">
        <v>44132</v>
      </c>
      <c r="G819" s="14">
        <v>45957</v>
      </c>
      <c r="H819" s="13" t="s">
        <v>19</v>
      </c>
      <c r="I819" s="13" t="s">
        <v>51</v>
      </c>
    </row>
    <row r="820" spans="1:9" hidden="1">
      <c r="A820" s="11">
        <f t="shared" si="12"/>
        <v>815</v>
      </c>
      <c r="B820" s="9" t="s">
        <v>195</v>
      </c>
      <c r="C820" s="11" t="s">
        <v>6640</v>
      </c>
      <c r="D820" s="11" t="s">
        <v>13</v>
      </c>
      <c r="E820" s="11">
        <v>15</v>
      </c>
      <c r="F820" s="12">
        <v>43783</v>
      </c>
      <c r="G820" s="12">
        <v>52914</v>
      </c>
      <c r="H820" s="11" t="s">
        <v>19</v>
      </c>
      <c r="I820" s="11" t="s">
        <v>51</v>
      </c>
    </row>
    <row r="821" spans="1:9" hidden="1">
      <c r="A821" s="13">
        <f t="shared" si="12"/>
        <v>816</v>
      </c>
      <c r="B821" s="10" t="s">
        <v>200</v>
      </c>
      <c r="C821" s="13" t="s">
        <v>6641</v>
      </c>
      <c r="D821" s="13" t="s">
        <v>18</v>
      </c>
      <c r="E821" s="13">
        <v>68</v>
      </c>
      <c r="F821" s="14">
        <v>43650</v>
      </c>
      <c r="G821" s="14">
        <v>45476</v>
      </c>
      <c r="H821" s="13" t="s">
        <v>19</v>
      </c>
      <c r="I821" s="13" t="s">
        <v>51</v>
      </c>
    </row>
    <row r="822" spans="1:9" hidden="1">
      <c r="A822" s="11">
        <f t="shared" si="12"/>
        <v>817</v>
      </c>
      <c r="B822" s="9" t="s">
        <v>247</v>
      </c>
      <c r="C822" s="11" t="s">
        <v>6642</v>
      </c>
      <c r="D822" s="11" t="s">
        <v>18</v>
      </c>
      <c r="E822" s="11">
        <v>6</v>
      </c>
      <c r="F822" s="12">
        <v>43684</v>
      </c>
      <c r="G822" s="12">
        <v>45510</v>
      </c>
      <c r="H822" s="11" t="s">
        <v>19</v>
      </c>
      <c r="I822" s="11" t="s">
        <v>51</v>
      </c>
    </row>
    <row r="823" spans="1:9" hidden="1">
      <c r="A823" s="13">
        <f t="shared" si="12"/>
        <v>818</v>
      </c>
      <c r="B823" s="10" t="s">
        <v>247</v>
      </c>
      <c r="C823" s="13" t="s">
        <v>6643</v>
      </c>
      <c r="D823" s="13" t="s">
        <v>18</v>
      </c>
      <c r="E823" s="13">
        <v>4</v>
      </c>
      <c r="F823" s="14">
        <v>43711</v>
      </c>
      <c r="G823" s="14">
        <v>45537</v>
      </c>
      <c r="H823" s="13" t="s">
        <v>19</v>
      </c>
      <c r="I823" s="13" t="s">
        <v>51</v>
      </c>
    </row>
    <row r="824" spans="1:9" hidden="1">
      <c r="A824" s="11">
        <f t="shared" si="12"/>
        <v>819</v>
      </c>
      <c r="B824" s="9" t="s">
        <v>254</v>
      </c>
      <c r="C824" s="11" t="s">
        <v>6644</v>
      </c>
      <c r="D824" s="11" t="s">
        <v>18</v>
      </c>
      <c r="E824" s="11">
        <v>6</v>
      </c>
      <c r="F824" s="12">
        <v>43585</v>
      </c>
      <c r="G824" s="12">
        <v>45411</v>
      </c>
      <c r="H824" s="11" t="s">
        <v>19</v>
      </c>
      <c r="I824" s="11" t="s">
        <v>51</v>
      </c>
    </row>
    <row r="825" spans="1:9" hidden="1">
      <c r="A825" s="13">
        <f t="shared" si="12"/>
        <v>820</v>
      </c>
      <c r="B825" s="10" t="s">
        <v>254</v>
      </c>
      <c r="C825" s="13" t="s">
        <v>6645</v>
      </c>
      <c r="D825" s="13" t="s">
        <v>18</v>
      </c>
      <c r="E825" s="13">
        <v>3</v>
      </c>
      <c r="F825" s="14">
        <v>43585</v>
      </c>
      <c r="G825" s="14">
        <v>45411</v>
      </c>
      <c r="H825" s="13" t="s">
        <v>19</v>
      </c>
      <c r="I825" s="13" t="s">
        <v>51</v>
      </c>
    </row>
    <row r="826" spans="1:9" hidden="1">
      <c r="A826" s="11">
        <f t="shared" si="12"/>
        <v>821</v>
      </c>
      <c r="B826" s="9" t="s">
        <v>219</v>
      </c>
      <c r="C826" s="11" t="s">
        <v>6646</v>
      </c>
      <c r="D826" s="11" t="s">
        <v>18</v>
      </c>
      <c r="E826" s="11">
        <v>5</v>
      </c>
      <c r="F826" s="12">
        <v>43684</v>
      </c>
      <c r="G826" s="12">
        <v>45510</v>
      </c>
      <c r="H826" s="11" t="s">
        <v>19</v>
      </c>
      <c r="I826" s="11" t="s">
        <v>51</v>
      </c>
    </row>
    <row r="827" spans="1:9" hidden="1">
      <c r="A827" s="13">
        <f t="shared" si="12"/>
        <v>822</v>
      </c>
      <c r="B827" s="10" t="s">
        <v>200</v>
      </c>
      <c r="C827" s="13" t="s">
        <v>6647</v>
      </c>
      <c r="D827" s="13" t="s">
        <v>18</v>
      </c>
      <c r="E827" s="13">
        <v>8</v>
      </c>
      <c r="F827" s="14">
        <v>44249</v>
      </c>
      <c r="G827" s="14">
        <v>46074</v>
      </c>
      <c r="H827" s="13" t="s">
        <v>19</v>
      </c>
      <c r="I827" s="13" t="s">
        <v>51</v>
      </c>
    </row>
    <row r="828" spans="1:9" hidden="1">
      <c r="A828" s="11">
        <f t="shared" si="12"/>
        <v>823</v>
      </c>
      <c r="B828" s="9" t="s">
        <v>214</v>
      </c>
      <c r="C828" s="11" t="s">
        <v>6648</v>
      </c>
      <c r="D828" s="11" t="s">
        <v>18</v>
      </c>
      <c r="E828" s="11">
        <v>2</v>
      </c>
      <c r="F828" s="12">
        <v>44221</v>
      </c>
      <c r="G828" s="12">
        <v>46046</v>
      </c>
      <c r="H828" s="11" t="s">
        <v>19</v>
      </c>
      <c r="I828" s="11" t="s">
        <v>51</v>
      </c>
    </row>
    <row r="829" spans="1:9" hidden="1">
      <c r="A829" s="13">
        <f t="shared" si="12"/>
        <v>824</v>
      </c>
      <c r="B829" s="10" t="s">
        <v>1041</v>
      </c>
      <c r="C829" s="13" t="s">
        <v>6649</v>
      </c>
      <c r="D829" s="13" t="s">
        <v>18</v>
      </c>
      <c r="E829" s="13">
        <v>4</v>
      </c>
      <c r="F829" s="14">
        <v>43900</v>
      </c>
      <c r="G829" s="14">
        <v>45725</v>
      </c>
      <c r="H829" s="13" t="s">
        <v>19</v>
      </c>
      <c r="I829" s="13" t="s">
        <v>51</v>
      </c>
    </row>
    <row r="830" spans="1:9" hidden="1">
      <c r="A830" s="11">
        <f t="shared" si="12"/>
        <v>825</v>
      </c>
      <c r="B830" s="9" t="s">
        <v>286</v>
      </c>
      <c r="C830" s="11" t="s">
        <v>6650</v>
      </c>
      <c r="D830" s="11" t="s">
        <v>18</v>
      </c>
      <c r="E830" s="11">
        <v>65</v>
      </c>
      <c r="F830" s="12">
        <v>44245</v>
      </c>
      <c r="G830" s="12">
        <v>46070</v>
      </c>
      <c r="H830" s="11" t="s">
        <v>19</v>
      </c>
      <c r="I830" s="11" t="s">
        <v>51</v>
      </c>
    </row>
    <row r="831" spans="1:9" hidden="1">
      <c r="A831" s="13">
        <f t="shared" si="12"/>
        <v>826</v>
      </c>
      <c r="B831" s="10" t="s">
        <v>286</v>
      </c>
      <c r="C831" s="13" t="s">
        <v>6651</v>
      </c>
      <c r="D831" s="13" t="s">
        <v>18</v>
      </c>
      <c r="E831" s="13">
        <v>22</v>
      </c>
      <c r="F831" s="14">
        <v>44245</v>
      </c>
      <c r="G831" s="14">
        <v>46070</v>
      </c>
      <c r="H831" s="13" t="s">
        <v>19</v>
      </c>
      <c r="I831" s="13" t="s">
        <v>51</v>
      </c>
    </row>
    <row r="832" spans="1:9" hidden="1">
      <c r="A832" s="11">
        <f t="shared" si="12"/>
        <v>827</v>
      </c>
      <c r="B832" s="9" t="s">
        <v>286</v>
      </c>
      <c r="C832" s="11" t="s">
        <v>6652</v>
      </c>
      <c r="D832" s="11" t="s">
        <v>18</v>
      </c>
      <c r="E832" s="11">
        <v>60</v>
      </c>
      <c r="F832" s="12">
        <v>44267</v>
      </c>
      <c r="G832" s="12">
        <v>46092</v>
      </c>
      <c r="H832" s="11" t="s">
        <v>19</v>
      </c>
      <c r="I832" s="11" t="s">
        <v>51</v>
      </c>
    </row>
    <row r="833" spans="1:9" hidden="1">
      <c r="A833" s="13">
        <f t="shared" si="12"/>
        <v>828</v>
      </c>
      <c r="B833" s="10" t="s">
        <v>308</v>
      </c>
      <c r="C833" s="13" t="s">
        <v>6653</v>
      </c>
      <c r="D833" s="13" t="s">
        <v>18</v>
      </c>
      <c r="E833" s="13">
        <v>4</v>
      </c>
      <c r="F833" s="14">
        <v>44253</v>
      </c>
      <c r="G833" s="14">
        <v>46078</v>
      </c>
      <c r="H833" s="13" t="s">
        <v>19</v>
      </c>
      <c r="I833" s="13" t="s">
        <v>51</v>
      </c>
    </row>
    <row r="834" spans="1:9" hidden="1">
      <c r="A834" s="11">
        <f t="shared" si="12"/>
        <v>829</v>
      </c>
      <c r="B834" s="9" t="s">
        <v>328</v>
      </c>
      <c r="C834" s="11" t="s">
        <v>6654</v>
      </c>
      <c r="D834" s="11" t="s">
        <v>18</v>
      </c>
      <c r="E834" s="11">
        <v>2</v>
      </c>
      <c r="F834" s="12">
        <v>44309</v>
      </c>
      <c r="G834" s="12">
        <v>46134</v>
      </c>
      <c r="H834" s="11" t="s">
        <v>19</v>
      </c>
      <c r="I834" s="11" t="s">
        <v>51</v>
      </c>
    </row>
    <row r="835" spans="1:9" hidden="1">
      <c r="A835" s="13">
        <f t="shared" si="12"/>
        <v>830</v>
      </c>
      <c r="B835" s="10" t="s">
        <v>308</v>
      </c>
      <c r="C835" s="13" t="s">
        <v>6655</v>
      </c>
      <c r="D835" s="13" t="s">
        <v>18</v>
      </c>
      <c r="E835" s="13">
        <v>1</v>
      </c>
      <c r="F835" s="14">
        <v>44299</v>
      </c>
      <c r="G835" s="14">
        <v>46124</v>
      </c>
      <c r="H835" s="13" t="s">
        <v>19</v>
      </c>
      <c r="I835" s="13" t="s">
        <v>51</v>
      </c>
    </row>
    <row r="836" spans="1:9" hidden="1">
      <c r="A836" s="11">
        <f t="shared" si="12"/>
        <v>831</v>
      </c>
      <c r="B836" s="9" t="s">
        <v>308</v>
      </c>
      <c r="C836" s="11" t="s">
        <v>6656</v>
      </c>
      <c r="D836" s="11" t="s">
        <v>18</v>
      </c>
      <c r="E836" s="11">
        <v>2</v>
      </c>
      <c r="F836" s="12">
        <v>44294</v>
      </c>
      <c r="G836" s="12">
        <v>46119</v>
      </c>
      <c r="H836" s="11" t="s">
        <v>19</v>
      </c>
      <c r="I836" s="11" t="s">
        <v>51</v>
      </c>
    </row>
    <row r="837" spans="1:9" hidden="1">
      <c r="A837" s="13">
        <f t="shared" si="12"/>
        <v>832</v>
      </c>
      <c r="B837" s="10" t="s">
        <v>308</v>
      </c>
      <c r="C837" s="13" t="s">
        <v>6657</v>
      </c>
      <c r="D837" s="13" t="s">
        <v>18</v>
      </c>
      <c r="E837" s="13">
        <v>2</v>
      </c>
      <c r="F837" s="14">
        <v>44294</v>
      </c>
      <c r="G837" s="14">
        <v>46119</v>
      </c>
      <c r="H837" s="13" t="s">
        <v>19</v>
      </c>
      <c r="I837" s="13" t="s">
        <v>51</v>
      </c>
    </row>
    <row r="838" spans="1:9" hidden="1">
      <c r="A838" s="11">
        <f t="shared" si="12"/>
        <v>833</v>
      </c>
      <c r="B838" s="9" t="s">
        <v>308</v>
      </c>
      <c r="C838" s="11" t="s">
        <v>6658</v>
      </c>
      <c r="D838" s="11" t="s">
        <v>18</v>
      </c>
      <c r="E838" s="11">
        <v>1</v>
      </c>
      <c r="F838" s="12">
        <v>44301</v>
      </c>
      <c r="G838" s="12">
        <v>46126</v>
      </c>
      <c r="H838" s="11" t="s">
        <v>19</v>
      </c>
      <c r="I838" s="11" t="s">
        <v>51</v>
      </c>
    </row>
    <row r="839" spans="1:9" hidden="1">
      <c r="A839" s="13">
        <f t="shared" si="12"/>
        <v>834</v>
      </c>
      <c r="B839" s="10" t="s">
        <v>308</v>
      </c>
      <c r="C839" s="13" t="s">
        <v>6659</v>
      </c>
      <c r="D839" s="13" t="s">
        <v>18</v>
      </c>
      <c r="E839" s="13">
        <v>1</v>
      </c>
      <c r="F839" s="14">
        <v>44301</v>
      </c>
      <c r="G839" s="14">
        <v>46126</v>
      </c>
      <c r="H839" s="13" t="s">
        <v>19</v>
      </c>
      <c r="I839" s="13" t="s">
        <v>51</v>
      </c>
    </row>
    <row r="840" spans="1:9" hidden="1">
      <c r="A840" s="11">
        <f t="shared" ref="A840:A903" si="13">+A839+1</f>
        <v>835</v>
      </c>
      <c r="B840" s="9" t="s">
        <v>1887</v>
      </c>
      <c r="C840" s="11" t="s">
        <v>6660</v>
      </c>
      <c r="D840" s="11" t="s">
        <v>18</v>
      </c>
      <c r="E840" s="11">
        <v>8</v>
      </c>
      <c r="F840" s="12">
        <v>45051</v>
      </c>
      <c r="G840" s="12">
        <v>46877</v>
      </c>
      <c r="H840" s="11" t="s">
        <v>19</v>
      </c>
      <c r="I840" s="11" t="s">
        <v>51</v>
      </c>
    </row>
    <row r="841" spans="1:9" hidden="1">
      <c r="A841" s="13">
        <f t="shared" si="13"/>
        <v>836</v>
      </c>
      <c r="B841" s="10" t="s">
        <v>1887</v>
      </c>
      <c r="C841" s="13" t="s">
        <v>6661</v>
      </c>
      <c r="D841" s="13" t="s">
        <v>18</v>
      </c>
      <c r="E841" s="13">
        <v>7</v>
      </c>
      <c r="F841" s="14">
        <v>45051</v>
      </c>
      <c r="G841" s="14">
        <v>46877</v>
      </c>
      <c r="H841" s="13" t="s">
        <v>19</v>
      </c>
      <c r="I841" s="13" t="s">
        <v>51</v>
      </c>
    </row>
    <row r="842" spans="1:9" hidden="1">
      <c r="A842" s="11">
        <f t="shared" si="13"/>
        <v>837</v>
      </c>
      <c r="B842" s="9" t="s">
        <v>1887</v>
      </c>
      <c r="C842" s="11" t="s">
        <v>6662</v>
      </c>
      <c r="D842" s="11" t="s">
        <v>18</v>
      </c>
      <c r="E842" s="11">
        <v>3</v>
      </c>
      <c r="F842" s="12">
        <v>45051</v>
      </c>
      <c r="G842" s="12">
        <v>46877</v>
      </c>
      <c r="H842" s="11" t="s">
        <v>19</v>
      </c>
      <c r="I842" s="11" t="s">
        <v>51</v>
      </c>
    </row>
    <row r="843" spans="1:9" hidden="1">
      <c r="A843" s="13">
        <f t="shared" si="13"/>
        <v>838</v>
      </c>
      <c r="B843" s="10" t="s">
        <v>1887</v>
      </c>
      <c r="C843" s="13" t="s">
        <v>6663</v>
      </c>
      <c r="D843" s="13" t="s">
        <v>18</v>
      </c>
      <c r="E843" s="13">
        <v>24</v>
      </c>
      <c r="F843" s="14">
        <v>45051</v>
      </c>
      <c r="G843" s="14">
        <v>46877</v>
      </c>
      <c r="H843" s="13" t="s">
        <v>19</v>
      </c>
      <c r="I843" s="13" t="s">
        <v>51</v>
      </c>
    </row>
    <row r="844" spans="1:9" hidden="1">
      <c r="A844" s="11">
        <f t="shared" si="13"/>
        <v>839</v>
      </c>
      <c r="B844" s="9" t="s">
        <v>1887</v>
      </c>
      <c r="C844" s="11" t="s">
        <v>6664</v>
      </c>
      <c r="D844" s="11" t="s">
        <v>18</v>
      </c>
      <c r="E844" s="11">
        <v>7</v>
      </c>
      <c r="F844" s="12">
        <v>45051</v>
      </c>
      <c r="G844" s="12">
        <v>46877</v>
      </c>
      <c r="H844" s="11" t="s">
        <v>19</v>
      </c>
      <c r="I844" s="11" t="s">
        <v>51</v>
      </c>
    </row>
    <row r="845" spans="1:9" hidden="1">
      <c r="A845" s="13">
        <f t="shared" si="13"/>
        <v>840</v>
      </c>
      <c r="B845" s="10" t="s">
        <v>1887</v>
      </c>
      <c r="C845" s="13" t="s">
        <v>6665</v>
      </c>
      <c r="D845" s="13" t="s">
        <v>18</v>
      </c>
      <c r="E845" s="13">
        <v>2</v>
      </c>
      <c r="F845" s="14">
        <v>45051</v>
      </c>
      <c r="G845" s="14">
        <v>46877</v>
      </c>
      <c r="H845" s="13" t="s">
        <v>19</v>
      </c>
      <c r="I845" s="13" t="s">
        <v>51</v>
      </c>
    </row>
    <row r="846" spans="1:9" hidden="1">
      <c r="A846" s="11">
        <f t="shared" si="13"/>
        <v>841</v>
      </c>
      <c r="B846" s="9" t="s">
        <v>5734</v>
      </c>
      <c r="C846" s="11" t="s">
        <v>6666</v>
      </c>
      <c r="D846" s="11" t="s">
        <v>18</v>
      </c>
      <c r="E846" s="11">
        <v>6</v>
      </c>
      <c r="F846" s="12">
        <v>45180</v>
      </c>
      <c r="G846" s="12">
        <v>47006</v>
      </c>
      <c r="H846" s="11" t="s">
        <v>19</v>
      </c>
      <c r="I846" s="11" t="s">
        <v>51</v>
      </c>
    </row>
    <row r="847" spans="1:9" hidden="1">
      <c r="A847" s="13">
        <f t="shared" si="13"/>
        <v>842</v>
      </c>
      <c r="B847" s="10" t="s">
        <v>5735</v>
      </c>
      <c r="C847" s="13" t="s">
        <v>6667</v>
      </c>
      <c r="D847" s="13" t="s">
        <v>18</v>
      </c>
      <c r="E847" s="13">
        <v>12</v>
      </c>
      <c r="F847" s="14">
        <v>45020</v>
      </c>
      <c r="G847" s="14">
        <v>46846</v>
      </c>
      <c r="H847" s="13" t="s">
        <v>19</v>
      </c>
      <c r="I847" s="13" t="s">
        <v>51</v>
      </c>
    </row>
    <row r="848" spans="1:9" hidden="1">
      <c r="A848" s="11">
        <f t="shared" si="13"/>
        <v>843</v>
      </c>
      <c r="B848" s="9" t="s">
        <v>5735</v>
      </c>
      <c r="C848" s="11" t="s">
        <v>6668</v>
      </c>
      <c r="D848" s="11" t="s">
        <v>18</v>
      </c>
      <c r="E848" s="11">
        <v>8</v>
      </c>
      <c r="F848" s="12">
        <v>45027</v>
      </c>
      <c r="G848" s="12">
        <v>46853</v>
      </c>
      <c r="H848" s="11" t="s">
        <v>19</v>
      </c>
      <c r="I848" s="11" t="s">
        <v>51</v>
      </c>
    </row>
    <row r="849" spans="1:9" hidden="1">
      <c r="A849" s="13">
        <f t="shared" si="13"/>
        <v>844</v>
      </c>
      <c r="B849" s="10" t="s">
        <v>432</v>
      </c>
      <c r="C849" s="13" t="s">
        <v>6669</v>
      </c>
      <c r="D849" s="13" t="s">
        <v>18</v>
      </c>
      <c r="E849" s="13">
        <v>10</v>
      </c>
      <c r="F849" s="14">
        <v>45104</v>
      </c>
      <c r="G849" s="14">
        <v>46930</v>
      </c>
      <c r="H849" s="13" t="s">
        <v>19</v>
      </c>
      <c r="I849" s="13" t="s">
        <v>51</v>
      </c>
    </row>
    <row r="850" spans="1:9" hidden="1">
      <c r="A850" s="11">
        <f t="shared" si="13"/>
        <v>845</v>
      </c>
      <c r="B850" s="9" t="s">
        <v>253</v>
      </c>
      <c r="C850" s="11" t="s">
        <v>6670</v>
      </c>
      <c r="D850" s="11" t="s">
        <v>18</v>
      </c>
      <c r="E850" s="11">
        <v>10</v>
      </c>
      <c r="F850" s="12">
        <v>43922</v>
      </c>
      <c r="G850" s="12">
        <v>45747</v>
      </c>
      <c r="H850" s="11" t="s">
        <v>293</v>
      </c>
      <c r="I850" s="11" t="s">
        <v>51</v>
      </c>
    </row>
    <row r="851" spans="1:9" hidden="1">
      <c r="A851" s="13">
        <f t="shared" si="13"/>
        <v>846</v>
      </c>
      <c r="B851" s="10" t="s">
        <v>194</v>
      </c>
      <c r="C851" s="13" t="s">
        <v>6671</v>
      </c>
      <c r="D851" s="13" t="s">
        <v>18</v>
      </c>
      <c r="E851" s="13">
        <v>10</v>
      </c>
      <c r="F851" s="14">
        <v>45083</v>
      </c>
      <c r="G851" s="14">
        <v>46909</v>
      </c>
      <c r="H851" s="13" t="s">
        <v>293</v>
      </c>
      <c r="I851" s="13" t="s">
        <v>51</v>
      </c>
    </row>
    <row r="852" spans="1:9" hidden="1">
      <c r="A852" s="11">
        <f t="shared" si="13"/>
        <v>847</v>
      </c>
      <c r="B852" s="9" t="s">
        <v>5722</v>
      </c>
      <c r="C852" s="11" t="s">
        <v>6672</v>
      </c>
      <c r="D852" s="11" t="s">
        <v>13</v>
      </c>
      <c r="E852" s="11">
        <v>3</v>
      </c>
      <c r="F852" s="12">
        <v>39676</v>
      </c>
      <c r="G852" s="12">
        <v>45153</v>
      </c>
      <c r="H852" s="11" t="s">
        <v>66</v>
      </c>
      <c r="I852" s="11" t="s">
        <v>51</v>
      </c>
    </row>
    <row r="853" spans="1:9" hidden="1">
      <c r="A853" s="13">
        <f t="shared" si="13"/>
        <v>848</v>
      </c>
      <c r="B853" s="10" t="s">
        <v>291</v>
      </c>
      <c r="C853" s="13" t="s">
        <v>6673</v>
      </c>
      <c r="D853" s="13" t="s">
        <v>18</v>
      </c>
      <c r="E853" s="13">
        <v>3</v>
      </c>
      <c r="F853" s="14">
        <v>43810</v>
      </c>
      <c r="G853" s="14">
        <v>45636</v>
      </c>
      <c r="H853" s="13" t="s">
        <v>66</v>
      </c>
      <c r="I853" s="13" t="s">
        <v>51</v>
      </c>
    </row>
    <row r="854" spans="1:9" hidden="1">
      <c r="A854" s="11">
        <f t="shared" si="13"/>
        <v>849</v>
      </c>
      <c r="B854" s="9" t="s">
        <v>365</v>
      </c>
      <c r="C854" s="11" t="s">
        <v>6674</v>
      </c>
      <c r="D854" s="11" t="s">
        <v>18</v>
      </c>
      <c r="E854" s="11">
        <v>9</v>
      </c>
      <c r="F854" s="12">
        <v>44474</v>
      </c>
      <c r="G854" s="12">
        <v>46299</v>
      </c>
      <c r="H854" s="11" t="s">
        <v>66</v>
      </c>
      <c r="I854" s="11" t="s">
        <v>51</v>
      </c>
    </row>
    <row r="855" spans="1:9" hidden="1">
      <c r="A855" s="13">
        <f t="shared" si="13"/>
        <v>850</v>
      </c>
      <c r="B855" s="10" t="s">
        <v>55</v>
      </c>
      <c r="C855" s="13" t="s">
        <v>6675</v>
      </c>
      <c r="D855" s="13" t="s">
        <v>13</v>
      </c>
      <c r="E855" s="13">
        <v>115</v>
      </c>
      <c r="F855" s="14">
        <v>42632</v>
      </c>
      <c r="G855" s="14">
        <v>48109</v>
      </c>
      <c r="H855" s="13" t="s">
        <v>56</v>
      </c>
      <c r="I855" s="13" t="s">
        <v>51</v>
      </c>
    </row>
    <row r="856" spans="1:9" hidden="1">
      <c r="A856" s="11">
        <f t="shared" si="13"/>
        <v>851</v>
      </c>
      <c r="B856" s="9" t="s">
        <v>55</v>
      </c>
      <c r="C856" s="11" t="s">
        <v>6676</v>
      </c>
      <c r="D856" s="11" t="s">
        <v>13</v>
      </c>
      <c r="E856" s="11">
        <v>356</v>
      </c>
      <c r="F856" s="12">
        <v>42632</v>
      </c>
      <c r="G856" s="12">
        <v>48109</v>
      </c>
      <c r="H856" s="11" t="s">
        <v>56</v>
      </c>
      <c r="I856" s="11" t="s">
        <v>51</v>
      </c>
    </row>
    <row r="857" spans="1:9" hidden="1">
      <c r="A857" s="13">
        <f t="shared" si="13"/>
        <v>852</v>
      </c>
      <c r="B857" s="10" t="s">
        <v>62</v>
      </c>
      <c r="C857" s="13" t="s">
        <v>6677</v>
      </c>
      <c r="D857" s="13" t="s">
        <v>13</v>
      </c>
      <c r="E857" s="13">
        <v>368</v>
      </c>
      <c r="F857" s="14">
        <v>42632</v>
      </c>
      <c r="G857" s="14">
        <v>48109</v>
      </c>
      <c r="H857" s="13" t="s">
        <v>56</v>
      </c>
      <c r="I857" s="13" t="s">
        <v>51</v>
      </c>
    </row>
    <row r="858" spans="1:9" hidden="1">
      <c r="A858" s="11">
        <f t="shared" si="13"/>
        <v>853</v>
      </c>
      <c r="B858" s="9" t="s">
        <v>55</v>
      </c>
      <c r="C858" s="11" t="s">
        <v>6678</v>
      </c>
      <c r="D858" s="11" t="s">
        <v>13</v>
      </c>
      <c r="E858" s="11">
        <v>271</v>
      </c>
      <c r="F858" s="12">
        <v>42632</v>
      </c>
      <c r="G858" s="12">
        <v>48109</v>
      </c>
      <c r="H858" s="11" t="s">
        <v>56</v>
      </c>
      <c r="I858" s="11" t="s">
        <v>51</v>
      </c>
    </row>
    <row r="859" spans="1:9" hidden="1">
      <c r="A859" s="13">
        <f t="shared" si="13"/>
        <v>854</v>
      </c>
      <c r="B859" s="10" t="s">
        <v>57</v>
      </c>
      <c r="C859" s="13" t="s">
        <v>6679</v>
      </c>
      <c r="D859" s="13" t="s">
        <v>13</v>
      </c>
      <c r="E859" s="13">
        <v>241</v>
      </c>
      <c r="F859" s="14">
        <v>42632</v>
      </c>
      <c r="G859" s="14">
        <v>48109</v>
      </c>
      <c r="H859" s="13" t="s">
        <v>56</v>
      </c>
      <c r="I859" s="13" t="s">
        <v>51</v>
      </c>
    </row>
    <row r="860" spans="1:9" hidden="1">
      <c r="A860" s="11">
        <f t="shared" si="13"/>
        <v>855</v>
      </c>
      <c r="B860" s="9" t="s">
        <v>57</v>
      </c>
      <c r="C860" s="11" t="s">
        <v>6680</v>
      </c>
      <c r="D860" s="11" t="s">
        <v>13</v>
      </c>
      <c r="E860" s="11">
        <v>171</v>
      </c>
      <c r="F860" s="12">
        <v>42632</v>
      </c>
      <c r="G860" s="12">
        <v>48109</v>
      </c>
      <c r="H860" s="11" t="s">
        <v>56</v>
      </c>
      <c r="I860" s="11" t="s">
        <v>51</v>
      </c>
    </row>
    <row r="861" spans="1:9" hidden="1">
      <c r="A861" s="13">
        <f t="shared" si="13"/>
        <v>856</v>
      </c>
      <c r="B861" s="10" t="s">
        <v>57</v>
      </c>
      <c r="C861" s="13" t="s">
        <v>6681</v>
      </c>
      <c r="D861" s="13" t="s">
        <v>13</v>
      </c>
      <c r="E861" s="13">
        <v>284</v>
      </c>
      <c r="F861" s="14">
        <v>42632</v>
      </c>
      <c r="G861" s="14">
        <v>48109</v>
      </c>
      <c r="H861" s="13" t="s">
        <v>56</v>
      </c>
      <c r="I861" s="13" t="s">
        <v>51</v>
      </c>
    </row>
    <row r="862" spans="1:9" hidden="1">
      <c r="A862" s="11">
        <f t="shared" si="13"/>
        <v>857</v>
      </c>
      <c r="B862" s="9" t="s">
        <v>57</v>
      </c>
      <c r="C862" s="11" t="s">
        <v>6682</v>
      </c>
      <c r="D862" s="11" t="s">
        <v>13</v>
      </c>
      <c r="E862" s="11">
        <v>251</v>
      </c>
      <c r="F862" s="12">
        <v>42632</v>
      </c>
      <c r="G862" s="12">
        <v>48109</v>
      </c>
      <c r="H862" s="11" t="s">
        <v>56</v>
      </c>
      <c r="I862" s="11" t="s">
        <v>51</v>
      </c>
    </row>
    <row r="863" spans="1:9" hidden="1">
      <c r="A863" s="13">
        <f t="shared" si="13"/>
        <v>858</v>
      </c>
      <c r="B863" s="10" t="s">
        <v>57</v>
      </c>
      <c r="C863" s="13" t="s">
        <v>6683</v>
      </c>
      <c r="D863" s="13" t="s">
        <v>13</v>
      </c>
      <c r="E863" s="13">
        <v>271</v>
      </c>
      <c r="F863" s="14">
        <v>42632</v>
      </c>
      <c r="G863" s="14">
        <v>48109</v>
      </c>
      <c r="H863" s="13" t="s">
        <v>56</v>
      </c>
      <c r="I863" s="13" t="s">
        <v>51</v>
      </c>
    </row>
    <row r="864" spans="1:9" hidden="1">
      <c r="A864" s="11">
        <f t="shared" si="13"/>
        <v>859</v>
      </c>
      <c r="B864" s="9" t="s">
        <v>57</v>
      </c>
      <c r="C864" s="11" t="s">
        <v>6684</v>
      </c>
      <c r="D864" s="11" t="s">
        <v>13</v>
      </c>
      <c r="E864" s="11">
        <v>140</v>
      </c>
      <c r="F864" s="12">
        <v>42739</v>
      </c>
      <c r="G864" s="12">
        <v>48216</v>
      </c>
      <c r="H864" s="11" t="s">
        <v>56</v>
      </c>
      <c r="I864" s="11" t="s">
        <v>51</v>
      </c>
    </row>
    <row r="865" spans="1:9" hidden="1">
      <c r="A865" s="13">
        <f t="shared" si="13"/>
        <v>860</v>
      </c>
      <c r="B865" s="10" t="s">
        <v>62</v>
      </c>
      <c r="C865" s="13" t="s">
        <v>6685</v>
      </c>
      <c r="D865" s="13" t="s">
        <v>13</v>
      </c>
      <c r="E865" s="13">
        <v>338</v>
      </c>
      <c r="F865" s="14">
        <v>42632</v>
      </c>
      <c r="G865" s="14">
        <v>48109</v>
      </c>
      <c r="H865" s="13" t="s">
        <v>56</v>
      </c>
      <c r="I865" s="13" t="s">
        <v>51</v>
      </c>
    </row>
    <row r="866" spans="1:9" hidden="1">
      <c r="A866" s="11">
        <f t="shared" si="13"/>
        <v>861</v>
      </c>
      <c r="B866" s="9" t="s">
        <v>161</v>
      </c>
      <c r="C866" s="11" t="s">
        <v>6686</v>
      </c>
      <c r="D866" s="11" t="s">
        <v>18</v>
      </c>
      <c r="E866" s="11">
        <v>168</v>
      </c>
      <c r="F866" s="12">
        <v>42584</v>
      </c>
      <c r="G866" s="12">
        <v>46591</v>
      </c>
      <c r="H866" s="11" t="s">
        <v>56</v>
      </c>
      <c r="I866" s="11" t="s">
        <v>51</v>
      </c>
    </row>
    <row r="867" spans="1:9" hidden="1">
      <c r="A867" s="13">
        <f t="shared" si="13"/>
        <v>862</v>
      </c>
      <c r="B867" s="10" t="s">
        <v>117</v>
      </c>
      <c r="C867" s="13" t="s">
        <v>6687</v>
      </c>
      <c r="D867" s="13" t="s">
        <v>13</v>
      </c>
      <c r="E867" s="13">
        <v>10</v>
      </c>
      <c r="F867" s="14">
        <v>42811</v>
      </c>
      <c r="G867" s="14">
        <v>53767</v>
      </c>
      <c r="H867" s="13" t="s">
        <v>56</v>
      </c>
      <c r="I867" s="13" t="s">
        <v>51</v>
      </c>
    </row>
    <row r="868" spans="1:9" hidden="1">
      <c r="A868" s="11">
        <f t="shared" si="13"/>
        <v>863</v>
      </c>
      <c r="B868" s="9" t="s">
        <v>117</v>
      </c>
      <c r="C868" s="11" t="s">
        <v>6688</v>
      </c>
      <c r="D868" s="11" t="s">
        <v>13</v>
      </c>
      <c r="E868" s="11">
        <v>20</v>
      </c>
      <c r="F868" s="12">
        <v>42811</v>
      </c>
      <c r="G868" s="12">
        <v>53767</v>
      </c>
      <c r="H868" s="11" t="s">
        <v>56</v>
      </c>
      <c r="I868" s="11" t="s">
        <v>51</v>
      </c>
    </row>
    <row r="869" spans="1:9" hidden="1">
      <c r="A869" s="13">
        <f t="shared" si="13"/>
        <v>864</v>
      </c>
      <c r="B869" s="10" t="s">
        <v>117</v>
      </c>
      <c r="C869" s="13" t="s">
        <v>6689</v>
      </c>
      <c r="D869" s="13" t="s">
        <v>13</v>
      </c>
      <c r="E869" s="13">
        <v>20</v>
      </c>
      <c r="F869" s="14">
        <v>42811</v>
      </c>
      <c r="G869" s="14">
        <v>53767</v>
      </c>
      <c r="H869" s="13" t="s">
        <v>56</v>
      </c>
      <c r="I869" s="13" t="s">
        <v>51</v>
      </c>
    </row>
    <row r="870" spans="1:9" hidden="1">
      <c r="A870" s="11">
        <f t="shared" si="13"/>
        <v>865</v>
      </c>
      <c r="B870" s="9" t="s">
        <v>118</v>
      </c>
      <c r="C870" s="11" t="s">
        <v>6690</v>
      </c>
      <c r="D870" s="11" t="s">
        <v>27</v>
      </c>
      <c r="E870" s="11">
        <v>15</v>
      </c>
      <c r="F870" s="12">
        <v>43634</v>
      </c>
      <c r="G870" s="12">
        <v>45460</v>
      </c>
      <c r="H870" s="11" t="s">
        <v>56</v>
      </c>
      <c r="I870" s="11" t="s">
        <v>51</v>
      </c>
    </row>
    <row r="871" spans="1:9" hidden="1">
      <c r="A871" s="13">
        <f t="shared" si="13"/>
        <v>866</v>
      </c>
      <c r="B871" s="10" t="s">
        <v>160</v>
      </c>
      <c r="C871" s="13" t="s">
        <v>6691</v>
      </c>
      <c r="D871" s="13" t="s">
        <v>27</v>
      </c>
      <c r="E871" s="13">
        <v>57</v>
      </c>
      <c r="F871" s="14">
        <v>44662</v>
      </c>
      <c r="G871" s="14">
        <v>46578</v>
      </c>
      <c r="H871" s="13" t="s">
        <v>56</v>
      </c>
      <c r="I871" s="13" t="s">
        <v>51</v>
      </c>
    </row>
    <row r="872" spans="1:9" hidden="1">
      <c r="A872" s="11">
        <f t="shared" si="13"/>
        <v>867</v>
      </c>
      <c r="B872" s="9" t="s">
        <v>165</v>
      </c>
      <c r="C872" s="11" t="s">
        <v>6692</v>
      </c>
      <c r="D872" s="11" t="s">
        <v>13</v>
      </c>
      <c r="E872" s="11">
        <v>13</v>
      </c>
      <c r="F872" s="12">
        <v>42067</v>
      </c>
      <c r="G872" s="12">
        <v>53024</v>
      </c>
      <c r="H872" s="11" t="s">
        <v>56</v>
      </c>
      <c r="I872" s="11" t="s">
        <v>51</v>
      </c>
    </row>
    <row r="873" spans="1:9" hidden="1">
      <c r="A873" s="13">
        <f t="shared" si="13"/>
        <v>868</v>
      </c>
      <c r="B873" s="10" t="s">
        <v>165</v>
      </c>
      <c r="C873" s="13" t="s">
        <v>6693</v>
      </c>
      <c r="D873" s="13" t="s">
        <v>13</v>
      </c>
      <c r="E873" s="13">
        <v>60</v>
      </c>
      <c r="F873" s="14">
        <v>42067</v>
      </c>
      <c r="G873" s="14">
        <v>53024</v>
      </c>
      <c r="H873" s="13" t="s">
        <v>56</v>
      </c>
      <c r="I873" s="13" t="s">
        <v>51</v>
      </c>
    </row>
    <row r="874" spans="1:9" hidden="1">
      <c r="A874" s="11">
        <f t="shared" si="13"/>
        <v>869</v>
      </c>
      <c r="B874" s="9" t="s">
        <v>165</v>
      </c>
      <c r="C874" s="11" t="s">
        <v>6694</v>
      </c>
      <c r="D874" s="11" t="s">
        <v>13</v>
      </c>
      <c r="E874" s="11">
        <v>84</v>
      </c>
      <c r="F874" s="12">
        <v>42067</v>
      </c>
      <c r="G874" s="12">
        <v>53024</v>
      </c>
      <c r="H874" s="11" t="s">
        <v>56</v>
      </c>
      <c r="I874" s="11" t="s">
        <v>51</v>
      </c>
    </row>
    <row r="875" spans="1:9" hidden="1">
      <c r="A875" s="13">
        <f t="shared" si="13"/>
        <v>870</v>
      </c>
      <c r="B875" s="10" t="s">
        <v>195</v>
      </c>
      <c r="C875" s="13" t="s">
        <v>6695</v>
      </c>
      <c r="D875" s="13" t="s">
        <v>13</v>
      </c>
      <c r="E875" s="13">
        <v>8</v>
      </c>
      <c r="F875" s="14">
        <v>43783</v>
      </c>
      <c r="G875" s="14">
        <v>52914</v>
      </c>
      <c r="H875" s="13" t="s">
        <v>56</v>
      </c>
      <c r="I875" s="13" t="s">
        <v>51</v>
      </c>
    </row>
    <row r="876" spans="1:9" hidden="1">
      <c r="A876" s="11">
        <f t="shared" si="13"/>
        <v>871</v>
      </c>
      <c r="B876" s="9" t="s">
        <v>243</v>
      </c>
      <c r="C876" s="11" t="s">
        <v>6696</v>
      </c>
      <c r="D876" s="11" t="s">
        <v>18</v>
      </c>
      <c r="E876" s="11">
        <v>21</v>
      </c>
      <c r="F876" s="12">
        <v>43535</v>
      </c>
      <c r="G876" s="12">
        <v>45361</v>
      </c>
      <c r="H876" s="11" t="s">
        <v>56</v>
      </c>
      <c r="I876" s="11" t="s">
        <v>51</v>
      </c>
    </row>
    <row r="877" spans="1:9" hidden="1">
      <c r="A877" s="13">
        <f t="shared" si="13"/>
        <v>872</v>
      </c>
      <c r="B877" s="10" t="s">
        <v>421</v>
      </c>
      <c r="C877" s="13" t="s">
        <v>6697</v>
      </c>
      <c r="D877" s="13" t="s">
        <v>18</v>
      </c>
      <c r="E877" s="13">
        <v>2</v>
      </c>
      <c r="F877" s="14">
        <v>43543</v>
      </c>
      <c r="G877" s="14">
        <v>45369</v>
      </c>
      <c r="H877" s="13" t="s">
        <v>56</v>
      </c>
      <c r="I877" s="13" t="s">
        <v>51</v>
      </c>
    </row>
    <row r="878" spans="1:9" hidden="1">
      <c r="A878" s="11">
        <f t="shared" si="13"/>
        <v>873</v>
      </c>
      <c r="B878" s="9" t="s">
        <v>421</v>
      </c>
      <c r="C878" s="11" t="s">
        <v>6698</v>
      </c>
      <c r="D878" s="11" t="s">
        <v>18</v>
      </c>
      <c r="E878" s="11">
        <v>2</v>
      </c>
      <c r="F878" s="12">
        <v>43543</v>
      </c>
      <c r="G878" s="12">
        <v>45369</v>
      </c>
      <c r="H878" s="11" t="s">
        <v>56</v>
      </c>
      <c r="I878" s="11" t="s">
        <v>51</v>
      </c>
    </row>
    <row r="879" spans="1:9" hidden="1">
      <c r="A879" s="13">
        <f t="shared" si="13"/>
        <v>874</v>
      </c>
      <c r="B879" s="10" t="s">
        <v>271</v>
      </c>
      <c r="C879" s="13" t="s">
        <v>6699</v>
      </c>
      <c r="D879" s="13" t="s">
        <v>18</v>
      </c>
      <c r="E879" s="13">
        <v>15</v>
      </c>
      <c r="F879" s="14">
        <v>44256</v>
      </c>
      <c r="G879" s="14">
        <v>46081</v>
      </c>
      <c r="H879" s="13" t="s">
        <v>56</v>
      </c>
      <c r="I879" s="13" t="s">
        <v>51</v>
      </c>
    </row>
    <row r="880" spans="1:9" hidden="1">
      <c r="A880" s="11">
        <f t="shared" si="13"/>
        <v>875</v>
      </c>
      <c r="B880" s="9" t="s">
        <v>276</v>
      </c>
      <c r="C880" s="11" t="s">
        <v>6700</v>
      </c>
      <c r="D880" s="11" t="s">
        <v>18</v>
      </c>
      <c r="E880" s="11">
        <v>8</v>
      </c>
      <c r="F880" s="12">
        <v>43951</v>
      </c>
      <c r="G880" s="12">
        <v>45776</v>
      </c>
      <c r="H880" s="11" t="s">
        <v>56</v>
      </c>
      <c r="I880" s="11" t="s">
        <v>51</v>
      </c>
    </row>
    <row r="881" spans="1:9" hidden="1">
      <c r="A881" s="13">
        <f t="shared" si="13"/>
        <v>876</v>
      </c>
      <c r="B881" s="10" t="s">
        <v>276</v>
      </c>
      <c r="C881" s="13" t="s">
        <v>6701</v>
      </c>
      <c r="D881" s="13" t="s">
        <v>18</v>
      </c>
      <c r="E881" s="13">
        <v>10</v>
      </c>
      <c r="F881" s="14">
        <v>43951</v>
      </c>
      <c r="G881" s="14">
        <v>45776</v>
      </c>
      <c r="H881" s="13" t="s">
        <v>56</v>
      </c>
      <c r="I881" s="13" t="s">
        <v>51</v>
      </c>
    </row>
    <row r="882" spans="1:9" hidden="1">
      <c r="A882" s="11">
        <f t="shared" si="13"/>
        <v>877</v>
      </c>
      <c r="B882" s="9" t="s">
        <v>276</v>
      </c>
      <c r="C882" s="11" t="s">
        <v>6702</v>
      </c>
      <c r="D882" s="11" t="s">
        <v>18</v>
      </c>
      <c r="E882" s="11">
        <v>16</v>
      </c>
      <c r="F882" s="12">
        <v>43951</v>
      </c>
      <c r="G882" s="12">
        <v>45776</v>
      </c>
      <c r="H882" s="11" t="s">
        <v>56</v>
      </c>
      <c r="I882" s="11" t="s">
        <v>51</v>
      </c>
    </row>
    <row r="883" spans="1:9" hidden="1">
      <c r="A883" s="13">
        <f t="shared" si="13"/>
        <v>878</v>
      </c>
      <c r="B883" s="10" t="s">
        <v>276</v>
      </c>
      <c r="C883" s="13" t="s">
        <v>6703</v>
      </c>
      <c r="D883" s="13" t="s">
        <v>18</v>
      </c>
      <c r="E883" s="13">
        <v>10</v>
      </c>
      <c r="F883" s="14">
        <v>43951</v>
      </c>
      <c r="G883" s="14">
        <v>45776</v>
      </c>
      <c r="H883" s="13" t="s">
        <v>56</v>
      </c>
      <c r="I883" s="13" t="s">
        <v>51</v>
      </c>
    </row>
    <row r="884" spans="1:9" hidden="1">
      <c r="A884" s="11">
        <f t="shared" si="13"/>
        <v>879</v>
      </c>
      <c r="B884" s="9" t="s">
        <v>278</v>
      </c>
      <c r="C884" s="11" t="s">
        <v>6704</v>
      </c>
      <c r="D884" s="11" t="s">
        <v>27</v>
      </c>
      <c r="E884" s="11">
        <v>12</v>
      </c>
      <c r="F884" s="12">
        <v>43711</v>
      </c>
      <c r="G884" s="12">
        <v>45537</v>
      </c>
      <c r="H884" s="11" t="s">
        <v>56</v>
      </c>
      <c r="I884" s="11" t="s">
        <v>51</v>
      </c>
    </row>
    <row r="885" spans="1:9" hidden="1">
      <c r="A885" s="13">
        <f t="shared" si="13"/>
        <v>880</v>
      </c>
      <c r="B885" s="10" t="s">
        <v>278</v>
      </c>
      <c r="C885" s="13" t="s">
        <v>6705</v>
      </c>
      <c r="D885" s="13" t="s">
        <v>27</v>
      </c>
      <c r="E885" s="13">
        <v>10</v>
      </c>
      <c r="F885" s="14">
        <v>43711</v>
      </c>
      <c r="G885" s="14">
        <v>45537</v>
      </c>
      <c r="H885" s="13" t="s">
        <v>56</v>
      </c>
      <c r="I885" s="13" t="s">
        <v>51</v>
      </c>
    </row>
    <row r="886" spans="1:9" hidden="1">
      <c r="A886" s="11">
        <f t="shared" si="13"/>
        <v>881</v>
      </c>
      <c r="B886" s="9" t="s">
        <v>278</v>
      </c>
      <c r="C886" s="11" t="s">
        <v>6706</v>
      </c>
      <c r="D886" s="11" t="s">
        <v>27</v>
      </c>
      <c r="E886" s="11">
        <v>10</v>
      </c>
      <c r="F886" s="12">
        <v>43711</v>
      </c>
      <c r="G886" s="12">
        <v>45537</v>
      </c>
      <c r="H886" s="11" t="s">
        <v>56</v>
      </c>
      <c r="I886" s="11" t="s">
        <v>51</v>
      </c>
    </row>
    <row r="887" spans="1:9" hidden="1">
      <c r="A887" s="13">
        <f t="shared" si="13"/>
        <v>882</v>
      </c>
      <c r="B887" s="10" t="s">
        <v>282</v>
      </c>
      <c r="C887" s="13" t="s">
        <v>6707</v>
      </c>
      <c r="D887" s="13" t="s">
        <v>18</v>
      </c>
      <c r="E887" s="13">
        <v>310</v>
      </c>
      <c r="F887" s="14">
        <v>43714</v>
      </c>
      <c r="G887" s="14">
        <v>45540</v>
      </c>
      <c r="H887" s="13" t="s">
        <v>56</v>
      </c>
      <c r="I887" s="13" t="s">
        <v>51</v>
      </c>
    </row>
    <row r="888" spans="1:9" hidden="1">
      <c r="A888" s="11">
        <f t="shared" si="13"/>
        <v>883</v>
      </c>
      <c r="B888" s="9" t="s">
        <v>282</v>
      </c>
      <c r="C888" s="11" t="s">
        <v>6708</v>
      </c>
      <c r="D888" s="11" t="s">
        <v>13</v>
      </c>
      <c r="E888" s="11">
        <v>27</v>
      </c>
      <c r="F888" s="12">
        <v>44966</v>
      </c>
      <c r="G888" s="12">
        <v>54096</v>
      </c>
      <c r="H888" s="11" t="s">
        <v>56</v>
      </c>
      <c r="I888" s="11" t="s">
        <v>51</v>
      </c>
    </row>
    <row r="889" spans="1:9" hidden="1">
      <c r="A889" s="13">
        <f t="shared" si="13"/>
        <v>884</v>
      </c>
      <c r="B889" s="10" t="s">
        <v>282</v>
      </c>
      <c r="C889" s="13" t="s">
        <v>6709</v>
      </c>
      <c r="D889" s="13" t="s">
        <v>18</v>
      </c>
      <c r="E889" s="13">
        <v>282</v>
      </c>
      <c r="F889" s="14">
        <v>43711</v>
      </c>
      <c r="G889" s="14">
        <v>45537</v>
      </c>
      <c r="H889" s="13" t="s">
        <v>56</v>
      </c>
      <c r="I889" s="13" t="s">
        <v>51</v>
      </c>
    </row>
    <row r="890" spans="1:9" hidden="1">
      <c r="A890" s="11">
        <f t="shared" si="13"/>
        <v>885</v>
      </c>
      <c r="B890" s="9" t="s">
        <v>282</v>
      </c>
      <c r="C890" s="11" t="s">
        <v>6710</v>
      </c>
      <c r="D890" s="11" t="s">
        <v>18</v>
      </c>
      <c r="E890" s="11">
        <v>18</v>
      </c>
      <c r="F890" s="12">
        <v>43711</v>
      </c>
      <c r="G890" s="12">
        <v>45537</v>
      </c>
      <c r="H890" s="11" t="s">
        <v>56</v>
      </c>
      <c r="I890" s="11" t="s">
        <v>51</v>
      </c>
    </row>
    <row r="891" spans="1:9" hidden="1">
      <c r="A891" s="13">
        <f t="shared" si="13"/>
        <v>886</v>
      </c>
      <c r="B891" s="10" t="s">
        <v>300</v>
      </c>
      <c r="C891" s="13" t="s">
        <v>6711</v>
      </c>
      <c r="D891" s="13" t="s">
        <v>18</v>
      </c>
      <c r="E891" s="13">
        <v>2</v>
      </c>
      <c r="F891" s="14">
        <v>44232</v>
      </c>
      <c r="G891" s="14">
        <v>46057</v>
      </c>
      <c r="H891" s="13" t="s">
        <v>56</v>
      </c>
      <c r="I891" s="13" t="s">
        <v>51</v>
      </c>
    </row>
    <row r="892" spans="1:9" hidden="1">
      <c r="A892" s="11">
        <f t="shared" si="13"/>
        <v>887</v>
      </c>
      <c r="B892" s="9" t="s">
        <v>300</v>
      </c>
      <c r="C892" s="11" t="s">
        <v>6712</v>
      </c>
      <c r="D892" s="11" t="s">
        <v>18</v>
      </c>
      <c r="E892" s="11">
        <v>8</v>
      </c>
      <c r="F892" s="12">
        <v>44232</v>
      </c>
      <c r="G892" s="12">
        <v>46057</v>
      </c>
      <c r="H892" s="11" t="s">
        <v>56</v>
      </c>
      <c r="I892" s="11" t="s">
        <v>51</v>
      </c>
    </row>
    <row r="893" spans="1:9" hidden="1">
      <c r="A893" s="13">
        <f t="shared" si="13"/>
        <v>888</v>
      </c>
      <c r="B893" s="10" t="s">
        <v>301</v>
      </c>
      <c r="C893" s="13" t="s">
        <v>6713</v>
      </c>
      <c r="D893" s="13" t="s">
        <v>18</v>
      </c>
      <c r="E893" s="13">
        <v>83</v>
      </c>
      <c r="F893" s="14">
        <v>44553</v>
      </c>
      <c r="G893" s="14">
        <v>46378</v>
      </c>
      <c r="H893" s="13" t="s">
        <v>56</v>
      </c>
      <c r="I893" s="13" t="s">
        <v>51</v>
      </c>
    </row>
    <row r="894" spans="1:9" hidden="1">
      <c r="A894" s="11">
        <f t="shared" si="13"/>
        <v>889</v>
      </c>
      <c r="B894" s="9" t="s">
        <v>304</v>
      </c>
      <c r="C894" s="11" t="s">
        <v>6714</v>
      </c>
      <c r="D894" s="11" t="s">
        <v>18</v>
      </c>
      <c r="E894" s="11">
        <v>19</v>
      </c>
      <c r="F894" s="12">
        <v>44133</v>
      </c>
      <c r="G894" s="12">
        <v>45958</v>
      </c>
      <c r="H894" s="11" t="s">
        <v>56</v>
      </c>
      <c r="I894" s="11" t="s">
        <v>51</v>
      </c>
    </row>
    <row r="895" spans="1:9" hidden="1">
      <c r="A895" s="13">
        <f t="shared" si="13"/>
        <v>890</v>
      </c>
      <c r="B895" s="10" t="s">
        <v>304</v>
      </c>
      <c r="C895" s="13" t="s">
        <v>6715</v>
      </c>
      <c r="D895" s="13" t="s">
        <v>18</v>
      </c>
      <c r="E895" s="13">
        <v>126</v>
      </c>
      <c r="F895" s="14">
        <v>44260</v>
      </c>
      <c r="G895" s="14">
        <v>46085</v>
      </c>
      <c r="H895" s="13" t="s">
        <v>56</v>
      </c>
      <c r="I895" s="13" t="s">
        <v>51</v>
      </c>
    </row>
    <row r="896" spans="1:9" hidden="1">
      <c r="A896" s="11">
        <f t="shared" si="13"/>
        <v>891</v>
      </c>
      <c r="B896" s="9" t="s">
        <v>304</v>
      </c>
      <c r="C896" s="11" t="s">
        <v>6716</v>
      </c>
      <c r="D896" s="11" t="s">
        <v>18</v>
      </c>
      <c r="E896" s="11">
        <v>192</v>
      </c>
      <c r="F896" s="12">
        <v>44431</v>
      </c>
      <c r="G896" s="12">
        <v>46256</v>
      </c>
      <c r="H896" s="11" t="s">
        <v>56</v>
      </c>
      <c r="I896" s="11" t="s">
        <v>51</v>
      </c>
    </row>
    <row r="897" spans="1:9" hidden="1">
      <c r="A897" s="13">
        <f t="shared" si="13"/>
        <v>892</v>
      </c>
      <c r="B897" s="10" t="s">
        <v>304</v>
      </c>
      <c r="C897" s="13" t="s">
        <v>6717</v>
      </c>
      <c r="D897" s="13" t="s">
        <v>18</v>
      </c>
      <c r="E897" s="13">
        <v>32</v>
      </c>
      <c r="F897" s="14">
        <v>44133</v>
      </c>
      <c r="G897" s="14">
        <v>45958</v>
      </c>
      <c r="H897" s="13" t="s">
        <v>56</v>
      </c>
      <c r="I897" s="13" t="s">
        <v>51</v>
      </c>
    </row>
    <row r="898" spans="1:9" hidden="1">
      <c r="A898" s="11">
        <f t="shared" si="13"/>
        <v>893</v>
      </c>
      <c r="B898" s="9" t="s">
        <v>304</v>
      </c>
      <c r="C898" s="11" t="s">
        <v>6718</v>
      </c>
      <c r="D898" s="11" t="s">
        <v>18</v>
      </c>
      <c r="E898" s="11">
        <v>11</v>
      </c>
      <c r="F898" s="12">
        <v>44260</v>
      </c>
      <c r="G898" s="12">
        <v>46085</v>
      </c>
      <c r="H898" s="11" t="s">
        <v>56</v>
      </c>
      <c r="I898" s="11" t="s">
        <v>51</v>
      </c>
    </row>
    <row r="899" spans="1:9" hidden="1">
      <c r="A899" s="13">
        <f t="shared" si="13"/>
        <v>894</v>
      </c>
      <c r="B899" s="10" t="s">
        <v>304</v>
      </c>
      <c r="C899" s="13" t="s">
        <v>6719</v>
      </c>
      <c r="D899" s="13" t="s">
        <v>18</v>
      </c>
      <c r="E899" s="13">
        <v>43</v>
      </c>
      <c r="F899" s="14">
        <v>44260</v>
      </c>
      <c r="G899" s="14">
        <v>46085</v>
      </c>
      <c r="H899" s="13" t="s">
        <v>56</v>
      </c>
      <c r="I899" s="13" t="s">
        <v>51</v>
      </c>
    </row>
    <row r="900" spans="1:9" hidden="1">
      <c r="A900" s="11">
        <f t="shared" si="13"/>
        <v>895</v>
      </c>
      <c r="B900" s="9" t="s">
        <v>313</v>
      </c>
      <c r="C900" s="11" t="s">
        <v>6720</v>
      </c>
      <c r="D900" s="11" t="s">
        <v>18</v>
      </c>
      <c r="E900" s="11">
        <v>20</v>
      </c>
      <c r="F900" s="12">
        <v>44342</v>
      </c>
      <c r="G900" s="12">
        <v>46167</v>
      </c>
      <c r="H900" s="11" t="s">
        <v>56</v>
      </c>
      <c r="I900" s="11" t="s">
        <v>51</v>
      </c>
    </row>
    <row r="901" spans="1:9" hidden="1">
      <c r="A901" s="13">
        <f t="shared" si="13"/>
        <v>896</v>
      </c>
      <c r="B901" s="10" t="s">
        <v>314</v>
      </c>
      <c r="C901" s="13" t="s">
        <v>6721</v>
      </c>
      <c r="D901" s="13" t="s">
        <v>18</v>
      </c>
      <c r="E901" s="13">
        <v>8</v>
      </c>
      <c r="F901" s="14">
        <v>44544</v>
      </c>
      <c r="G901" s="14">
        <v>46369</v>
      </c>
      <c r="H901" s="13" t="s">
        <v>56</v>
      </c>
      <c r="I901" s="13" t="s">
        <v>51</v>
      </c>
    </row>
    <row r="902" spans="1:9" hidden="1">
      <c r="A902" s="11">
        <f t="shared" si="13"/>
        <v>897</v>
      </c>
      <c r="B902" s="9" t="s">
        <v>314</v>
      </c>
      <c r="C902" s="11" t="s">
        <v>6722</v>
      </c>
      <c r="D902" s="11" t="s">
        <v>18</v>
      </c>
      <c r="E902" s="11">
        <v>7</v>
      </c>
      <c r="F902" s="12">
        <v>44265</v>
      </c>
      <c r="G902" s="12">
        <v>46090</v>
      </c>
      <c r="H902" s="11" t="s">
        <v>56</v>
      </c>
      <c r="I902" s="11" t="s">
        <v>51</v>
      </c>
    </row>
    <row r="903" spans="1:9" hidden="1">
      <c r="A903" s="13">
        <f t="shared" si="13"/>
        <v>898</v>
      </c>
      <c r="B903" s="10" t="s">
        <v>325</v>
      </c>
      <c r="C903" s="13" t="s">
        <v>6723</v>
      </c>
      <c r="D903" s="13" t="s">
        <v>18</v>
      </c>
      <c r="E903" s="13">
        <v>39</v>
      </c>
      <c r="F903" s="14">
        <v>44309</v>
      </c>
      <c r="G903" s="14">
        <v>46134</v>
      </c>
      <c r="H903" s="13" t="s">
        <v>56</v>
      </c>
      <c r="I903" s="13" t="s">
        <v>51</v>
      </c>
    </row>
    <row r="904" spans="1:9" hidden="1">
      <c r="A904" s="11">
        <f t="shared" ref="A904:A967" si="14">+A903+1</f>
        <v>899</v>
      </c>
      <c r="B904" s="9" t="s">
        <v>338</v>
      </c>
      <c r="C904" s="11" t="s">
        <v>6724</v>
      </c>
      <c r="D904" s="11" t="s">
        <v>18</v>
      </c>
      <c r="E904" s="11">
        <v>2</v>
      </c>
      <c r="F904" s="12">
        <v>44739</v>
      </c>
      <c r="G904" s="12">
        <v>46564</v>
      </c>
      <c r="H904" s="11" t="s">
        <v>56</v>
      </c>
      <c r="I904" s="11" t="s">
        <v>51</v>
      </c>
    </row>
    <row r="905" spans="1:9" hidden="1">
      <c r="A905" s="13">
        <f t="shared" si="14"/>
        <v>900</v>
      </c>
      <c r="B905" s="10" t="s">
        <v>341</v>
      </c>
      <c r="C905" s="13" t="s">
        <v>6725</v>
      </c>
      <c r="D905" s="13" t="s">
        <v>18</v>
      </c>
      <c r="E905" s="13">
        <v>23</v>
      </c>
      <c r="F905" s="14">
        <v>44566</v>
      </c>
      <c r="G905" s="14">
        <v>46391</v>
      </c>
      <c r="H905" s="13" t="s">
        <v>56</v>
      </c>
      <c r="I905" s="13" t="s">
        <v>51</v>
      </c>
    </row>
    <row r="906" spans="1:9" hidden="1">
      <c r="A906" s="11">
        <f t="shared" si="14"/>
        <v>901</v>
      </c>
      <c r="B906" s="9" t="s">
        <v>341</v>
      </c>
      <c r="C906" s="11" t="s">
        <v>6726</v>
      </c>
      <c r="D906" s="11" t="s">
        <v>18</v>
      </c>
      <c r="E906" s="11">
        <v>10</v>
      </c>
      <c r="F906" s="12">
        <v>44566</v>
      </c>
      <c r="G906" s="12">
        <v>46391</v>
      </c>
      <c r="H906" s="11" t="s">
        <v>56</v>
      </c>
      <c r="I906" s="11" t="s">
        <v>51</v>
      </c>
    </row>
    <row r="907" spans="1:9" hidden="1">
      <c r="A907" s="13">
        <f t="shared" si="14"/>
        <v>902</v>
      </c>
      <c r="B907" s="10" t="s">
        <v>341</v>
      </c>
      <c r="C907" s="13" t="s">
        <v>6727</v>
      </c>
      <c r="D907" s="13" t="s">
        <v>18</v>
      </c>
      <c r="E907" s="13">
        <v>28</v>
      </c>
      <c r="F907" s="14">
        <v>44566</v>
      </c>
      <c r="G907" s="14">
        <v>46391</v>
      </c>
      <c r="H907" s="13" t="s">
        <v>56</v>
      </c>
      <c r="I907" s="13" t="s">
        <v>51</v>
      </c>
    </row>
    <row r="908" spans="1:9" hidden="1">
      <c r="A908" s="11">
        <f t="shared" si="14"/>
        <v>903</v>
      </c>
      <c r="B908" s="9" t="s">
        <v>341</v>
      </c>
      <c r="C908" s="11" t="s">
        <v>6728</v>
      </c>
      <c r="D908" s="11" t="s">
        <v>18</v>
      </c>
      <c r="E908" s="11">
        <v>2</v>
      </c>
      <c r="F908" s="12">
        <v>44566</v>
      </c>
      <c r="G908" s="12">
        <v>46391</v>
      </c>
      <c r="H908" s="11" t="s">
        <v>56</v>
      </c>
      <c r="I908" s="11" t="s">
        <v>51</v>
      </c>
    </row>
    <row r="909" spans="1:9" hidden="1">
      <c r="A909" s="13">
        <f t="shared" si="14"/>
        <v>904</v>
      </c>
      <c r="B909" s="10" t="s">
        <v>341</v>
      </c>
      <c r="C909" s="13" t="s">
        <v>6729</v>
      </c>
      <c r="D909" s="13" t="s">
        <v>18</v>
      </c>
      <c r="E909" s="13">
        <v>2</v>
      </c>
      <c r="F909" s="14">
        <v>44566</v>
      </c>
      <c r="G909" s="14">
        <v>46391</v>
      </c>
      <c r="H909" s="13" t="s">
        <v>56</v>
      </c>
      <c r="I909" s="13" t="s">
        <v>51</v>
      </c>
    </row>
    <row r="910" spans="1:9" hidden="1">
      <c r="A910" s="11">
        <f t="shared" si="14"/>
        <v>905</v>
      </c>
      <c r="B910" s="9" t="s">
        <v>341</v>
      </c>
      <c r="C910" s="11" t="s">
        <v>6730</v>
      </c>
      <c r="D910" s="11" t="s">
        <v>18</v>
      </c>
      <c r="E910" s="11">
        <v>6</v>
      </c>
      <c r="F910" s="12">
        <v>44566</v>
      </c>
      <c r="G910" s="12">
        <v>46391</v>
      </c>
      <c r="H910" s="11" t="s">
        <v>56</v>
      </c>
      <c r="I910" s="11" t="s">
        <v>51</v>
      </c>
    </row>
    <row r="911" spans="1:9" hidden="1">
      <c r="A911" s="13">
        <f t="shared" si="14"/>
        <v>906</v>
      </c>
      <c r="B911" s="10" t="s">
        <v>341</v>
      </c>
      <c r="C911" s="13" t="s">
        <v>6731</v>
      </c>
      <c r="D911" s="13" t="s">
        <v>18</v>
      </c>
      <c r="E911" s="13">
        <v>2</v>
      </c>
      <c r="F911" s="14">
        <v>44566</v>
      </c>
      <c r="G911" s="14">
        <v>46391</v>
      </c>
      <c r="H911" s="13" t="s">
        <v>56</v>
      </c>
      <c r="I911" s="13" t="s">
        <v>51</v>
      </c>
    </row>
    <row r="912" spans="1:9" hidden="1">
      <c r="A912" s="11">
        <f t="shared" si="14"/>
        <v>907</v>
      </c>
      <c r="B912" s="9" t="s">
        <v>341</v>
      </c>
      <c r="C912" s="11" t="s">
        <v>6732</v>
      </c>
      <c r="D912" s="11" t="s">
        <v>18</v>
      </c>
      <c r="E912" s="11">
        <v>12</v>
      </c>
      <c r="F912" s="12">
        <v>44566</v>
      </c>
      <c r="G912" s="12">
        <v>46391</v>
      </c>
      <c r="H912" s="11" t="s">
        <v>56</v>
      </c>
      <c r="I912" s="11" t="s">
        <v>51</v>
      </c>
    </row>
    <row r="913" spans="1:9" hidden="1">
      <c r="A913" s="13">
        <f t="shared" si="14"/>
        <v>908</v>
      </c>
      <c r="B913" s="10" t="s">
        <v>213</v>
      </c>
      <c r="C913" s="13" t="s">
        <v>6733</v>
      </c>
      <c r="D913" s="13" t="s">
        <v>18</v>
      </c>
      <c r="E913" s="13">
        <v>11</v>
      </c>
      <c r="F913" s="14">
        <v>44706</v>
      </c>
      <c r="G913" s="14">
        <v>46531</v>
      </c>
      <c r="H913" s="13" t="s">
        <v>56</v>
      </c>
      <c r="I913" s="13" t="s">
        <v>51</v>
      </c>
    </row>
    <row r="914" spans="1:9" hidden="1">
      <c r="A914" s="11">
        <f t="shared" si="14"/>
        <v>909</v>
      </c>
      <c r="B914" s="9" t="s">
        <v>121</v>
      </c>
      <c r="C914" s="11" t="s">
        <v>6734</v>
      </c>
      <c r="D914" s="11" t="s">
        <v>18</v>
      </c>
      <c r="E914" s="11">
        <v>157</v>
      </c>
      <c r="F914" s="12">
        <v>44909</v>
      </c>
      <c r="G914" s="12">
        <v>46734</v>
      </c>
      <c r="H914" s="11" t="s">
        <v>56</v>
      </c>
      <c r="I914" s="11" t="s">
        <v>51</v>
      </c>
    </row>
    <row r="915" spans="1:9" hidden="1">
      <c r="A915" s="13">
        <f t="shared" si="14"/>
        <v>910</v>
      </c>
      <c r="B915" s="10" t="s">
        <v>368</v>
      </c>
      <c r="C915" s="13" t="s">
        <v>6735</v>
      </c>
      <c r="D915" s="13" t="s">
        <v>13</v>
      </c>
      <c r="E915" s="13">
        <v>72</v>
      </c>
      <c r="F915" s="14">
        <v>45245</v>
      </c>
      <c r="G915" s="14">
        <v>54376</v>
      </c>
      <c r="H915" s="13" t="s">
        <v>56</v>
      </c>
      <c r="I915" s="13" t="s">
        <v>51</v>
      </c>
    </row>
    <row r="916" spans="1:9" hidden="1">
      <c r="A916" s="11">
        <f t="shared" si="14"/>
        <v>911</v>
      </c>
      <c r="B916" s="9" t="s">
        <v>368</v>
      </c>
      <c r="C916" s="11" t="s">
        <v>6736</v>
      </c>
      <c r="D916" s="11" t="s">
        <v>13</v>
      </c>
      <c r="E916" s="11">
        <v>55</v>
      </c>
      <c r="F916" s="12">
        <v>45245</v>
      </c>
      <c r="G916" s="12">
        <v>54376</v>
      </c>
      <c r="H916" s="11" t="s">
        <v>56</v>
      </c>
      <c r="I916" s="11" t="s">
        <v>51</v>
      </c>
    </row>
    <row r="917" spans="1:9" hidden="1">
      <c r="A917" s="13">
        <f t="shared" si="14"/>
        <v>912</v>
      </c>
      <c r="B917" s="10" t="s">
        <v>369</v>
      </c>
      <c r="C917" s="13" t="s">
        <v>6737</v>
      </c>
      <c r="D917" s="13" t="s">
        <v>18</v>
      </c>
      <c r="E917" s="13">
        <v>2</v>
      </c>
      <c r="F917" s="14">
        <v>44649</v>
      </c>
      <c r="G917" s="14">
        <v>46474</v>
      </c>
      <c r="H917" s="13" t="s">
        <v>56</v>
      </c>
      <c r="I917" s="13" t="s">
        <v>51</v>
      </c>
    </row>
    <row r="918" spans="1:9" hidden="1">
      <c r="A918" s="11">
        <f t="shared" si="14"/>
        <v>913</v>
      </c>
      <c r="B918" s="9" t="s">
        <v>121</v>
      </c>
      <c r="C918" s="11" t="s">
        <v>6738</v>
      </c>
      <c r="D918" s="11" t="s">
        <v>18</v>
      </c>
      <c r="E918" s="11">
        <v>89</v>
      </c>
      <c r="F918" s="12">
        <v>44775</v>
      </c>
      <c r="G918" s="12">
        <v>46600</v>
      </c>
      <c r="H918" s="11" t="s">
        <v>56</v>
      </c>
      <c r="I918" s="11" t="s">
        <v>51</v>
      </c>
    </row>
    <row r="919" spans="1:9" hidden="1">
      <c r="A919" s="13">
        <f t="shared" si="14"/>
        <v>914</v>
      </c>
      <c r="B919" s="10" t="s">
        <v>121</v>
      </c>
      <c r="C919" s="13" t="s">
        <v>6739</v>
      </c>
      <c r="D919" s="13" t="s">
        <v>18</v>
      </c>
      <c r="E919" s="13">
        <v>43</v>
      </c>
      <c r="F919" s="14">
        <v>44775</v>
      </c>
      <c r="G919" s="14">
        <v>46600</v>
      </c>
      <c r="H919" s="13" t="s">
        <v>56</v>
      </c>
      <c r="I919" s="13" t="s">
        <v>51</v>
      </c>
    </row>
    <row r="920" spans="1:9" hidden="1">
      <c r="A920" s="11">
        <f t="shared" si="14"/>
        <v>915</v>
      </c>
      <c r="B920" s="9" t="s">
        <v>121</v>
      </c>
      <c r="C920" s="11" t="s">
        <v>6740</v>
      </c>
      <c r="D920" s="11" t="s">
        <v>18</v>
      </c>
      <c r="E920" s="11">
        <v>7</v>
      </c>
      <c r="F920" s="12">
        <v>44775</v>
      </c>
      <c r="G920" s="12">
        <v>46600</v>
      </c>
      <c r="H920" s="11" t="s">
        <v>56</v>
      </c>
      <c r="I920" s="11" t="s">
        <v>51</v>
      </c>
    </row>
    <row r="921" spans="1:9" hidden="1">
      <c r="A921" s="13">
        <f t="shared" si="14"/>
        <v>916</v>
      </c>
      <c r="B921" s="10" t="s">
        <v>221</v>
      </c>
      <c r="C921" s="13" t="s">
        <v>6741</v>
      </c>
      <c r="D921" s="13" t="s">
        <v>18</v>
      </c>
      <c r="E921" s="13">
        <v>73</v>
      </c>
      <c r="F921" s="14">
        <v>45026</v>
      </c>
      <c r="G921" s="14">
        <v>46852</v>
      </c>
      <c r="H921" s="13" t="s">
        <v>56</v>
      </c>
      <c r="I921" s="13" t="s">
        <v>51</v>
      </c>
    </row>
    <row r="922" spans="1:9" hidden="1">
      <c r="A922" s="11">
        <f t="shared" si="14"/>
        <v>917</v>
      </c>
      <c r="B922" s="9" t="s">
        <v>1890</v>
      </c>
      <c r="C922" s="11" t="s">
        <v>6742</v>
      </c>
      <c r="D922" s="11" t="s">
        <v>18</v>
      </c>
      <c r="E922" s="11">
        <v>12</v>
      </c>
      <c r="F922" s="12">
        <v>45230</v>
      </c>
      <c r="G922" s="12">
        <v>47056</v>
      </c>
      <c r="H922" s="11" t="s">
        <v>56</v>
      </c>
      <c r="I922" s="11" t="s">
        <v>51</v>
      </c>
    </row>
    <row r="923" spans="1:9" hidden="1">
      <c r="A923" s="13">
        <f t="shared" si="14"/>
        <v>918</v>
      </c>
      <c r="B923" s="10" t="s">
        <v>1890</v>
      </c>
      <c r="C923" s="13" t="s">
        <v>6743</v>
      </c>
      <c r="D923" s="13" t="s">
        <v>18</v>
      </c>
      <c r="E923" s="13">
        <v>10</v>
      </c>
      <c r="F923" s="14">
        <v>45230</v>
      </c>
      <c r="G923" s="14">
        <v>47056</v>
      </c>
      <c r="H923" s="13" t="s">
        <v>56</v>
      </c>
      <c r="I923" s="13" t="s">
        <v>51</v>
      </c>
    </row>
    <row r="924" spans="1:9" hidden="1">
      <c r="A924" s="11">
        <f t="shared" si="14"/>
        <v>919</v>
      </c>
      <c r="B924" s="9" t="s">
        <v>5715</v>
      </c>
      <c r="C924" s="11" t="s">
        <v>6744</v>
      </c>
      <c r="D924" s="11" t="s">
        <v>18</v>
      </c>
      <c r="E924" s="11">
        <v>31</v>
      </c>
      <c r="F924" s="12">
        <v>45238</v>
      </c>
      <c r="G924" s="12">
        <v>47064</v>
      </c>
      <c r="H924" s="11" t="s">
        <v>56</v>
      </c>
      <c r="I924" s="11" t="s">
        <v>51</v>
      </c>
    </row>
    <row r="925" spans="1:9" hidden="1">
      <c r="A925" s="13">
        <f t="shared" si="14"/>
        <v>920</v>
      </c>
      <c r="B925" s="10" t="s">
        <v>5736</v>
      </c>
      <c r="C925" s="13" t="s">
        <v>6745</v>
      </c>
      <c r="D925" s="13" t="s">
        <v>18</v>
      </c>
      <c r="E925" s="13">
        <v>4</v>
      </c>
      <c r="F925" s="14">
        <v>45184</v>
      </c>
      <c r="G925" s="14">
        <v>47010</v>
      </c>
      <c r="H925" s="13" t="s">
        <v>56</v>
      </c>
      <c r="I925" s="13" t="s">
        <v>51</v>
      </c>
    </row>
    <row r="926" spans="1:9" hidden="1">
      <c r="A926" s="11">
        <f t="shared" si="14"/>
        <v>921</v>
      </c>
      <c r="B926" s="9" t="s">
        <v>5737</v>
      </c>
      <c r="C926" s="11" t="s">
        <v>6746</v>
      </c>
      <c r="D926" s="11" t="s">
        <v>18</v>
      </c>
      <c r="E926" s="11">
        <v>9</v>
      </c>
      <c r="F926" s="12">
        <v>45239</v>
      </c>
      <c r="G926" s="12">
        <v>47065</v>
      </c>
      <c r="H926" s="11" t="s">
        <v>56</v>
      </c>
      <c r="I926" s="11" t="s">
        <v>51</v>
      </c>
    </row>
    <row r="927" spans="1:9" hidden="1">
      <c r="A927" s="13">
        <f t="shared" si="14"/>
        <v>922</v>
      </c>
      <c r="B927" s="10" t="s">
        <v>5737</v>
      </c>
      <c r="C927" s="13" t="s">
        <v>6747</v>
      </c>
      <c r="D927" s="13" t="s">
        <v>18</v>
      </c>
      <c r="E927" s="13">
        <v>2</v>
      </c>
      <c r="F927" s="14">
        <v>45239</v>
      </c>
      <c r="G927" s="14">
        <v>47065</v>
      </c>
      <c r="H927" s="13" t="s">
        <v>56</v>
      </c>
      <c r="I927" s="13" t="s">
        <v>51</v>
      </c>
    </row>
    <row r="928" spans="1:9" hidden="1">
      <c r="A928" s="11">
        <f t="shared" si="14"/>
        <v>923</v>
      </c>
      <c r="B928" s="9" t="s">
        <v>232</v>
      </c>
      <c r="C928" s="11" t="s">
        <v>6748</v>
      </c>
      <c r="D928" s="11" t="s">
        <v>18</v>
      </c>
      <c r="E928" s="11">
        <v>21</v>
      </c>
      <c r="F928" s="12">
        <v>43563</v>
      </c>
      <c r="G928" s="12">
        <v>45389</v>
      </c>
      <c r="H928" s="11" t="s">
        <v>233</v>
      </c>
      <c r="I928" s="11" t="s">
        <v>51</v>
      </c>
    </row>
    <row r="929" spans="1:9" hidden="1">
      <c r="A929" s="13">
        <f t="shared" si="14"/>
        <v>924</v>
      </c>
      <c r="B929" s="10" t="s">
        <v>232</v>
      </c>
      <c r="C929" s="13" t="s">
        <v>6749</v>
      </c>
      <c r="D929" s="13" t="s">
        <v>18</v>
      </c>
      <c r="E929" s="13">
        <v>22</v>
      </c>
      <c r="F929" s="14">
        <v>43550</v>
      </c>
      <c r="G929" s="14">
        <v>45376</v>
      </c>
      <c r="H929" s="13" t="s">
        <v>233</v>
      </c>
      <c r="I929" s="13" t="s">
        <v>51</v>
      </c>
    </row>
    <row r="930" spans="1:9" hidden="1">
      <c r="A930" s="11">
        <f t="shared" si="14"/>
        <v>925</v>
      </c>
      <c r="B930" s="9" t="s">
        <v>273</v>
      </c>
      <c r="C930" s="11" t="s">
        <v>6750</v>
      </c>
      <c r="D930" s="11" t="s">
        <v>18</v>
      </c>
      <c r="E930" s="11">
        <v>1</v>
      </c>
      <c r="F930" s="12">
        <v>44056</v>
      </c>
      <c r="G930" s="12">
        <v>45881</v>
      </c>
      <c r="H930" s="11" t="s">
        <v>233</v>
      </c>
      <c r="I930" s="11" t="s">
        <v>51</v>
      </c>
    </row>
    <row r="931" spans="1:9" hidden="1">
      <c r="A931" s="13">
        <f t="shared" si="14"/>
        <v>926</v>
      </c>
      <c r="B931" s="10" t="s">
        <v>273</v>
      </c>
      <c r="C931" s="13" t="s">
        <v>6751</v>
      </c>
      <c r="D931" s="13" t="s">
        <v>18</v>
      </c>
      <c r="E931" s="13">
        <v>1</v>
      </c>
      <c r="F931" s="14">
        <v>44040</v>
      </c>
      <c r="G931" s="14">
        <v>45865</v>
      </c>
      <c r="H931" s="13" t="s">
        <v>233</v>
      </c>
      <c r="I931" s="13" t="s">
        <v>51</v>
      </c>
    </row>
    <row r="932" spans="1:9" hidden="1">
      <c r="A932" s="11">
        <f t="shared" si="14"/>
        <v>927</v>
      </c>
      <c r="B932" s="9" t="s">
        <v>273</v>
      </c>
      <c r="C932" s="11" t="s">
        <v>6752</v>
      </c>
      <c r="D932" s="11" t="s">
        <v>18</v>
      </c>
      <c r="E932" s="11">
        <v>1</v>
      </c>
      <c r="F932" s="12">
        <v>44040</v>
      </c>
      <c r="G932" s="12">
        <v>45865</v>
      </c>
      <c r="H932" s="11" t="s">
        <v>233</v>
      </c>
      <c r="I932" s="11" t="s">
        <v>51</v>
      </c>
    </row>
    <row r="933" spans="1:9" hidden="1">
      <c r="A933" s="13">
        <f t="shared" si="14"/>
        <v>928</v>
      </c>
      <c r="B933" s="10" t="s">
        <v>273</v>
      </c>
      <c r="C933" s="13" t="s">
        <v>6753</v>
      </c>
      <c r="D933" s="13" t="s">
        <v>18</v>
      </c>
      <c r="E933" s="13">
        <v>1</v>
      </c>
      <c r="F933" s="14">
        <v>44040</v>
      </c>
      <c r="G933" s="14">
        <v>45865</v>
      </c>
      <c r="H933" s="13" t="s">
        <v>233</v>
      </c>
      <c r="I933" s="13" t="s">
        <v>51</v>
      </c>
    </row>
    <row r="934" spans="1:9" hidden="1">
      <c r="A934" s="11">
        <f t="shared" si="14"/>
        <v>929</v>
      </c>
      <c r="B934" s="9" t="s">
        <v>303</v>
      </c>
      <c r="C934" s="11" t="s">
        <v>6754</v>
      </c>
      <c r="D934" s="11" t="s">
        <v>18</v>
      </c>
      <c r="E934" s="11">
        <v>2</v>
      </c>
      <c r="F934" s="12">
        <v>44250</v>
      </c>
      <c r="G934" s="12">
        <v>46075</v>
      </c>
      <c r="H934" s="11" t="s">
        <v>233</v>
      </c>
      <c r="I934" s="11" t="s">
        <v>51</v>
      </c>
    </row>
    <row r="935" spans="1:9" hidden="1">
      <c r="A935" s="13">
        <f t="shared" si="14"/>
        <v>930</v>
      </c>
      <c r="B935" s="10" t="s">
        <v>316</v>
      </c>
      <c r="C935" s="13" t="s">
        <v>6755</v>
      </c>
      <c r="D935" s="13" t="s">
        <v>18</v>
      </c>
      <c r="E935" s="13">
        <v>1</v>
      </c>
      <c r="F935" s="14">
        <v>44299</v>
      </c>
      <c r="G935" s="14">
        <v>46124</v>
      </c>
      <c r="H935" s="13" t="s">
        <v>233</v>
      </c>
      <c r="I935" s="13" t="s">
        <v>51</v>
      </c>
    </row>
    <row r="936" spans="1:9" hidden="1">
      <c r="A936" s="11">
        <f t="shared" si="14"/>
        <v>931</v>
      </c>
      <c r="B936" s="9" t="s">
        <v>303</v>
      </c>
      <c r="C936" s="11" t="s">
        <v>6756</v>
      </c>
      <c r="D936" s="11" t="s">
        <v>18</v>
      </c>
      <c r="E936" s="11">
        <v>6</v>
      </c>
      <c r="F936" s="12">
        <v>44783</v>
      </c>
      <c r="G936" s="12">
        <v>46608</v>
      </c>
      <c r="H936" s="11" t="s">
        <v>233</v>
      </c>
      <c r="I936" s="11" t="s">
        <v>51</v>
      </c>
    </row>
    <row r="937" spans="1:9" hidden="1">
      <c r="A937" s="13">
        <f t="shared" si="14"/>
        <v>932</v>
      </c>
      <c r="B937" s="10" t="s">
        <v>303</v>
      </c>
      <c r="C937" s="13" t="s">
        <v>6757</v>
      </c>
      <c r="D937" s="13" t="s">
        <v>18</v>
      </c>
      <c r="E937" s="13">
        <v>18</v>
      </c>
      <c r="F937" s="14">
        <v>44783</v>
      </c>
      <c r="G937" s="14">
        <v>46608</v>
      </c>
      <c r="H937" s="13" t="s">
        <v>233</v>
      </c>
      <c r="I937" s="13" t="s">
        <v>51</v>
      </c>
    </row>
    <row r="938" spans="1:9" hidden="1">
      <c r="A938" s="11">
        <f t="shared" si="14"/>
        <v>933</v>
      </c>
      <c r="B938" s="9" t="s">
        <v>374</v>
      </c>
      <c r="C938" s="11" t="s">
        <v>6758</v>
      </c>
      <c r="D938" s="11" t="s">
        <v>18</v>
      </c>
      <c r="E938" s="11">
        <v>8</v>
      </c>
      <c r="F938" s="12">
        <v>44896</v>
      </c>
      <c r="G938" s="12">
        <v>46721</v>
      </c>
      <c r="H938" s="11" t="s">
        <v>233</v>
      </c>
      <c r="I938" s="11" t="s">
        <v>51</v>
      </c>
    </row>
    <row r="939" spans="1:9" hidden="1">
      <c r="A939" s="13">
        <f t="shared" si="14"/>
        <v>934</v>
      </c>
      <c r="B939" s="10" t="s">
        <v>374</v>
      </c>
      <c r="C939" s="13" t="s">
        <v>6759</v>
      </c>
      <c r="D939" s="13" t="s">
        <v>18</v>
      </c>
      <c r="E939" s="13">
        <v>5</v>
      </c>
      <c r="F939" s="14">
        <v>44896</v>
      </c>
      <c r="G939" s="14">
        <v>46721</v>
      </c>
      <c r="H939" s="13" t="s">
        <v>233</v>
      </c>
      <c r="I939" s="13" t="s">
        <v>51</v>
      </c>
    </row>
    <row r="940" spans="1:9" hidden="1">
      <c r="A940" s="11">
        <f t="shared" si="14"/>
        <v>935</v>
      </c>
      <c r="B940" s="9" t="s">
        <v>42</v>
      </c>
      <c r="C940" s="11" t="s">
        <v>6760</v>
      </c>
      <c r="D940" s="11" t="s">
        <v>18</v>
      </c>
      <c r="E940" s="11">
        <v>79</v>
      </c>
      <c r="F940" s="12">
        <v>42572</v>
      </c>
      <c r="G940" s="12">
        <v>46223</v>
      </c>
      <c r="H940" s="11" t="s">
        <v>43</v>
      </c>
      <c r="I940" s="11" t="s">
        <v>51</v>
      </c>
    </row>
    <row r="941" spans="1:9" hidden="1">
      <c r="A941" s="13">
        <f t="shared" si="14"/>
        <v>936</v>
      </c>
      <c r="B941" s="10" t="s">
        <v>42</v>
      </c>
      <c r="C941" s="13" t="s">
        <v>6761</v>
      </c>
      <c r="D941" s="13" t="s">
        <v>18</v>
      </c>
      <c r="E941" s="13">
        <v>63</v>
      </c>
      <c r="F941" s="14">
        <v>42572</v>
      </c>
      <c r="G941" s="14">
        <v>46223</v>
      </c>
      <c r="H941" s="13" t="s">
        <v>43</v>
      </c>
      <c r="I941" s="13" t="s">
        <v>51</v>
      </c>
    </row>
    <row r="942" spans="1:9" hidden="1">
      <c r="A942" s="11">
        <f t="shared" si="14"/>
        <v>937</v>
      </c>
      <c r="B942" s="9" t="s">
        <v>142</v>
      </c>
      <c r="C942" s="11" t="s">
        <v>6762</v>
      </c>
      <c r="D942" s="11" t="s">
        <v>13</v>
      </c>
      <c r="E942" s="11">
        <v>5</v>
      </c>
      <c r="F942" s="12">
        <v>40617</v>
      </c>
      <c r="G942" s="12">
        <v>51574</v>
      </c>
      <c r="H942" s="11" t="s">
        <v>43</v>
      </c>
      <c r="I942" s="11" t="s">
        <v>51</v>
      </c>
    </row>
    <row r="943" spans="1:9" hidden="1">
      <c r="A943" s="13">
        <f t="shared" si="14"/>
        <v>938</v>
      </c>
      <c r="B943" s="10" t="s">
        <v>142</v>
      </c>
      <c r="C943" s="13" t="s">
        <v>6763</v>
      </c>
      <c r="D943" s="13" t="s">
        <v>13</v>
      </c>
      <c r="E943" s="13">
        <v>4</v>
      </c>
      <c r="F943" s="14">
        <v>40617</v>
      </c>
      <c r="G943" s="14">
        <v>51574</v>
      </c>
      <c r="H943" s="13" t="s">
        <v>43</v>
      </c>
      <c r="I943" s="13" t="s">
        <v>51</v>
      </c>
    </row>
    <row r="944" spans="1:9" hidden="1">
      <c r="A944" s="11">
        <f t="shared" si="14"/>
        <v>939</v>
      </c>
      <c r="B944" s="9" t="s">
        <v>145</v>
      </c>
      <c r="C944" s="11" t="s">
        <v>6764</v>
      </c>
      <c r="D944" s="11" t="s">
        <v>13</v>
      </c>
      <c r="E944" s="11">
        <v>2</v>
      </c>
      <c r="F944" s="12">
        <v>43510</v>
      </c>
      <c r="G944" s="12">
        <v>52640</v>
      </c>
      <c r="H944" s="11" t="s">
        <v>43</v>
      </c>
      <c r="I944" s="11" t="s">
        <v>51</v>
      </c>
    </row>
    <row r="945" spans="1:9" hidden="1">
      <c r="A945" s="13">
        <f t="shared" si="14"/>
        <v>940</v>
      </c>
      <c r="B945" s="10" t="s">
        <v>145</v>
      </c>
      <c r="C945" s="13" t="s">
        <v>6765</v>
      </c>
      <c r="D945" s="13" t="s">
        <v>13</v>
      </c>
      <c r="E945" s="13">
        <v>2</v>
      </c>
      <c r="F945" s="14">
        <v>43510</v>
      </c>
      <c r="G945" s="14">
        <v>52640</v>
      </c>
      <c r="H945" s="13" t="s">
        <v>43</v>
      </c>
      <c r="I945" s="13" t="s">
        <v>51</v>
      </c>
    </row>
    <row r="946" spans="1:9" hidden="1">
      <c r="A946" s="11">
        <f t="shared" si="14"/>
        <v>941</v>
      </c>
      <c r="B946" s="9" t="s">
        <v>149</v>
      </c>
      <c r="C946" s="11" t="s">
        <v>6766</v>
      </c>
      <c r="D946" s="11" t="s">
        <v>13</v>
      </c>
      <c r="E946" s="11">
        <v>192</v>
      </c>
      <c r="F946" s="12">
        <v>44146</v>
      </c>
      <c r="G946" s="12">
        <v>53276</v>
      </c>
      <c r="H946" s="11" t="s">
        <v>43</v>
      </c>
      <c r="I946" s="11" t="s">
        <v>51</v>
      </c>
    </row>
    <row r="947" spans="1:9" hidden="1">
      <c r="A947" s="13">
        <f t="shared" si="14"/>
        <v>942</v>
      </c>
      <c r="B947" s="10" t="s">
        <v>447</v>
      </c>
      <c r="C947" s="13" t="s">
        <v>6767</v>
      </c>
      <c r="D947" s="13" t="s">
        <v>13</v>
      </c>
      <c r="E947" s="13">
        <v>192</v>
      </c>
      <c r="F947" s="14">
        <v>45140</v>
      </c>
      <c r="G947" s="14">
        <v>54271</v>
      </c>
      <c r="H947" s="13" t="s">
        <v>43</v>
      </c>
      <c r="I947" s="13" t="s">
        <v>51</v>
      </c>
    </row>
    <row r="948" spans="1:9" hidden="1">
      <c r="A948" s="11">
        <f t="shared" si="14"/>
        <v>943</v>
      </c>
      <c r="B948" s="9" t="s">
        <v>150</v>
      </c>
      <c r="C948" s="11" t="s">
        <v>6768</v>
      </c>
      <c r="D948" s="11" t="s">
        <v>13</v>
      </c>
      <c r="E948" s="11">
        <v>180</v>
      </c>
      <c r="F948" s="12">
        <v>44146</v>
      </c>
      <c r="G948" s="12">
        <v>53276</v>
      </c>
      <c r="H948" s="11" t="s">
        <v>43</v>
      </c>
      <c r="I948" s="11" t="s">
        <v>51</v>
      </c>
    </row>
    <row r="949" spans="1:9" hidden="1">
      <c r="A949" s="13">
        <f t="shared" si="14"/>
        <v>944</v>
      </c>
      <c r="B949" s="10" t="s">
        <v>151</v>
      </c>
      <c r="C949" s="13" t="s">
        <v>6769</v>
      </c>
      <c r="D949" s="13" t="s">
        <v>27</v>
      </c>
      <c r="E949" s="13">
        <v>88</v>
      </c>
      <c r="F949" s="14">
        <v>43419</v>
      </c>
      <c r="G949" s="14">
        <v>45244</v>
      </c>
      <c r="H949" s="13" t="s">
        <v>43</v>
      </c>
      <c r="I949" s="13" t="s">
        <v>51</v>
      </c>
    </row>
    <row r="950" spans="1:9" hidden="1">
      <c r="A950" s="11">
        <f t="shared" si="14"/>
        <v>945</v>
      </c>
      <c r="B950" s="9" t="s">
        <v>145</v>
      </c>
      <c r="C950" s="11" t="s">
        <v>6770</v>
      </c>
      <c r="D950" s="11" t="s">
        <v>13</v>
      </c>
      <c r="E950" s="11">
        <v>62</v>
      </c>
      <c r="F950" s="12">
        <v>41401</v>
      </c>
      <c r="G950" s="12">
        <v>52357</v>
      </c>
      <c r="H950" s="11" t="s">
        <v>43</v>
      </c>
      <c r="I950" s="11" t="s">
        <v>51</v>
      </c>
    </row>
    <row r="951" spans="1:9" hidden="1">
      <c r="A951" s="13">
        <f t="shared" si="14"/>
        <v>946</v>
      </c>
      <c r="B951" s="10" t="s">
        <v>94</v>
      </c>
      <c r="C951" s="13" t="s">
        <v>6771</v>
      </c>
      <c r="D951" s="13" t="s">
        <v>13</v>
      </c>
      <c r="E951" s="13">
        <v>99</v>
      </c>
      <c r="F951" s="14">
        <v>40882</v>
      </c>
      <c r="G951" s="14">
        <v>51839</v>
      </c>
      <c r="H951" s="13" t="s">
        <v>43</v>
      </c>
      <c r="I951" s="13" t="s">
        <v>51</v>
      </c>
    </row>
    <row r="952" spans="1:9" hidden="1">
      <c r="A952" s="11">
        <f t="shared" si="14"/>
        <v>947</v>
      </c>
      <c r="B952" s="9" t="s">
        <v>142</v>
      </c>
      <c r="C952" s="11" t="s">
        <v>6772</v>
      </c>
      <c r="D952" s="11" t="s">
        <v>13</v>
      </c>
      <c r="E952" s="11">
        <v>54</v>
      </c>
      <c r="F952" s="12">
        <v>40956</v>
      </c>
      <c r="G952" s="12">
        <v>51913</v>
      </c>
      <c r="H952" s="11" t="s">
        <v>43</v>
      </c>
      <c r="I952" s="11" t="s">
        <v>51</v>
      </c>
    </row>
    <row r="953" spans="1:9" hidden="1">
      <c r="A953" s="13">
        <f t="shared" si="14"/>
        <v>948</v>
      </c>
      <c r="B953" s="10" t="s">
        <v>87</v>
      </c>
      <c r="C953" s="13" t="s">
        <v>6773</v>
      </c>
      <c r="D953" s="13" t="s">
        <v>13</v>
      </c>
      <c r="E953" s="13">
        <v>35</v>
      </c>
      <c r="F953" s="14">
        <v>45238</v>
      </c>
      <c r="G953" s="14">
        <v>54363</v>
      </c>
      <c r="H953" s="13" t="s">
        <v>43</v>
      </c>
      <c r="I953" s="13" t="s">
        <v>51</v>
      </c>
    </row>
    <row r="954" spans="1:9" hidden="1">
      <c r="A954" s="11">
        <f t="shared" si="14"/>
        <v>949</v>
      </c>
      <c r="B954" s="9" t="s">
        <v>145</v>
      </c>
      <c r="C954" s="11" t="s">
        <v>6774</v>
      </c>
      <c r="D954" s="11" t="s">
        <v>13</v>
      </c>
      <c r="E954" s="11">
        <v>16</v>
      </c>
      <c r="F954" s="12">
        <v>43377</v>
      </c>
      <c r="G954" s="12">
        <v>52507</v>
      </c>
      <c r="H954" s="11" t="s">
        <v>43</v>
      </c>
      <c r="I954" s="11" t="s">
        <v>51</v>
      </c>
    </row>
    <row r="955" spans="1:9" hidden="1">
      <c r="A955" s="13">
        <f t="shared" si="14"/>
        <v>950</v>
      </c>
      <c r="B955" s="10" t="s">
        <v>94</v>
      </c>
      <c r="C955" s="13" t="s">
        <v>6775</v>
      </c>
      <c r="D955" s="13" t="s">
        <v>13</v>
      </c>
      <c r="E955" s="13">
        <v>16</v>
      </c>
      <c r="F955" s="14">
        <v>43377</v>
      </c>
      <c r="G955" s="14">
        <v>52507</v>
      </c>
      <c r="H955" s="13" t="s">
        <v>43</v>
      </c>
      <c r="I955" s="13" t="s">
        <v>51</v>
      </c>
    </row>
    <row r="956" spans="1:9" hidden="1">
      <c r="A956" s="11">
        <f t="shared" si="14"/>
        <v>951</v>
      </c>
      <c r="B956" s="9" t="s">
        <v>94</v>
      </c>
      <c r="C956" s="11" t="s">
        <v>6776</v>
      </c>
      <c r="D956" s="11" t="s">
        <v>13</v>
      </c>
      <c r="E956" s="11">
        <v>6</v>
      </c>
      <c r="F956" s="12">
        <v>41978</v>
      </c>
      <c r="G956" s="12">
        <v>52357</v>
      </c>
      <c r="H956" s="11" t="s">
        <v>43</v>
      </c>
      <c r="I956" s="11" t="s">
        <v>51</v>
      </c>
    </row>
    <row r="957" spans="1:9" hidden="1">
      <c r="A957" s="13">
        <f t="shared" si="14"/>
        <v>952</v>
      </c>
      <c r="B957" s="10" t="s">
        <v>166</v>
      </c>
      <c r="C957" s="13" t="s">
        <v>6777</v>
      </c>
      <c r="D957" s="13" t="s">
        <v>13</v>
      </c>
      <c r="E957" s="13">
        <v>78</v>
      </c>
      <c r="F957" s="14">
        <v>43220</v>
      </c>
      <c r="G957" s="14">
        <v>53458</v>
      </c>
      <c r="H957" s="13" t="s">
        <v>43</v>
      </c>
      <c r="I957" s="13" t="s">
        <v>51</v>
      </c>
    </row>
    <row r="958" spans="1:9" hidden="1">
      <c r="A958" s="11">
        <f t="shared" si="14"/>
        <v>953</v>
      </c>
      <c r="B958" s="9" t="s">
        <v>151</v>
      </c>
      <c r="C958" s="11" t="s">
        <v>6778</v>
      </c>
      <c r="D958" s="11" t="s">
        <v>18</v>
      </c>
      <c r="E958" s="11">
        <v>96</v>
      </c>
      <c r="F958" s="12">
        <v>44557</v>
      </c>
      <c r="G958" s="12">
        <v>46748</v>
      </c>
      <c r="H958" s="11" t="s">
        <v>43</v>
      </c>
      <c r="I958" s="11" t="s">
        <v>51</v>
      </c>
    </row>
    <row r="959" spans="1:9" hidden="1">
      <c r="A959" s="13">
        <f t="shared" si="14"/>
        <v>954</v>
      </c>
      <c r="B959" s="10" t="s">
        <v>191</v>
      </c>
      <c r="C959" s="13" t="s">
        <v>6781</v>
      </c>
      <c r="D959" s="13" t="s">
        <v>18</v>
      </c>
      <c r="E959" s="13">
        <v>25</v>
      </c>
      <c r="F959" s="14">
        <v>43132</v>
      </c>
      <c r="G959" s="14">
        <v>44592</v>
      </c>
      <c r="H959" s="13" t="s">
        <v>43</v>
      </c>
      <c r="I959" s="13" t="s">
        <v>51</v>
      </c>
    </row>
    <row r="960" spans="1:9" hidden="1">
      <c r="A960" s="11">
        <f t="shared" si="14"/>
        <v>955</v>
      </c>
      <c r="B960" s="9" t="s">
        <v>208</v>
      </c>
      <c r="C960" s="11" t="s">
        <v>6782</v>
      </c>
      <c r="D960" s="11" t="s">
        <v>13</v>
      </c>
      <c r="E960" s="11">
        <v>30</v>
      </c>
      <c r="F960" s="12">
        <v>44218</v>
      </c>
      <c r="G960" s="12">
        <v>53348</v>
      </c>
      <c r="H960" s="11" t="s">
        <v>43</v>
      </c>
      <c r="I960" s="11" t="s">
        <v>51</v>
      </c>
    </row>
    <row r="961" spans="1:9" hidden="1">
      <c r="A961" s="13">
        <f t="shared" si="14"/>
        <v>956</v>
      </c>
      <c r="B961" s="10" t="s">
        <v>198</v>
      </c>
      <c r="C961" s="13" t="s">
        <v>6783</v>
      </c>
      <c r="D961" s="13" t="s">
        <v>18</v>
      </c>
      <c r="E961" s="13">
        <v>60</v>
      </c>
      <c r="F961" s="14">
        <v>43585</v>
      </c>
      <c r="G961" s="14">
        <v>45411</v>
      </c>
      <c r="H961" s="13" t="s">
        <v>43</v>
      </c>
      <c r="I961" s="13" t="s">
        <v>51</v>
      </c>
    </row>
    <row r="962" spans="1:9" hidden="1">
      <c r="A962" s="11">
        <f t="shared" si="14"/>
        <v>957</v>
      </c>
      <c r="B962" s="9" t="s">
        <v>367</v>
      </c>
      <c r="C962" s="11" t="s">
        <v>6784</v>
      </c>
      <c r="D962" s="11" t="s">
        <v>13</v>
      </c>
      <c r="E962" s="11">
        <v>27</v>
      </c>
      <c r="F962" s="12">
        <v>43425</v>
      </c>
      <c r="G962" s="12">
        <v>47260</v>
      </c>
      <c r="H962" s="11" t="s">
        <v>43</v>
      </c>
      <c r="I962" s="11" t="s">
        <v>51</v>
      </c>
    </row>
    <row r="963" spans="1:9" hidden="1">
      <c r="A963" s="13">
        <f t="shared" si="14"/>
        <v>958</v>
      </c>
      <c r="B963" s="10" t="s">
        <v>238</v>
      </c>
      <c r="C963" s="13" t="s">
        <v>6785</v>
      </c>
      <c r="D963" s="13" t="s">
        <v>18</v>
      </c>
      <c r="E963" s="13">
        <v>13</v>
      </c>
      <c r="F963" s="14">
        <v>43550</v>
      </c>
      <c r="G963" s="14">
        <v>45376</v>
      </c>
      <c r="H963" s="13" t="s">
        <v>43</v>
      </c>
      <c r="I963" s="13" t="s">
        <v>51</v>
      </c>
    </row>
    <row r="964" spans="1:9" hidden="1">
      <c r="A964" s="11">
        <f t="shared" si="14"/>
        <v>959</v>
      </c>
      <c r="B964" s="9" t="s">
        <v>249</v>
      </c>
      <c r="C964" s="11" t="s">
        <v>6786</v>
      </c>
      <c r="D964" s="11" t="s">
        <v>18</v>
      </c>
      <c r="E964" s="11">
        <v>8</v>
      </c>
      <c r="F964" s="12">
        <v>43546</v>
      </c>
      <c r="G964" s="12">
        <v>45372</v>
      </c>
      <c r="H964" s="11" t="s">
        <v>43</v>
      </c>
      <c r="I964" s="11" t="s">
        <v>51</v>
      </c>
    </row>
    <row r="965" spans="1:9" hidden="1">
      <c r="A965" s="13">
        <f t="shared" si="14"/>
        <v>960</v>
      </c>
      <c r="B965" s="10" t="s">
        <v>214</v>
      </c>
      <c r="C965" s="13" t="s">
        <v>6787</v>
      </c>
      <c r="D965" s="13" t="s">
        <v>18</v>
      </c>
      <c r="E965" s="13">
        <v>2</v>
      </c>
      <c r="F965" s="14">
        <v>43684</v>
      </c>
      <c r="G965" s="14">
        <v>45510</v>
      </c>
      <c r="H965" s="13" t="s">
        <v>43</v>
      </c>
      <c r="I965" s="13" t="s">
        <v>51</v>
      </c>
    </row>
    <row r="966" spans="1:9" hidden="1">
      <c r="A966" s="11">
        <f t="shared" si="14"/>
        <v>961</v>
      </c>
      <c r="B966" s="9" t="s">
        <v>253</v>
      </c>
      <c r="C966" s="11" t="s">
        <v>6788</v>
      </c>
      <c r="D966" s="11" t="s">
        <v>18</v>
      </c>
      <c r="E966" s="11">
        <v>10</v>
      </c>
      <c r="F966" s="12">
        <v>43614</v>
      </c>
      <c r="G966" s="12">
        <v>45440</v>
      </c>
      <c r="H966" s="11" t="s">
        <v>43</v>
      </c>
      <c r="I966" s="11" t="s">
        <v>51</v>
      </c>
    </row>
    <row r="967" spans="1:9" hidden="1">
      <c r="A967" s="13">
        <f t="shared" si="14"/>
        <v>962</v>
      </c>
      <c r="B967" s="10" t="s">
        <v>289</v>
      </c>
      <c r="C967" s="13" t="s">
        <v>6789</v>
      </c>
      <c r="D967" s="13" t="s">
        <v>18</v>
      </c>
      <c r="E967" s="13">
        <v>16</v>
      </c>
      <c r="F967" s="14">
        <v>44349</v>
      </c>
      <c r="G967" s="14">
        <v>46174</v>
      </c>
      <c r="H967" s="13" t="s">
        <v>43</v>
      </c>
      <c r="I967" s="13" t="s">
        <v>51</v>
      </c>
    </row>
    <row r="968" spans="1:9" hidden="1">
      <c r="A968" s="11">
        <f t="shared" ref="A968:A1030" si="15">+A967+1</f>
        <v>963</v>
      </c>
      <c r="B968" s="9" t="s">
        <v>306</v>
      </c>
      <c r="C968" s="11" t="s">
        <v>6790</v>
      </c>
      <c r="D968" s="11" t="s">
        <v>18</v>
      </c>
      <c r="E968" s="11">
        <v>129</v>
      </c>
      <c r="F968" s="12">
        <v>44274</v>
      </c>
      <c r="G968" s="12">
        <v>46099</v>
      </c>
      <c r="H968" s="11" t="s">
        <v>43</v>
      </c>
      <c r="I968" s="11" t="s">
        <v>51</v>
      </c>
    </row>
    <row r="969" spans="1:9" hidden="1">
      <c r="A969" s="13">
        <f t="shared" si="15"/>
        <v>964</v>
      </c>
      <c r="B969" s="10" t="s">
        <v>309</v>
      </c>
      <c r="C969" s="13" t="s">
        <v>6791</v>
      </c>
      <c r="D969" s="13" t="s">
        <v>18</v>
      </c>
      <c r="E969" s="13">
        <v>2</v>
      </c>
      <c r="F969" s="14">
        <v>44251</v>
      </c>
      <c r="G969" s="14">
        <v>46076</v>
      </c>
      <c r="H969" s="13" t="s">
        <v>43</v>
      </c>
      <c r="I969" s="13" t="s">
        <v>51</v>
      </c>
    </row>
    <row r="970" spans="1:9" hidden="1">
      <c r="A970" s="11">
        <f t="shared" si="15"/>
        <v>965</v>
      </c>
      <c r="B970" s="9" t="s">
        <v>346</v>
      </c>
      <c r="C970" s="11" t="s">
        <v>6792</v>
      </c>
      <c r="D970" s="11" t="s">
        <v>18</v>
      </c>
      <c r="E970" s="11">
        <v>50</v>
      </c>
      <c r="F970" s="12">
        <v>44560</v>
      </c>
      <c r="G970" s="12">
        <v>46385</v>
      </c>
      <c r="H970" s="11" t="s">
        <v>43</v>
      </c>
      <c r="I970" s="11" t="s">
        <v>51</v>
      </c>
    </row>
    <row r="971" spans="1:9" hidden="1">
      <c r="A971" s="13">
        <f t="shared" si="15"/>
        <v>966</v>
      </c>
      <c r="B971" s="10" t="s">
        <v>348</v>
      </c>
      <c r="C971" s="13" t="s">
        <v>6793</v>
      </c>
      <c r="D971" s="13" t="s">
        <v>18</v>
      </c>
      <c r="E971" s="13">
        <v>4</v>
      </c>
      <c r="F971" s="14">
        <v>44545</v>
      </c>
      <c r="G971" s="14">
        <v>46370</v>
      </c>
      <c r="H971" s="13" t="s">
        <v>43</v>
      </c>
      <c r="I971" s="13" t="s">
        <v>51</v>
      </c>
    </row>
    <row r="972" spans="1:9" hidden="1">
      <c r="A972" s="11">
        <f t="shared" si="15"/>
        <v>967</v>
      </c>
      <c r="B972" s="9" t="s">
        <v>358</v>
      </c>
      <c r="C972" s="11" t="s">
        <v>6794</v>
      </c>
      <c r="D972" s="11" t="s">
        <v>18</v>
      </c>
      <c r="E972" s="11">
        <v>25</v>
      </c>
      <c r="F972" s="12">
        <v>44531</v>
      </c>
      <c r="G972" s="12">
        <v>46356</v>
      </c>
      <c r="H972" s="11" t="s">
        <v>43</v>
      </c>
      <c r="I972" s="11" t="s">
        <v>51</v>
      </c>
    </row>
    <row r="973" spans="1:9" hidden="1">
      <c r="A973" s="13">
        <f t="shared" si="15"/>
        <v>968</v>
      </c>
      <c r="B973" s="10" t="s">
        <v>320</v>
      </c>
      <c r="C973" s="13" t="s">
        <v>6795</v>
      </c>
      <c r="D973" s="13" t="s">
        <v>18</v>
      </c>
      <c r="E973" s="13">
        <v>5</v>
      </c>
      <c r="F973" s="14">
        <v>44566</v>
      </c>
      <c r="G973" s="14">
        <v>46391</v>
      </c>
      <c r="H973" s="13" t="s">
        <v>43</v>
      </c>
      <c r="I973" s="13" t="s">
        <v>51</v>
      </c>
    </row>
    <row r="974" spans="1:9" hidden="1">
      <c r="A974" s="11">
        <f t="shared" si="15"/>
        <v>969</v>
      </c>
      <c r="B974" s="9" t="s">
        <v>221</v>
      </c>
      <c r="C974" s="11" t="s">
        <v>6796</v>
      </c>
      <c r="D974" s="11" t="s">
        <v>18</v>
      </c>
      <c r="E974" s="11">
        <v>5</v>
      </c>
      <c r="F974" s="12">
        <v>44889</v>
      </c>
      <c r="G974" s="12">
        <v>46714</v>
      </c>
      <c r="H974" s="11" t="s">
        <v>43</v>
      </c>
      <c r="I974" s="11" t="s">
        <v>51</v>
      </c>
    </row>
    <row r="975" spans="1:9" hidden="1">
      <c r="A975" s="13">
        <f t="shared" si="15"/>
        <v>970</v>
      </c>
      <c r="B975" s="10" t="s">
        <v>377</v>
      </c>
      <c r="C975" s="13" t="s">
        <v>6797</v>
      </c>
      <c r="D975" s="13" t="s">
        <v>18</v>
      </c>
      <c r="E975" s="13">
        <v>165</v>
      </c>
      <c r="F975" s="14">
        <v>44893</v>
      </c>
      <c r="G975" s="14">
        <v>46718</v>
      </c>
      <c r="H975" s="13" t="s">
        <v>43</v>
      </c>
      <c r="I975" s="13" t="s">
        <v>51</v>
      </c>
    </row>
    <row r="976" spans="1:9" hidden="1">
      <c r="A976" s="11">
        <f t="shared" si="15"/>
        <v>971</v>
      </c>
      <c r="B976" s="9" t="s">
        <v>357</v>
      </c>
      <c r="C976" s="11" t="s">
        <v>6798</v>
      </c>
      <c r="D976" s="11" t="s">
        <v>18</v>
      </c>
      <c r="E976" s="11">
        <v>50</v>
      </c>
      <c r="F976" s="12">
        <v>44946</v>
      </c>
      <c r="G976" s="12">
        <v>46771</v>
      </c>
      <c r="H976" s="11" t="s">
        <v>43</v>
      </c>
      <c r="I976" s="11" t="s">
        <v>51</v>
      </c>
    </row>
    <row r="977" spans="1:9" hidden="1">
      <c r="A977" s="13">
        <f t="shared" si="15"/>
        <v>972</v>
      </c>
      <c r="B977" s="10" t="s">
        <v>379</v>
      </c>
      <c r="C977" s="13" t="s">
        <v>6799</v>
      </c>
      <c r="D977" s="13" t="s">
        <v>18</v>
      </c>
      <c r="E977" s="13">
        <v>33</v>
      </c>
      <c r="F977" s="14">
        <v>44900</v>
      </c>
      <c r="G977" s="14">
        <v>46725</v>
      </c>
      <c r="H977" s="13" t="s">
        <v>43</v>
      </c>
      <c r="I977" s="13" t="s">
        <v>51</v>
      </c>
    </row>
    <row r="978" spans="1:9" hidden="1">
      <c r="A978" s="11">
        <f t="shared" si="15"/>
        <v>973</v>
      </c>
      <c r="B978" s="9" t="s">
        <v>379</v>
      </c>
      <c r="C978" s="11" t="s">
        <v>6800</v>
      </c>
      <c r="D978" s="11" t="s">
        <v>18</v>
      </c>
      <c r="E978" s="11">
        <v>41</v>
      </c>
      <c r="F978" s="12">
        <v>44900</v>
      </c>
      <c r="G978" s="12">
        <v>46725</v>
      </c>
      <c r="H978" s="11" t="s">
        <v>43</v>
      </c>
      <c r="I978" s="11" t="s">
        <v>51</v>
      </c>
    </row>
    <row r="979" spans="1:9" hidden="1">
      <c r="A979" s="13">
        <f t="shared" si="15"/>
        <v>974</v>
      </c>
      <c r="B979" s="10" t="s">
        <v>379</v>
      </c>
      <c r="C979" s="13" t="s">
        <v>6801</v>
      </c>
      <c r="D979" s="13" t="s">
        <v>18</v>
      </c>
      <c r="E979" s="13">
        <v>48</v>
      </c>
      <c r="F979" s="14">
        <v>44900</v>
      </c>
      <c r="G979" s="14">
        <v>46725</v>
      </c>
      <c r="H979" s="13" t="s">
        <v>43</v>
      </c>
      <c r="I979" s="13" t="s">
        <v>51</v>
      </c>
    </row>
    <row r="980" spans="1:9" hidden="1">
      <c r="A980" s="11">
        <f t="shared" si="15"/>
        <v>975</v>
      </c>
      <c r="B980" s="9" t="s">
        <v>379</v>
      </c>
      <c r="C980" s="11" t="s">
        <v>6802</v>
      </c>
      <c r="D980" s="11" t="s">
        <v>18</v>
      </c>
      <c r="E980" s="11">
        <v>2</v>
      </c>
      <c r="F980" s="12">
        <v>44900</v>
      </c>
      <c r="G980" s="12">
        <v>46725</v>
      </c>
      <c r="H980" s="11" t="s">
        <v>43</v>
      </c>
      <c r="I980" s="11" t="s">
        <v>51</v>
      </c>
    </row>
    <row r="981" spans="1:9" hidden="1">
      <c r="A981" s="13">
        <f t="shared" si="15"/>
        <v>976</v>
      </c>
      <c r="B981" s="10" t="s">
        <v>379</v>
      </c>
      <c r="C981" s="13" t="s">
        <v>6803</v>
      </c>
      <c r="D981" s="13" t="s">
        <v>18</v>
      </c>
      <c r="E981" s="13">
        <v>4</v>
      </c>
      <c r="F981" s="14">
        <v>44900</v>
      </c>
      <c r="G981" s="14">
        <v>46725</v>
      </c>
      <c r="H981" s="13" t="s">
        <v>43</v>
      </c>
      <c r="I981" s="13" t="s">
        <v>51</v>
      </c>
    </row>
    <row r="982" spans="1:9" hidden="1">
      <c r="A982" s="11">
        <f t="shared" si="15"/>
        <v>977</v>
      </c>
      <c r="B982" s="9" t="s">
        <v>379</v>
      </c>
      <c r="C982" s="11" t="s">
        <v>6804</v>
      </c>
      <c r="D982" s="11" t="s">
        <v>18</v>
      </c>
      <c r="E982" s="11">
        <v>15</v>
      </c>
      <c r="F982" s="12">
        <v>44900</v>
      </c>
      <c r="G982" s="12">
        <v>46725</v>
      </c>
      <c r="H982" s="11" t="s">
        <v>43</v>
      </c>
      <c r="I982" s="11" t="s">
        <v>51</v>
      </c>
    </row>
    <row r="983" spans="1:9" hidden="1">
      <c r="A983" s="13">
        <f t="shared" si="15"/>
        <v>978</v>
      </c>
      <c r="B983" s="10" t="s">
        <v>5738</v>
      </c>
      <c r="C983" s="13" t="s">
        <v>6805</v>
      </c>
      <c r="D983" s="13" t="s">
        <v>18</v>
      </c>
      <c r="E983" s="13">
        <v>35</v>
      </c>
      <c r="F983" s="14">
        <v>44967</v>
      </c>
      <c r="G983" s="14">
        <v>46792</v>
      </c>
      <c r="H983" s="13" t="s">
        <v>43</v>
      </c>
      <c r="I983" s="13" t="s">
        <v>51</v>
      </c>
    </row>
    <row r="984" spans="1:9" hidden="1">
      <c r="A984" s="11">
        <f t="shared" si="15"/>
        <v>979</v>
      </c>
      <c r="B984" s="9" t="s">
        <v>195</v>
      </c>
      <c r="C984" s="11" t="s">
        <v>6806</v>
      </c>
      <c r="D984" s="11" t="s">
        <v>18</v>
      </c>
      <c r="E984" s="11">
        <v>1</v>
      </c>
      <c r="F984" s="12">
        <v>45050</v>
      </c>
      <c r="G984" s="12">
        <v>46876</v>
      </c>
      <c r="H984" s="11" t="s">
        <v>43</v>
      </c>
      <c r="I984" s="11" t="s">
        <v>51</v>
      </c>
    </row>
    <row r="985" spans="1:9" hidden="1">
      <c r="A985" s="13">
        <f t="shared" si="15"/>
        <v>980</v>
      </c>
      <c r="B985" s="10" t="s">
        <v>1027</v>
      </c>
      <c r="C985" s="13" t="s">
        <v>6807</v>
      </c>
      <c r="D985" s="13" t="s">
        <v>18</v>
      </c>
      <c r="E985" s="13">
        <v>8</v>
      </c>
      <c r="F985" s="14">
        <v>45034</v>
      </c>
      <c r="G985" s="14">
        <v>46860</v>
      </c>
      <c r="H985" s="13" t="s">
        <v>43</v>
      </c>
      <c r="I985" s="13" t="s">
        <v>51</v>
      </c>
    </row>
    <row r="986" spans="1:9" hidden="1">
      <c r="A986" s="11">
        <f t="shared" si="15"/>
        <v>981</v>
      </c>
      <c r="B986" s="9" t="s">
        <v>5739</v>
      </c>
      <c r="C986" s="11" t="s">
        <v>6808</v>
      </c>
      <c r="D986" s="11" t="s">
        <v>18</v>
      </c>
      <c r="E986" s="11">
        <v>30</v>
      </c>
      <c r="F986" s="12">
        <v>44980</v>
      </c>
      <c r="G986" s="12">
        <v>46805</v>
      </c>
      <c r="H986" s="11" t="s">
        <v>43</v>
      </c>
      <c r="I986" s="11" t="s">
        <v>51</v>
      </c>
    </row>
    <row r="987" spans="1:9" hidden="1">
      <c r="A987" s="13">
        <f t="shared" si="15"/>
        <v>982</v>
      </c>
      <c r="B987" s="10" t="s">
        <v>166</v>
      </c>
      <c r="C987" s="13" t="s">
        <v>6809</v>
      </c>
      <c r="D987" s="13" t="s">
        <v>18</v>
      </c>
      <c r="E987" s="13">
        <v>20</v>
      </c>
      <c r="F987" s="14">
        <v>45050</v>
      </c>
      <c r="G987" s="14">
        <v>46876</v>
      </c>
      <c r="H987" s="13" t="s">
        <v>43</v>
      </c>
      <c r="I987" s="13" t="s">
        <v>51</v>
      </c>
    </row>
    <row r="988" spans="1:9" hidden="1">
      <c r="A988" s="11">
        <f t="shared" si="15"/>
        <v>983</v>
      </c>
      <c r="B988" s="9" t="s">
        <v>166</v>
      </c>
      <c r="C988" s="11" t="s">
        <v>6810</v>
      </c>
      <c r="D988" s="11" t="s">
        <v>18</v>
      </c>
      <c r="E988" s="11">
        <v>10</v>
      </c>
      <c r="F988" s="12">
        <v>45020</v>
      </c>
      <c r="G988" s="12">
        <v>46846</v>
      </c>
      <c r="H988" s="11" t="s">
        <v>43</v>
      </c>
      <c r="I988" s="11" t="s">
        <v>51</v>
      </c>
    </row>
    <row r="989" spans="1:9" hidden="1">
      <c r="A989" s="13">
        <f t="shared" si="15"/>
        <v>984</v>
      </c>
      <c r="B989" s="10" t="s">
        <v>253</v>
      </c>
      <c r="C989" s="13" t="s">
        <v>6811</v>
      </c>
      <c r="D989" s="13" t="s">
        <v>18</v>
      </c>
      <c r="E989" s="13">
        <v>28</v>
      </c>
      <c r="F989" s="14">
        <v>45050</v>
      </c>
      <c r="G989" s="14">
        <v>46876</v>
      </c>
      <c r="H989" s="13" t="s">
        <v>43</v>
      </c>
      <c r="I989" s="13" t="s">
        <v>51</v>
      </c>
    </row>
    <row r="990" spans="1:9" hidden="1">
      <c r="A990" s="11">
        <f t="shared" si="15"/>
        <v>985</v>
      </c>
      <c r="B990" s="9" t="s">
        <v>5697</v>
      </c>
      <c r="C990" s="11" t="s">
        <v>6812</v>
      </c>
      <c r="D990" s="11" t="s">
        <v>18</v>
      </c>
      <c r="E990" s="11">
        <v>19</v>
      </c>
      <c r="F990" s="12">
        <v>45021</v>
      </c>
      <c r="G990" s="12">
        <v>46847</v>
      </c>
      <c r="H990" s="11" t="s">
        <v>43</v>
      </c>
      <c r="I990" s="11" t="s">
        <v>51</v>
      </c>
    </row>
    <row r="991" spans="1:9" hidden="1">
      <c r="A991" s="13">
        <f t="shared" si="15"/>
        <v>986</v>
      </c>
      <c r="B991" s="10" t="s">
        <v>470</v>
      </c>
      <c r="C991" s="13" t="s">
        <v>6813</v>
      </c>
      <c r="D991" s="13" t="s">
        <v>18</v>
      </c>
      <c r="E991" s="13">
        <v>45</v>
      </c>
      <c r="F991" s="14">
        <v>45007</v>
      </c>
      <c r="G991" s="14">
        <v>46833</v>
      </c>
      <c r="H991" s="13" t="s">
        <v>43</v>
      </c>
      <c r="I991" s="13" t="s">
        <v>51</v>
      </c>
    </row>
    <row r="992" spans="1:9" hidden="1">
      <c r="A992" s="11">
        <f t="shared" si="15"/>
        <v>987</v>
      </c>
      <c r="B992" s="9" t="s">
        <v>208</v>
      </c>
      <c r="C992" s="11" t="s">
        <v>6814</v>
      </c>
      <c r="D992" s="11" t="s">
        <v>18</v>
      </c>
      <c r="E992" s="11">
        <v>20</v>
      </c>
      <c r="F992" s="12">
        <v>45054</v>
      </c>
      <c r="G992" s="12">
        <v>46880</v>
      </c>
      <c r="H992" s="11" t="s">
        <v>43</v>
      </c>
      <c r="I992" s="11" t="s">
        <v>51</v>
      </c>
    </row>
    <row r="993" spans="1:9" hidden="1">
      <c r="A993" s="13">
        <f t="shared" si="15"/>
        <v>988</v>
      </c>
      <c r="B993" s="10" t="s">
        <v>5714</v>
      </c>
      <c r="C993" s="13" t="s">
        <v>6815</v>
      </c>
      <c r="D993" s="13" t="s">
        <v>18</v>
      </c>
      <c r="E993" s="13">
        <v>16</v>
      </c>
      <c r="F993" s="14">
        <v>45034</v>
      </c>
      <c r="G993" s="14">
        <v>46860</v>
      </c>
      <c r="H993" s="13" t="s">
        <v>43</v>
      </c>
      <c r="I993" s="13" t="s">
        <v>51</v>
      </c>
    </row>
    <row r="994" spans="1:9" hidden="1">
      <c r="A994" s="11">
        <f t="shared" si="15"/>
        <v>989</v>
      </c>
      <c r="B994" s="9" t="s">
        <v>5714</v>
      </c>
      <c r="C994" s="11" t="s">
        <v>6816</v>
      </c>
      <c r="D994" s="11" t="s">
        <v>18</v>
      </c>
      <c r="E994" s="11">
        <v>28</v>
      </c>
      <c r="F994" s="12">
        <v>45034</v>
      </c>
      <c r="G994" s="12">
        <v>46860</v>
      </c>
      <c r="H994" s="11" t="s">
        <v>43</v>
      </c>
      <c r="I994" s="11" t="s">
        <v>51</v>
      </c>
    </row>
    <row r="995" spans="1:9" hidden="1">
      <c r="A995" s="13">
        <f t="shared" si="15"/>
        <v>990</v>
      </c>
      <c r="B995" s="10" t="s">
        <v>5714</v>
      </c>
      <c r="C995" s="13" t="s">
        <v>6820</v>
      </c>
      <c r="D995" s="13" t="s">
        <v>18</v>
      </c>
      <c r="E995" s="13">
        <v>20</v>
      </c>
      <c r="F995" s="14">
        <v>45173</v>
      </c>
      <c r="G995" s="14">
        <v>46999</v>
      </c>
      <c r="H995" s="13" t="s">
        <v>43</v>
      </c>
      <c r="I995" s="13" t="s">
        <v>51</v>
      </c>
    </row>
    <row r="996" spans="1:9" hidden="1">
      <c r="A996" s="11">
        <f t="shared" si="15"/>
        <v>991</v>
      </c>
      <c r="B996" s="9" t="s">
        <v>369</v>
      </c>
      <c r="C996" s="11" t="s">
        <v>6821</v>
      </c>
      <c r="D996" s="11" t="s">
        <v>18</v>
      </c>
      <c r="E996" s="11">
        <v>15</v>
      </c>
      <c r="F996" s="12">
        <v>45173</v>
      </c>
      <c r="G996" s="12">
        <v>46999</v>
      </c>
      <c r="H996" s="11" t="s">
        <v>43</v>
      </c>
      <c r="I996" s="11" t="s">
        <v>51</v>
      </c>
    </row>
    <row r="997" spans="1:9" hidden="1">
      <c r="A997" s="13">
        <f t="shared" si="15"/>
        <v>992</v>
      </c>
      <c r="B997" s="10" t="s">
        <v>5740</v>
      </c>
      <c r="C997" s="13" t="s">
        <v>6822</v>
      </c>
      <c r="D997" s="13" t="s">
        <v>18</v>
      </c>
      <c r="E997" s="13">
        <v>20</v>
      </c>
      <c r="F997" s="14">
        <v>45125</v>
      </c>
      <c r="G997" s="14">
        <v>46951</v>
      </c>
      <c r="H997" s="13" t="s">
        <v>43</v>
      </c>
      <c r="I997" s="13" t="s">
        <v>51</v>
      </c>
    </row>
    <row r="998" spans="1:9" hidden="1">
      <c r="A998" s="11">
        <f t="shared" si="15"/>
        <v>993</v>
      </c>
      <c r="B998" s="9" t="s">
        <v>5739</v>
      </c>
      <c r="C998" s="11" t="s">
        <v>6823</v>
      </c>
      <c r="D998" s="11" t="s">
        <v>18</v>
      </c>
      <c r="E998" s="11">
        <v>30</v>
      </c>
      <c r="F998" s="12">
        <v>45160</v>
      </c>
      <c r="G998" s="12">
        <v>46986</v>
      </c>
      <c r="H998" s="11" t="s">
        <v>43</v>
      </c>
      <c r="I998" s="11" t="s">
        <v>51</v>
      </c>
    </row>
    <row r="999" spans="1:9" hidden="1">
      <c r="A999" s="13">
        <f t="shared" si="15"/>
        <v>994</v>
      </c>
      <c r="B999" s="10" t="s">
        <v>1894</v>
      </c>
      <c r="C999" s="13" t="s">
        <v>6824</v>
      </c>
      <c r="D999" s="13" t="s">
        <v>18</v>
      </c>
      <c r="E999" s="13">
        <v>2</v>
      </c>
      <c r="F999" s="14">
        <v>45239</v>
      </c>
      <c r="G999" s="14">
        <v>47065</v>
      </c>
      <c r="H999" s="13" t="s">
        <v>43</v>
      </c>
      <c r="I999" s="13" t="s">
        <v>51</v>
      </c>
    </row>
    <row r="1000" spans="1:9" hidden="1">
      <c r="A1000" s="11">
        <f t="shared" si="15"/>
        <v>995</v>
      </c>
      <c r="B1000" s="9" t="s">
        <v>5740</v>
      </c>
      <c r="C1000" s="11" t="s">
        <v>6825</v>
      </c>
      <c r="D1000" s="11" t="s">
        <v>18</v>
      </c>
      <c r="E1000" s="11">
        <v>22</v>
      </c>
      <c r="F1000" s="12">
        <v>45125</v>
      </c>
      <c r="G1000" s="12">
        <v>46951</v>
      </c>
      <c r="H1000" s="11" t="s">
        <v>43</v>
      </c>
      <c r="I1000" s="11" t="s">
        <v>51</v>
      </c>
    </row>
    <row r="1001" spans="1:9" hidden="1">
      <c r="A1001" s="13">
        <f t="shared" si="15"/>
        <v>996</v>
      </c>
      <c r="B1001" s="10" t="s">
        <v>5741</v>
      </c>
      <c r="C1001" s="13" t="s">
        <v>6826</v>
      </c>
      <c r="D1001" s="13" t="s">
        <v>18</v>
      </c>
      <c r="E1001" s="13">
        <v>56</v>
      </c>
      <c r="F1001" s="14">
        <v>45184</v>
      </c>
      <c r="G1001" s="14">
        <v>47010</v>
      </c>
      <c r="H1001" s="13" t="s">
        <v>43</v>
      </c>
      <c r="I1001" s="13" t="s">
        <v>51</v>
      </c>
    </row>
    <row r="1002" spans="1:9" hidden="1">
      <c r="A1002" s="11">
        <f t="shared" si="15"/>
        <v>997</v>
      </c>
      <c r="B1002" s="9" t="s">
        <v>5741</v>
      </c>
      <c r="C1002" s="11" t="s">
        <v>6827</v>
      </c>
      <c r="D1002" s="11" t="s">
        <v>18</v>
      </c>
      <c r="E1002" s="11">
        <v>107</v>
      </c>
      <c r="F1002" s="12">
        <v>45184</v>
      </c>
      <c r="G1002" s="12">
        <v>47010</v>
      </c>
      <c r="H1002" s="11" t="s">
        <v>43</v>
      </c>
      <c r="I1002" s="11" t="s">
        <v>51</v>
      </c>
    </row>
    <row r="1003" spans="1:9" hidden="1">
      <c r="A1003" s="13">
        <f t="shared" si="15"/>
        <v>998</v>
      </c>
      <c r="B1003" s="10" t="s">
        <v>5742</v>
      </c>
      <c r="C1003" s="13" t="s">
        <v>6828</v>
      </c>
      <c r="D1003" s="13" t="s">
        <v>18</v>
      </c>
      <c r="E1003" s="13">
        <v>121</v>
      </c>
      <c r="F1003" s="14">
        <v>45163</v>
      </c>
      <c r="G1003" s="14">
        <v>46989</v>
      </c>
      <c r="H1003" s="13" t="s">
        <v>43</v>
      </c>
      <c r="I1003" s="13" t="s">
        <v>51</v>
      </c>
    </row>
    <row r="1004" spans="1:9" hidden="1">
      <c r="A1004" s="11">
        <f t="shared" si="15"/>
        <v>999</v>
      </c>
      <c r="B1004" s="9" t="s">
        <v>5743</v>
      </c>
      <c r="C1004" s="11" t="s">
        <v>6829</v>
      </c>
      <c r="D1004" s="11" t="s">
        <v>18</v>
      </c>
      <c r="E1004" s="11">
        <v>3</v>
      </c>
      <c r="F1004" s="12">
        <v>45160</v>
      </c>
      <c r="G1004" s="12">
        <v>46986</v>
      </c>
      <c r="H1004" s="11" t="s">
        <v>43</v>
      </c>
      <c r="I1004" s="11" t="s">
        <v>51</v>
      </c>
    </row>
    <row r="1005" spans="1:9" hidden="1">
      <c r="A1005" s="13">
        <f t="shared" si="15"/>
        <v>1000</v>
      </c>
      <c r="B1005" s="10" t="s">
        <v>5744</v>
      </c>
      <c r="C1005" s="13" t="s">
        <v>6830</v>
      </c>
      <c r="D1005" s="13" t="s">
        <v>18</v>
      </c>
      <c r="E1005" s="13">
        <v>6</v>
      </c>
      <c r="F1005" s="14">
        <v>45160</v>
      </c>
      <c r="G1005" s="14">
        <v>46986</v>
      </c>
      <c r="H1005" s="13" t="s">
        <v>43</v>
      </c>
      <c r="I1005" s="13" t="s">
        <v>51</v>
      </c>
    </row>
    <row r="1006" spans="1:9" hidden="1">
      <c r="A1006" s="11">
        <f t="shared" si="15"/>
        <v>1001</v>
      </c>
      <c r="B1006" s="9" t="s">
        <v>5744</v>
      </c>
      <c r="C1006" s="11" t="s">
        <v>6831</v>
      </c>
      <c r="D1006" s="11" t="s">
        <v>18</v>
      </c>
      <c r="E1006" s="11">
        <v>4</v>
      </c>
      <c r="F1006" s="12">
        <v>45160</v>
      </c>
      <c r="G1006" s="12">
        <v>46986</v>
      </c>
      <c r="H1006" s="11" t="s">
        <v>43</v>
      </c>
      <c r="I1006" s="11" t="s">
        <v>51</v>
      </c>
    </row>
    <row r="1007" spans="1:9" hidden="1">
      <c r="A1007" s="13">
        <f t="shared" si="15"/>
        <v>1002</v>
      </c>
      <c r="B1007" s="10" t="s">
        <v>5745</v>
      </c>
      <c r="C1007" s="13" t="s">
        <v>6832</v>
      </c>
      <c r="D1007" s="13" t="s">
        <v>18</v>
      </c>
      <c r="E1007" s="13">
        <v>125</v>
      </c>
      <c r="F1007" s="14">
        <v>45219</v>
      </c>
      <c r="G1007" s="14">
        <v>46748</v>
      </c>
      <c r="H1007" s="13" t="s">
        <v>43</v>
      </c>
      <c r="I1007" s="13" t="s">
        <v>51</v>
      </c>
    </row>
    <row r="1008" spans="1:9" hidden="1">
      <c r="A1008" s="11">
        <f t="shared" si="15"/>
        <v>1003</v>
      </c>
      <c r="B1008" s="9" t="s">
        <v>211</v>
      </c>
      <c r="C1008" s="11" t="s">
        <v>6833</v>
      </c>
      <c r="D1008" s="11" t="s">
        <v>18</v>
      </c>
      <c r="E1008" s="11">
        <v>1</v>
      </c>
      <c r="F1008" s="12">
        <v>43493</v>
      </c>
      <c r="G1008" s="12">
        <v>45318</v>
      </c>
      <c r="H1008" s="11" t="s">
        <v>21</v>
      </c>
      <c r="I1008" s="11" t="s">
        <v>51</v>
      </c>
    </row>
    <row r="1009" spans="1:9" hidden="1">
      <c r="A1009" s="13">
        <f t="shared" si="15"/>
        <v>1004</v>
      </c>
      <c r="B1009" s="10" t="s">
        <v>211</v>
      </c>
      <c r="C1009" s="13" t="s">
        <v>6834</v>
      </c>
      <c r="D1009" s="13" t="s">
        <v>18</v>
      </c>
      <c r="E1009" s="13">
        <v>1</v>
      </c>
      <c r="F1009" s="14">
        <v>43493</v>
      </c>
      <c r="G1009" s="14">
        <v>45318</v>
      </c>
      <c r="H1009" s="13" t="s">
        <v>21</v>
      </c>
      <c r="I1009" s="13" t="s">
        <v>51</v>
      </c>
    </row>
    <row r="1010" spans="1:9" hidden="1">
      <c r="A1010" s="11">
        <f t="shared" si="15"/>
        <v>1005</v>
      </c>
      <c r="B1010" s="9" t="s">
        <v>211</v>
      </c>
      <c r="C1010" s="11" t="s">
        <v>6835</v>
      </c>
      <c r="D1010" s="11" t="s">
        <v>18</v>
      </c>
      <c r="E1010" s="11">
        <v>2</v>
      </c>
      <c r="F1010" s="12">
        <v>43493</v>
      </c>
      <c r="G1010" s="12">
        <v>45318</v>
      </c>
      <c r="H1010" s="11" t="s">
        <v>21</v>
      </c>
      <c r="I1010" s="11" t="s">
        <v>51</v>
      </c>
    </row>
    <row r="1011" spans="1:9" hidden="1">
      <c r="A1011" s="13">
        <f t="shared" si="15"/>
        <v>1006</v>
      </c>
      <c r="B1011" s="10" t="s">
        <v>206</v>
      </c>
      <c r="C1011" s="13" t="s">
        <v>6836</v>
      </c>
      <c r="D1011" s="13" t="s">
        <v>18</v>
      </c>
      <c r="E1011" s="13">
        <v>48</v>
      </c>
      <c r="F1011" s="14">
        <v>43529</v>
      </c>
      <c r="G1011" s="14">
        <v>45355</v>
      </c>
      <c r="H1011" s="13" t="s">
        <v>21</v>
      </c>
      <c r="I1011" s="13" t="s">
        <v>51</v>
      </c>
    </row>
    <row r="1012" spans="1:9" hidden="1">
      <c r="A1012" s="11">
        <f t="shared" si="15"/>
        <v>1007</v>
      </c>
      <c r="B1012" s="9" t="s">
        <v>206</v>
      </c>
      <c r="C1012" s="11" t="s">
        <v>6837</v>
      </c>
      <c r="D1012" s="11" t="s">
        <v>18</v>
      </c>
      <c r="E1012" s="11">
        <v>36</v>
      </c>
      <c r="F1012" s="12">
        <v>43557</v>
      </c>
      <c r="G1012" s="12">
        <v>45383</v>
      </c>
      <c r="H1012" s="11" t="s">
        <v>21</v>
      </c>
      <c r="I1012" s="11" t="s">
        <v>51</v>
      </c>
    </row>
    <row r="1013" spans="1:9" hidden="1">
      <c r="A1013" s="13">
        <f t="shared" si="15"/>
        <v>1008</v>
      </c>
      <c r="B1013" s="10" t="s">
        <v>259</v>
      </c>
      <c r="C1013" s="13" t="s">
        <v>6838</v>
      </c>
      <c r="D1013" s="13" t="s">
        <v>18</v>
      </c>
      <c r="E1013" s="13">
        <v>27</v>
      </c>
      <c r="F1013" s="14">
        <v>43557</v>
      </c>
      <c r="G1013" s="14">
        <v>45383</v>
      </c>
      <c r="H1013" s="13" t="s">
        <v>21</v>
      </c>
      <c r="I1013" s="13" t="s">
        <v>51</v>
      </c>
    </row>
    <row r="1014" spans="1:9" hidden="1">
      <c r="A1014" s="11">
        <f t="shared" si="15"/>
        <v>1009</v>
      </c>
      <c r="B1014" s="9" t="s">
        <v>282</v>
      </c>
      <c r="C1014" s="11" t="s">
        <v>6839</v>
      </c>
      <c r="D1014" s="11" t="s">
        <v>13</v>
      </c>
      <c r="E1014" s="11">
        <v>19</v>
      </c>
      <c r="F1014" s="12">
        <v>44966</v>
      </c>
      <c r="G1014" s="12">
        <v>54096</v>
      </c>
      <c r="H1014" s="11" t="s">
        <v>21</v>
      </c>
      <c r="I1014" s="11" t="s">
        <v>51</v>
      </c>
    </row>
    <row r="1015" spans="1:9" hidden="1">
      <c r="A1015" s="13">
        <f t="shared" si="15"/>
        <v>1010</v>
      </c>
      <c r="B1015" s="10" t="s">
        <v>286</v>
      </c>
      <c r="C1015" s="13" t="s">
        <v>6840</v>
      </c>
      <c r="D1015" s="13" t="s">
        <v>18</v>
      </c>
      <c r="E1015" s="13">
        <v>45</v>
      </c>
      <c r="F1015" s="14">
        <v>43829</v>
      </c>
      <c r="G1015" s="14">
        <v>45655</v>
      </c>
      <c r="H1015" s="13" t="s">
        <v>21</v>
      </c>
      <c r="I1015" s="13" t="s">
        <v>51</v>
      </c>
    </row>
    <row r="1016" spans="1:9" hidden="1">
      <c r="A1016" s="11">
        <f t="shared" si="15"/>
        <v>1011</v>
      </c>
      <c r="B1016" s="9" t="s">
        <v>282</v>
      </c>
      <c r="C1016" s="11" t="s">
        <v>6841</v>
      </c>
      <c r="D1016" s="11" t="s">
        <v>18</v>
      </c>
      <c r="E1016" s="11">
        <v>85</v>
      </c>
      <c r="F1016" s="12">
        <v>44189</v>
      </c>
      <c r="G1016" s="12">
        <v>46014</v>
      </c>
      <c r="H1016" s="11" t="s">
        <v>21</v>
      </c>
      <c r="I1016" s="11" t="s">
        <v>51</v>
      </c>
    </row>
    <row r="1017" spans="1:9" hidden="1">
      <c r="A1017" s="13">
        <f t="shared" si="15"/>
        <v>1012</v>
      </c>
      <c r="B1017" s="10" t="s">
        <v>304</v>
      </c>
      <c r="C1017" s="13" t="s">
        <v>6842</v>
      </c>
      <c r="D1017" s="13" t="s">
        <v>18</v>
      </c>
      <c r="E1017" s="13">
        <v>150</v>
      </c>
      <c r="F1017" s="14">
        <v>44431</v>
      </c>
      <c r="G1017" s="14">
        <v>46256</v>
      </c>
      <c r="H1017" s="13" t="s">
        <v>21</v>
      </c>
      <c r="I1017" s="13" t="s">
        <v>51</v>
      </c>
    </row>
    <row r="1018" spans="1:9" hidden="1">
      <c r="A1018" s="11">
        <f t="shared" si="15"/>
        <v>1013</v>
      </c>
      <c r="B1018" s="9" t="s">
        <v>304</v>
      </c>
      <c r="C1018" s="11" t="s">
        <v>6843</v>
      </c>
      <c r="D1018" s="11" t="s">
        <v>18</v>
      </c>
      <c r="E1018" s="11">
        <v>141</v>
      </c>
      <c r="F1018" s="12">
        <v>44431</v>
      </c>
      <c r="G1018" s="12">
        <v>46256</v>
      </c>
      <c r="H1018" s="11" t="s">
        <v>21</v>
      </c>
      <c r="I1018" s="11" t="s">
        <v>51</v>
      </c>
    </row>
    <row r="1019" spans="1:9" hidden="1">
      <c r="A1019" s="13">
        <f t="shared" si="15"/>
        <v>1014</v>
      </c>
      <c r="B1019" s="10" t="s">
        <v>310</v>
      </c>
      <c r="C1019" s="13" t="s">
        <v>6844</v>
      </c>
      <c r="D1019" s="13" t="s">
        <v>18</v>
      </c>
      <c r="E1019" s="13">
        <v>10</v>
      </c>
      <c r="F1019" s="14">
        <v>44272</v>
      </c>
      <c r="G1019" s="14">
        <v>46097</v>
      </c>
      <c r="H1019" s="13" t="s">
        <v>21</v>
      </c>
      <c r="I1019" s="13" t="s">
        <v>51</v>
      </c>
    </row>
    <row r="1020" spans="1:9" hidden="1">
      <c r="A1020" s="11">
        <f t="shared" si="15"/>
        <v>1015</v>
      </c>
      <c r="B1020" s="9" t="s">
        <v>310</v>
      </c>
      <c r="C1020" s="11" t="s">
        <v>6845</v>
      </c>
      <c r="D1020" s="11" t="s">
        <v>18</v>
      </c>
      <c r="E1020" s="11">
        <v>24</v>
      </c>
      <c r="F1020" s="12">
        <v>44239</v>
      </c>
      <c r="G1020" s="12">
        <v>46064</v>
      </c>
      <c r="H1020" s="11" t="s">
        <v>21</v>
      </c>
      <c r="I1020" s="11" t="s">
        <v>51</v>
      </c>
    </row>
    <row r="1021" spans="1:9" hidden="1">
      <c r="A1021" s="13">
        <f t="shared" si="15"/>
        <v>1016</v>
      </c>
      <c r="B1021" s="10" t="s">
        <v>335</v>
      </c>
      <c r="C1021" s="13" t="s">
        <v>6846</v>
      </c>
      <c r="D1021" s="13" t="s">
        <v>18</v>
      </c>
      <c r="E1021" s="13">
        <v>33</v>
      </c>
      <c r="F1021" s="14">
        <v>44322</v>
      </c>
      <c r="G1021" s="14">
        <v>46147</v>
      </c>
      <c r="H1021" s="13" t="s">
        <v>21</v>
      </c>
      <c r="I1021" s="13" t="s">
        <v>51</v>
      </c>
    </row>
    <row r="1022" spans="1:9" hidden="1">
      <c r="A1022" s="11">
        <f t="shared" si="15"/>
        <v>1017</v>
      </c>
      <c r="B1022" s="9" t="s">
        <v>327</v>
      </c>
      <c r="C1022" s="11" t="s">
        <v>6847</v>
      </c>
      <c r="D1022" s="11" t="s">
        <v>18</v>
      </c>
      <c r="E1022" s="11">
        <v>54</v>
      </c>
      <c r="F1022" s="12">
        <v>44677</v>
      </c>
      <c r="G1022" s="12">
        <v>46502</v>
      </c>
      <c r="H1022" s="11" t="s">
        <v>21</v>
      </c>
      <c r="I1022" s="11" t="s">
        <v>51</v>
      </c>
    </row>
    <row r="1023" spans="1:9" hidden="1">
      <c r="A1023" s="13">
        <f t="shared" si="15"/>
        <v>1018</v>
      </c>
      <c r="B1023" s="10" t="s">
        <v>221</v>
      </c>
      <c r="C1023" s="13" t="s">
        <v>6848</v>
      </c>
      <c r="D1023" s="13" t="s">
        <v>18</v>
      </c>
      <c r="E1023" s="13">
        <v>4</v>
      </c>
      <c r="F1023" s="14">
        <v>44659</v>
      </c>
      <c r="G1023" s="14">
        <v>46484</v>
      </c>
      <c r="H1023" s="13" t="s">
        <v>21</v>
      </c>
      <c r="I1023" s="13" t="s">
        <v>51</v>
      </c>
    </row>
    <row r="1024" spans="1:9" hidden="1">
      <c r="A1024" s="11">
        <f t="shared" si="15"/>
        <v>1019</v>
      </c>
      <c r="B1024" s="9" t="s">
        <v>221</v>
      </c>
      <c r="C1024" s="11" t="s">
        <v>6849</v>
      </c>
      <c r="D1024" s="11" t="s">
        <v>18</v>
      </c>
      <c r="E1024" s="11">
        <v>30</v>
      </c>
      <c r="F1024" s="12">
        <v>44659</v>
      </c>
      <c r="G1024" s="12">
        <v>46484</v>
      </c>
      <c r="H1024" s="11" t="s">
        <v>21</v>
      </c>
      <c r="I1024" s="11" t="s">
        <v>51</v>
      </c>
    </row>
    <row r="1025" spans="1:9" hidden="1">
      <c r="A1025" s="13">
        <f t="shared" si="15"/>
        <v>1020</v>
      </c>
      <c r="B1025" s="10" t="s">
        <v>221</v>
      </c>
      <c r="C1025" s="13" t="s">
        <v>6850</v>
      </c>
      <c r="D1025" s="13" t="s">
        <v>18</v>
      </c>
      <c r="E1025" s="13">
        <v>35</v>
      </c>
      <c r="F1025" s="14">
        <v>44659</v>
      </c>
      <c r="G1025" s="14">
        <v>46484</v>
      </c>
      <c r="H1025" s="13" t="s">
        <v>21</v>
      </c>
      <c r="I1025" s="13" t="s">
        <v>51</v>
      </c>
    </row>
    <row r="1026" spans="1:9" hidden="1">
      <c r="A1026" s="11">
        <f t="shared" si="15"/>
        <v>1021</v>
      </c>
      <c r="B1026" s="9" t="s">
        <v>221</v>
      </c>
      <c r="C1026" s="11" t="s">
        <v>6851</v>
      </c>
      <c r="D1026" s="11" t="s">
        <v>18</v>
      </c>
      <c r="E1026" s="11">
        <v>16</v>
      </c>
      <c r="F1026" s="12">
        <v>44659</v>
      </c>
      <c r="G1026" s="12">
        <v>46484</v>
      </c>
      <c r="H1026" s="11" t="s">
        <v>21</v>
      </c>
      <c r="I1026" s="11" t="s">
        <v>51</v>
      </c>
    </row>
    <row r="1027" spans="1:9" hidden="1">
      <c r="A1027" s="13">
        <f t="shared" si="15"/>
        <v>1022</v>
      </c>
      <c r="B1027" s="10" t="s">
        <v>5712</v>
      </c>
      <c r="C1027" s="13" t="s">
        <v>6852</v>
      </c>
      <c r="D1027" s="13" t="s">
        <v>18</v>
      </c>
      <c r="E1027" s="13">
        <v>1</v>
      </c>
      <c r="F1027" s="14">
        <v>45071</v>
      </c>
      <c r="G1027" s="14">
        <v>46897</v>
      </c>
      <c r="H1027" s="13" t="s">
        <v>21</v>
      </c>
      <c r="I1027" s="13" t="s">
        <v>51</v>
      </c>
    </row>
    <row r="1028" spans="1:9" hidden="1">
      <c r="A1028" s="11">
        <f t="shared" si="15"/>
        <v>1023</v>
      </c>
      <c r="B1028" s="9" t="s">
        <v>432</v>
      </c>
      <c r="C1028" s="11" t="s">
        <v>6853</v>
      </c>
      <c r="D1028" s="11" t="s">
        <v>18</v>
      </c>
      <c r="E1028" s="11">
        <v>10</v>
      </c>
      <c r="F1028" s="12">
        <v>45104</v>
      </c>
      <c r="G1028" s="12">
        <v>46930</v>
      </c>
      <c r="H1028" s="11" t="s">
        <v>21</v>
      </c>
      <c r="I1028" s="11" t="s">
        <v>51</v>
      </c>
    </row>
    <row r="1029" spans="1:9" hidden="1">
      <c r="A1029" s="13">
        <f t="shared" si="15"/>
        <v>1024</v>
      </c>
      <c r="B1029" s="10" t="s">
        <v>432</v>
      </c>
      <c r="C1029" s="13" t="s">
        <v>6854</v>
      </c>
      <c r="D1029" s="13" t="s">
        <v>18</v>
      </c>
      <c r="E1029" s="13">
        <v>9</v>
      </c>
      <c r="F1029" s="14">
        <v>45104</v>
      </c>
      <c r="G1029" s="14">
        <v>46930</v>
      </c>
      <c r="H1029" s="13" t="s">
        <v>21</v>
      </c>
      <c r="I1029" s="13" t="s">
        <v>51</v>
      </c>
    </row>
    <row r="1030" spans="1:9" hidden="1">
      <c r="A1030" s="11">
        <f t="shared" si="15"/>
        <v>1025</v>
      </c>
      <c r="B1030" s="9" t="s">
        <v>5710</v>
      </c>
      <c r="C1030" s="11" t="s">
        <v>6855</v>
      </c>
      <c r="D1030" s="11" t="s">
        <v>18</v>
      </c>
      <c r="E1030" s="11">
        <v>27</v>
      </c>
      <c r="F1030" s="12">
        <v>45146</v>
      </c>
      <c r="G1030" s="12">
        <v>46972</v>
      </c>
      <c r="H1030" s="11" t="s">
        <v>21</v>
      </c>
      <c r="I1030" s="11" t="s">
        <v>51</v>
      </c>
    </row>
    <row r="1037" spans="1:9">
      <c r="C1037" s="853"/>
      <c r="D1037" s="853"/>
    </row>
  </sheetData>
  <autoFilter ref="A5:I1030" xr:uid="{2C2720B3-010C-4DB8-AF99-282F3D64D916}">
    <filterColumn colId="3">
      <filters>
        <filter val="PER"/>
      </filters>
    </filterColumn>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C7ED8-3940-4DBE-AAFD-A20F19D292F2}">
  <sheetPr codeName="Feuil47">
    <tabColor rgb="FF92D050"/>
    <pageSetUpPr fitToPage="1"/>
  </sheetPr>
  <dimension ref="A2:I2566"/>
  <sheetViews>
    <sheetView showGridLines="0" topLeftCell="A2545" zoomScaleNormal="100" zoomScaleSheetLayoutView="85" zoomScalePageLayoutView="60" workbookViewId="0">
      <selection activeCell="D5" sqref="D5:D2566"/>
    </sheetView>
  </sheetViews>
  <sheetFormatPr baseColWidth="10" defaultColWidth="128" defaultRowHeight="13.5"/>
  <cols>
    <col min="1" max="1" width="7.25" style="613" customWidth="1"/>
    <col min="2" max="2" width="71.1640625" style="612" bestFit="1" customWidth="1"/>
    <col min="3" max="3" width="13.1640625" style="613" bestFit="1" customWidth="1"/>
    <col min="4" max="4" width="12.5" style="613" bestFit="1" customWidth="1"/>
    <col min="5" max="5" width="12.1640625" style="613" bestFit="1" customWidth="1"/>
    <col min="6" max="6" width="15.4140625" style="613" bestFit="1" customWidth="1"/>
    <col min="7" max="7" width="18" style="613" bestFit="1" customWidth="1"/>
    <col min="8" max="8" width="19.25" style="614" bestFit="1" customWidth="1"/>
    <col min="9" max="9" width="47.25" style="612" bestFit="1" customWidth="1"/>
    <col min="10" max="16384" width="128" style="612"/>
  </cols>
  <sheetData>
    <row r="2" spans="1:9">
      <c r="A2" s="535" t="s">
        <v>7214</v>
      </c>
    </row>
    <row r="4" spans="1:9" ht="20.149999999999999" customHeight="1">
      <c r="A4" s="615" t="s">
        <v>3</v>
      </c>
      <c r="B4" s="616" t="s">
        <v>8611</v>
      </c>
      <c r="C4" s="616" t="s">
        <v>8612</v>
      </c>
      <c r="D4" s="616" t="s">
        <v>8613</v>
      </c>
      <c r="E4" s="616" t="s">
        <v>8614</v>
      </c>
      <c r="F4" s="616" t="s">
        <v>8615</v>
      </c>
      <c r="G4" s="616" t="s">
        <v>8616</v>
      </c>
      <c r="H4" s="616" t="s">
        <v>2481</v>
      </c>
      <c r="I4" s="616" t="s">
        <v>8617</v>
      </c>
    </row>
    <row r="5" spans="1:9">
      <c r="A5" s="617">
        <v>1</v>
      </c>
      <c r="B5" s="618" t="s">
        <v>40</v>
      </c>
      <c r="C5" s="618" t="str">
        <f>"5"</f>
        <v>5</v>
      </c>
      <c r="D5" s="618" t="s">
        <v>13</v>
      </c>
      <c r="E5" s="618">
        <v>56</v>
      </c>
      <c r="F5" s="619">
        <v>38992</v>
      </c>
      <c r="G5" s="619">
        <v>42555</v>
      </c>
      <c r="H5" s="618" t="s">
        <v>56</v>
      </c>
      <c r="I5" s="618" t="s">
        <v>6858</v>
      </c>
    </row>
    <row r="6" spans="1:9">
      <c r="A6" s="620">
        <f>+A5+1</f>
        <v>2</v>
      </c>
      <c r="B6" s="621" t="s">
        <v>40</v>
      </c>
      <c r="C6" s="621" t="str">
        <f>"6"</f>
        <v>6</v>
      </c>
      <c r="D6" s="621" t="s">
        <v>13</v>
      </c>
      <c r="E6" s="621">
        <v>34</v>
      </c>
      <c r="F6" s="622">
        <v>38992</v>
      </c>
      <c r="G6" s="622">
        <v>42555</v>
      </c>
      <c r="H6" s="621" t="s">
        <v>56</v>
      </c>
      <c r="I6" s="621" t="s">
        <v>6858</v>
      </c>
    </row>
    <row r="7" spans="1:9">
      <c r="A7" s="617">
        <f t="shared" ref="A7:A70" si="0">+A6+1</f>
        <v>3</v>
      </c>
      <c r="B7" s="618" t="s">
        <v>40</v>
      </c>
      <c r="C7" s="618" t="str">
        <f>"11"</f>
        <v>11</v>
      </c>
      <c r="D7" s="618" t="s">
        <v>13</v>
      </c>
      <c r="E7" s="618">
        <v>375</v>
      </c>
      <c r="F7" s="619">
        <v>38992</v>
      </c>
      <c r="G7" s="619">
        <v>42555</v>
      </c>
      <c r="H7" s="618" t="s">
        <v>41</v>
      </c>
      <c r="I7" s="618" t="s">
        <v>6859</v>
      </c>
    </row>
    <row r="8" spans="1:9">
      <c r="A8" s="620">
        <f t="shared" si="0"/>
        <v>4</v>
      </c>
      <c r="B8" s="621" t="s">
        <v>40</v>
      </c>
      <c r="C8" s="621" t="str">
        <f>"12"</f>
        <v>12</v>
      </c>
      <c r="D8" s="621" t="s">
        <v>13</v>
      </c>
      <c r="E8" s="621">
        <v>434</v>
      </c>
      <c r="F8" s="622">
        <v>36469</v>
      </c>
      <c r="G8" s="622">
        <v>42555</v>
      </c>
      <c r="H8" s="621" t="s">
        <v>41</v>
      </c>
      <c r="I8" s="621" t="s">
        <v>6858</v>
      </c>
    </row>
    <row r="9" spans="1:9">
      <c r="A9" s="617">
        <f t="shared" si="0"/>
        <v>5</v>
      </c>
      <c r="B9" s="618" t="s">
        <v>48</v>
      </c>
      <c r="C9" s="618" t="str">
        <f>"13"</f>
        <v>13</v>
      </c>
      <c r="D9" s="618" t="s">
        <v>13</v>
      </c>
      <c r="E9" s="618">
        <v>72</v>
      </c>
      <c r="F9" s="619">
        <v>42556</v>
      </c>
      <c r="G9" s="619">
        <v>48033</v>
      </c>
      <c r="H9" s="618" t="s">
        <v>41</v>
      </c>
      <c r="I9" s="618" t="s">
        <v>6859</v>
      </c>
    </row>
    <row r="10" spans="1:9">
      <c r="A10" s="620">
        <f t="shared" si="0"/>
        <v>6</v>
      </c>
      <c r="B10" s="621" t="s">
        <v>40</v>
      </c>
      <c r="C10" s="621" t="str">
        <f>"14"</f>
        <v>14</v>
      </c>
      <c r="D10" s="621" t="s">
        <v>13</v>
      </c>
      <c r="E10" s="621">
        <v>174</v>
      </c>
      <c r="F10" s="622">
        <v>38992</v>
      </c>
      <c r="G10" s="622">
        <v>42555</v>
      </c>
      <c r="H10" s="621" t="s">
        <v>41</v>
      </c>
      <c r="I10" s="621" t="s">
        <v>6858</v>
      </c>
    </row>
    <row r="11" spans="1:9">
      <c r="A11" s="617">
        <f t="shared" si="0"/>
        <v>7</v>
      </c>
      <c r="B11" s="618" t="s">
        <v>40</v>
      </c>
      <c r="C11" s="618" t="str">
        <f>"15"</f>
        <v>15</v>
      </c>
      <c r="D11" s="618" t="s">
        <v>13</v>
      </c>
      <c r="E11" s="618">
        <v>49</v>
      </c>
      <c r="F11" s="619">
        <v>38992</v>
      </c>
      <c r="G11" s="619">
        <v>42555</v>
      </c>
      <c r="H11" s="618" t="s">
        <v>56</v>
      </c>
      <c r="I11" s="618" t="s">
        <v>6858</v>
      </c>
    </row>
    <row r="12" spans="1:9">
      <c r="A12" s="620">
        <f t="shared" si="0"/>
        <v>8</v>
      </c>
      <c r="B12" s="621" t="s">
        <v>40</v>
      </c>
      <c r="C12" s="621" t="str">
        <f>"16"</f>
        <v>16</v>
      </c>
      <c r="D12" s="621" t="s">
        <v>13</v>
      </c>
      <c r="E12" s="621">
        <v>18</v>
      </c>
      <c r="F12" s="622">
        <v>38992</v>
      </c>
      <c r="G12" s="622">
        <v>42555</v>
      </c>
      <c r="H12" s="621" t="s">
        <v>56</v>
      </c>
      <c r="I12" s="621" t="s">
        <v>6858</v>
      </c>
    </row>
    <row r="13" spans="1:9">
      <c r="A13" s="617">
        <f t="shared" si="0"/>
        <v>9</v>
      </c>
      <c r="B13" s="618" t="s">
        <v>50</v>
      </c>
      <c r="C13" s="618" t="str">
        <f>"17"</f>
        <v>17</v>
      </c>
      <c r="D13" s="618" t="s">
        <v>13</v>
      </c>
      <c r="E13" s="618">
        <v>216</v>
      </c>
      <c r="F13" s="619">
        <v>36104</v>
      </c>
      <c r="G13" s="619">
        <v>48216</v>
      </c>
      <c r="H13" s="618" t="s">
        <v>41</v>
      </c>
      <c r="I13" s="618" t="s">
        <v>51</v>
      </c>
    </row>
    <row r="14" spans="1:9">
      <c r="A14" s="620">
        <f t="shared" si="0"/>
        <v>10</v>
      </c>
      <c r="B14" s="621" t="s">
        <v>52</v>
      </c>
      <c r="C14" s="621" t="str">
        <f>"18"</f>
        <v>18</v>
      </c>
      <c r="D14" s="621" t="s">
        <v>13</v>
      </c>
      <c r="E14" s="621">
        <v>203</v>
      </c>
      <c r="F14" s="622">
        <v>42632</v>
      </c>
      <c r="G14" s="622">
        <v>48109</v>
      </c>
      <c r="H14" s="621" t="s">
        <v>41</v>
      </c>
      <c r="I14" s="621" t="s">
        <v>51</v>
      </c>
    </row>
    <row r="15" spans="1:9">
      <c r="A15" s="617">
        <f t="shared" si="0"/>
        <v>11</v>
      </c>
      <c r="B15" s="618" t="s">
        <v>48</v>
      </c>
      <c r="C15" s="618" t="str">
        <f>"19"</f>
        <v>19</v>
      </c>
      <c r="D15" s="618" t="s">
        <v>13</v>
      </c>
      <c r="E15" s="618">
        <v>329</v>
      </c>
      <c r="F15" s="619">
        <v>42556</v>
      </c>
      <c r="G15" s="619">
        <v>48033</v>
      </c>
      <c r="H15" s="618" t="s">
        <v>41</v>
      </c>
      <c r="I15" s="618" t="s">
        <v>6859</v>
      </c>
    </row>
    <row r="16" spans="1:9">
      <c r="A16" s="620">
        <f t="shared" si="0"/>
        <v>12</v>
      </c>
      <c r="B16" s="621" t="s">
        <v>40</v>
      </c>
      <c r="C16" s="621" t="str">
        <f>"20"</f>
        <v>20</v>
      </c>
      <c r="D16" s="621" t="s">
        <v>13</v>
      </c>
      <c r="E16" s="621">
        <v>291</v>
      </c>
      <c r="F16" s="622">
        <v>36105</v>
      </c>
      <c r="G16" s="622">
        <v>42556</v>
      </c>
      <c r="H16" s="621" t="s">
        <v>41</v>
      </c>
      <c r="I16" s="621" t="s">
        <v>6858</v>
      </c>
    </row>
    <row r="17" spans="1:9">
      <c r="A17" s="617">
        <f t="shared" si="0"/>
        <v>13</v>
      </c>
      <c r="B17" s="618" t="s">
        <v>53</v>
      </c>
      <c r="C17" s="618" t="str">
        <f>"21"</f>
        <v>21</v>
      </c>
      <c r="D17" s="618" t="s">
        <v>13</v>
      </c>
      <c r="E17" s="618">
        <v>351</v>
      </c>
      <c r="F17" s="619">
        <v>42556</v>
      </c>
      <c r="G17" s="619">
        <v>48033</v>
      </c>
      <c r="H17" s="618" t="s">
        <v>41</v>
      </c>
      <c r="I17" s="618" t="s">
        <v>51</v>
      </c>
    </row>
    <row r="18" spans="1:9">
      <c r="A18" s="620">
        <f t="shared" si="0"/>
        <v>14</v>
      </c>
      <c r="B18" s="621" t="s">
        <v>40</v>
      </c>
      <c r="C18" s="621" t="str">
        <f>"22"</f>
        <v>22</v>
      </c>
      <c r="D18" s="621" t="s">
        <v>13</v>
      </c>
      <c r="E18" s="621">
        <v>244</v>
      </c>
      <c r="F18" s="622">
        <v>36105</v>
      </c>
      <c r="G18" s="622">
        <v>42556</v>
      </c>
      <c r="H18" s="621" t="s">
        <v>41</v>
      </c>
      <c r="I18" s="621" t="s">
        <v>6858</v>
      </c>
    </row>
    <row r="19" spans="1:9">
      <c r="A19" s="617">
        <f t="shared" si="0"/>
        <v>15</v>
      </c>
      <c r="B19" s="618" t="s">
        <v>40</v>
      </c>
      <c r="C19" s="618" t="str">
        <f>"26"</f>
        <v>26</v>
      </c>
      <c r="D19" s="618" t="s">
        <v>13</v>
      </c>
      <c r="E19" s="618">
        <v>142</v>
      </c>
      <c r="F19" s="619">
        <v>36114</v>
      </c>
      <c r="G19" s="619">
        <v>42595</v>
      </c>
      <c r="H19" s="618" t="s">
        <v>56</v>
      </c>
      <c r="I19" s="618" t="s">
        <v>6858</v>
      </c>
    </row>
    <row r="20" spans="1:9">
      <c r="A20" s="620">
        <f t="shared" si="0"/>
        <v>16</v>
      </c>
      <c r="B20" s="621" t="s">
        <v>40</v>
      </c>
      <c r="C20" s="621" t="str">
        <f>"27"</f>
        <v>27</v>
      </c>
      <c r="D20" s="621" t="s">
        <v>13</v>
      </c>
      <c r="E20" s="621">
        <v>176</v>
      </c>
      <c r="F20" s="622">
        <v>36114</v>
      </c>
      <c r="G20" s="622">
        <v>42596</v>
      </c>
      <c r="H20" s="621" t="s">
        <v>41</v>
      </c>
      <c r="I20" s="621" t="s">
        <v>6858</v>
      </c>
    </row>
    <row r="21" spans="1:9">
      <c r="A21" s="617">
        <f t="shared" si="0"/>
        <v>17</v>
      </c>
      <c r="B21" s="618" t="s">
        <v>54</v>
      </c>
      <c r="C21" s="618" t="str">
        <f>"32"</f>
        <v>32</v>
      </c>
      <c r="D21" s="618" t="s">
        <v>13</v>
      </c>
      <c r="E21" s="618">
        <v>9</v>
      </c>
      <c r="F21" s="619">
        <v>43357</v>
      </c>
      <c r="G21" s="619">
        <v>48835</v>
      </c>
      <c r="H21" s="618" t="s">
        <v>16</v>
      </c>
      <c r="I21" s="618" t="s">
        <v>6860</v>
      </c>
    </row>
    <row r="22" spans="1:9">
      <c r="A22" s="620">
        <f t="shared" si="0"/>
        <v>18</v>
      </c>
      <c r="B22" s="621" t="s">
        <v>55</v>
      </c>
      <c r="C22" s="621" t="str">
        <f>"36"</f>
        <v>36</v>
      </c>
      <c r="D22" s="621" t="s">
        <v>13</v>
      </c>
      <c r="E22" s="621">
        <v>115</v>
      </c>
      <c r="F22" s="622">
        <v>42632</v>
      </c>
      <c r="G22" s="622">
        <v>48109</v>
      </c>
      <c r="H22" s="621" t="s">
        <v>56</v>
      </c>
      <c r="I22" s="621" t="s">
        <v>51</v>
      </c>
    </row>
    <row r="23" spans="1:9">
      <c r="A23" s="617">
        <f t="shared" si="0"/>
        <v>19</v>
      </c>
      <c r="B23" s="618" t="s">
        <v>55</v>
      </c>
      <c r="C23" s="618" t="str">
        <f>"37"</f>
        <v>37</v>
      </c>
      <c r="D23" s="618" t="s">
        <v>13</v>
      </c>
      <c r="E23" s="618">
        <v>356</v>
      </c>
      <c r="F23" s="619">
        <v>42632</v>
      </c>
      <c r="G23" s="619">
        <v>48109</v>
      </c>
      <c r="H23" s="618" t="s">
        <v>56</v>
      </c>
      <c r="I23" s="618" t="s">
        <v>51</v>
      </c>
    </row>
    <row r="24" spans="1:9">
      <c r="A24" s="620">
        <f t="shared" si="0"/>
        <v>20</v>
      </c>
      <c r="B24" s="621" t="s">
        <v>62</v>
      </c>
      <c r="C24" s="621" t="str">
        <f>"38"</f>
        <v>38</v>
      </c>
      <c r="D24" s="621" t="s">
        <v>13</v>
      </c>
      <c r="E24" s="621">
        <v>368</v>
      </c>
      <c r="F24" s="622">
        <v>42632</v>
      </c>
      <c r="G24" s="622">
        <v>48109</v>
      </c>
      <c r="H24" s="621" t="s">
        <v>56</v>
      </c>
      <c r="I24" s="621" t="s">
        <v>51</v>
      </c>
    </row>
    <row r="25" spans="1:9">
      <c r="A25" s="617">
        <f t="shared" si="0"/>
        <v>21</v>
      </c>
      <c r="B25" s="618" t="s">
        <v>55</v>
      </c>
      <c r="C25" s="618" t="str">
        <f>"39"</f>
        <v>39</v>
      </c>
      <c r="D25" s="618" t="s">
        <v>13</v>
      </c>
      <c r="E25" s="618">
        <v>271</v>
      </c>
      <c r="F25" s="619">
        <v>42632</v>
      </c>
      <c r="G25" s="619">
        <v>48109</v>
      </c>
      <c r="H25" s="618" t="s">
        <v>56</v>
      </c>
      <c r="I25" s="618" t="s">
        <v>51</v>
      </c>
    </row>
    <row r="26" spans="1:9">
      <c r="A26" s="620">
        <f t="shared" si="0"/>
        <v>22</v>
      </c>
      <c r="B26" s="621" t="s">
        <v>57</v>
      </c>
      <c r="C26" s="621" t="str">
        <f>"40"</f>
        <v>40</v>
      </c>
      <c r="D26" s="621" t="s">
        <v>13</v>
      </c>
      <c r="E26" s="621">
        <v>241</v>
      </c>
      <c r="F26" s="622">
        <v>42632</v>
      </c>
      <c r="G26" s="622">
        <v>48109</v>
      </c>
      <c r="H26" s="621" t="s">
        <v>56</v>
      </c>
      <c r="I26" s="621" t="s">
        <v>51</v>
      </c>
    </row>
    <row r="27" spans="1:9">
      <c r="A27" s="617">
        <f t="shared" si="0"/>
        <v>23</v>
      </c>
      <c r="B27" s="618" t="s">
        <v>57</v>
      </c>
      <c r="C27" s="618" t="str">
        <f>"41"</f>
        <v>41</v>
      </c>
      <c r="D27" s="618" t="s">
        <v>13</v>
      </c>
      <c r="E27" s="618">
        <v>171</v>
      </c>
      <c r="F27" s="619">
        <v>42632</v>
      </c>
      <c r="G27" s="619">
        <v>48109</v>
      </c>
      <c r="H27" s="618" t="s">
        <v>56</v>
      </c>
      <c r="I27" s="618" t="s">
        <v>51</v>
      </c>
    </row>
    <row r="28" spans="1:9">
      <c r="A28" s="620">
        <f t="shared" si="0"/>
        <v>24</v>
      </c>
      <c r="B28" s="621" t="s">
        <v>57</v>
      </c>
      <c r="C28" s="621" t="str">
        <f>"42"</f>
        <v>42</v>
      </c>
      <c r="D28" s="621" t="s">
        <v>13</v>
      </c>
      <c r="E28" s="621">
        <v>284</v>
      </c>
      <c r="F28" s="622">
        <v>42632</v>
      </c>
      <c r="G28" s="622">
        <v>48109</v>
      </c>
      <c r="H28" s="621" t="s">
        <v>56</v>
      </c>
      <c r="I28" s="621" t="s">
        <v>51</v>
      </c>
    </row>
    <row r="29" spans="1:9">
      <c r="A29" s="617">
        <f t="shared" si="0"/>
        <v>25</v>
      </c>
      <c r="B29" s="618" t="s">
        <v>57</v>
      </c>
      <c r="C29" s="618" t="str">
        <f>"43"</f>
        <v>43</v>
      </c>
      <c r="D29" s="618" t="s">
        <v>13</v>
      </c>
      <c r="E29" s="618">
        <v>251</v>
      </c>
      <c r="F29" s="619">
        <v>42632</v>
      </c>
      <c r="G29" s="619">
        <v>48109</v>
      </c>
      <c r="H29" s="618" t="s">
        <v>56</v>
      </c>
      <c r="I29" s="618" t="s">
        <v>51</v>
      </c>
    </row>
    <row r="30" spans="1:9">
      <c r="A30" s="620">
        <f t="shared" si="0"/>
        <v>26</v>
      </c>
      <c r="B30" s="621" t="s">
        <v>57</v>
      </c>
      <c r="C30" s="621" t="str">
        <f>"44"</f>
        <v>44</v>
      </c>
      <c r="D30" s="621" t="s">
        <v>13</v>
      </c>
      <c r="E30" s="621">
        <v>271</v>
      </c>
      <c r="F30" s="622">
        <v>42632</v>
      </c>
      <c r="G30" s="622">
        <v>48109</v>
      </c>
      <c r="H30" s="621" t="s">
        <v>56</v>
      </c>
      <c r="I30" s="621" t="s">
        <v>51</v>
      </c>
    </row>
    <row r="31" spans="1:9">
      <c r="A31" s="617">
        <f t="shared" si="0"/>
        <v>27</v>
      </c>
      <c r="B31" s="618" t="s">
        <v>57</v>
      </c>
      <c r="C31" s="618" t="str">
        <f>"68"</f>
        <v>68</v>
      </c>
      <c r="D31" s="618" t="s">
        <v>13</v>
      </c>
      <c r="E31" s="618">
        <v>140</v>
      </c>
      <c r="F31" s="619">
        <v>42739</v>
      </c>
      <c r="G31" s="619">
        <v>48216</v>
      </c>
      <c r="H31" s="618" t="s">
        <v>56</v>
      </c>
      <c r="I31" s="618" t="s">
        <v>51</v>
      </c>
    </row>
    <row r="32" spans="1:9">
      <c r="A32" s="620">
        <f t="shared" si="0"/>
        <v>28</v>
      </c>
      <c r="B32" s="621" t="s">
        <v>40</v>
      </c>
      <c r="C32" s="621" t="str">
        <f>"69"</f>
        <v>69</v>
      </c>
      <c r="D32" s="621" t="s">
        <v>13</v>
      </c>
      <c r="E32" s="621">
        <v>143</v>
      </c>
      <c r="F32" s="622">
        <v>36254</v>
      </c>
      <c r="G32" s="622">
        <v>42738</v>
      </c>
      <c r="H32" s="621" t="s">
        <v>41</v>
      </c>
      <c r="I32" s="621" t="s">
        <v>6858</v>
      </c>
    </row>
    <row r="33" spans="1:9">
      <c r="A33" s="617">
        <f t="shared" si="0"/>
        <v>29</v>
      </c>
      <c r="B33" s="618" t="s">
        <v>40</v>
      </c>
      <c r="C33" s="618" t="str">
        <f>"70"</f>
        <v>70</v>
      </c>
      <c r="D33" s="618" t="s">
        <v>13</v>
      </c>
      <c r="E33" s="618">
        <v>438</v>
      </c>
      <c r="F33" s="619">
        <v>36254</v>
      </c>
      <c r="G33" s="619">
        <v>42738</v>
      </c>
      <c r="H33" s="618" t="s">
        <v>19</v>
      </c>
      <c r="I33" s="618" t="s">
        <v>6858</v>
      </c>
    </row>
    <row r="34" spans="1:9">
      <c r="A34" s="620">
        <f t="shared" si="0"/>
        <v>30</v>
      </c>
      <c r="B34" s="621" t="s">
        <v>40</v>
      </c>
      <c r="C34" s="621" t="str">
        <f>"71"</f>
        <v>71</v>
      </c>
      <c r="D34" s="621" t="s">
        <v>13</v>
      </c>
      <c r="E34" s="621">
        <v>160</v>
      </c>
      <c r="F34" s="622">
        <v>42739</v>
      </c>
      <c r="G34" s="622">
        <v>48216</v>
      </c>
      <c r="H34" s="621" t="s">
        <v>19</v>
      </c>
      <c r="I34" s="621" t="s">
        <v>6861</v>
      </c>
    </row>
    <row r="35" spans="1:9">
      <c r="A35" s="617">
        <f t="shared" si="0"/>
        <v>31</v>
      </c>
      <c r="B35" s="618" t="s">
        <v>40</v>
      </c>
      <c r="C35" s="618" t="str">
        <f>"72"</f>
        <v>72</v>
      </c>
      <c r="D35" s="618" t="s">
        <v>13</v>
      </c>
      <c r="E35" s="618">
        <v>16</v>
      </c>
      <c r="F35" s="619">
        <v>36254</v>
      </c>
      <c r="G35" s="619">
        <v>42738</v>
      </c>
      <c r="H35" s="618" t="s">
        <v>19</v>
      </c>
      <c r="I35" s="618" t="s">
        <v>6858</v>
      </c>
    </row>
    <row r="36" spans="1:9">
      <c r="A36" s="620">
        <f t="shared" si="0"/>
        <v>32</v>
      </c>
      <c r="B36" s="621" t="s">
        <v>40</v>
      </c>
      <c r="C36" s="621" t="str">
        <f>"73"</f>
        <v>73</v>
      </c>
      <c r="D36" s="621" t="s">
        <v>13</v>
      </c>
      <c r="E36" s="621">
        <v>57</v>
      </c>
      <c r="F36" s="622">
        <v>36254</v>
      </c>
      <c r="G36" s="622">
        <v>42738</v>
      </c>
      <c r="H36" s="621" t="s">
        <v>19</v>
      </c>
      <c r="I36" s="621" t="s">
        <v>6858</v>
      </c>
    </row>
    <row r="37" spans="1:9">
      <c r="A37" s="617">
        <f t="shared" si="0"/>
        <v>33</v>
      </c>
      <c r="B37" s="618" t="s">
        <v>40</v>
      </c>
      <c r="C37" s="618" t="str">
        <f>"74"</f>
        <v>74</v>
      </c>
      <c r="D37" s="618" t="s">
        <v>13</v>
      </c>
      <c r="E37" s="618">
        <v>225</v>
      </c>
      <c r="F37" s="619">
        <v>36254</v>
      </c>
      <c r="G37" s="619">
        <v>42738</v>
      </c>
      <c r="H37" s="618" t="s">
        <v>19</v>
      </c>
      <c r="I37" s="618" t="s">
        <v>6858</v>
      </c>
    </row>
    <row r="38" spans="1:9">
      <c r="A38" s="620">
        <f t="shared" si="0"/>
        <v>34</v>
      </c>
      <c r="B38" s="621" t="s">
        <v>40</v>
      </c>
      <c r="C38" s="621" t="str">
        <f>"75"</f>
        <v>75</v>
      </c>
      <c r="D38" s="621" t="s">
        <v>13</v>
      </c>
      <c r="E38" s="621">
        <v>275</v>
      </c>
      <c r="F38" s="622">
        <v>36254</v>
      </c>
      <c r="G38" s="622">
        <v>42738</v>
      </c>
      <c r="H38" s="621" t="s">
        <v>19</v>
      </c>
      <c r="I38" s="621" t="s">
        <v>6858</v>
      </c>
    </row>
    <row r="39" spans="1:9">
      <c r="A39" s="617">
        <f t="shared" si="0"/>
        <v>35</v>
      </c>
      <c r="B39" s="618" t="s">
        <v>50</v>
      </c>
      <c r="C39" s="618" t="str">
        <f>"76"</f>
        <v>76</v>
      </c>
      <c r="D39" s="618" t="s">
        <v>13</v>
      </c>
      <c r="E39" s="618">
        <v>324</v>
      </c>
      <c r="F39" s="619">
        <v>36254</v>
      </c>
      <c r="G39" s="619">
        <v>48216</v>
      </c>
      <c r="H39" s="618" t="s">
        <v>19</v>
      </c>
      <c r="I39" s="618" t="s">
        <v>51</v>
      </c>
    </row>
    <row r="40" spans="1:9">
      <c r="A40" s="620">
        <f t="shared" si="0"/>
        <v>36</v>
      </c>
      <c r="B40" s="621" t="s">
        <v>40</v>
      </c>
      <c r="C40" s="621" t="str">
        <f>"77"</f>
        <v>77</v>
      </c>
      <c r="D40" s="621" t="s">
        <v>13</v>
      </c>
      <c r="E40" s="621">
        <v>205</v>
      </c>
      <c r="F40" s="622">
        <v>36254</v>
      </c>
      <c r="G40" s="622">
        <v>42738</v>
      </c>
      <c r="H40" s="621" t="s">
        <v>19</v>
      </c>
      <c r="I40" s="621" t="s">
        <v>6858</v>
      </c>
    </row>
    <row r="41" spans="1:9">
      <c r="A41" s="617">
        <f t="shared" si="0"/>
        <v>37</v>
      </c>
      <c r="B41" s="618" t="s">
        <v>40</v>
      </c>
      <c r="C41" s="618" t="str">
        <f>"78"</f>
        <v>78</v>
      </c>
      <c r="D41" s="618" t="s">
        <v>13</v>
      </c>
      <c r="E41" s="618">
        <v>418</v>
      </c>
      <c r="F41" s="619">
        <v>42739</v>
      </c>
      <c r="G41" s="619">
        <v>48216</v>
      </c>
      <c r="H41" s="618" t="s">
        <v>41</v>
      </c>
      <c r="I41" s="618" t="s">
        <v>6859</v>
      </c>
    </row>
    <row r="42" spans="1:9">
      <c r="A42" s="620">
        <f t="shared" si="0"/>
        <v>38</v>
      </c>
      <c r="B42" s="621" t="s">
        <v>40</v>
      </c>
      <c r="C42" s="621" t="str">
        <f>"79"</f>
        <v>79</v>
      </c>
      <c r="D42" s="621" t="s">
        <v>13</v>
      </c>
      <c r="E42" s="621">
        <v>100</v>
      </c>
      <c r="F42" s="622">
        <v>36254</v>
      </c>
      <c r="G42" s="622">
        <v>42738</v>
      </c>
      <c r="H42" s="621" t="s">
        <v>19</v>
      </c>
      <c r="I42" s="621" t="s">
        <v>6858</v>
      </c>
    </row>
    <row r="43" spans="1:9">
      <c r="A43" s="617">
        <f t="shared" si="0"/>
        <v>39</v>
      </c>
      <c r="B43" s="618" t="s">
        <v>40</v>
      </c>
      <c r="C43" s="618" t="str">
        <f>"80"</f>
        <v>80</v>
      </c>
      <c r="D43" s="618" t="s">
        <v>13</v>
      </c>
      <c r="E43" s="618">
        <v>345</v>
      </c>
      <c r="F43" s="619">
        <v>36254</v>
      </c>
      <c r="G43" s="619">
        <v>42738</v>
      </c>
      <c r="H43" s="618" t="s">
        <v>56</v>
      </c>
      <c r="I43" s="618" t="s">
        <v>6858</v>
      </c>
    </row>
    <row r="44" spans="1:9">
      <c r="A44" s="620">
        <f t="shared" si="0"/>
        <v>40</v>
      </c>
      <c r="B44" s="621" t="s">
        <v>40</v>
      </c>
      <c r="C44" s="621" t="str">
        <f>"81"</f>
        <v>81</v>
      </c>
      <c r="D44" s="621" t="s">
        <v>13</v>
      </c>
      <c r="E44" s="621">
        <v>206</v>
      </c>
      <c r="F44" s="622">
        <v>36254</v>
      </c>
      <c r="G44" s="622">
        <v>42738</v>
      </c>
      <c r="H44" s="621" t="s">
        <v>56</v>
      </c>
      <c r="I44" s="621" t="s">
        <v>6858</v>
      </c>
    </row>
    <row r="45" spans="1:9">
      <c r="A45" s="617">
        <f t="shared" si="0"/>
        <v>41</v>
      </c>
      <c r="B45" s="618" t="s">
        <v>40</v>
      </c>
      <c r="C45" s="618" t="str">
        <f>"87"</f>
        <v>87</v>
      </c>
      <c r="D45" s="618" t="s">
        <v>13</v>
      </c>
      <c r="E45" s="618">
        <v>234</v>
      </c>
      <c r="F45" s="619">
        <v>36567</v>
      </c>
      <c r="G45" s="619">
        <v>43049</v>
      </c>
      <c r="H45" s="618" t="s">
        <v>41</v>
      </c>
      <c r="I45" s="618" t="s">
        <v>6858</v>
      </c>
    </row>
    <row r="46" spans="1:9">
      <c r="A46" s="620">
        <f t="shared" si="0"/>
        <v>42</v>
      </c>
      <c r="B46" s="621" t="s">
        <v>40</v>
      </c>
      <c r="C46" s="621" t="str">
        <f>"88"</f>
        <v>88</v>
      </c>
      <c r="D46" s="621" t="s">
        <v>13</v>
      </c>
      <c r="E46" s="621">
        <v>261</v>
      </c>
      <c r="F46" s="622">
        <v>38093</v>
      </c>
      <c r="G46" s="622">
        <v>44576</v>
      </c>
      <c r="H46" s="621" t="s">
        <v>41</v>
      </c>
      <c r="I46" s="621" t="s">
        <v>6859</v>
      </c>
    </row>
    <row r="47" spans="1:9">
      <c r="A47" s="617">
        <f t="shared" si="0"/>
        <v>43</v>
      </c>
      <c r="B47" s="618" t="s">
        <v>40</v>
      </c>
      <c r="C47" s="618" t="str">
        <f>"89"</f>
        <v>89</v>
      </c>
      <c r="D47" s="618" t="s">
        <v>13</v>
      </c>
      <c r="E47" s="618">
        <v>72</v>
      </c>
      <c r="F47" s="619">
        <v>36592</v>
      </c>
      <c r="G47" s="619">
        <v>43075</v>
      </c>
      <c r="H47" s="618" t="s">
        <v>41</v>
      </c>
      <c r="I47" s="618" t="s">
        <v>6858</v>
      </c>
    </row>
    <row r="48" spans="1:9">
      <c r="A48" s="620">
        <f t="shared" si="0"/>
        <v>44</v>
      </c>
      <c r="B48" s="621" t="s">
        <v>58</v>
      </c>
      <c r="C48" s="621" t="str">
        <f>"101"</f>
        <v>101</v>
      </c>
      <c r="D48" s="621" t="s">
        <v>13</v>
      </c>
      <c r="E48" s="621">
        <v>59</v>
      </c>
      <c r="F48" s="622">
        <v>44475</v>
      </c>
      <c r="G48" s="622">
        <v>49953</v>
      </c>
      <c r="H48" s="621" t="s">
        <v>14</v>
      </c>
      <c r="I48" s="621" t="s">
        <v>51</v>
      </c>
    </row>
    <row r="49" spans="1:9">
      <c r="A49" s="617">
        <f t="shared" si="0"/>
        <v>45</v>
      </c>
      <c r="B49" s="618" t="s">
        <v>64</v>
      </c>
      <c r="C49" s="618" t="str">
        <f>"102"</f>
        <v>102</v>
      </c>
      <c r="D49" s="618" t="s">
        <v>13</v>
      </c>
      <c r="E49" s="618">
        <v>55</v>
      </c>
      <c r="F49" s="619">
        <v>38828</v>
      </c>
      <c r="G49" s="619">
        <v>43743</v>
      </c>
      <c r="H49" s="618" t="s">
        <v>14</v>
      </c>
      <c r="I49" s="618" t="s">
        <v>385</v>
      </c>
    </row>
    <row r="50" spans="1:9">
      <c r="A50" s="620">
        <f t="shared" si="0"/>
        <v>46</v>
      </c>
      <c r="B50" s="621" t="s">
        <v>36</v>
      </c>
      <c r="C50" s="621" t="str">
        <f>"118"</f>
        <v>118</v>
      </c>
      <c r="D50" s="621" t="s">
        <v>13</v>
      </c>
      <c r="E50" s="621">
        <v>7</v>
      </c>
      <c r="F50" s="622">
        <v>44107</v>
      </c>
      <c r="G50" s="622">
        <v>49584</v>
      </c>
      <c r="H50" s="621" t="s">
        <v>45</v>
      </c>
      <c r="I50" s="621" t="s">
        <v>51</v>
      </c>
    </row>
    <row r="51" spans="1:9">
      <c r="A51" s="617">
        <f t="shared" si="0"/>
        <v>47</v>
      </c>
      <c r="B51" s="618" t="s">
        <v>36</v>
      </c>
      <c r="C51" s="618" t="str">
        <f>"119"</f>
        <v>119</v>
      </c>
      <c r="D51" s="618" t="s">
        <v>13</v>
      </c>
      <c r="E51" s="618">
        <v>101</v>
      </c>
      <c r="F51" s="619">
        <v>44107</v>
      </c>
      <c r="G51" s="619">
        <v>49584</v>
      </c>
      <c r="H51" s="618" t="s">
        <v>45</v>
      </c>
      <c r="I51" s="618" t="s">
        <v>51</v>
      </c>
    </row>
    <row r="52" spans="1:9">
      <c r="A52" s="620">
        <f t="shared" si="0"/>
        <v>48</v>
      </c>
      <c r="B52" s="621" t="s">
        <v>36</v>
      </c>
      <c r="C52" s="621" t="str">
        <f>"120"</f>
        <v>120</v>
      </c>
      <c r="D52" s="621" t="s">
        <v>13</v>
      </c>
      <c r="E52" s="621">
        <v>18</v>
      </c>
      <c r="F52" s="622">
        <v>38628</v>
      </c>
      <c r="G52" s="622">
        <v>44106</v>
      </c>
      <c r="H52" s="621" t="s">
        <v>16</v>
      </c>
      <c r="I52" s="621" t="s">
        <v>6858</v>
      </c>
    </row>
    <row r="53" spans="1:9">
      <c r="A53" s="617">
        <f t="shared" si="0"/>
        <v>49</v>
      </c>
      <c r="B53" s="618" t="s">
        <v>36</v>
      </c>
      <c r="C53" s="618" t="str">
        <f>"121"</f>
        <v>121</v>
      </c>
      <c r="D53" s="618" t="s">
        <v>13</v>
      </c>
      <c r="E53" s="618">
        <v>68</v>
      </c>
      <c r="F53" s="619">
        <v>38628</v>
      </c>
      <c r="G53" s="619">
        <v>44106</v>
      </c>
      <c r="H53" s="618" t="s">
        <v>16</v>
      </c>
      <c r="I53" s="618" t="s">
        <v>6858</v>
      </c>
    </row>
    <row r="54" spans="1:9">
      <c r="A54" s="620">
        <f t="shared" si="0"/>
        <v>50</v>
      </c>
      <c r="B54" s="621" t="s">
        <v>384</v>
      </c>
      <c r="C54" s="621" t="str">
        <f>"122"</f>
        <v>122</v>
      </c>
      <c r="D54" s="621" t="s">
        <v>13</v>
      </c>
      <c r="E54" s="621">
        <v>51</v>
      </c>
      <c r="F54" s="622">
        <v>38628</v>
      </c>
      <c r="G54" s="622">
        <v>44106</v>
      </c>
      <c r="H54" s="621" t="s">
        <v>45</v>
      </c>
      <c r="I54" s="621" t="s">
        <v>6862</v>
      </c>
    </row>
    <row r="55" spans="1:9">
      <c r="A55" s="617">
        <f t="shared" si="0"/>
        <v>51</v>
      </c>
      <c r="B55" s="618" t="s">
        <v>59</v>
      </c>
      <c r="C55" s="618" t="str">
        <f>"123"</f>
        <v>123</v>
      </c>
      <c r="D55" s="618" t="s">
        <v>13</v>
      </c>
      <c r="E55" s="618">
        <v>448</v>
      </c>
      <c r="F55" s="619">
        <v>44091</v>
      </c>
      <c r="G55" s="619">
        <v>49568</v>
      </c>
      <c r="H55" s="618" t="s">
        <v>16</v>
      </c>
      <c r="I55" s="618" t="s">
        <v>51</v>
      </c>
    </row>
    <row r="56" spans="1:9">
      <c r="A56" s="620">
        <f t="shared" si="0"/>
        <v>52</v>
      </c>
      <c r="B56" s="621" t="s">
        <v>1005</v>
      </c>
      <c r="C56" s="621" t="str">
        <f>"133"</f>
        <v>133</v>
      </c>
      <c r="D56" s="621" t="s">
        <v>13</v>
      </c>
      <c r="E56" s="621">
        <v>36</v>
      </c>
      <c r="F56" s="622">
        <v>39785</v>
      </c>
      <c r="G56" s="622">
        <v>45262</v>
      </c>
      <c r="H56" s="621" t="s">
        <v>41</v>
      </c>
      <c r="I56" s="621" t="s">
        <v>6858</v>
      </c>
    </row>
    <row r="57" spans="1:9">
      <c r="A57" s="617">
        <f t="shared" si="0"/>
        <v>53</v>
      </c>
      <c r="B57" s="618" t="s">
        <v>1005</v>
      </c>
      <c r="C57" s="618" t="str">
        <f>"134"</f>
        <v>134</v>
      </c>
      <c r="D57" s="618" t="s">
        <v>13</v>
      </c>
      <c r="E57" s="618">
        <v>36</v>
      </c>
      <c r="F57" s="619">
        <v>39785</v>
      </c>
      <c r="G57" s="619">
        <v>45262</v>
      </c>
      <c r="H57" s="618" t="s">
        <v>41</v>
      </c>
      <c r="I57" s="618" t="s">
        <v>6859</v>
      </c>
    </row>
    <row r="58" spans="1:9">
      <c r="A58" s="620">
        <f t="shared" si="0"/>
        <v>54</v>
      </c>
      <c r="B58" s="621" t="s">
        <v>1640</v>
      </c>
      <c r="C58" s="621" t="str">
        <f>"137"</f>
        <v>137</v>
      </c>
      <c r="D58" s="621" t="s">
        <v>13</v>
      </c>
      <c r="E58" s="621">
        <v>36</v>
      </c>
      <c r="F58" s="622">
        <v>39867</v>
      </c>
      <c r="G58" s="622">
        <v>50823</v>
      </c>
      <c r="H58" s="621" t="s">
        <v>29</v>
      </c>
      <c r="I58" s="621" t="s">
        <v>6859</v>
      </c>
    </row>
    <row r="59" spans="1:9">
      <c r="A59" s="617">
        <f t="shared" si="0"/>
        <v>55</v>
      </c>
      <c r="B59" s="618" t="s">
        <v>129</v>
      </c>
      <c r="C59" s="618" t="str">
        <f>"138"</f>
        <v>138</v>
      </c>
      <c r="D59" s="618" t="s">
        <v>13</v>
      </c>
      <c r="E59" s="618">
        <v>36</v>
      </c>
      <c r="F59" s="619">
        <v>39867</v>
      </c>
      <c r="G59" s="619">
        <v>50823</v>
      </c>
      <c r="H59" s="618" t="s">
        <v>29</v>
      </c>
      <c r="I59" s="618" t="s">
        <v>6859</v>
      </c>
    </row>
    <row r="60" spans="1:9">
      <c r="A60" s="620">
        <f t="shared" si="0"/>
        <v>56</v>
      </c>
      <c r="B60" s="621" t="s">
        <v>1640</v>
      </c>
      <c r="C60" s="621" t="str">
        <f>"140"</f>
        <v>140</v>
      </c>
      <c r="D60" s="621" t="s">
        <v>13</v>
      </c>
      <c r="E60" s="621">
        <v>36</v>
      </c>
      <c r="F60" s="622">
        <v>39867</v>
      </c>
      <c r="G60" s="622">
        <v>50823</v>
      </c>
      <c r="H60" s="621" t="s">
        <v>28</v>
      </c>
      <c r="I60" s="621" t="s">
        <v>6859</v>
      </c>
    </row>
    <row r="61" spans="1:9">
      <c r="A61" s="617">
        <f t="shared" si="0"/>
        <v>57</v>
      </c>
      <c r="B61" s="618" t="s">
        <v>59</v>
      </c>
      <c r="C61" s="618" t="str">
        <f>"159"</f>
        <v>159</v>
      </c>
      <c r="D61" s="618" t="s">
        <v>13</v>
      </c>
      <c r="E61" s="618">
        <v>435</v>
      </c>
      <c r="F61" s="619">
        <v>40768</v>
      </c>
      <c r="G61" s="619">
        <v>46246</v>
      </c>
      <c r="H61" s="618" t="s">
        <v>16</v>
      </c>
      <c r="I61" s="618" t="s">
        <v>51</v>
      </c>
    </row>
    <row r="62" spans="1:9">
      <c r="A62" s="620">
        <f t="shared" si="0"/>
        <v>58</v>
      </c>
      <c r="B62" s="621" t="s">
        <v>40</v>
      </c>
      <c r="C62" s="621" t="str">
        <f>"180"</f>
        <v>180</v>
      </c>
      <c r="D62" s="621" t="s">
        <v>13</v>
      </c>
      <c r="E62" s="621">
        <v>302</v>
      </c>
      <c r="F62" s="622">
        <v>38093</v>
      </c>
      <c r="G62" s="622">
        <v>44666</v>
      </c>
      <c r="H62" s="621" t="s">
        <v>41</v>
      </c>
      <c r="I62" s="621" t="s">
        <v>51</v>
      </c>
    </row>
    <row r="63" spans="1:9">
      <c r="A63" s="617">
        <f t="shared" si="0"/>
        <v>59</v>
      </c>
      <c r="B63" s="618" t="s">
        <v>367</v>
      </c>
      <c r="C63" s="618" t="str">
        <f>"185"</f>
        <v>185</v>
      </c>
      <c r="D63" s="618" t="s">
        <v>13</v>
      </c>
      <c r="E63" s="618">
        <v>28</v>
      </c>
      <c r="F63" s="619">
        <v>41782</v>
      </c>
      <c r="G63" s="619">
        <v>47260</v>
      </c>
      <c r="H63" s="618" t="s">
        <v>43</v>
      </c>
      <c r="I63" s="618" t="s">
        <v>6861</v>
      </c>
    </row>
    <row r="64" spans="1:9">
      <c r="A64" s="620">
        <f t="shared" si="0"/>
        <v>60</v>
      </c>
      <c r="B64" s="621" t="s">
        <v>367</v>
      </c>
      <c r="C64" s="621" t="str">
        <f>"186"</f>
        <v>186</v>
      </c>
      <c r="D64" s="621" t="s">
        <v>13</v>
      </c>
      <c r="E64" s="621">
        <v>1</v>
      </c>
      <c r="F64" s="622">
        <v>41782</v>
      </c>
      <c r="G64" s="622">
        <v>47260</v>
      </c>
      <c r="H64" s="621" t="s">
        <v>43</v>
      </c>
      <c r="I64" s="621" t="s">
        <v>6861</v>
      </c>
    </row>
    <row r="65" spans="1:9">
      <c r="A65" s="617">
        <f t="shared" si="0"/>
        <v>61</v>
      </c>
      <c r="B65" s="618" t="s">
        <v>1641</v>
      </c>
      <c r="C65" s="618" t="str">
        <f>"203"</f>
        <v>203</v>
      </c>
      <c r="D65" s="618" t="s">
        <v>13</v>
      </c>
      <c r="E65" s="618">
        <v>30</v>
      </c>
      <c r="F65" s="619">
        <v>38867</v>
      </c>
      <c r="G65" s="619">
        <v>39477</v>
      </c>
      <c r="H65" s="618" t="s">
        <v>293</v>
      </c>
      <c r="I65" s="618" t="s">
        <v>385</v>
      </c>
    </row>
    <row r="66" spans="1:9">
      <c r="A66" s="620">
        <f t="shared" si="0"/>
        <v>62</v>
      </c>
      <c r="B66" s="621" t="s">
        <v>1641</v>
      </c>
      <c r="C66" s="621" t="str">
        <f>"211"</f>
        <v>211</v>
      </c>
      <c r="D66" s="621" t="s">
        <v>13</v>
      </c>
      <c r="E66" s="621">
        <v>36</v>
      </c>
      <c r="F66" s="622">
        <v>38867</v>
      </c>
      <c r="G66" s="622">
        <v>39477</v>
      </c>
      <c r="H66" s="621" t="s">
        <v>293</v>
      </c>
      <c r="I66" s="621" t="s">
        <v>385</v>
      </c>
    </row>
    <row r="67" spans="1:9">
      <c r="A67" s="617">
        <f t="shared" si="0"/>
        <v>63</v>
      </c>
      <c r="B67" s="618" t="s">
        <v>1641</v>
      </c>
      <c r="C67" s="618" t="str">
        <f>"212"</f>
        <v>212</v>
      </c>
      <c r="D67" s="618" t="s">
        <v>13</v>
      </c>
      <c r="E67" s="618">
        <v>36</v>
      </c>
      <c r="F67" s="619">
        <v>38867</v>
      </c>
      <c r="G67" s="619">
        <v>39477</v>
      </c>
      <c r="H67" s="618" t="s">
        <v>293</v>
      </c>
      <c r="I67" s="618" t="s">
        <v>385</v>
      </c>
    </row>
    <row r="68" spans="1:9">
      <c r="A68" s="620">
        <f t="shared" si="0"/>
        <v>64</v>
      </c>
      <c r="B68" s="621" t="s">
        <v>1642</v>
      </c>
      <c r="C68" s="621" t="str">
        <f>"222"</f>
        <v>222</v>
      </c>
      <c r="D68" s="621" t="s">
        <v>27</v>
      </c>
      <c r="E68" s="621">
        <v>8</v>
      </c>
      <c r="F68" s="622">
        <v>38625</v>
      </c>
      <c r="G68" s="622">
        <v>42276</v>
      </c>
      <c r="H68" s="621" t="s">
        <v>23</v>
      </c>
      <c r="I68" s="621" t="s">
        <v>385</v>
      </c>
    </row>
    <row r="69" spans="1:9">
      <c r="A69" s="617">
        <f t="shared" si="0"/>
        <v>65</v>
      </c>
      <c r="B69" s="618" t="s">
        <v>1642</v>
      </c>
      <c r="C69" s="618" t="str">
        <f>"223"</f>
        <v>223</v>
      </c>
      <c r="D69" s="618" t="s">
        <v>27</v>
      </c>
      <c r="E69" s="618">
        <v>14</v>
      </c>
      <c r="F69" s="619">
        <v>38625</v>
      </c>
      <c r="G69" s="619">
        <v>42276</v>
      </c>
      <c r="H69" s="618" t="s">
        <v>23</v>
      </c>
      <c r="I69" s="618" t="s">
        <v>385</v>
      </c>
    </row>
    <row r="70" spans="1:9">
      <c r="A70" s="620">
        <f t="shared" si="0"/>
        <v>66</v>
      </c>
      <c r="B70" s="621" t="s">
        <v>48</v>
      </c>
      <c r="C70" s="621" t="str">
        <f>"235"</f>
        <v>235</v>
      </c>
      <c r="D70" s="621" t="s">
        <v>13</v>
      </c>
      <c r="E70" s="621">
        <v>144</v>
      </c>
      <c r="F70" s="622">
        <v>41950</v>
      </c>
      <c r="G70" s="622">
        <v>44779</v>
      </c>
      <c r="H70" s="621" t="s">
        <v>41</v>
      </c>
      <c r="I70" s="621" t="s">
        <v>6859</v>
      </c>
    </row>
    <row r="71" spans="1:9">
      <c r="A71" s="617">
        <f t="shared" ref="A71:A134" si="1">+A70+1</f>
        <v>67</v>
      </c>
      <c r="B71" s="618" t="s">
        <v>40</v>
      </c>
      <c r="C71" s="618" t="str">
        <f>"237"</f>
        <v>237</v>
      </c>
      <c r="D71" s="618" t="s">
        <v>13</v>
      </c>
      <c r="E71" s="618">
        <v>49</v>
      </c>
      <c r="F71" s="619">
        <v>41950</v>
      </c>
      <c r="G71" s="619">
        <v>44779</v>
      </c>
      <c r="H71" s="618" t="s">
        <v>41</v>
      </c>
      <c r="I71" s="618" t="s">
        <v>6859</v>
      </c>
    </row>
    <row r="72" spans="1:9">
      <c r="A72" s="620">
        <f t="shared" si="1"/>
        <v>68</v>
      </c>
      <c r="B72" s="621" t="s">
        <v>62</v>
      </c>
      <c r="C72" s="621" t="str">
        <f>"238"</f>
        <v>238</v>
      </c>
      <c r="D72" s="621" t="s">
        <v>13</v>
      </c>
      <c r="E72" s="621">
        <v>42</v>
      </c>
      <c r="F72" s="622">
        <v>34645</v>
      </c>
      <c r="G72" s="622">
        <v>44872</v>
      </c>
      <c r="H72" s="621" t="s">
        <v>56</v>
      </c>
      <c r="I72" s="621" t="s">
        <v>6858</v>
      </c>
    </row>
    <row r="73" spans="1:9">
      <c r="A73" s="617">
        <f t="shared" si="1"/>
        <v>69</v>
      </c>
      <c r="B73" s="618" t="s">
        <v>5721</v>
      </c>
      <c r="C73" s="618" t="str">
        <f>"241"</f>
        <v>241</v>
      </c>
      <c r="D73" s="618" t="s">
        <v>27</v>
      </c>
      <c r="E73" s="618">
        <v>30</v>
      </c>
      <c r="F73" s="619">
        <v>37925</v>
      </c>
      <c r="G73" s="619">
        <v>46971</v>
      </c>
      <c r="H73" s="618" t="s">
        <v>23</v>
      </c>
      <c r="I73" s="618" t="s">
        <v>51</v>
      </c>
    </row>
    <row r="74" spans="1:9">
      <c r="A74" s="620">
        <f t="shared" si="1"/>
        <v>70</v>
      </c>
      <c r="B74" s="621" t="s">
        <v>63</v>
      </c>
      <c r="C74" s="621" t="str">
        <f>"251"</f>
        <v>251</v>
      </c>
      <c r="D74" s="621" t="s">
        <v>13</v>
      </c>
      <c r="E74" s="621">
        <v>36</v>
      </c>
      <c r="F74" s="622">
        <v>42329</v>
      </c>
      <c r="G74" s="622">
        <v>45490</v>
      </c>
      <c r="H74" s="621" t="s">
        <v>23</v>
      </c>
      <c r="I74" s="621" t="s">
        <v>6858</v>
      </c>
    </row>
    <row r="75" spans="1:9">
      <c r="A75" s="617">
        <f t="shared" si="1"/>
        <v>71</v>
      </c>
      <c r="B75" s="618" t="s">
        <v>63</v>
      </c>
      <c r="C75" s="618" t="str">
        <f>"252"</f>
        <v>252</v>
      </c>
      <c r="D75" s="618" t="s">
        <v>13</v>
      </c>
      <c r="E75" s="618">
        <v>25</v>
      </c>
      <c r="F75" s="619">
        <v>42329</v>
      </c>
      <c r="G75" s="619">
        <v>45490</v>
      </c>
      <c r="H75" s="618" t="s">
        <v>23</v>
      </c>
      <c r="I75" s="618" t="s">
        <v>6858</v>
      </c>
    </row>
    <row r="76" spans="1:9">
      <c r="A76" s="620">
        <f t="shared" si="1"/>
        <v>72</v>
      </c>
      <c r="B76" s="621" t="s">
        <v>1643</v>
      </c>
      <c r="C76" s="621" t="str">
        <f>"258"</f>
        <v>258</v>
      </c>
      <c r="D76" s="621" t="s">
        <v>13</v>
      </c>
      <c r="E76" s="621">
        <v>6</v>
      </c>
      <c r="F76" s="622">
        <v>39811</v>
      </c>
      <c r="G76" s="622">
        <v>50767</v>
      </c>
      <c r="H76" s="621" t="s">
        <v>1644</v>
      </c>
      <c r="I76" s="621" t="s">
        <v>6863</v>
      </c>
    </row>
    <row r="77" spans="1:9">
      <c r="A77" s="617">
        <f t="shared" si="1"/>
        <v>73</v>
      </c>
      <c r="B77" s="618" t="s">
        <v>1645</v>
      </c>
      <c r="C77" s="618" t="str">
        <f>"269"</f>
        <v>269</v>
      </c>
      <c r="D77" s="618" t="s">
        <v>27</v>
      </c>
      <c r="E77" s="618">
        <v>11</v>
      </c>
      <c r="F77" s="619">
        <v>38607</v>
      </c>
      <c r="G77" s="619">
        <v>41893</v>
      </c>
      <c r="H77" s="618" t="s">
        <v>23</v>
      </c>
      <c r="I77" s="618" t="s">
        <v>6858</v>
      </c>
    </row>
    <row r="78" spans="1:9">
      <c r="A78" s="620">
        <f t="shared" si="1"/>
        <v>74</v>
      </c>
      <c r="B78" s="621" t="s">
        <v>347</v>
      </c>
      <c r="C78" s="621" t="str">
        <f>"270"</f>
        <v>270</v>
      </c>
      <c r="D78" s="621" t="s">
        <v>27</v>
      </c>
      <c r="E78" s="621">
        <v>30</v>
      </c>
      <c r="F78" s="622">
        <v>38558</v>
      </c>
      <c r="G78" s="622">
        <v>42440</v>
      </c>
      <c r="H78" s="621" t="s">
        <v>23</v>
      </c>
      <c r="I78" s="621" t="s">
        <v>6864</v>
      </c>
    </row>
    <row r="79" spans="1:9">
      <c r="A79" s="617">
        <f t="shared" si="1"/>
        <v>75</v>
      </c>
      <c r="B79" s="618" t="s">
        <v>64</v>
      </c>
      <c r="C79" s="618" t="str">
        <f>"271"</f>
        <v>271</v>
      </c>
      <c r="D79" s="618" t="s">
        <v>13</v>
      </c>
      <c r="E79" s="618">
        <v>20</v>
      </c>
      <c r="F79" s="619">
        <v>42476</v>
      </c>
      <c r="G79" s="619">
        <v>47953</v>
      </c>
      <c r="H79" s="618" t="s">
        <v>14</v>
      </c>
      <c r="I79" s="618" t="s">
        <v>385</v>
      </c>
    </row>
    <row r="80" spans="1:9">
      <c r="A80" s="620">
        <f t="shared" si="1"/>
        <v>76</v>
      </c>
      <c r="B80" s="621" t="s">
        <v>65</v>
      </c>
      <c r="C80" s="621" t="str">
        <f>"312"</f>
        <v>312</v>
      </c>
      <c r="D80" s="621" t="s">
        <v>13</v>
      </c>
      <c r="E80" s="621">
        <v>10</v>
      </c>
      <c r="F80" s="622">
        <v>42411</v>
      </c>
      <c r="G80" s="622">
        <v>54101</v>
      </c>
      <c r="H80" s="621" t="s">
        <v>23</v>
      </c>
      <c r="I80" s="621" t="s">
        <v>51</v>
      </c>
    </row>
    <row r="81" spans="1:9">
      <c r="A81" s="617">
        <f t="shared" si="1"/>
        <v>77</v>
      </c>
      <c r="B81" s="618" t="s">
        <v>58</v>
      </c>
      <c r="C81" s="618" t="str">
        <f>"330"</f>
        <v>330</v>
      </c>
      <c r="D81" s="618" t="s">
        <v>13</v>
      </c>
      <c r="E81" s="618">
        <v>28</v>
      </c>
      <c r="F81" s="619">
        <v>42764</v>
      </c>
      <c r="G81" s="619">
        <v>48241</v>
      </c>
      <c r="H81" s="618" t="s">
        <v>14</v>
      </c>
      <c r="I81" s="618" t="s">
        <v>51</v>
      </c>
    </row>
    <row r="82" spans="1:9">
      <c r="A82" s="620">
        <f t="shared" si="1"/>
        <v>78</v>
      </c>
      <c r="B82" s="621" t="s">
        <v>1646</v>
      </c>
      <c r="C82" s="621" t="str">
        <f>"331"</f>
        <v>331</v>
      </c>
      <c r="D82" s="621" t="s">
        <v>13</v>
      </c>
      <c r="E82" s="621">
        <v>82</v>
      </c>
      <c r="F82" s="622">
        <v>35462</v>
      </c>
      <c r="G82" s="622">
        <v>42766</v>
      </c>
      <c r="H82" s="621" t="s">
        <v>1644</v>
      </c>
      <c r="I82" s="621" t="s">
        <v>385</v>
      </c>
    </row>
    <row r="83" spans="1:9">
      <c r="A83" s="617">
        <f t="shared" si="1"/>
        <v>79</v>
      </c>
      <c r="B83" s="618" t="s">
        <v>1646</v>
      </c>
      <c r="C83" s="618" t="str">
        <f>"334"</f>
        <v>334</v>
      </c>
      <c r="D83" s="618" t="s">
        <v>13</v>
      </c>
      <c r="E83" s="618">
        <v>36</v>
      </c>
      <c r="F83" s="619">
        <v>37328</v>
      </c>
      <c r="G83" s="619">
        <v>42806</v>
      </c>
      <c r="H83" s="618" t="s">
        <v>21</v>
      </c>
      <c r="I83" s="618" t="s">
        <v>385</v>
      </c>
    </row>
    <row r="84" spans="1:9">
      <c r="A84" s="620">
        <f t="shared" si="1"/>
        <v>80</v>
      </c>
      <c r="B84" s="621" t="s">
        <v>1646</v>
      </c>
      <c r="C84" s="621" t="str">
        <f>"336"</f>
        <v>336</v>
      </c>
      <c r="D84" s="621" t="s">
        <v>13</v>
      </c>
      <c r="E84" s="621">
        <v>36</v>
      </c>
      <c r="F84" s="622">
        <v>37328</v>
      </c>
      <c r="G84" s="622">
        <v>42806</v>
      </c>
      <c r="H84" s="621" t="s">
        <v>21</v>
      </c>
      <c r="I84" s="621" t="s">
        <v>385</v>
      </c>
    </row>
    <row r="85" spans="1:9">
      <c r="A85" s="617">
        <f t="shared" si="1"/>
        <v>81</v>
      </c>
      <c r="B85" s="618" t="s">
        <v>36</v>
      </c>
      <c r="C85" s="618" t="str">
        <f>"360"</f>
        <v>360</v>
      </c>
      <c r="D85" s="618" t="s">
        <v>13</v>
      </c>
      <c r="E85" s="618">
        <v>79</v>
      </c>
      <c r="F85" s="619">
        <v>39416</v>
      </c>
      <c r="G85" s="619">
        <v>44894</v>
      </c>
      <c r="H85" s="618" t="s">
        <v>45</v>
      </c>
      <c r="I85" s="618" t="s">
        <v>6858</v>
      </c>
    </row>
    <row r="86" spans="1:9">
      <c r="A86" s="620">
        <f t="shared" si="1"/>
        <v>82</v>
      </c>
      <c r="B86" s="621" t="s">
        <v>5722</v>
      </c>
      <c r="C86" s="621" t="str">
        <f>"366"</f>
        <v>366</v>
      </c>
      <c r="D86" s="621" t="s">
        <v>13</v>
      </c>
      <c r="E86" s="621">
        <v>3</v>
      </c>
      <c r="F86" s="622">
        <v>39676</v>
      </c>
      <c r="G86" s="622">
        <v>45153</v>
      </c>
      <c r="H86" s="621" t="s">
        <v>66</v>
      </c>
      <c r="I86" s="621" t="s">
        <v>51</v>
      </c>
    </row>
    <row r="87" spans="1:9">
      <c r="A87" s="617">
        <f t="shared" si="1"/>
        <v>83</v>
      </c>
      <c r="B87" s="618" t="s">
        <v>1647</v>
      </c>
      <c r="C87" s="618" t="str">
        <f>"367"</f>
        <v>367</v>
      </c>
      <c r="D87" s="618" t="s">
        <v>13</v>
      </c>
      <c r="E87" s="618">
        <v>24</v>
      </c>
      <c r="F87" s="619">
        <v>37805</v>
      </c>
      <c r="G87" s="619">
        <v>44705</v>
      </c>
      <c r="H87" s="618" t="s">
        <v>31</v>
      </c>
      <c r="I87" s="618" t="s">
        <v>6862</v>
      </c>
    </row>
    <row r="88" spans="1:9">
      <c r="A88" s="620">
        <f t="shared" si="1"/>
        <v>84</v>
      </c>
      <c r="B88" s="621" t="s">
        <v>5722</v>
      </c>
      <c r="C88" s="621" t="str">
        <f>"382"</f>
        <v>382</v>
      </c>
      <c r="D88" s="621" t="s">
        <v>13</v>
      </c>
      <c r="E88" s="621">
        <v>3</v>
      </c>
      <c r="F88" s="622">
        <v>39676</v>
      </c>
      <c r="G88" s="622">
        <v>45153</v>
      </c>
      <c r="H88" s="621" t="s">
        <v>31</v>
      </c>
      <c r="I88" s="621" t="s">
        <v>51</v>
      </c>
    </row>
    <row r="89" spans="1:9">
      <c r="A89" s="617">
        <f t="shared" si="1"/>
        <v>85</v>
      </c>
      <c r="B89" s="618" t="s">
        <v>5722</v>
      </c>
      <c r="C89" s="618" t="str">
        <f>"383"</f>
        <v>383</v>
      </c>
      <c r="D89" s="618" t="s">
        <v>13</v>
      </c>
      <c r="E89" s="618">
        <v>471</v>
      </c>
      <c r="F89" s="619">
        <v>35993</v>
      </c>
      <c r="G89" s="619">
        <v>43297</v>
      </c>
      <c r="H89" s="618" t="s">
        <v>47</v>
      </c>
      <c r="I89" s="618" t="s">
        <v>6865</v>
      </c>
    </row>
    <row r="90" spans="1:9">
      <c r="A90" s="620">
        <f t="shared" si="1"/>
        <v>86</v>
      </c>
      <c r="B90" s="621" t="s">
        <v>5722</v>
      </c>
      <c r="C90" s="621" t="str">
        <f>"389"</f>
        <v>389</v>
      </c>
      <c r="D90" s="621" t="s">
        <v>13</v>
      </c>
      <c r="E90" s="621">
        <v>10</v>
      </c>
      <c r="F90" s="622">
        <v>39676</v>
      </c>
      <c r="G90" s="622">
        <v>45153</v>
      </c>
      <c r="H90" s="621" t="s">
        <v>31</v>
      </c>
      <c r="I90" s="621" t="s">
        <v>51</v>
      </c>
    </row>
    <row r="91" spans="1:9">
      <c r="A91" s="617">
        <f t="shared" si="1"/>
        <v>87</v>
      </c>
      <c r="B91" s="618" t="s">
        <v>5722</v>
      </c>
      <c r="C91" s="618" t="str">
        <f>"395"</f>
        <v>395</v>
      </c>
      <c r="D91" s="618" t="s">
        <v>13</v>
      </c>
      <c r="E91" s="618">
        <v>6</v>
      </c>
      <c r="F91" s="619">
        <v>39676</v>
      </c>
      <c r="G91" s="619">
        <v>45153</v>
      </c>
      <c r="H91" s="618" t="s">
        <v>31</v>
      </c>
      <c r="I91" s="618" t="s">
        <v>51</v>
      </c>
    </row>
    <row r="92" spans="1:9">
      <c r="A92" s="620">
        <f t="shared" si="1"/>
        <v>88</v>
      </c>
      <c r="B92" s="621" t="s">
        <v>5722</v>
      </c>
      <c r="C92" s="621" t="str">
        <f>"397"</f>
        <v>397</v>
      </c>
      <c r="D92" s="621" t="s">
        <v>13</v>
      </c>
      <c r="E92" s="621">
        <v>4</v>
      </c>
      <c r="F92" s="622">
        <v>39676</v>
      </c>
      <c r="G92" s="622">
        <v>45153</v>
      </c>
      <c r="H92" s="621" t="s">
        <v>31</v>
      </c>
      <c r="I92" s="621" t="s">
        <v>51</v>
      </c>
    </row>
    <row r="93" spans="1:9">
      <c r="A93" s="617">
        <f t="shared" si="1"/>
        <v>89</v>
      </c>
      <c r="B93" s="618" t="s">
        <v>5722</v>
      </c>
      <c r="C93" s="618" t="str">
        <f>"398"</f>
        <v>398</v>
      </c>
      <c r="D93" s="618" t="s">
        <v>13</v>
      </c>
      <c r="E93" s="618">
        <v>18</v>
      </c>
      <c r="F93" s="619">
        <v>39676</v>
      </c>
      <c r="G93" s="619">
        <v>45153</v>
      </c>
      <c r="H93" s="618" t="s">
        <v>31</v>
      </c>
      <c r="I93" s="618" t="s">
        <v>51</v>
      </c>
    </row>
    <row r="94" spans="1:9">
      <c r="A94" s="620">
        <f t="shared" si="1"/>
        <v>90</v>
      </c>
      <c r="B94" s="621" t="s">
        <v>5722</v>
      </c>
      <c r="C94" s="621" t="str">
        <f>"399"</f>
        <v>399</v>
      </c>
      <c r="D94" s="621" t="s">
        <v>13</v>
      </c>
      <c r="E94" s="621">
        <v>19</v>
      </c>
      <c r="F94" s="622">
        <v>39676</v>
      </c>
      <c r="G94" s="622">
        <v>45153</v>
      </c>
      <c r="H94" s="621" t="s">
        <v>31</v>
      </c>
      <c r="I94" s="621" t="s">
        <v>51</v>
      </c>
    </row>
    <row r="95" spans="1:9">
      <c r="A95" s="617">
        <f t="shared" si="1"/>
        <v>91</v>
      </c>
      <c r="B95" s="618" t="s">
        <v>5722</v>
      </c>
      <c r="C95" s="618" t="str">
        <f>"402"</f>
        <v>402</v>
      </c>
      <c r="D95" s="618" t="s">
        <v>13</v>
      </c>
      <c r="E95" s="618">
        <v>4</v>
      </c>
      <c r="F95" s="619">
        <v>39676</v>
      </c>
      <c r="G95" s="619">
        <v>45153</v>
      </c>
      <c r="H95" s="618" t="s">
        <v>31</v>
      </c>
      <c r="I95" s="618" t="s">
        <v>51</v>
      </c>
    </row>
    <row r="96" spans="1:9">
      <c r="A96" s="620">
        <f t="shared" si="1"/>
        <v>92</v>
      </c>
      <c r="B96" s="621" t="s">
        <v>5722</v>
      </c>
      <c r="C96" s="621" t="str">
        <f>"407"</f>
        <v>407</v>
      </c>
      <c r="D96" s="621" t="s">
        <v>13</v>
      </c>
      <c r="E96" s="621">
        <v>20</v>
      </c>
      <c r="F96" s="622">
        <v>39676</v>
      </c>
      <c r="G96" s="622">
        <v>45153</v>
      </c>
      <c r="H96" s="621" t="s">
        <v>31</v>
      </c>
      <c r="I96" s="621" t="s">
        <v>51</v>
      </c>
    </row>
    <row r="97" spans="1:9">
      <c r="A97" s="617">
        <f t="shared" si="1"/>
        <v>93</v>
      </c>
      <c r="B97" s="618" t="s">
        <v>5722</v>
      </c>
      <c r="C97" s="618" t="str">
        <f>"408"</f>
        <v>408</v>
      </c>
      <c r="D97" s="618" t="s">
        <v>13</v>
      </c>
      <c r="E97" s="618">
        <v>4</v>
      </c>
      <c r="F97" s="619">
        <v>39676</v>
      </c>
      <c r="G97" s="619">
        <v>45153</v>
      </c>
      <c r="H97" s="618" t="s">
        <v>31</v>
      </c>
      <c r="I97" s="618" t="s">
        <v>51</v>
      </c>
    </row>
    <row r="98" spans="1:9">
      <c r="A98" s="620">
        <f t="shared" si="1"/>
        <v>94</v>
      </c>
      <c r="B98" s="621" t="s">
        <v>5722</v>
      </c>
      <c r="C98" s="621" t="str">
        <f>"409"</f>
        <v>409</v>
      </c>
      <c r="D98" s="621" t="s">
        <v>13</v>
      </c>
      <c r="E98" s="621">
        <v>13</v>
      </c>
      <c r="F98" s="622">
        <v>39676</v>
      </c>
      <c r="G98" s="622">
        <v>45153</v>
      </c>
      <c r="H98" s="621" t="s">
        <v>31</v>
      </c>
      <c r="I98" s="621" t="s">
        <v>6858</v>
      </c>
    </row>
    <row r="99" spans="1:9">
      <c r="A99" s="617">
        <f t="shared" si="1"/>
        <v>95</v>
      </c>
      <c r="B99" s="618" t="s">
        <v>5722</v>
      </c>
      <c r="C99" s="618" t="str">
        <f>"410"</f>
        <v>410</v>
      </c>
      <c r="D99" s="618" t="s">
        <v>13</v>
      </c>
      <c r="E99" s="618">
        <v>52</v>
      </c>
      <c r="F99" s="619">
        <v>39676</v>
      </c>
      <c r="G99" s="619">
        <v>45153</v>
      </c>
      <c r="H99" s="618" t="s">
        <v>31</v>
      </c>
      <c r="I99" s="618" t="s">
        <v>51</v>
      </c>
    </row>
    <row r="100" spans="1:9">
      <c r="A100" s="620">
        <f t="shared" si="1"/>
        <v>96</v>
      </c>
      <c r="B100" s="621" t="s">
        <v>6866</v>
      </c>
      <c r="C100" s="621" t="str">
        <f>"417"</f>
        <v>417</v>
      </c>
      <c r="D100" s="621" t="s">
        <v>13</v>
      </c>
      <c r="E100" s="621">
        <v>30</v>
      </c>
      <c r="F100" s="622">
        <v>37804</v>
      </c>
      <c r="G100" s="622">
        <v>43282</v>
      </c>
      <c r="H100" s="621" t="s">
        <v>23</v>
      </c>
      <c r="I100" s="621" t="s">
        <v>6865</v>
      </c>
    </row>
    <row r="101" spans="1:9">
      <c r="A101" s="617">
        <f t="shared" si="1"/>
        <v>97</v>
      </c>
      <c r="B101" s="618" t="s">
        <v>6866</v>
      </c>
      <c r="C101" s="618" t="str">
        <f>"419"</f>
        <v>419</v>
      </c>
      <c r="D101" s="618" t="s">
        <v>13</v>
      </c>
      <c r="E101" s="618">
        <v>20</v>
      </c>
      <c r="F101" s="619">
        <v>37804</v>
      </c>
      <c r="G101" s="619">
        <v>43282</v>
      </c>
      <c r="H101" s="618" t="s">
        <v>23</v>
      </c>
      <c r="I101" s="618" t="s">
        <v>6865</v>
      </c>
    </row>
    <row r="102" spans="1:9">
      <c r="A102" s="620">
        <f t="shared" si="1"/>
        <v>98</v>
      </c>
      <c r="B102" s="621" t="s">
        <v>6866</v>
      </c>
      <c r="C102" s="621" t="str">
        <f>"421"</f>
        <v>421</v>
      </c>
      <c r="D102" s="621" t="s">
        <v>13</v>
      </c>
      <c r="E102" s="621">
        <v>30</v>
      </c>
      <c r="F102" s="622">
        <v>37804</v>
      </c>
      <c r="G102" s="622">
        <v>43282</v>
      </c>
      <c r="H102" s="621" t="s">
        <v>23</v>
      </c>
      <c r="I102" s="621" t="s">
        <v>6865</v>
      </c>
    </row>
    <row r="103" spans="1:9">
      <c r="A103" s="617">
        <f t="shared" si="1"/>
        <v>99</v>
      </c>
      <c r="B103" s="618" t="s">
        <v>5722</v>
      </c>
      <c r="C103" s="618" t="str">
        <f>"422"</f>
        <v>422</v>
      </c>
      <c r="D103" s="618" t="s">
        <v>13</v>
      </c>
      <c r="E103" s="618">
        <v>30</v>
      </c>
      <c r="F103" s="619">
        <v>37804</v>
      </c>
      <c r="G103" s="619">
        <v>43282</v>
      </c>
      <c r="H103" s="618" t="s">
        <v>31</v>
      </c>
      <c r="I103" s="618" t="s">
        <v>6862</v>
      </c>
    </row>
    <row r="104" spans="1:9">
      <c r="A104" s="620">
        <f t="shared" si="1"/>
        <v>100</v>
      </c>
      <c r="B104" s="621" t="s">
        <v>5722</v>
      </c>
      <c r="C104" s="621" t="str">
        <f>"424"</f>
        <v>424</v>
      </c>
      <c r="D104" s="621" t="s">
        <v>13</v>
      </c>
      <c r="E104" s="621">
        <v>25</v>
      </c>
      <c r="F104" s="622">
        <v>37804</v>
      </c>
      <c r="G104" s="622">
        <v>43282</v>
      </c>
      <c r="H104" s="621" t="s">
        <v>31</v>
      </c>
      <c r="I104" s="621" t="s">
        <v>6862</v>
      </c>
    </row>
    <row r="105" spans="1:9">
      <c r="A105" s="617">
        <f t="shared" si="1"/>
        <v>101</v>
      </c>
      <c r="B105" s="618" t="s">
        <v>1647</v>
      </c>
      <c r="C105" s="618" t="str">
        <f>"425"</f>
        <v>425</v>
      </c>
      <c r="D105" s="618" t="s">
        <v>13</v>
      </c>
      <c r="E105" s="618">
        <v>24</v>
      </c>
      <c r="F105" s="619">
        <v>37805</v>
      </c>
      <c r="G105" s="619">
        <v>44704</v>
      </c>
      <c r="H105" s="618" t="s">
        <v>31</v>
      </c>
      <c r="I105" s="618" t="s">
        <v>6862</v>
      </c>
    </row>
    <row r="106" spans="1:9">
      <c r="A106" s="620">
        <f t="shared" si="1"/>
        <v>102</v>
      </c>
      <c r="B106" s="621" t="s">
        <v>5722</v>
      </c>
      <c r="C106" s="621" t="str">
        <f>"426"</f>
        <v>426</v>
      </c>
      <c r="D106" s="621" t="s">
        <v>13</v>
      </c>
      <c r="E106" s="621">
        <v>28</v>
      </c>
      <c r="F106" s="622">
        <v>37804</v>
      </c>
      <c r="G106" s="622">
        <v>43282</v>
      </c>
      <c r="H106" s="621" t="s">
        <v>31</v>
      </c>
      <c r="I106" s="621" t="s">
        <v>6862</v>
      </c>
    </row>
    <row r="107" spans="1:9">
      <c r="A107" s="617">
        <f t="shared" si="1"/>
        <v>103</v>
      </c>
      <c r="B107" s="618" t="s">
        <v>5722</v>
      </c>
      <c r="C107" s="618" t="str">
        <f>"428"</f>
        <v>428</v>
      </c>
      <c r="D107" s="618" t="s">
        <v>13</v>
      </c>
      <c r="E107" s="618">
        <v>30</v>
      </c>
      <c r="F107" s="619">
        <v>37804</v>
      </c>
      <c r="G107" s="619">
        <v>43282</v>
      </c>
      <c r="H107" s="618" t="s">
        <v>31</v>
      </c>
      <c r="I107" s="618" t="s">
        <v>6862</v>
      </c>
    </row>
    <row r="108" spans="1:9">
      <c r="A108" s="620">
        <f t="shared" si="1"/>
        <v>104</v>
      </c>
      <c r="B108" s="621" t="s">
        <v>5722</v>
      </c>
      <c r="C108" s="621" t="str">
        <f>"429"</f>
        <v>429</v>
      </c>
      <c r="D108" s="621" t="s">
        <v>13</v>
      </c>
      <c r="E108" s="621">
        <v>20</v>
      </c>
      <c r="F108" s="622">
        <v>37804</v>
      </c>
      <c r="G108" s="622">
        <v>43282</v>
      </c>
      <c r="H108" s="621" t="s">
        <v>31</v>
      </c>
      <c r="I108" s="621" t="s">
        <v>6862</v>
      </c>
    </row>
    <row r="109" spans="1:9">
      <c r="A109" s="617">
        <f t="shared" si="1"/>
        <v>105</v>
      </c>
      <c r="B109" s="618" t="s">
        <v>5722</v>
      </c>
      <c r="C109" s="618" t="str">
        <f>"430"</f>
        <v>430</v>
      </c>
      <c r="D109" s="618" t="s">
        <v>13</v>
      </c>
      <c r="E109" s="618">
        <v>30</v>
      </c>
      <c r="F109" s="619">
        <v>39272</v>
      </c>
      <c r="G109" s="619">
        <v>44750</v>
      </c>
      <c r="H109" s="618" t="s">
        <v>31</v>
      </c>
      <c r="I109" s="618" t="s">
        <v>6858</v>
      </c>
    </row>
    <row r="110" spans="1:9">
      <c r="A110" s="620">
        <f t="shared" si="1"/>
        <v>106</v>
      </c>
      <c r="B110" s="621" t="s">
        <v>6866</v>
      </c>
      <c r="C110" s="621" t="str">
        <f>"431"</f>
        <v>431</v>
      </c>
      <c r="D110" s="621" t="s">
        <v>13</v>
      </c>
      <c r="E110" s="621">
        <v>24</v>
      </c>
      <c r="F110" s="622">
        <v>37804</v>
      </c>
      <c r="G110" s="622">
        <v>43282</v>
      </c>
      <c r="H110" s="621" t="s">
        <v>23</v>
      </c>
      <c r="I110" s="621" t="s">
        <v>6865</v>
      </c>
    </row>
    <row r="111" spans="1:9">
      <c r="A111" s="617">
        <f t="shared" si="1"/>
        <v>107</v>
      </c>
      <c r="B111" s="618" t="s">
        <v>5722</v>
      </c>
      <c r="C111" s="618" t="str">
        <f>"432"</f>
        <v>432</v>
      </c>
      <c r="D111" s="618" t="s">
        <v>13</v>
      </c>
      <c r="E111" s="618">
        <v>28</v>
      </c>
      <c r="F111" s="619">
        <v>37804</v>
      </c>
      <c r="G111" s="619">
        <v>43282</v>
      </c>
      <c r="H111" s="618" t="s">
        <v>31</v>
      </c>
      <c r="I111" s="618" t="s">
        <v>6862</v>
      </c>
    </row>
    <row r="112" spans="1:9">
      <c r="A112" s="620">
        <f t="shared" si="1"/>
        <v>108</v>
      </c>
      <c r="B112" s="621" t="s">
        <v>6866</v>
      </c>
      <c r="C112" s="621" t="str">
        <f>"433"</f>
        <v>433</v>
      </c>
      <c r="D112" s="621" t="s">
        <v>13</v>
      </c>
      <c r="E112" s="621">
        <v>12</v>
      </c>
      <c r="F112" s="622">
        <v>37804</v>
      </c>
      <c r="G112" s="622">
        <v>43282</v>
      </c>
      <c r="H112" s="621" t="s">
        <v>23</v>
      </c>
      <c r="I112" s="621" t="s">
        <v>6865</v>
      </c>
    </row>
    <row r="113" spans="1:9">
      <c r="A113" s="617">
        <f t="shared" si="1"/>
        <v>109</v>
      </c>
      <c r="B113" s="618" t="s">
        <v>6866</v>
      </c>
      <c r="C113" s="618" t="str">
        <f>"435"</f>
        <v>435</v>
      </c>
      <c r="D113" s="618" t="s">
        <v>13</v>
      </c>
      <c r="E113" s="618">
        <v>30</v>
      </c>
      <c r="F113" s="619">
        <v>37804</v>
      </c>
      <c r="G113" s="619">
        <v>43282</v>
      </c>
      <c r="H113" s="618" t="s">
        <v>23</v>
      </c>
      <c r="I113" s="618" t="s">
        <v>6865</v>
      </c>
    </row>
    <row r="114" spans="1:9">
      <c r="A114" s="620">
        <f t="shared" si="1"/>
        <v>110</v>
      </c>
      <c r="B114" s="621" t="s">
        <v>6866</v>
      </c>
      <c r="C114" s="621" t="str">
        <f>"436"</f>
        <v>436</v>
      </c>
      <c r="D114" s="621" t="s">
        <v>13</v>
      </c>
      <c r="E114" s="621">
        <v>25</v>
      </c>
      <c r="F114" s="622">
        <v>37804</v>
      </c>
      <c r="G114" s="622">
        <v>43282</v>
      </c>
      <c r="H114" s="621" t="s">
        <v>23</v>
      </c>
      <c r="I114" s="621" t="s">
        <v>6865</v>
      </c>
    </row>
    <row r="115" spans="1:9">
      <c r="A115" s="617">
        <f t="shared" si="1"/>
        <v>111</v>
      </c>
      <c r="B115" s="618" t="s">
        <v>5722</v>
      </c>
      <c r="C115" s="618" t="str">
        <f>"437"</f>
        <v>437</v>
      </c>
      <c r="D115" s="618" t="s">
        <v>13</v>
      </c>
      <c r="E115" s="618">
        <v>20</v>
      </c>
      <c r="F115" s="619">
        <v>37804</v>
      </c>
      <c r="G115" s="619">
        <v>43282</v>
      </c>
      <c r="H115" s="618" t="s">
        <v>31</v>
      </c>
      <c r="I115" s="618" t="s">
        <v>6862</v>
      </c>
    </row>
    <row r="116" spans="1:9">
      <c r="A116" s="620">
        <f t="shared" si="1"/>
        <v>112</v>
      </c>
      <c r="B116" s="621" t="s">
        <v>6866</v>
      </c>
      <c r="C116" s="621" t="str">
        <f>"438"</f>
        <v>438</v>
      </c>
      <c r="D116" s="621" t="s">
        <v>13</v>
      </c>
      <c r="E116" s="621">
        <v>24</v>
      </c>
      <c r="F116" s="622">
        <v>37804</v>
      </c>
      <c r="G116" s="622">
        <v>43282</v>
      </c>
      <c r="H116" s="621" t="s">
        <v>23</v>
      </c>
      <c r="I116" s="621" t="s">
        <v>6865</v>
      </c>
    </row>
    <row r="117" spans="1:9">
      <c r="A117" s="617">
        <f t="shared" si="1"/>
        <v>113</v>
      </c>
      <c r="B117" s="618" t="s">
        <v>6866</v>
      </c>
      <c r="C117" s="618" t="str">
        <f>"439"</f>
        <v>439</v>
      </c>
      <c r="D117" s="618" t="s">
        <v>13</v>
      </c>
      <c r="E117" s="618">
        <v>20</v>
      </c>
      <c r="F117" s="619">
        <v>37804</v>
      </c>
      <c r="G117" s="619">
        <v>43282</v>
      </c>
      <c r="H117" s="618" t="s">
        <v>23</v>
      </c>
      <c r="I117" s="618" t="s">
        <v>6865</v>
      </c>
    </row>
    <row r="118" spans="1:9">
      <c r="A118" s="620">
        <f t="shared" si="1"/>
        <v>114</v>
      </c>
      <c r="B118" s="621" t="s">
        <v>6866</v>
      </c>
      <c r="C118" s="621" t="str">
        <f>"440"</f>
        <v>440</v>
      </c>
      <c r="D118" s="621" t="s">
        <v>13</v>
      </c>
      <c r="E118" s="621">
        <v>35</v>
      </c>
      <c r="F118" s="622">
        <v>37804</v>
      </c>
      <c r="G118" s="622">
        <v>43282</v>
      </c>
      <c r="H118" s="621" t="s">
        <v>23</v>
      </c>
      <c r="I118" s="621" t="s">
        <v>6865</v>
      </c>
    </row>
    <row r="119" spans="1:9">
      <c r="A119" s="617">
        <f t="shared" si="1"/>
        <v>115</v>
      </c>
      <c r="B119" s="618" t="s">
        <v>6866</v>
      </c>
      <c r="C119" s="618" t="str">
        <f>"441"</f>
        <v>441</v>
      </c>
      <c r="D119" s="618" t="s">
        <v>13</v>
      </c>
      <c r="E119" s="618">
        <v>20</v>
      </c>
      <c r="F119" s="619">
        <v>37804</v>
      </c>
      <c r="G119" s="619">
        <v>43282</v>
      </c>
      <c r="H119" s="618" t="s">
        <v>23</v>
      </c>
      <c r="I119" s="618" t="s">
        <v>6865</v>
      </c>
    </row>
    <row r="120" spans="1:9">
      <c r="A120" s="620">
        <f t="shared" si="1"/>
        <v>116</v>
      </c>
      <c r="B120" s="621" t="s">
        <v>6866</v>
      </c>
      <c r="C120" s="621" t="str">
        <f>"442"</f>
        <v>442</v>
      </c>
      <c r="D120" s="621" t="s">
        <v>13</v>
      </c>
      <c r="E120" s="621">
        <v>25</v>
      </c>
      <c r="F120" s="622">
        <v>37804</v>
      </c>
      <c r="G120" s="622">
        <v>43282</v>
      </c>
      <c r="H120" s="621" t="s">
        <v>23</v>
      </c>
      <c r="I120" s="621" t="s">
        <v>6865</v>
      </c>
    </row>
    <row r="121" spans="1:9">
      <c r="A121" s="617">
        <f t="shared" si="1"/>
        <v>117</v>
      </c>
      <c r="B121" s="618" t="s">
        <v>6866</v>
      </c>
      <c r="C121" s="618" t="str">
        <f>"444"</f>
        <v>444</v>
      </c>
      <c r="D121" s="618" t="s">
        <v>13</v>
      </c>
      <c r="E121" s="618">
        <v>25</v>
      </c>
      <c r="F121" s="619">
        <v>37804</v>
      </c>
      <c r="G121" s="619">
        <v>43282</v>
      </c>
      <c r="H121" s="618" t="s">
        <v>23</v>
      </c>
      <c r="I121" s="618" t="s">
        <v>6865</v>
      </c>
    </row>
    <row r="122" spans="1:9">
      <c r="A122" s="620">
        <f t="shared" si="1"/>
        <v>118</v>
      </c>
      <c r="B122" s="621" t="s">
        <v>6866</v>
      </c>
      <c r="C122" s="621" t="str">
        <f>"445"</f>
        <v>445</v>
      </c>
      <c r="D122" s="621" t="s">
        <v>13</v>
      </c>
      <c r="E122" s="621">
        <v>30</v>
      </c>
      <c r="F122" s="622">
        <v>37804</v>
      </c>
      <c r="G122" s="622">
        <v>43282</v>
      </c>
      <c r="H122" s="621" t="s">
        <v>23</v>
      </c>
      <c r="I122" s="621" t="s">
        <v>6865</v>
      </c>
    </row>
    <row r="123" spans="1:9">
      <c r="A123" s="617">
        <f t="shared" si="1"/>
        <v>119</v>
      </c>
      <c r="B123" s="618" t="s">
        <v>5722</v>
      </c>
      <c r="C123" s="618" t="str">
        <f>"446"</f>
        <v>446</v>
      </c>
      <c r="D123" s="618" t="s">
        <v>13</v>
      </c>
      <c r="E123" s="618">
        <v>24</v>
      </c>
      <c r="F123" s="619">
        <v>37804</v>
      </c>
      <c r="G123" s="619">
        <v>43282</v>
      </c>
      <c r="H123" s="618" t="s">
        <v>31</v>
      </c>
      <c r="I123" s="618" t="s">
        <v>6862</v>
      </c>
    </row>
    <row r="124" spans="1:9">
      <c r="A124" s="620">
        <f t="shared" si="1"/>
        <v>120</v>
      </c>
      <c r="B124" s="621" t="s">
        <v>6866</v>
      </c>
      <c r="C124" s="621" t="str">
        <f>"447"</f>
        <v>447</v>
      </c>
      <c r="D124" s="621" t="s">
        <v>13</v>
      </c>
      <c r="E124" s="621">
        <v>35</v>
      </c>
      <c r="F124" s="622">
        <v>37804</v>
      </c>
      <c r="G124" s="622">
        <v>43282</v>
      </c>
      <c r="H124" s="621" t="s">
        <v>23</v>
      </c>
      <c r="I124" s="621" t="s">
        <v>6865</v>
      </c>
    </row>
    <row r="125" spans="1:9">
      <c r="A125" s="617">
        <f t="shared" si="1"/>
        <v>121</v>
      </c>
      <c r="B125" s="618" t="s">
        <v>6866</v>
      </c>
      <c r="C125" s="618" t="str">
        <f>"448"</f>
        <v>448</v>
      </c>
      <c r="D125" s="618" t="s">
        <v>13</v>
      </c>
      <c r="E125" s="618">
        <v>20</v>
      </c>
      <c r="F125" s="619">
        <v>37804</v>
      </c>
      <c r="G125" s="619">
        <v>43282</v>
      </c>
      <c r="H125" s="618" t="s">
        <v>23</v>
      </c>
      <c r="I125" s="618" t="s">
        <v>6865</v>
      </c>
    </row>
    <row r="126" spans="1:9">
      <c r="A126" s="620">
        <f t="shared" si="1"/>
        <v>122</v>
      </c>
      <c r="B126" s="621" t="s">
        <v>6866</v>
      </c>
      <c r="C126" s="621" t="str">
        <f>"449"</f>
        <v>449</v>
      </c>
      <c r="D126" s="621" t="s">
        <v>13</v>
      </c>
      <c r="E126" s="621">
        <v>30</v>
      </c>
      <c r="F126" s="622">
        <v>37804</v>
      </c>
      <c r="G126" s="622">
        <v>43282</v>
      </c>
      <c r="H126" s="621" t="s">
        <v>23</v>
      </c>
      <c r="I126" s="621" t="s">
        <v>6865</v>
      </c>
    </row>
    <row r="127" spans="1:9">
      <c r="A127" s="617">
        <f t="shared" si="1"/>
        <v>123</v>
      </c>
      <c r="B127" s="618" t="s">
        <v>5722</v>
      </c>
      <c r="C127" s="618" t="str">
        <f>"450"</f>
        <v>450</v>
      </c>
      <c r="D127" s="618" t="s">
        <v>13</v>
      </c>
      <c r="E127" s="618">
        <v>25</v>
      </c>
      <c r="F127" s="619">
        <v>37804</v>
      </c>
      <c r="G127" s="619">
        <v>43282</v>
      </c>
      <c r="H127" s="618" t="s">
        <v>31</v>
      </c>
      <c r="I127" s="618" t="s">
        <v>6862</v>
      </c>
    </row>
    <row r="128" spans="1:9">
      <c r="A128" s="620">
        <f t="shared" si="1"/>
        <v>124</v>
      </c>
      <c r="B128" s="621" t="s">
        <v>158</v>
      </c>
      <c r="C128" s="621" t="str">
        <f>"459"</f>
        <v>459</v>
      </c>
      <c r="D128" s="621" t="s">
        <v>18</v>
      </c>
      <c r="E128" s="621">
        <v>192</v>
      </c>
      <c r="F128" s="622">
        <v>41358</v>
      </c>
      <c r="G128" s="622">
        <v>43183</v>
      </c>
      <c r="H128" s="621" t="s">
        <v>16</v>
      </c>
      <c r="I128" s="621" t="s">
        <v>6865</v>
      </c>
    </row>
    <row r="129" spans="1:9">
      <c r="A129" s="617">
        <f t="shared" si="1"/>
        <v>125</v>
      </c>
      <c r="B129" s="618" t="s">
        <v>158</v>
      </c>
      <c r="C129" s="618" t="str">
        <f>"460"</f>
        <v>460</v>
      </c>
      <c r="D129" s="618" t="s">
        <v>18</v>
      </c>
      <c r="E129" s="618">
        <v>391</v>
      </c>
      <c r="F129" s="619">
        <v>41358</v>
      </c>
      <c r="G129" s="619">
        <v>43183</v>
      </c>
      <c r="H129" s="618" t="s">
        <v>16</v>
      </c>
      <c r="I129" s="618" t="s">
        <v>6865</v>
      </c>
    </row>
    <row r="130" spans="1:9">
      <c r="A130" s="620">
        <f t="shared" si="1"/>
        <v>126</v>
      </c>
      <c r="B130" s="621" t="s">
        <v>158</v>
      </c>
      <c r="C130" s="621" t="str">
        <f>"461"</f>
        <v>461</v>
      </c>
      <c r="D130" s="621" t="s">
        <v>18</v>
      </c>
      <c r="E130" s="621">
        <v>400</v>
      </c>
      <c r="F130" s="622">
        <v>41358</v>
      </c>
      <c r="G130" s="622">
        <v>43183</v>
      </c>
      <c r="H130" s="621" t="s">
        <v>16</v>
      </c>
      <c r="I130" s="621" t="s">
        <v>6865</v>
      </c>
    </row>
    <row r="131" spans="1:9">
      <c r="A131" s="617">
        <f t="shared" si="1"/>
        <v>127</v>
      </c>
      <c r="B131" s="618" t="s">
        <v>158</v>
      </c>
      <c r="C131" s="618" t="str">
        <f>"462"</f>
        <v>462</v>
      </c>
      <c r="D131" s="618" t="s">
        <v>18</v>
      </c>
      <c r="E131" s="618">
        <v>400</v>
      </c>
      <c r="F131" s="619">
        <v>41358</v>
      </c>
      <c r="G131" s="619">
        <v>43183</v>
      </c>
      <c r="H131" s="618" t="s">
        <v>16</v>
      </c>
      <c r="I131" s="618" t="s">
        <v>6865</v>
      </c>
    </row>
    <row r="132" spans="1:9">
      <c r="A132" s="620">
        <f t="shared" si="1"/>
        <v>128</v>
      </c>
      <c r="B132" s="621" t="s">
        <v>67</v>
      </c>
      <c r="C132" s="621" t="str">
        <f>"463"</f>
        <v>463</v>
      </c>
      <c r="D132" s="621" t="s">
        <v>13</v>
      </c>
      <c r="E132" s="621">
        <v>44</v>
      </c>
      <c r="F132" s="622">
        <v>39906</v>
      </c>
      <c r="G132" s="622">
        <v>45384</v>
      </c>
      <c r="H132" s="621" t="s">
        <v>14</v>
      </c>
      <c r="I132" s="621" t="s">
        <v>6858</v>
      </c>
    </row>
    <row r="133" spans="1:9">
      <c r="A133" s="617">
        <f t="shared" si="1"/>
        <v>129</v>
      </c>
      <c r="B133" s="618" t="s">
        <v>36</v>
      </c>
      <c r="C133" s="618" t="str">
        <f>"464"</f>
        <v>464</v>
      </c>
      <c r="D133" s="618" t="s">
        <v>13</v>
      </c>
      <c r="E133" s="618">
        <v>21</v>
      </c>
      <c r="F133" s="619">
        <v>39906</v>
      </c>
      <c r="G133" s="619">
        <v>45384</v>
      </c>
      <c r="H133" s="618" t="s">
        <v>14</v>
      </c>
      <c r="I133" s="618" t="s">
        <v>6858</v>
      </c>
    </row>
    <row r="134" spans="1:9">
      <c r="A134" s="620">
        <f t="shared" si="1"/>
        <v>130</v>
      </c>
      <c r="B134" s="621" t="s">
        <v>68</v>
      </c>
      <c r="C134" s="621" t="str">
        <f>"465"</f>
        <v>465</v>
      </c>
      <c r="D134" s="621" t="s">
        <v>13</v>
      </c>
      <c r="E134" s="621">
        <v>30</v>
      </c>
      <c r="F134" s="622">
        <v>40102</v>
      </c>
      <c r="G134" s="622">
        <v>45384</v>
      </c>
      <c r="H134" s="621" t="s">
        <v>14</v>
      </c>
      <c r="I134" s="621" t="s">
        <v>6858</v>
      </c>
    </row>
    <row r="135" spans="1:9">
      <c r="A135" s="617">
        <f t="shared" ref="A135:A198" si="2">+A134+1</f>
        <v>131</v>
      </c>
      <c r="B135" s="618" t="s">
        <v>36</v>
      </c>
      <c r="C135" s="618" t="str">
        <f>"466"</f>
        <v>466</v>
      </c>
      <c r="D135" s="618" t="s">
        <v>13</v>
      </c>
      <c r="E135" s="618">
        <v>16</v>
      </c>
      <c r="F135" s="619">
        <v>39344</v>
      </c>
      <c r="G135" s="619">
        <v>44819</v>
      </c>
      <c r="H135" s="618" t="s">
        <v>45</v>
      </c>
      <c r="I135" s="618" t="s">
        <v>6858</v>
      </c>
    </row>
    <row r="136" spans="1:9">
      <c r="A136" s="620">
        <f t="shared" si="2"/>
        <v>132</v>
      </c>
      <c r="B136" s="621" t="s">
        <v>67</v>
      </c>
      <c r="C136" s="621" t="str">
        <f>"467"</f>
        <v>467</v>
      </c>
      <c r="D136" s="621" t="s">
        <v>13</v>
      </c>
      <c r="E136" s="621">
        <v>151</v>
      </c>
      <c r="F136" s="622">
        <v>39906</v>
      </c>
      <c r="G136" s="622">
        <v>45384</v>
      </c>
      <c r="H136" s="621" t="s">
        <v>16</v>
      </c>
      <c r="I136" s="621" t="s">
        <v>6858</v>
      </c>
    </row>
    <row r="137" spans="1:9">
      <c r="A137" s="617">
        <f t="shared" si="2"/>
        <v>133</v>
      </c>
      <c r="B137" s="618" t="s">
        <v>67</v>
      </c>
      <c r="C137" s="618" t="str">
        <f>"468"</f>
        <v>468</v>
      </c>
      <c r="D137" s="618" t="s">
        <v>13</v>
      </c>
      <c r="E137" s="618">
        <v>27</v>
      </c>
      <c r="F137" s="619">
        <v>39906</v>
      </c>
      <c r="G137" s="619">
        <v>45384</v>
      </c>
      <c r="H137" s="618" t="s">
        <v>14</v>
      </c>
      <c r="I137" s="618" t="s">
        <v>6858</v>
      </c>
    </row>
    <row r="138" spans="1:9">
      <c r="A138" s="620">
        <f t="shared" si="2"/>
        <v>134</v>
      </c>
      <c r="B138" s="621" t="s">
        <v>67</v>
      </c>
      <c r="C138" s="621" t="str">
        <f>"469"</f>
        <v>469</v>
      </c>
      <c r="D138" s="621" t="s">
        <v>13</v>
      </c>
      <c r="E138" s="621">
        <v>275</v>
      </c>
      <c r="F138" s="622">
        <v>39906</v>
      </c>
      <c r="G138" s="622">
        <v>45384</v>
      </c>
      <c r="H138" s="621" t="s">
        <v>16</v>
      </c>
      <c r="I138" s="621" t="s">
        <v>6858</v>
      </c>
    </row>
    <row r="139" spans="1:9">
      <c r="A139" s="617">
        <f t="shared" si="2"/>
        <v>135</v>
      </c>
      <c r="B139" s="618" t="s">
        <v>36</v>
      </c>
      <c r="C139" s="618" t="str">
        <f>"481"</f>
        <v>481</v>
      </c>
      <c r="D139" s="618" t="s">
        <v>13</v>
      </c>
      <c r="E139" s="618">
        <v>53</v>
      </c>
      <c r="F139" s="619">
        <v>39907</v>
      </c>
      <c r="G139" s="619">
        <v>45385</v>
      </c>
      <c r="H139" s="618" t="s">
        <v>14</v>
      </c>
      <c r="I139" s="618" t="s">
        <v>6858</v>
      </c>
    </row>
    <row r="140" spans="1:9">
      <c r="A140" s="620">
        <f t="shared" si="2"/>
        <v>136</v>
      </c>
      <c r="B140" s="621" t="s">
        <v>1648</v>
      </c>
      <c r="C140" s="621" t="str">
        <f>"484"</f>
        <v>484</v>
      </c>
      <c r="D140" s="621" t="s">
        <v>27</v>
      </c>
      <c r="E140" s="621">
        <v>13</v>
      </c>
      <c r="F140" s="622">
        <v>38964</v>
      </c>
      <c r="G140" s="622">
        <v>42616</v>
      </c>
      <c r="H140" s="621" t="s">
        <v>23</v>
      </c>
      <c r="I140" s="621" t="s">
        <v>6867</v>
      </c>
    </row>
    <row r="141" spans="1:9">
      <c r="A141" s="617">
        <f t="shared" si="2"/>
        <v>137</v>
      </c>
      <c r="B141" s="618" t="s">
        <v>1648</v>
      </c>
      <c r="C141" s="618" t="str">
        <f>"485"</f>
        <v>485</v>
      </c>
      <c r="D141" s="618" t="s">
        <v>27</v>
      </c>
      <c r="E141" s="618">
        <v>25</v>
      </c>
      <c r="F141" s="619">
        <v>38964</v>
      </c>
      <c r="G141" s="619">
        <v>42616</v>
      </c>
      <c r="H141" s="618" t="s">
        <v>23</v>
      </c>
      <c r="I141" s="618" t="s">
        <v>6867</v>
      </c>
    </row>
    <row r="142" spans="1:9">
      <c r="A142" s="620">
        <f t="shared" si="2"/>
        <v>138</v>
      </c>
      <c r="B142" s="621" t="s">
        <v>1648</v>
      </c>
      <c r="C142" s="621" t="str">
        <f>"486"</f>
        <v>486</v>
      </c>
      <c r="D142" s="621" t="s">
        <v>27</v>
      </c>
      <c r="E142" s="621">
        <v>22</v>
      </c>
      <c r="F142" s="622">
        <v>38964</v>
      </c>
      <c r="G142" s="622">
        <v>42616</v>
      </c>
      <c r="H142" s="621" t="s">
        <v>23</v>
      </c>
      <c r="I142" s="621" t="s">
        <v>6867</v>
      </c>
    </row>
    <row r="143" spans="1:9">
      <c r="A143" s="617">
        <f t="shared" si="2"/>
        <v>139</v>
      </c>
      <c r="B143" s="618" t="s">
        <v>1648</v>
      </c>
      <c r="C143" s="618" t="str">
        <f>"487"</f>
        <v>487</v>
      </c>
      <c r="D143" s="618" t="s">
        <v>27</v>
      </c>
      <c r="E143" s="618">
        <v>14</v>
      </c>
      <c r="F143" s="619">
        <v>38973</v>
      </c>
      <c r="G143" s="619">
        <v>42625</v>
      </c>
      <c r="H143" s="618" t="s">
        <v>23</v>
      </c>
      <c r="I143" s="618" t="s">
        <v>6867</v>
      </c>
    </row>
    <row r="144" spans="1:9">
      <c r="A144" s="620">
        <f t="shared" si="2"/>
        <v>140</v>
      </c>
      <c r="B144" s="621" t="s">
        <v>1648</v>
      </c>
      <c r="C144" s="621" t="str">
        <f>"488"</f>
        <v>488</v>
      </c>
      <c r="D144" s="621" t="s">
        <v>27</v>
      </c>
      <c r="E144" s="621">
        <v>15</v>
      </c>
      <c r="F144" s="622">
        <v>38973</v>
      </c>
      <c r="G144" s="622">
        <v>40798</v>
      </c>
      <c r="H144" s="621" t="s">
        <v>23</v>
      </c>
      <c r="I144" s="621" t="s">
        <v>6867</v>
      </c>
    </row>
    <row r="145" spans="1:9">
      <c r="A145" s="617">
        <f t="shared" si="2"/>
        <v>141</v>
      </c>
      <c r="B145" s="618" t="s">
        <v>1648</v>
      </c>
      <c r="C145" s="618" t="str">
        <f>"489"</f>
        <v>489</v>
      </c>
      <c r="D145" s="618" t="s">
        <v>27</v>
      </c>
      <c r="E145" s="618">
        <v>12</v>
      </c>
      <c r="F145" s="619">
        <v>38973</v>
      </c>
      <c r="G145" s="619">
        <v>40798</v>
      </c>
      <c r="H145" s="618" t="s">
        <v>23</v>
      </c>
      <c r="I145" s="618" t="s">
        <v>6867</v>
      </c>
    </row>
    <row r="146" spans="1:9">
      <c r="A146" s="620">
        <f t="shared" si="2"/>
        <v>142</v>
      </c>
      <c r="B146" s="621" t="s">
        <v>1648</v>
      </c>
      <c r="C146" s="621" t="str">
        <f>"490"</f>
        <v>490</v>
      </c>
      <c r="D146" s="621" t="s">
        <v>27</v>
      </c>
      <c r="E146" s="621">
        <v>10</v>
      </c>
      <c r="F146" s="622">
        <v>38973</v>
      </c>
      <c r="G146" s="622">
        <v>40798</v>
      </c>
      <c r="H146" s="621" t="s">
        <v>23</v>
      </c>
      <c r="I146" s="621" t="s">
        <v>6867</v>
      </c>
    </row>
    <row r="147" spans="1:9">
      <c r="A147" s="617">
        <f t="shared" si="2"/>
        <v>143</v>
      </c>
      <c r="B147" s="618" t="s">
        <v>1648</v>
      </c>
      <c r="C147" s="618" t="str">
        <f>"491"</f>
        <v>491</v>
      </c>
      <c r="D147" s="618" t="s">
        <v>27</v>
      </c>
      <c r="E147" s="618">
        <v>11</v>
      </c>
      <c r="F147" s="619">
        <v>38973</v>
      </c>
      <c r="G147" s="619">
        <v>40798</v>
      </c>
      <c r="H147" s="618" t="s">
        <v>23</v>
      </c>
      <c r="I147" s="618" t="s">
        <v>6867</v>
      </c>
    </row>
    <row r="148" spans="1:9">
      <c r="A148" s="620">
        <f t="shared" si="2"/>
        <v>144</v>
      </c>
      <c r="B148" s="621" t="s">
        <v>386</v>
      </c>
      <c r="C148" s="621" t="str">
        <f>"495"</f>
        <v>495</v>
      </c>
      <c r="D148" s="621" t="s">
        <v>13</v>
      </c>
      <c r="E148" s="621">
        <v>6</v>
      </c>
      <c r="F148" s="622">
        <v>36512</v>
      </c>
      <c r="G148" s="622">
        <v>43816</v>
      </c>
      <c r="H148" s="621" t="s">
        <v>14</v>
      </c>
      <c r="I148" s="621" t="s">
        <v>6858</v>
      </c>
    </row>
    <row r="149" spans="1:9">
      <c r="A149" s="617">
        <f t="shared" si="2"/>
        <v>145</v>
      </c>
      <c r="B149" s="618" t="s">
        <v>386</v>
      </c>
      <c r="C149" s="618" t="str">
        <f>"496"</f>
        <v>496</v>
      </c>
      <c r="D149" s="618" t="s">
        <v>13</v>
      </c>
      <c r="E149" s="618">
        <v>11</v>
      </c>
      <c r="F149" s="619">
        <v>36512</v>
      </c>
      <c r="G149" s="619">
        <v>43816</v>
      </c>
      <c r="H149" s="618" t="s">
        <v>16</v>
      </c>
      <c r="I149" s="618" t="s">
        <v>6858</v>
      </c>
    </row>
    <row r="150" spans="1:9">
      <c r="A150" s="620">
        <f t="shared" si="2"/>
        <v>146</v>
      </c>
      <c r="B150" s="621" t="s">
        <v>387</v>
      </c>
      <c r="C150" s="621" t="str">
        <f>"515"</f>
        <v>515</v>
      </c>
      <c r="D150" s="621" t="s">
        <v>27</v>
      </c>
      <c r="E150" s="621">
        <v>25</v>
      </c>
      <c r="F150" s="622">
        <v>36770</v>
      </c>
      <c r="G150" s="622">
        <v>38595</v>
      </c>
      <c r="H150" s="621" t="s">
        <v>23</v>
      </c>
      <c r="I150" s="621" t="s">
        <v>385</v>
      </c>
    </row>
    <row r="151" spans="1:9">
      <c r="A151" s="617">
        <f t="shared" si="2"/>
        <v>147</v>
      </c>
      <c r="B151" s="618" t="s">
        <v>36</v>
      </c>
      <c r="C151" s="618" t="str">
        <f>"523"</f>
        <v>523</v>
      </c>
      <c r="D151" s="618" t="s">
        <v>13</v>
      </c>
      <c r="E151" s="618">
        <v>6</v>
      </c>
      <c r="F151" s="619">
        <v>39907</v>
      </c>
      <c r="G151" s="619">
        <v>45385</v>
      </c>
      <c r="H151" s="618" t="s">
        <v>14</v>
      </c>
      <c r="I151" s="618" t="s">
        <v>6858</v>
      </c>
    </row>
    <row r="152" spans="1:9">
      <c r="A152" s="620">
        <f t="shared" si="2"/>
        <v>148</v>
      </c>
      <c r="B152" s="621" t="s">
        <v>36</v>
      </c>
      <c r="C152" s="621" t="str">
        <f>"524"</f>
        <v>524</v>
      </c>
      <c r="D152" s="621" t="s">
        <v>13</v>
      </c>
      <c r="E152" s="621">
        <v>6</v>
      </c>
      <c r="F152" s="622">
        <v>39907</v>
      </c>
      <c r="G152" s="622">
        <v>45385</v>
      </c>
      <c r="H152" s="621" t="s">
        <v>14</v>
      </c>
      <c r="I152" s="621" t="s">
        <v>6858</v>
      </c>
    </row>
    <row r="153" spans="1:9">
      <c r="A153" s="617">
        <f t="shared" si="2"/>
        <v>149</v>
      </c>
      <c r="B153" s="618" t="s">
        <v>69</v>
      </c>
      <c r="C153" s="618" t="str">
        <f>"525"</f>
        <v>525</v>
      </c>
      <c r="D153" s="618" t="s">
        <v>13</v>
      </c>
      <c r="E153" s="618">
        <v>13</v>
      </c>
      <c r="F153" s="619">
        <v>39444</v>
      </c>
      <c r="G153" s="619">
        <v>45385</v>
      </c>
      <c r="H153" s="618" t="s">
        <v>16</v>
      </c>
      <c r="I153" s="618" t="s">
        <v>6858</v>
      </c>
    </row>
    <row r="154" spans="1:9">
      <c r="A154" s="620">
        <f t="shared" si="2"/>
        <v>150</v>
      </c>
      <c r="B154" s="621" t="s">
        <v>70</v>
      </c>
      <c r="C154" s="621" t="str">
        <f>"526"</f>
        <v>526</v>
      </c>
      <c r="D154" s="621" t="s">
        <v>13</v>
      </c>
      <c r="E154" s="621">
        <v>6</v>
      </c>
      <c r="F154" s="622">
        <v>39907</v>
      </c>
      <c r="G154" s="622">
        <v>45385</v>
      </c>
      <c r="H154" s="621" t="s">
        <v>14</v>
      </c>
      <c r="I154" s="621" t="s">
        <v>6858</v>
      </c>
    </row>
    <row r="155" spans="1:9">
      <c r="A155" s="617">
        <f t="shared" si="2"/>
        <v>151</v>
      </c>
      <c r="B155" s="618" t="s">
        <v>71</v>
      </c>
      <c r="C155" s="618" t="str">
        <f>"527"</f>
        <v>527</v>
      </c>
      <c r="D155" s="618" t="s">
        <v>13</v>
      </c>
      <c r="E155" s="618">
        <v>34</v>
      </c>
      <c r="F155" s="619">
        <v>39907</v>
      </c>
      <c r="G155" s="619">
        <v>45385</v>
      </c>
      <c r="H155" s="618" t="s">
        <v>14</v>
      </c>
      <c r="I155" s="618" t="s">
        <v>6861</v>
      </c>
    </row>
    <row r="156" spans="1:9">
      <c r="A156" s="620">
        <f t="shared" si="2"/>
        <v>152</v>
      </c>
      <c r="B156" s="621" t="s">
        <v>36</v>
      </c>
      <c r="C156" s="621" t="str">
        <f>"528"</f>
        <v>528</v>
      </c>
      <c r="D156" s="621" t="s">
        <v>13</v>
      </c>
      <c r="E156" s="621">
        <v>25</v>
      </c>
      <c r="F156" s="622">
        <v>39907</v>
      </c>
      <c r="G156" s="622">
        <v>45385</v>
      </c>
      <c r="H156" s="621" t="s">
        <v>14</v>
      </c>
      <c r="I156" s="621" t="s">
        <v>6858</v>
      </c>
    </row>
    <row r="157" spans="1:9">
      <c r="A157" s="617">
        <f t="shared" si="2"/>
        <v>153</v>
      </c>
      <c r="B157" s="618" t="s">
        <v>36</v>
      </c>
      <c r="C157" s="618" t="str">
        <f>"529"</f>
        <v>529</v>
      </c>
      <c r="D157" s="618" t="s">
        <v>13</v>
      </c>
      <c r="E157" s="618">
        <v>2</v>
      </c>
      <c r="F157" s="619">
        <v>39907</v>
      </c>
      <c r="G157" s="619">
        <v>45385</v>
      </c>
      <c r="H157" s="618" t="s">
        <v>16</v>
      </c>
      <c r="I157" s="618" t="s">
        <v>6858</v>
      </c>
    </row>
    <row r="158" spans="1:9">
      <c r="A158" s="620">
        <f t="shared" si="2"/>
        <v>154</v>
      </c>
      <c r="B158" s="621" t="s">
        <v>36</v>
      </c>
      <c r="C158" s="621" t="str">
        <f>"530"</f>
        <v>530</v>
      </c>
      <c r="D158" s="621" t="s">
        <v>13</v>
      </c>
      <c r="E158" s="621">
        <v>4</v>
      </c>
      <c r="F158" s="622">
        <v>39907</v>
      </c>
      <c r="G158" s="622">
        <v>45385</v>
      </c>
      <c r="H158" s="621" t="s">
        <v>14</v>
      </c>
      <c r="I158" s="621" t="s">
        <v>6858</v>
      </c>
    </row>
    <row r="159" spans="1:9">
      <c r="A159" s="617">
        <f t="shared" si="2"/>
        <v>155</v>
      </c>
      <c r="B159" s="618" t="s">
        <v>36</v>
      </c>
      <c r="C159" s="618" t="str">
        <f>"531"</f>
        <v>531</v>
      </c>
      <c r="D159" s="618" t="s">
        <v>13</v>
      </c>
      <c r="E159" s="618">
        <v>13</v>
      </c>
      <c r="F159" s="619">
        <v>39907</v>
      </c>
      <c r="G159" s="619">
        <v>45385</v>
      </c>
      <c r="H159" s="618" t="s">
        <v>14</v>
      </c>
      <c r="I159" s="618" t="s">
        <v>6858</v>
      </c>
    </row>
    <row r="160" spans="1:9">
      <c r="A160" s="620">
        <f t="shared" si="2"/>
        <v>156</v>
      </c>
      <c r="B160" s="621" t="s">
        <v>36</v>
      </c>
      <c r="C160" s="621" t="str">
        <f>"532"</f>
        <v>532</v>
      </c>
      <c r="D160" s="621" t="s">
        <v>13</v>
      </c>
      <c r="E160" s="621">
        <v>1</v>
      </c>
      <c r="F160" s="622">
        <v>39907</v>
      </c>
      <c r="G160" s="622">
        <v>45385</v>
      </c>
      <c r="H160" s="621" t="s">
        <v>14</v>
      </c>
      <c r="I160" s="621" t="s">
        <v>6858</v>
      </c>
    </row>
    <row r="161" spans="1:9">
      <c r="A161" s="617">
        <f t="shared" si="2"/>
        <v>157</v>
      </c>
      <c r="B161" s="618" t="s">
        <v>72</v>
      </c>
      <c r="C161" s="618" t="str">
        <f>"533"</f>
        <v>533</v>
      </c>
      <c r="D161" s="618" t="s">
        <v>13</v>
      </c>
      <c r="E161" s="618">
        <v>25</v>
      </c>
      <c r="F161" s="619">
        <v>39907</v>
      </c>
      <c r="G161" s="619">
        <v>45385</v>
      </c>
      <c r="H161" s="618" t="s">
        <v>14</v>
      </c>
      <c r="I161" s="618" t="s">
        <v>6858</v>
      </c>
    </row>
    <row r="162" spans="1:9">
      <c r="A162" s="620">
        <f t="shared" si="2"/>
        <v>158</v>
      </c>
      <c r="B162" s="621" t="s">
        <v>73</v>
      </c>
      <c r="C162" s="621" t="str">
        <f>"535"</f>
        <v>535</v>
      </c>
      <c r="D162" s="621" t="s">
        <v>13</v>
      </c>
      <c r="E162" s="621">
        <v>8</v>
      </c>
      <c r="F162" s="622">
        <v>39907</v>
      </c>
      <c r="G162" s="622">
        <v>45385</v>
      </c>
      <c r="H162" s="621" t="s">
        <v>16</v>
      </c>
      <c r="I162" s="621" t="s">
        <v>6858</v>
      </c>
    </row>
    <row r="163" spans="1:9">
      <c r="A163" s="617">
        <f t="shared" si="2"/>
        <v>159</v>
      </c>
      <c r="B163" s="618" t="s">
        <v>36</v>
      </c>
      <c r="C163" s="618" t="str">
        <f>"536"</f>
        <v>536</v>
      </c>
      <c r="D163" s="618" t="s">
        <v>13</v>
      </c>
      <c r="E163" s="618">
        <v>13</v>
      </c>
      <c r="F163" s="619">
        <v>39907</v>
      </c>
      <c r="G163" s="619">
        <v>45385</v>
      </c>
      <c r="H163" s="618" t="s">
        <v>16</v>
      </c>
      <c r="I163" s="618" t="s">
        <v>6858</v>
      </c>
    </row>
    <row r="164" spans="1:9">
      <c r="A164" s="620">
        <f t="shared" si="2"/>
        <v>160</v>
      </c>
      <c r="B164" s="621" t="s">
        <v>36</v>
      </c>
      <c r="C164" s="621" t="str">
        <f>"537"</f>
        <v>537</v>
      </c>
      <c r="D164" s="621" t="s">
        <v>13</v>
      </c>
      <c r="E164" s="621">
        <v>10</v>
      </c>
      <c r="F164" s="622">
        <v>39907</v>
      </c>
      <c r="G164" s="622">
        <v>45385</v>
      </c>
      <c r="H164" s="621" t="s">
        <v>14</v>
      </c>
      <c r="I164" s="621" t="s">
        <v>6858</v>
      </c>
    </row>
    <row r="165" spans="1:9">
      <c r="A165" s="617">
        <f t="shared" si="2"/>
        <v>161</v>
      </c>
      <c r="B165" s="618" t="s">
        <v>36</v>
      </c>
      <c r="C165" s="618" t="str">
        <f>"538"</f>
        <v>538</v>
      </c>
      <c r="D165" s="618" t="s">
        <v>13</v>
      </c>
      <c r="E165" s="618">
        <v>6</v>
      </c>
      <c r="F165" s="619">
        <v>39907</v>
      </c>
      <c r="G165" s="619">
        <v>45385</v>
      </c>
      <c r="H165" s="618" t="s">
        <v>14</v>
      </c>
      <c r="I165" s="618" t="s">
        <v>6858</v>
      </c>
    </row>
    <row r="166" spans="1:9">
      <c r="A166" s="620">
        <f t="shared" si="2"/>
        <v>162</v>
      </c>
      <c r="B166" s="621" t="s">
        <v>36</v>
      </c>
      <c r="C166" s="621" t="str">
        <f>"539"</f>
        <v>539</v>
      </c>
      <c r="D166" s="621" t="s">
        <v>13</v>
      </c>
      <c r="E166" s="621">
        <v>16</v>
      </c>
      <c r="F166" s="622">
        <v>39907</v>
      </c>
      <c r="G166" s="622">
        <v>45385</v>
      </c>
      <c r="H166" s="621" t="s">
        <v>14</v>
      </c>
      <c r="I166" s="621" t="s">
        <v>6858</v>
      </c>
    </row>
    <row r="167" spans="1:9">
      <c r="A167" s="617">
        <f t="shared" si="2"/>
        <v>163</v>
      </c>
      <c r="B167" s="618" t="s">
        <v>36</v>
      </c>
      <c r="C167" s="618" t="str">
        <f>"540"</f>
        <v>540</v>
      </c>
      <c r="D167" s="618" t="s">
        <v>13</v>
      </c>
      <c r="E167" s="618">
        <v>6</v>
      </c>
      <c r="F167" s="619">
        <v>39907</v>
      </c>
      <c r="G167" s="619">
        <v>45385</v>
      </c>
      <c r="H167" s="618" t="s">
        <v>14</v>
      </c>
      <c r="I167" s="618" t="s">
        <v>6858</v>
      </c>
    </row>
    <row r="168" spans="1:9">
      <c r="A168" s="620">
        <f t="shared" si="2"/>
        <v>164</v>
      </c>
      <c r="B168" s="621" t="s">
        <v>36</v>
      </c>
      <c r="C168" s="621" t="str">
        <f>"544"</f>
        <v>544</v>
      </c>
      <c r="D168" s="621" t="s">
        <v>13</v>
      </c>
      <c r="E168" s="621">
        <v>24</v>
      </c>
      <c r="F168" s="622">
        <v>39416</v>
      </c>
      <c r="G168" s="622">
        <v>44894</v>
      </c>
      <c r="H168" s="621" t="s">
        <v>16</v>
      </c>
      <c r="I168" s="621" t="s">
        <v>6858</v>
      </c>
    </row>
    <row r="169" spans="1:9">
      <c r="A169" s="617">
        <f t="shared" si="2"/>
        <v>165</v>
      </c>
      <c r="B169" s="618" t="s">
        <v>1649</v>
      </c>
      <c r="C169" s="618" t="str">
        <f>"569"</f>
        <v>569</v>
      </c>
      <c r="D169" s="618" t="s">
        <v>13</v>
      </c>
      <c r="E169" s="618">
        <v>20</v>
      </c>
      <c r="F169" s="619">
        <v>38963</v>
      </c>
      <c r="G169" s="619">
        <v>44451</v>
      </c>
      <c r="H169" s="618" t="s">
        <v>23</v>
      </c>
      <c r="I169" s="618" t="s">
        <v>6867</v>
      </c>
    </row>
    <row r="170" spans="1:9">
      <c r="A170" s="620">
        <f t="shared" si="2"/>
        <v>166</v>
      </c>
      <c r="B170" s="621" t="s">
        <v>1650</v>
      </c>
      <c r="C170" s="621" t="str">
        <f>"571"</f>
        <v>571</v>
      </c>
      <c r="D170" s="621" t="s">
        <v>13</v>
      </c>
      <c r="E170" s="621">
        <v>26</v>
      </c>
      <c r="F170" s="622">
        <v>38973</v>
      </c>
      <c r="G170" s="622">
        <v>44451</v>
      </c>
      <c r="H170" s="621" t="s">
        <v>23</v>
      </c>
      <c r="I170" s="621" t="s">
        <v>6867</v>
      </c>
    </row>
    <row r="171" spans="1:9">
      <c r="A171" s="617">
        <f t="shared" si="2"/>
        <v>167</v>
      </c>
      <c r="B171" s="618" t="s">
        <v>15</v>
      </c>
      <c r="C171" s="618" t="str">
        <f>"577"</f>
        <v>577</v>
      </c>
      <c r="D171" s="618" t="s">
        <v>13</v>
      </c>
      <c r="E171" s="618">
        <v>6</v>
      </c>
      <c r="F171" s="619">
        <v>40798</v>
      </c>
      <c r="G171" s="619">
        <v>46276</v>
      </c>
      <c r="H171" s="618" t="s">
        <v>14</v>
      </c>
      <c r="I171" s="618" t="s">
        <v>51</v>
      </c>
    </row>
    <row r="172" spans="1:9">
      <c r="A172" s="620">
        <f t="shared" si="2"/>
        <v>168</v>
      </c>
      <c r="B172" s="621" t="s">
        <v>74</v>
      </c>
      <c r="C172" s="621" t="str">
        <f>"578"</f>
        <v>578</v>
      </c>
      <c r="D172" s="621" t="s">
        <v>13</v>
      </c>
      <c r="E172" s="621">
        <v>8</v>
      </c>
      <c r="F172" s="622">
        <v>44465</v>
      </c>
      <c r="G172" s="622">
        <v>49943</v>
      </c>
      <c r="H172" s="621" t="s">
        <v>14</v>
      </c>
      <c r="I172" s="621" t="s">
        <v>51</v>
      </c>
    </row>
    <row r="173" spans="1:9">
      <c r="A173" s="617">
        <f t="shared" si="2"/>
        <v>169</v>
      </c>
      <c r="B173" s="618" t="s">
        <v>388</v>
      </c>
      <c r="C173" s="618" t="str">
        <f>"591"</f>
        <v>591</v>
      </c>
      <c r="D173" s="618" t="s">
        <v>13</v>
      </c>
      <c r="E173" s="618">
        <v>23</v>
      </c>
      <c r="F173" s="619">
        <v>37175</v>
      </c>
      <c r="G173" s="619">
        <v>44479</v>
      </c>
      <c r="H173" s="618" t="s">
        <v>16</v>
      </c>
      <c r="I173" s="618" t="s">
        <v>6858</v>
      </c>
    </row>
    <row r="174" spans="1:9">
      <c r="A174" s="620">
        <f t="shared" si="2"/>
        <v>170</v>
      </c>
      <c r="B174" s="621" t="s">
        <v>1651</v>
      </c>
      <c r="C174" s="621" t="str">
        <f>"602"</f>
        <v>602</v>
      </c>
      <c r="D174" s="621" t="s">
        <v>27</v>
      </c>
      <c r="E174" s="621">
        <v>24</v>
      </c>
      <c r="F174" s="622">
        <v>37254</v>
      </c>
      <c r="G174" s="622">
        <v>39079</v>
      </c>
      <c r="H174" s="621" t="s">
        <v>47</v>
      </c>
      <c r="I174" s="621" t="s">
        <v>385</v>
      </c>
    </row>
    <row r="175" spans="1:9">
      <c r="A175" s="617">
        <f t="shared" si="2"/>
        <v>171</v>
      </c>
      <c r="B175" s="618" t="s">
        <v>75</v>
      </c>
      <c r="C175" s="618" t="str">
        <f>"606"</f>
        <v>606</v>
      </c>
      <c r="D175" s="618" t="s">
        <v>13</v>
      </c>
      <c r="E175" s="618">
        <v>48</v>
      </c>
      <c r="F175" s="619">
        <v>44592</v>
      </c>
      <c r="G175" s="619">
        <v>50070</v>
      </c>
      <c r="H175" s="618" t="s">
        <v>14</v>
      </c>
      <c r="I175" s="618" t="s">
        <v>51</v>
      </c>
    </row>
    <row r="176" spans="1:9">
      <c r="A176" s="620">
        <f t="shared" si="2"/>
        <v>172</v>
      </c>
      <c r="B176" s="621" t="s">
        <v>1652</v>
      </c>
      <c r="C176" s="621" t="str">
        <f>"607"</f>
        <v>607</v>
      </c>
      <c r="D176" s="621" t="s">
        <v>13</v>
      </c>
      <c r="E176" s="621">
        <v>28</v>
      </c>
      <c r="F176" s="622">
        <v>39122</v>
      </c>
      <c r="G176" s="622">
        <v>44600</v>
      </c>
      <c r="H176" s="621" t="s">
        <v>23</v>
      </c>
      <c r="I176" s="621" t="s">
        <v>6867</v>
      </c>
    </row>
    <row r="177" spans="1:9">
      <c r="A177" s="617">
        <f t="shared" si="2"/>
        <v>173</v>
      </c>
      <c r="B177" s="618" t="s">
        <v>1652</v>
      </c>
      <c r="C177" s="618" t="str">
        <f>"608"</f>
        <v>608</v>
      </c>
      <c r="D177" s="618" t="s">
        <v>13</v>
      </c>
      <c r="E177" s="618">
        <v>30</v>
      </c>
      <c r="F177" s="619">
        <v>39122</v>
      </c>
      <c r="G177" s="619">
        <v>44600</v>
      </c>
      <c r="H177" s="618" t="s">
        <v>23</v>
      </c>
      <c r="I177" s="618" t="s">
        <v>6867</v>
      </c>
    </row>
    <row r="178" spans="1:9">
      <c r="A178" s="620">
        <f t="shared" si="2"/>
        <v>174</v>
      </c>
      <c r="B178" s="621" t="s">
        <v>1652</v>
      </c>
      <c r="C178" s="621" t="str">
        <f>"609"</f>
        <v>609</v>
      </c>
      <c r="D178" s="621" t="s">
        <v>13</v>
      </c>
      <c r="E178" s="621">
        <v>30</v>
      </c>
      <c r="F178" s="622">
        <v>39122</v>
      </c>
      <c r="G178" s="622">
        <v>44600</v>
      </c>
      <c r="H178" s="621" t="s">
        <v>23</v>
      </c>
      <c r="I178" s="621" t="s">
        <v>6867</v>
      </c>
    </row>
    <row r="179" spans="1:9">
      <c r="A179" s="617">
        <f t="shared" si="2"/>
        <v>175</v>
      </c>
      <c r="B179" s="618" t="s">
        <v>1652</v>
      </c>
      <c r="C179" s="618" t="str">
        <f>"610"</f>
        <v>610</v>
      </c>
      <c r="D179" s="618" t="s">
        <v>13</v>
      </c>
      <c r="E179" s="618">
        <v>36</v>
      </c>
      <c r="F179" s="619">
        <v>39122</v>
      </c>
      <c r="G179" s="619">
        <v>44600</v>
      </c>
      <c r="H179" s="618" t="s">
        <v>23</v>
      </c>
      <c r="I179" s="618" t="s">
        <v>6867</v>
      </c>
    </row>
    <row r="180" spans="1:9">
      <c r="A180" s="620">
        <f t="shared" si="2"/>
        <v>176</v>
      </c>
      <c r="B180" s="621" t="s">
        <v>1652</v>
      </c>
      <c r="C180" s="621" t="str">
        <f>"611"</f>
        <v>611</v>
      </c>
      <c r="D180" s="621" t="s">
        <v>13</v>
      </c>
      <c r="E180" s="621">
        <v>36</v>
      </c>
      <c r="F180" s="622">
        <v>39122</v>
      </c>
      <c r="G180" s="622">
        <v>44600</v>
      </c>
      <c r="H180" s="621" t="s">
        <v>23</v>
      </c>
      <c r="I180" s="621" t="s">
        <v>6867</v>
      </c>
    </row>
    <row r="181" spans="1:9">
      <c r="A181" s="617">
        <f t="shared" si="2"/>
        <v>177</v>
      </c>
      <c r="B181" s="618" t="s">
        <v>1652</v>
      </c>
      <c r="C181" s="618" t="str">
        <f>"612"</f>
        <v>612</v>
      </c>
      <c r="D181" s="618" t="s">
        <v>13</v>
      </c>
      <c r="E181" s="618">
        <v>30</v>
      </c>
      <c r="F181" s="619">
        <v>39122</v>
      </c>
      <c r="G181" s="619">
        <v>44600</v>
      </c>
      <c r="H181" s="618" t="s">
        <v>23</v>
      </c>
      <c r="I181" s="618" t="s">
        <v>6867</v>
      </c>
    </row>
    <row r="182" spans="1:9">
      <c r="A182" s="620">
        <f t="shared" si="2"/>
        <v>178</v>
      </c>
      <c r="B182" s="621" t="s">
        <v>1653</v>
      </c>
      <c r="C182" s="621" t="str">
        <f>"624"</f>
        <v>624</v>
      </c>
      <c r="D182" s="621" t="s">
        <v>27</v>
      </c>
      <c r="E182" s="621">
        <v>36</v>
      </c>
      <c r="F182" s="622">
        <v>39177</v>
      </c>
      <c r="G182" s="622">
        <v>42829</v>
      </c>
      <c r="H182" s="621" t="s">
        <v>23</v>
      </c>
      <c r="I182" s="621" t="s">
        <v>6863</v>
      </c>
    </row>
    <row r="183" spans="1:9">
      <c r="A183" s="617">
        <f t="shared" si="2"/>
        <v>179</v>
      </c>
      <c r="B183" s="618" t="s">
        <v>76</v>
      </c>
      <c r="C183" s="618" t="str">
        <f>"625"</f>
        <v>625</v>
      </c>
      <c r="D183" s="618" t="s">
        <v>13</v>
      </c>
      <c r="E183" s="618">
        <v>36</v>
      </c>
      <c r="F183" s="619">
        <v>43796</v>
      </c>
      <c r="G183" s="619">
        <v>52927</v>
      </c>
      <c r="H183" s="618" t="s">
        <v>23</v>
      </c>
      <c r="I183" s="618" t="s">
        <v>51</v>
      </c>
    </row>
    <row r="184" spans="1:9">
      <c r="A184" s="620">
        <f t="shared" si="2"/>
        <v>180</v>
      </c>
      <c r="B184" s="621" t="s">
        <v>1652</v>
      </c>
      <c r="C184" s="621" t="str">
        <f>"629"</f>
        <v>629</v>
      </c>
      <c r="D184" s="621" t="s">
        <v>13</v>
      </c>
      <c r="E184" s="621">
        <v>36</v>
      </c>
      <c r="F184" s="622">
        <v>39185</v>
      </c>
      <c r="G184" s="622">
        <v>44663</v>
      </c>
      <c r="H184" s="621" t="s">
        <v>23</v>
      </c>
      <c r="I184" s="621" t="s">
        <v>6867</v>
      </c>
    </row>
    <row r="185" spans="1:9">
      <c r="A185" s="617">
        <f t="shared" si="2"/>
        <v>181</v>
      </c>
      <c r="B185" s="618" t="s">
        <v>1652</v>
      </c>
      <c r="C185" s="618" t="str">
        <f>"630"</f>
        <v>630</v>
      </c>
      <c r="D185" s="618" t="s">
        <v>13</v>
      </c>
      <c r="E185" s="618">
        <v>30</v>
      </c>
      <c r="F185" s="619">
        <v>39185</v>
      </c>
      <c r="G185" s="619">
        <v>44663</v>
      </c>
      <c r="H185" s="618" t="s">
        <v>23</v>
      </c>
      <c r="I185" s="618" t="s">
        <v>6867</v>
      </c>
    </row>
    <row r="186" spans="1:9">
      <c r="A186" s="620">
        <f t="shared" si="2"/>
        <v>182</v>
      </c>
      <c r="B186" s="621" t="s">
        <v>1652</v>
      </c>
      <c r="C186" s="621" t="str">
        <f>"631"</f>
        <v>631</v>
      </c>
      <c r="D186" s="621" t="s">
        <v>13</v>
      </c>
      <c r="E186" s="621">
        <v>25</v>
      </c>
      <c r="F186" s="622">
        <v>39185</v>
      </c>
      <c r="G186" s="622">
        <v>44663</v>
      </c>
      <c r="H186" s="621" t="s">
        <v>23</v>
      </c>
      <c r="I186" s="621" t="s">
        <v>6867</v>
      </c>
    </row>
    <row r="187" spans="1:9">
      <c r="A187" s="617">
        <f t="shared" si="2"/>
        <v>183</v>
      </c>
      <c r="B187" s="618" t="s">
        <v>1652</v>
      </c>
      <c r="C187" s="618" t="str">
        <f>"632"</f>
        <v>632</v>
      </c>
      <c r="D187" s="618" t="s">
        <v>13</v>
      </c>
      <c r="E187" s="618">
        <v>26</v>
      </c>
      <c r="F187" s="619">
        <v>39185</v>
      </c>
      <c r="G187" s="619">
        <v>44663</v>
      </c>
      <c r="H187" s="618" t="s">
        <v>23</v>
      </c>
      <c r="I187" s="618" t="s">
        <v>6867</v>
      </c>
    </row>
    <row r="188" spans="1:9">
      <c r="A188" s="620">
        <f t="shared" si="2"/>
        <v>184</v>
      </c>
      <c r="B188" s="621" t="s">
        <v>1652</v>
      </c>
      <c r="C188" s="621" t="str">
        <f>"633"</f>
        <v>633</v>
      </c>
      <c r="D188" s="621" t="s">
        <v>13</v>
      </c>
      <c r="E188" s="621">
        <v>30</v>
      </c>
      <c r="F188" s="622">
        <v>39185</v>
      </c>
      <c r="G188" s="622">
        <v>44663</v>
      </c>
      <c r="H188" s="621" t="s">
        <v>23</v>
      </c>
      <c r="I188" s="621" t="s">
        <v>6867</v>
      </c>
    </row>
    <row r="189" spans="1:9">
      <c r="A189" s="617">
        <f t="shared" si="2"/>
        <v>185</v>
      </c>
      <c r="B189" s="618" t="s">
        <v>1652</v>
      </c>
      <c r="C189" s="618" t="str">
        <f>"634"</f>
        <v>634</v>
      </c>
      <c r="D189" s="618" t="s">
        <v>13</v>
      </c>
      <c r="E189" s="618">
        <v>27</v>
      </c>
      <c r="F189" s="619">
        <v>39185</v>
      </c>
      <c r="G189" s="619">
        <v>44663</v>
      </c>
      <c r="H189" s="618" t="s">
        <v>23</v>
      </c>
      <c r="I189" s="618" t="s">
        <v>6867</v>
      </c>
    </row>
    <row r="190" spans="1:9">
      <c r="A190" s="620">
        <f t="shared" si="2"/>
        <v>186</v>
      </c>
      <c r="B190" s="621" t="s">
        <v>1652</v>
      </c>
      <c r="C190" s="621" t="str">
        <f>"635"</f>
        <v>635</v>
      </c>
      <c r="D190" s="621" t="s">
        <v>13</v>
      </c>
      <c r="E190" s="621">
        <v>16</v>
      </c>
      <c r="F190" s="622">
        <v>39185</v>
      </c>
      <c r="G190" s="622">
        <v>44663</v>
      </c>
      <c r="H190" s="621" t="s">
        <v>23</v>
      </c>
      <c r="I190" s="621" t="s">
        <v>6867</v>
      </c>
    </row>
    <row r="191" spans="1:9">
      <c r="A191" s="617">
        <f t="shared" si="2"/>
        <v>187</v>
      </c>
      <c r="B191" s="618" t="s">
        <v>1652</v>
      </c>
      <c r="C191" s="618" t="str">
        <f>"636"</f>
        <v>636</v>
      </c>
      <c r="D191" s="618" t="s">
        <v>13</v>
      </c>
      <c r="E191" s="618">
        <v>16</v>
      </c>
      <c r="F191" s="619">
        <v>39185</v>
      </c>
      <c r="G191" s="619">
        <v>44663</v>
      </c>
      <c r="H191" s="618" t="s">
        <v>23</v>
      </c>
      <c r="I191" s="618" t="s">
        <v>6867</v>
      </c>
    </row>
    <row r="192" spans="1:9">
      <c r="A192" s="620">
        <f t="shared" si="2"/>
        <v>188</v>
      </c>
      <c r="B192" s="621" t="s">
        <v>77</v>
      </c>
      <c r="C192" s="621" t="str">
        <f>"643"</f>
        <v>643</v>
      </c>
      <c r="D192" s="621" t="s">
        <v>13</v>
      </c>
      <c r="E192" s="621">
        <v>207</v>
      </c>
      <c r="F192" s="622">
        <v>44687</v>
      </c>
      <c r="G192" s="622">
        <v>50165</v>
      </c>
      <c r="H192" s="621" t="s">
        <v>16</v>
      </c>
      <c r="I192" s="621" t="s">
        <v>51</v>
      </c>
    </row>
    <row r="193" spans="1:9">
      <c r="A193" s="617">
        <f t="shared" si="2"/>
        <v>189</v>
      </c>
      <c r="B193" s="618" t="s">
        <v>1621</v>
      </c>
      <c r="C193" s="618" t="str">
        <f>"652"</f>
        <v>652</v>
      </c>
      <c r="D193" s="618" t="s">
        <v>37</v>
      </c>
      <c r="E193" s="618">
        <v>79</v>
      </c>
      <c r="F193" s="619">
        <v>44689</v>
      </c>
      <c r="G193" s="619">
        <v>46514</v>
      </c>
      <c r="H193" s="618" t="s">
        <v>16</v>
      </c>
      <c r="I193" s="618" t="s">
        <v>51</v>
      </c>
    </row>
    <row r="194" spans="1:9">
      <c r="A194" s="620">
        <f t="shared" si="2"/>
        <v>190</v>
      </c>
      <c r="B194" s="621" t="s">
        <v>676</v>
      </c>
      <c r="C194" s="621" t="str">
        <f>"657"</f>
        <v>657</v>
      </c>
      <c r="D194" s="621" t="s">
        <v>13</v>
      </c>
      <c r="E194" s="621">
        <v>8</v>
      </c>
      <c r="F194" s="622">
        <v>37403</v>
      </c>
      <c r="G194" s="622">
        <v>44707</v>
      </c>
      <c r="H194" s="621" t="s">
        <v>16</v>
      </c>
      <c r="I194" s="621" t="s">
        <v>6858</v>
      </c>
    </row>
    <row r="195" spans="1:9">
      <c r="A195" s="617">
        <f t="shared" si="2"/>
        <v>191</v>
      </c>
      <c r="B195" s="618" t="s">
        <v>77</v>
      </c>
      <c r="C195" s="618" t="str">
        <f>"658"</f>
        <v>658</v>
      </c>
      <c r="D195" s="618" t="s">
        <v>13</v>
      </c>
      <c r="E195" s="618">
        <v>2</v>
      </c>
      <c r="F195" s="619">
        <v>44708</v>
      </c>
      <c r="G195" s="619">
        <v>50186</v>
      </c>
      <c r="H195" s="618" t="s">
        <v>16</v>
      </c>
      <c r="I195" s="618" t="s">
        <v>51</v>
      </c>
    </row>
    <row r="196" spans="1:9">
      <c r="A196" s="620">
        <f t="shared" si="2"/>
        <v>192</v>
      </c>
      <c r="B196" s="621" t="s">
        <v>553</v>
      </c>
      <c r="C196" s="621" t="str">
        <f>"660"</f>
        <v>660</v>
      </c>
      <c r="D196" s="621" t="s">
        <v>13</v>
      </c>
      <c r="E196" s="621">
        <v>15</v>
      </c>
      <c r="F196" s="622">
        <v>37403</v>
      </c>
      <c r="G196" s="622">
        <v>44707</v>
      </c>
      <c r="H196" s="621" t="s">
        <v>16</v>
      </c>
      <c r="I196" s="621" t="s">
        <v>6858</v>
      </c>
    </row>
    <row r="197" spans="1:9">
      <c r="A197" s="617">
        <f t="shared" si="2"/>
        <v>193</v>
      </c>
      <c r="B197" s="618" t="s">
        <v>35</v>
      </c>
      <c r="C197" s="618" t="str">
        <f>"661"</f>
        <v>661</v>
      </c>
      <c r="D197" s="618" t="s">
        <v>13</v>
      </c>
      <c r="E197" s="618">
        <v>3</v>
      </c>
      <c r="F197" s="619">
        <v>37403</v>
      </c>
      <c r="G197" s="619">
        <v>50186</v>
      </c>
      <c r="H197" s="618" t="s">
        <v>16</v>
      </c>
      <c r="I197" s="618" t="s">
        <v>51</v>
      </c>
    </row>
    <row r="198" spans="1:9">
      <c r="A198" s="620">
        <f t="shared" si="2"/>
        <v>194</v>
      </c>
      <c r="B198" s="621" t="s">
        <v>77</v>
      </c>
      <c r="C198" s="621" t="str">
        <f>"662"</f>
        <v>662</v>
      </c>
      <c r="D198" s="621" t="s">
        <v>13</v>
      </c>
      <c r="E198" s="621">
        <v>8</v>
      </c>
      <c r="F198" s="622">
        <v>44708</v>
      </c>
      <c r="G198" s="622">
        <v>50186</v>
      </c>
      <c r="H198" s="621" t="s">
        <v>16</v>
      </c>
      <c r="I198" s="621" t="s">
        <v>51</v>
      </c>
    </row>
    <row r="199" spans="1:9">
      <c r="A199" s="617">
        <f t="shared" ref="A199:A262" si="3">+A198+1</f>
        <v>195</v>
      </c>
      <c r="B199" s="618" t="s">
        <v>36</v>
      </c>
      <c r="C199" s="618" t="str">
        <f>"663"</f>
        <v>663</v>
      </c>
      <c r="D199" s="618" t="s">
        <v>13</v>
      </c>
      <c r="E199" s="618">
        <v>9</v>
      </c>
      <c r="F199" s="619">
        <v>37403</v>
      </c>
      <c r="G199" s="619">
        <v>44707</v>
      </c>
      <c r="H199" s="618" t="s">
        <v>16</v>
      </c>
      <c r="I199" s="618" t="s">
        <v>6858</v>
      </c>
    </row>
    <row r="200" spans="1:9">
      <c r="A200" s="620">
        <f t="shared" si="3"/>
        <v>196</v>
      </c>
      <c r="B200" s="621" t="s">
        <v>389</v>
      </c>
      <c r="C200" s="621" t="str">
        <f>"665"</f>
        <v>665</v>
      </c>
      <c r="D200" s="621" t="s">
        <v>27</v>
      </c>
      <c r="E200" s="621">
        <v>8</v>
      </c>
      <c r="F200" s="622">
        <v>39996</v>
      </c>
      <c r="G200" s="622">
        <v>42917</v>
      </c>
      <c r="H200" s="621" t="s">
        <v>23</v>
      </c>
      <c r="I200" s="621" t="s">
        <v>6863</v>
      </c>
    </row>
    <row r="201" spans="1:9">
      <c r="A201" s="617">
        <f t="shared" si="3"/>
        <v>197</v>
      </c>
      <c r="B201" s="618" t="s">
        <v>390</v>
      </c>
      <c r="C201" s="618" t="str">
        <f>"666"</f>
        <v>666</v>
      </c>
      <c r="D201" s="618" t="s">
        <v>27</v>
      </c>
      <c r="E201" s="618">
        <v>16</v>
      </c>
      <c r="F201" s="619">
        <v>40361</v>
      </c>
      <c r="G201" s="619">
        <v>42186</v>
      </c>
      <c r="H201" s="618" t="s">
        <v>23</v>
      </c>
      <c r="I201" s="618" t="s">
        <v>6867</v>
      </c>
    </row>
    <row r="202" spans="1:9">
      <c r="A202" s="620">
        <f t="shared" si="3"/>
        <v>198</v>
      </c>
      <c r="B202" s="621" t="s">
        <v>390</v>
      </c>
      <c r="C202" s="621" t="str">
        <f>"667"</f>
        <v>667</v>
      </c>
      <c r="D202" s="621" t="s">
        <v>27</v>
      </c>
      <c r="E202" s="621">
        <v>11</v>
      </c>
      <c r="F202" s="622">
        <v>40361</v>
      </c>
      <c r="G202" s="622">
        <v>42186</v>
      </c>
      <c r="H202" s="621" t="s">
        <v>23</v>
      </c>
      <c r="I202" s="621" t="s">
        <v>6867</v>
      </c>
    </row>
    <row r="203" spans="1:9">
      <c r="A203" s="617">
        <f t="shared" si="3"/>
        <v>199</v>
      </c>
      <c r="B203" s="618" t="s">
        <v>1654</v>
      </c>
      <c r="C203" s="618" t="str">
        <f>"668"</f>
        <v>668</v>
      </c>
      <c r="D203" s="618" t="s">
        <v>27</v>
      </c>
      <c r="E203" s="618">
        <v>16</v>
      </c>
      <c r="F203" s="619">
        <v>39267</v>
      </c>
      <c r="G203" s="619">
        <v>41093</v>
      </c>
      <c r="H203" s="618" t="s">
        <v>23</v>
      </c>
      <c r="I203" s="618" t="s">
        <v>385</v>
      </c>
    </row>
    <row r="204" spans="1:9">
      <c r="A204" s="620">
        <f t="shared" si="3"/>
        <v>200</v>
      </c>
      <c r="B204" s="621" t="s">
        <v>1654</v>
      </c>
      <c r="C204" s="621" t="str">
        <f>"669"</f>
        <v>669</v>
      </c>
      <c r="D204" s="621" t="s">
        <v>27</v>
      </c>
      <c r="E204" s="621">
        <v>14</v>
      </c>
      <c r="F204" s="622">
        <v>39267</v>
      </c>
      <c r="G204" s="622">
        <v>41093</v>
      </c>
      <c r="H204" s="621" t="s">
        <v>23</v>
      </c>
      <c r="I204" s="621" t="s">
        <v>6858</v>
      </c>
    </row>
    <row r="205" spans="1:9">
      <c r="A205" s="617">
        <f t="shared" si="3"/>
        <v>201</v>
      </c>
      <c r="B205" s="618" t="s">
        <v>1654</v>
      </c>
      <c r="C205" s="618" t="str">
        <f>"670"</f>
        <v>670</v>
      </c>
      <c r="D205" s="618" t="s">
        <v>27</v>
      </c>
      <c r="E205" s="618">
        <v>18</v>
      </c>
      <c r="F205" s="619">
        <v>39267</v>
      </c>
      <c r="G205" s="619">
        <v>41093</v>
      </c>
      <c r="H205" s="618" t="s">
        <v>23</v>
      </c>
      <c r="I205" s="618" t="s">
        <v>6858</v>
      </c>
    </row>
    <row r="206" spans="1:9">
      <c r="A206" s="620">
        <f t="shared" si="3"/>
        <v>202</v>
      </c>
      <c r="B206" s="621" t="s">
        <v>1654</v>
      </c>
      <c r="C206" s="621" t="str">
        <f>"671"</f>
        <v>671</v>
      </c>
      <c r="D206" s="621" t="s">
        <v>27</v>
      </c>
      <c r="E206" s="621">
        <v>20</v>
      </c>
      <c r="F206" s="622">
        <v>39267</v>
      </c>
      <c r="G206" s="622">
        <v>41093</v>
      </c>
      <c r="H206" s="621" t="s">
        <v>23</v>
      </c>
      <c r="I206" s="621" t="s">
        <v>6858</v>
      </c>
    </row>
    <row r="207" spans="1:9">
      <c r="A207" s="617">
        <f t="shared" si="3"/>
        <v>203</v>
      </c>
      <c r="B207" s="618" t="s">
        <v>1655</v>
      </c>
      <c r="C207" s="618" t="str">
        <f>"674"</f>
        <v>674</v>
      </c>
      <c r="D207" s="618" t="s">
        <v>27</v>
      </c>
      <c r="E207" s="618">
        <v>36</v>
      </c>
      <c r="F207" s="619">
        <v>39394</v>
      </c>
      <c r="G207" s="619">
        <v>43583</v>
      </c>
      <c r="H207" s="618" t="s">
        <v>23</v>
      </c>
      <c r="I207" s="618" t="s">
        <v>6862</v>
      </c>
    </row>
    <row r="208" spans="1:9">
      <c r="A208" s="620">
        <f t="shared" si="3"/>
        <v>204</v>
      </c>
      <c r="B208" s="621" t="s">
        <v>1656</v>
      </c>
      <c r="C208" s="621" t="str">
        <f>"676"</f>
        <v>676</v>
      </c>
      <c r="D208" s="621" t="s">
        <v>27</v>
      </c>
      <c r="E208" s="621">
        <v>30</v>
      </c>
      <c r="F208" s="622">
        <v>39373</v>
      </c>
      <c r="G208" s="622">
        <v>46677</v>
      </c>
      <c r="H208" s="621" t="s">
        <v>23</v>
      </c>
      <c r="I208" s="621" t="s">
        <v>385</v>
      </c>
    </row>
    <row r="209" spans="1:9">
      <c r="A209" s="617">
        <f t="shared" si="3"/>
        <v>205</v>
      </c>
      <c r="B209" s="618" t="s">
        <v>173</v>
      </c>
      <c r="C209" s="618" t="str">
        <f>"677"</f>
        <v>677</v>
      </c>
      <c r="D209" s="618" t="s">
        <v>27</v>
      </c>
      <c r="E209" s="618">
        <v>36</v>
      </c>
      <c r="F209" s="619">
        <v>39274</v>
      </c>
      <c r="G209" s="619">
        <v>42926</v>
      </c>
      <c r="H209" s="618" t="s">
        <v>23</v>
      </c>
      <c r="I209" s="618" t="s">
        <v>6863</v>
      </c>
    </row>
    <row r="210" spans="1:9">
      <c r="A210" s="620">
        <f t="shared" si="3"/>
        <v>206</v>
      </c>
      <c r="B210" s="621" t="s">
        <v>78</v>
      </c>
      <c r="C210" s="621" t="str">
        <f>"680"</f>
        <v>680</v>
      </c>
      <c r="D210" s="621" t="s">
        <v>13</v>
      </c>
      <c r="E210" s="621">
        <v>12</v>
      </c>
      <c r="F210" s="622">
        <v>44288</v>
      </c>
      <c r="G210" s="622">
        <v>53418</v>
      </c>
      <c r="H210" s="621" t="s">
        <v>16</v>
      </c>
      <c r="I210" s="621" t="s">
        <v>6862</v>
      </c>
    </row>
    <row r="211" spans="1:9">
      <c r="A211" s="617">
        <f t="shared" si="3"/>
        <v>207</v>
      </c>
      <c r="B211" s="618" t="s">
        <v>78</v>
      </c>
      <c r="C211" s="618" t="str">
        <f>"687"</f>
        <v>687</v>
      </c>
      <c r="D211" s="618" t="s">
        <v>13</v>
      </c>
      <c r="E211" s="618">
        <v>29</v>
      </c>
      <c r="F211" s="619">
        <v>44281</v>
      </c>
      <c r="G211" s="619">
        <v>53411</v>
      </c>
      <c r="H211" s="618" t="s">
        <v>16</v>
      </c>
      <c r="I211" s="618" t="s">
        <v>51</v>
      </c>
    </row>
    <row r="212" spans="1:9">
      <c r="A212" s="620">
        <f t="shared" si="3"/>
        <v>208</v>
      </c>
      <c r="B212" s="621" t="s">
        <v>79</v>
      </c>
      <c r="C212" s="621" t="str">
        <f>"688"</f>
        <v>688</v>
      </c>
      <c r="D212" s="621" t="s">
        <v>13</v>
      </c>
      <c r="E212" s="621">
        <v>112</v>
      </c>
      <c r="F212" s="622">
        <v>44104</v>
      </c>
      <c r="G212" s="622">
        <v>53234</v>
      </c>
      <c r="H212" s="621" t="s">
        <v>16</v>
      </c>
      <c r="I212" s="621" t="s">
        <v>51</v>
      </c>
    </row>
    <row r="213" spans="1:9">
      <c r="A213" s="617">
        <f t="shared" si="3"/>
        <v>209</v>
      </c>
      <c r="B213" s="618" t="s">
        <v>79</v>
      </c>
      <c r="C213" s="618" t="str">
        <f>"689"</f>
        <v>689</v>
      </c>
      <c r="D213" s="618" t="s">
        <v>13</v>
      </c>
      <c r="E213" s="618">
        <v>96</v>
      </c>
      <c r="F213" s="619">
        <v>44104</v>
      </c>
      <c r="G213" s="619">
        <v>53234</v>
      </c>
      <c r="H213" s="618" t="s">
        <v>16</v>
      </c>
      <c r="I213" s="618" t="s">
        <v>51</v>
      </c>
    </row>
    <row r="214" spans="1:9">
      <c r="A214" s="620">
        <f t="shared" si="3"/>
        <v>210</v>
      </c>
      <c r="B214" s="621" t="s">
        <v>391</v>
      </c>
      <c r="C214" s="621" t="str">
        <f>"690"</f>
        <v>690</v>
      </c>
      <c r="D214" s="621" t="s">
        <v>27</v>
      </c>
      <c r="E214" s="621">
        <v>38</v>
      </c>
      <c r="F214" s="622">
        <v>45033</v>
      </c>
      <c r="G214" s="622">
        <v>46859</v>
      </c>
      <c r="H214" s="621" t="s">
        <v>16</v>
      </c>
      <c r="I214" s="621" t="s">
        <v>51</v>
      </c>
    </row>
    <row r="215" spans="1:9">
      <c r="A215" s="617">
        <f t="shared" si="3"/>
        <v>211</v>
      </c>
      <c r="B215" s="618" t="s">
        <v>79</v>
      </c>
      <c r="C215" s="618" t="str">
        <f>"702"</f>
        <v>702</v>
      </c>
      <c r="D215" s="618" t="s">
        <v>13</v>
      </c>
      <c r="E215" s="618">
        <v>86</v>
      </c>
      <c r="F215" s="619">
        <v>44104</v>
      </c>
      <c r="G215" s="619">
        <v>53234</v>
      </c>
      <c r="H215" s="618" t="s">
        <v>16</v>
      </c>
      <c r="I215" s="618" t="s">
        <v>51</v>
      </c>
    </row>
    <row r="216" spans="1:9">
      <c r="A216" s="620">
        <f t="shared" si="3"/>
        <v>212</v>
      </c>
      <c r="B216" s="621" t="s">
        <v>392</v>
      </c>
      <c r="C216" s="621" t="str">
        <f>"704"</f>
        <v>704</v>
      </c>
      <c r="D216" s="621" t="s">
        <v>13</v>
      </c>
      <c r="E216" s="621">
        <v>117</v>
      </c>
      <c r="F216" s="622">
        <v>45033</v>
      </c>
      <c r="G216" s="622">
        <v>54164</v>
      </c>
      <c r="H216" s="621" t="s">
        <v>16</v>
      </c>
      <c r="I216" s="621" t="s">
        <v>51</v>
      </c>
    </row>
    <row r="217" spans="1:9">
      <c r="A217" s="617">
        <f t="shared" si="3"/>
        <v>213</v>
      </c>
      <c r="B217" s="618" t="s">
        <v>392</v>
      </c>
      <c r="C217" s="618" t="str">
        <f>"706"</f>
        <v>706</v>
      </c>
      <c r="D217" s="618" t="s">
        <v>13</v>
      </c>
      <c r="E217" s="618">
        <v>103</v>
      </c>
      <c r="F217" s="619">
        <v>45033</v>
      </c>
      <c r="G217" s="619">
        <v>54164</v>
      </c>
      <c r="H217" s="618" t="s">
        <v>16</v>
      </c>
      <c r="I217" s="618" t="s">
        <v>51</v>
      </c>
    </row>
    <row r="218" spans="1:9">
      <c r="A218" s="620">
        <f t="shared" si="3"/>
        <v>214</v>
      </c>
      <c r="B218" s="621" t="s">
        <v>80</v>
      </c>
      <c r="C218" s="621" t="str">
        <f>"707"</f>
        <v>707</v>
      </c>
      <c r="D218" s="621" t="s">
        <v>13</v>
      </c>
      <c r="E218" s="621">
        <v>117</v>
      </c>
      <c r="F218" s="622">
        <v>43243</v>
      </c>
      <c r="G218" s="622">
        <v>52373</v>
      </c>
      <c r="H218" s="621" t="s">
        <v>16</v>
      </c>
      <c r="I218" s="621" t="s">
        <v>51</v>
      </c>
    </row>
    <row r="219" spans="1:9">
      <c r="A219" s="617">
        <f t="shared" si="3"/>
        <v>215</v>
      </c>
      <c r="B219" s="618" t="s">
        <v>392</v>
      </c>
      <c r="C219" s="618" t="str">
        <f>"708"</f>
        <v>708</v>
      </c>
      <c r="D219" s="618" t="s">
        <v>13</v>
      </c>
      <c r="E219" s="618">
        <v>106</v>
      </c>
      <c r="F219" s="619">
        <v>45033</v>
      </c>
      <c r="G219" s="619">
        <v>54164</v>
      </c>
      <c r="H219" s="618" t="s">
        <v>16</v>
      </c>
      <c r="I219" s="618" t="s">
        <v>51</v>
      </c>
    </row>
    <row r="220" spans="1:9">
      <c r="A220" s="620">
        <f t="shared" si="3"/>
        <v>216</v>
      </c>
      <c r="B220" s="621" t="s">
        <v>1657</v>
      </c>
      <c r="C220" s="621" t="str">
        <f>"711"</f>
        <v>711</v>
      </c>
      <c r="D220" s="621" t="s">
        <v>18</v>
      </c>
      <c r="E220" s="621">
        <v>74</v>
      </c>
      <c r="F220" s="622">
        <v>41589</v>
      </c>
      <c r="G220" s="622">
        <v>43414</v>
      </c>
      <c r="H220" s="621" t="s">
        <v>16</v>
      </c>
      <c r="I220" s="621" t="s">
        <v>6868</v>
      </c>
    </row>
    <row r="221" spans="1:9">
      <c r="A221" s="617">
        <f t="shared" si="3"/>
        <v>217</v>
      </c>
      <c r="B221" s="618" t="s">
        <v>1657</v>
      </c>
      <c r="C221" s="618" t="str">
        <f>"712"</f>
        <v>712</v>
      </c>
      <c r="D221" s="618" t="s">
        <v>18</v>
      </c>
      <c r="E221" s="618">
        <v>107</v>
      </c>
      <c r="F221" s="619">
        <v>41589</v>
      </c>
      <c r="G221" s="619">
        <v>43414</v>
      </c>
      <c r="H221" s="618" t="s">
        <v>16</v>
      </c>
      <c r="I221" s="618" t="s">
        <v>6868</v>
      </c>
    </row>
    <row r="222" spans="1:9">
      <c r="A222" s="620">
        <f t="shared" si="3"/>
        <v>218</v>
      </c>
      <c r="B222" s="621" t="s">
        <v>1657</v>
      </c>
      <c r="C222" s="621" t="str">
        <f>"713"</f>
        <v>713</v>
      </c>
      <c r="D222" s="621" t="s">
        <v>18</v>
      </c>
      <c r="E222" s="621">
        <v>41</v>
      </c>
      <c r="F222" s="622">
        <v>41589</v>
      </c>
      <c r="G222" s="622">
        <v>43414</v>
      </c>
      <c r="H222" s="621" t="s">
        <v>16</v>
      </c>
      <c r="I222" s="621" t="s">
        <v>6868</v>
      </c>
    </row>
    <row r="223" spans="1:9">
      <c r="A223" s="617">
        <f t="shared" si="3"/>
        <v>219</v>
      </c>
      <c r="B223" s="618" t="s">
        <v>392</v>
      </c>
      <c r="C223" s="618" t="str">
        <f>"714"</f>
        <v>714</v>
      </c>
      <c r="D223" s="618" t="s">
        <v>13</v>
      </c>
      <c r="E223" s="618">
        <v>98</v>
      </c>
      <c r="F223" s="619">
        <v>45033</v>
      </c>
      <c r="G223" s="619">
        <v>54164</v>
      </c>
      <c r="H223" s="618" t="s">
        <v>16</v>
      </c>
      <c r="I223" s="618" t="s">
        <v>51</v>
      </c>
    </row>
    <row r="224" spans="1:9">
      <c r="A224" s="620">
        <f t="shared" si="3"/>
        <v>220</v>
      </c>
      <c r="B224" s="621" t="s">
        <v>394</v>
      </c>
      <c r="C224" s="621" t="str">
        <f>"738"</f>
        <v>738</v>
      </c>
      <c r="D224" s="621" t="s">
        <v>18</v>
      </c>
      <c r="E224" s="621">
        <v>12</v>
      </c>
      <c r="F224" s="622">
        <v>43389</v>
      </c>
      <c r="G224" s="622">
        <v>44484</v>
      </c>
      <c r="H224" s="621" t="s">
        <v>14</v>
      </c>
      <c r="I224" s="621" t="s">
        <v>6868</v>
      </c>
    </row>
    <row r="225" spans="1:9">
      <c r="A225" s="617">
        <f t="shared" si="3"/>
        <v>221</v>
      </c>
      <c r="B225" s="618" t="s">
        <v>81</v>
      </c>
      <c r="C225" s="618" t="str">
        <f>"739"</f>
        <v>739</v>
      </c>
      <c r="D225" s="618" t="s">
        <v>18</v>
      </c>
      <c r="E225" s="618">
        <v>94</v>
      </c>
      <c r="F225" s="619">
        <v>41563</v>
      </c>
      <c r="G225" s="619">
        <v>43388</v>
      </c>
      <c r="H225" s="618" t="s">
        <v>14</v>
      </c>
      <c r="I225" s="618" t="s">
        <v>6868</v>
      </c>
    </row>
    <row r="226" spans="1:9">
      <c r="A226" s="620">
        <f t="shared" si="3"/>
        <v>222</v>
      </c>
      <c r="B226" s="621" t="s">
        <v>81</v>
      </c>
      <c r="C226" s="621" t="str">
        <f>"740"</f>
        <v>740</v>
      </c>
      <c r="D226" s="621" t="s">
        <v>13</v>
      </c>
      <c r="E226" s="621">
        <v>70</v>
      </c>
      <c r="F226" s="622">
        <v>43496</v>
      </c>
      <c r="G226" s="622">
        <v>52626</v>
      </c>
      <c r="H226" s="621" t="s">
        <v>14</v>
      </c>
      <c r="I226" s="621" t="s">
        <v>51</v>
      </c>
    </row>
    <row r="227" spans="1:9">
      <c r="A227" s="617">
        <f t="shared" si="3"/>
        <v>223</v>
      </c>
      <c r="B227" s="618" t="s">
        <v>82</v>
      </c>
      <c r="C227" s="618" t="str">
        <f>"741"</f>
        <v>741</v>
      </c>
      <c r="D227" s="618" t="s">
        <v>13</v>
      </c>
      <c r="E227" s="618">
        <v>89</v>
      </c>
      <c r="F227" s="619">
        <v>43371</v>
      </c>
      <c r="G227" s="619">
        <v>52501</v>
      </c>
      <c r="H227" s="618" t="s">
        <v>14</v>
      </c>
      <c r="I227" s="618" t="s">
        <v>51</v>
      </c>
    </row>
    <row r="228" spans="1:9">
      <c r="A228" s="620">
        <f t="shared" si="3"/>
        <v>224</v>
      </c>
      <c r="B228" s="621" t="s">
        <v>81</v>
      </c>
      <c r="C228" s="621" t="str">
        <f>"745"</f>
        <v>745</v>
      </c>
      <c r="D228" s="621" t="s">
        <v>18</v>
      </c>
      <c r="E228" s="621">
        <v>33</v>
      </c>
      <c r="F228" s="622">
        <v>41563</v>
      </c>
      <c r="G228" s="622">
        <v>43388</v>
      </c>
      <c r="H228" s="621" t="s">
        <v>16</v>
      </c>
      <c r="I228" s="621" t="s">
        <v>6862</v>
      </c>
    </row>
    <row r="229" spans="1:9">
      <c r="A229" s="617">
        <f t="shared" si="3"/>
        <v>225</v>
      </c>
      <c r="B229" s="618" t="s">
        <v>81</v>
      </c>
      <c r="C229" s="618" t="str">
        <f>"746"</f>
        <v>746</v>
      </c>
      <c r="D229" s="618" t="s">
        <v>18</v>
      </c>
      <c r="E229" s="618">
        <v>39</v>
      </c>
      <c r="F229" s="619">
        <v>41563</v>
      </c>
      <c r="G229" s="619">
        <v>43388</v>
      </c>
      <c r="H229" s="618" t="s">
        <v>16</v>
      </c>
      <c r="I229" s="618" t="s">
        <v>6862</v>
      </c>
    </row>
    <row r="230" spans="1:9">
      <c r="A230" s="620">
        <f t="shared" si="3"/>
        <v>226</v>
      </c>
      <c r="B230" s="621" t="s">
        <v>81</v>
      </c>
      <c r="C230" s="621" t="str">
        <f>"747"</f>
        <v>747</v>
      </c>
      <c r="D230" s="621" t="s">
        <v>18</v>
      </c>
      <c r="E230" s="621">
        <v>58</v>
      </c>
      <c r="F230" s="622">
        <v>41563</v>
      </c>
      <c r="G230" s="622">
        <v>43388</v>
      </c>
      <c r="H230" s="621" t="s">
        <v>16</v>
      </c>
      <c r="I230" s="621" t="s">
        <v>6862</v>
      </c>
    </row>
    <row r="231" spans="1:9">
      <c r="A231" s="617">
        <f t="shared" si="3"/>
        <v>227</v>
      </c>
      <c r="B231" s="618" t="s">
        <v>81</v>
      </c>
      <c r="C231" s="618" t="str">
        <f>"748"</f>
        <v>748</v>
      </c>
      <c r="D231" s="618" t="s">
        <v>18</v>
      </c>
      <c r="E231" s="618">
        <v>100</v>
      </c>
      <c r="F231" s="619">
        <v>41936</v>
      </c>
      <c r="G231" s="619">
        <v>43761</v>
      </c>
      <c r="H231" s="618" t="s">
        <v>14</v>
      </c>
      <c r="I231" s="618" t="s">
        <v>6862</v>
      </c>
    </row>
    <row r="232" spans="1:9">
      <c r="A232" s="620">
        <f t="shared" si="3"/>
        <v>228</v>
      </c>
      <c r="B232" s="621" t="s">
        <v>315</v>
      </c>
      <c r="C232" s="621" t="str">
        <f>"749"</f>
        <v>749</v>
      </c>
      <c r="D232" s="621" t="s">
        <v>18</v>
      </c>
      <c r="E232" s="621">
        <v>58</v>
      </c>
      <c r="F232" s="622">
        <v>43389</v>
      </c>
      <c r="G232" s="622">
        <v>44484</v>
      </c>
      <c r="H232" s="621" t="s">
        <v>14</v>
      </c>
      <c r="I232" s="621" t="s">
        <v>6868</v>
      </c>
    </row>
    <row r="233" spans="1:9">
      <c r="A233" s="617">
        <f t="shared" si="3"/>
        <v>229</v>
      </c>
      <c r="B233" s="618" t="s">
        <v>395</v>
      </c>
      <c r="C233" s="618" t="str">
        <f>"750"</f>
        <v>750</v>
      </c>
      <c r="D233" s="618" t="s">
        <v>13</v>
      </c>
      <c r="E233" s="618">
        <v>100</v>
      </c>
      <c r="F233" s="619">
        <v>43389</v>
      </c>
      <c r="G233" s="619">
        <v>44484</v>
      </c>
      <c r="H233" s="618" t="s">
        <v>14</v>
      </c>
      <c r="I233" s="618" t="s">
        <v>1710</v>
      </c>
    </row>
    <row r="234" spans="1:9">
      <c r="A234" s="620">
        <f t="shared" si="3"/>
        <v>230</v>
      </c>
      <c r="B234" s="621" t="s">
        <v>315</v>
      </c>
      <c r="C234" s="621" t="str">
        <f>"751"</f>
        <v>751</v>
      </c>
      <c r="D234" s="621" t="s">
        <v>18</v>
      </c>
      <c r="E234" s="621">
        <v>46</v>
      </c>
      <c r="F234" s="622">
        <v>43389</v>
      </c>
      <c r="G234" s="622">
        <v>44484</v>
      </c>
      <c r="H234" s="621" t="s">
        <v>14</v>
      </c>
      <c r="I234" s="621" t="s">
        <v>6868</v>
      </c>
    </row>
    <row r="235" spans="1:9">
      <c r="A235" s="617">
        <f t="shared" si="3"/>
        <v>231</v>
      </c>
      <c r="B235" s="618" t="s">
        <v>395</v>
      </c>
      <c r="C235" s="618" t="str">
        <f>"752"</f>
        <v>752</v>
      </c>
      <c r="D235" s="618" t="s">
        <v>18</v>
      </c>
      <c r="E235" s="618">
        <v>68</v>
      </c>
      <c r="F235" s="619">
        <v>43389</v>
      </c>
      <c r="G235" s="619">
        <v>44484</v>
      </c>
      <c r="H235" s="618" t="s">
        <v>14</v>
      </c>
      <c r="I235" s="618" t="s">
        <v>6868</v>
      </c>
    </row>
    <row r="236" spans="1:9">
      <c r="A236" s="620">
        <f t="shared" si="3"/>
        <v>232</v>
      </c>
      <c r="B236" s="621" t="s">
        <v>395</v>
      </c>
      <c r="C236" s="621" t="str">
        <f>"753"</f>
        <v>753</v>
      </c>
      <c r="D236" s="621" t="s">
        <v>18</v>
      </c>
      <c r="E236" s="621">
        <v>114</v>
      </c>
      <c r="F236" s="622">
        <v>43389</v>
      </c>
      <c r="G236" s="622">
        <v>44484</v>
      </c>
      <c r="H236" s="621" t="s">
        <v>14</v>
      </c>
      <c r="I236" s="621" t="s">
        <v>6868</v>
      </c>
    </row>
    <row r="237" spans="1:9">
      <c r="A237" s="617">
        <f t="shared" si="3"/>
        <v>233</v>
      </c>
      <c r="B237" s="618" t="s">
        <v>82</v>
      </c>
      <c r="C237" s="618" t="str">
        <f>"754"</f>
        <v>754</v>
      </c>
      <c r="D237" s="618" t="s">
        <v>13</v>
      </c>
      <c r="E237" s="618">
        <v>110</v>
      </c>
      <c r="F237" s="619">
        <v>43371</v>
      </c>
      <c r="G237" s="619">
        <v>52501</v>
      </c>
      <c r="H237" s="618" t="s">
        <v>14</v>
      </c>
      <c r="I237" s="618" t="s">
        <v>51</v>
      </c>
    </row>
    <row r="238" spans="1:9">
      <c r="A238" s="620">
        <f t="shared" si="3"/>
        <v>234</v>
      </c>
      <c r="B238" s="621" t="s">
        <v>82</v>
      </c>
      <c r="C238" s="621" t="str">
        <f>"755"</f>
        <v>755</v>
      </c>
      <c r="D238" s="621" t="s">
        <v>13</v>
      </c>
      <c r="E238" s="621">
        <v>109</v>
      </c>
      <c r="F238" s="622">
        <v>43371</v>
      </c>
      <c r="G238" s="622">
        <v>52501</v>
      </c>
      <c r="H238" s="621" t="s">
        <v>14</v>
      </c>
      <c r="I238" s="621" t="s">
        <v>51</v>
      </c>
    </row>
    <row r="239" spans="1:9">
      <c r="A239" s="617">
        <f t="shared" si="3"/>
        <v>235</v>
      </c>
      <c r="B239" s="618" t="s">
        <v>396</v>
      </c>
      <c r="C239" s="618" t="str">
        <f>"756"</f>
        <v>756</v>
      </c>
      <c r="D239" s="618" t="s">
        <v>18</v>
      </c>
      <c r="E239" s="618">
        <v>96</v>
      </c>
      <c r="F239" s="619">
        <v>43389</v>
      </c>
      <c r="G239" s="619">
        <v>44484</v>
      </c>
      <c r="H239" s="618" t="s">
        <v>14</v>
      </c>
      <c r="I239" s="618" t="s">
        <v>6868</v>
      </c>
    </row>
    <row r="240" spans="1:9">
      <c r="A240" s="620">
        <f t="shared" si="3"/>
        <v>236</v>
      </c>
      <c r="B240" s="621" t="s">
        <v>315</v>
      </c>
      <c r="C240" s="621" t="str">
        <f>"757"</f>
        <v>757</v>
      </c>
      <c r="D240" s="621" t="s">
        <v>18</v>
      </c>
      <c r="E240" s="621">
        <v>97</v>
      </c>
      <c r="F240" s="622">
        <v>41563</v>
      </c>
      <c r="G240" s="622">
        <v>43388</v>
      </c>
      <c r="H240" s="621" t="s">
        <v>14</v>
      </c>
      <c r="I240" s="621" t="s">
        <v>6868</v>
      </c>
    </row>
    <row r="241" spans="1:9">
      <c r="A241" s="617">
        <f t="shared" si="3"/>
        <v>237</v>
      </c>
      <c r="B241" s="618" t="s">
        <v>315</v>
      </c>
      <c r="C241" s="618" t="str">
        <f>"758"</f>
        <v>758</v>
      </c>
      <c r="D241" s="618" t="s">
        <v>18</v>
      </c>
      <c r="E241" s="618">
        <v>88</v>
      </c>
      <c r="F241" s="619">
        <v>41563</v>
      </c>
      <c r="G241" s="619">
        <v>43388</v>
      </c>
      <c r="H241" s="618" t="s">
        <v>14</v>
      </c>
      <c r="I241" s="618" t="s">
        <v>6868</v>
      </c>
    </row>
    <row r="242" spans="1:9">
      <c r="A242" s="620">
        <f t="shared" si="3"/>
        <v>238</v>
      </c>
      <c r="B242" s="621" t="s">
        <v>396</v>
      </c>
      <c r="C242" s="621" t="str">
        <f>"759"</f>
        <v>759</v>
      </c>
      <c r="D242" s="621" t="s">
        <v>18</v>
      </c>
      <c r="E242" s="621">
        <v>75</v>
      </c>
      <c r="F242" s="622">
        <v>43389</v>
      </c>
      <c r="G242" s="622">
        <v>44484</v>
      </c>
      <c r="H242" s="621" t="s">
        <v>14</v>
      </c>
      <c r="I242" s="621" t="s">
        <v>6868</v>
      </c>
    </row>
    <row r="243" spans="1:9">
      <c r="A243" s="617">
        <f t="shared" si="3"/>
        <v>239</v>
      </c>
      <c r="B243" s="618" t="s">
        <v>397</v>
      </c>
      <c r="C243" s="618" t="str">
        <f>"760"</f>
        <v>760</v>
      </c>
      <c r="D243" s="618" t="s">
        <v>18</v>
      </c>
      <c r="E243" s="618">
        <v>84</v>
      </c>
      <c r="F243" s="619">
        <v>43389</v>
      </c>
      <c r="G243" s="619">
        <v>44484</v>
      </c>
      <c r="H243" s="618" t="s">
        <v>14</v>
      </c>
      <c r="I243" s="618" t="s">
        <v>1672</v>
      </c>
    </row>
    <row r="244" spans="1:9">
      <c r="A244" s="620">
        <f t="shared" si="3"/>
        <v>240</v>
      </c>
      <c r="B244" s="621" t="s">
        <v>398</v>
      </c>
      <c r="C244" s="621" t="str">
        <f>"761"</f>
        <v>761</v>
      </c>
      <c r="D244" s="621" t="s">
        <v>18</v>
      </c>
      <c r="E244" s="621">
        <v>66</v>
      </c>
      <c r="F244" s="622">
        <v>43389</v>
      </c>
      <c r="G244" s="622">
        <v>44484</v>
      </c>
      <c r="H244" s="621" t="s">
        <v>14</v>
      </c>
      <c r="I244" s="621" t="s">
        <v>6862</v>
      </c>
    </row>
    <row r="245" spans="1:9">
      <c r="A245" s="617">
        <f t="shared" si="3"/>
        <v>241</v>
      </c>
      <c r="B245" s="618" t="s">
        <v>398</v>
      </c>
      <c r="C245" s="618" t="str">
        <f>"762"</f>
        <v>762</v>
      </c>
      <c r="D245" s="618" t="s">
        <v>18</v>
      </c>
      <c r="E245" s="618">
        <v>60</v>
      </c>
      <c r="F245" s="619">
        <v>43389</v>
      </c>
      <c r="G245" s="619">
        <v>44484</v>
      </c>
      <c r="H245" s="618" t="s">
        <v>14</v>
      </c>
      <c r="I245" s="618" t="s">
        <v>6868</v>
      </c>
    </row>
    <row r="246" spans="1:9">
      <c r="A246" s="620">
        <f t="shared" si="3"/>
        <v>242</v>
      </c>
      <c r="B246" s="621" t="s">
        <v>398</v>
      </c>
      <c r="C246" s="621" t="str">
        <f>"763"</f>
        <v>763</v>
      </c>
      <c r="D246" s="621" t="s">
        <v>18</v>
      </c>
      <c r="E246" s="621">
        <v>68</v>
      </c>
      <c r="F246" s="622">
        <v>43389</v>
      </c>
      <c r="G246" s="622">
        <v>44484</v>
      </c>
      <c r="H246" s="621" t="s">
        <v>14</v>
      </c>
      <c r="I246" s="621" t="s">
        <v>6862</v>
      </c>
    </row>
    <row r="247" spans="1:9">
      <c r="A247" s="617">
        <f t="shared" si="3"/>
        <v>243</v>
      </c>
      <c r="B247" s="618" t="s">
        <v>315</v>
      </c>
      <c r="C247" s="618" t="str">
        <f>"768"</f>
        <v>768</v>
      </c>
      <c r="D247" s="618" t="s">
        <v>18</v>
      </c>
      <c r="E247" s="618">
        <v>65</v>
      </c>
      <c r="F247" s="619">
        <v>43389</v>
      </c>
      <c r="G247" s="619">
        <v>44484</v>
      </c>
      <c r="H247" s="618" t="s">
        <v>16</v>
      </c>
      <c r="I247" s="618" t="s">
        <v>6868</v>
      </c>
    </row>
    <row r="248" spans="1:9">
      <c r="A248" s="620">
        <f t="shared" si="3"/>
        <v>244</v>
      </c>
      <c r="B248" s="621" t="s">
        <v>315</v>
      </c>
      <c r="C248" s="621" t="str">
        <f>"769"</f>
        <v>769</v>
      </c>
      <c r="D248" s="621" t="s">
        <v>18</v>
      </c>
      <c r="E248" s="621">
        <v>67</v>
      </c>
      <c r="F248" s="622">
        <v>43389</v>
      </c>
      <c r="G248" s="622">
        <v>44484</v>
      </c>
      <c r="H248" s="621" t="s">
        <v>14</v>
      </c>
      <c r="I248" s="621" t="s">
        <v>6868</v>
      </c>
    </row>
    <row r="249" spans="1:9">
      <c r="A249" s="617">
        <f t="shared" si="3"/>
        <v>245</v>
      </c>
      <c r="B249" s="618" t="s">
        <v>399</v>
      </c>
      <c r="C249" s="618" t="str">
        <f>"774"</f>
        <v>774</v>
      </c>
      <c r="D249" s="618" t="s">
        <v>18</v>
      </c>
      <c r="E249" s="618">
        <v>103</v>
      </c>
      <c r="F249" s="619">
        <v>43389</v>
      </c>
      <c r="G249" s="619">
        <v>44484</v>
      </c>
      <c r="H249" s="618" t="s">
        <v>14</v>
      </c>
      <c r="I249" s="618" t="s">
        <v>6868</v>
      </c>
    </row>
    <row r="250" spans="1:9">
      <c r="A250" s="620">
        <f t="shared" si="3"/>
        <v>246</v>
      </c>
      <c r="B250" s="621" t="s">
        <v>399</v>
      </c>
      <c r="C250" s="621" t="str">
        <f>"775"</f>
        <v>775</v>
      </c>
      <c r="D250" s="621" t="s">
        <v>18</v>
      </c>
      <c r="E250" s="621">
        <v>82</v>
      </c>
      <c r="F250" s="622">
        <v>43389</v>
      </c>
      <c r="G250" s="622">
        <v>44484</v>
      </c>
      <c r="H250" s="621" t="s">
        <v>14</v>
      </c>
      <c r="I250" s="621" t="s">
        <v>6868</v>
      </c>
    </row>
    <row r="251" spans="1:9">
      <c r="A251" s="617">
        <f t="shared" si="3"/>
        <v>247</v>
      </c>
      <c r="B251" s="618" t="s">
        <v>399</v>
      </c>
      <c r="C251" s="618" t="str">
        <f>"776"</f>
        <v>776</v>
      </c>
      <c r="D251" s="618" t="s">
        <v>18</v>
      </c>
      <c r="E251" s="618">
        <v>98</v>
      </c>
      <c r="F251" s="619">
        <v>43389</v>
      </c>
      <c r="G251" s="619">
        <v>44484</v>
      </c>
      <c r="H251" s="618" t="s">
        <v>14</v>
      </c>
      <c r="I251" s="618" t="s">
        <v>6868</v>
      </c>
    </row>
    <row r="252" spans="1:9">
      <c r="A252" s="620">
        <f t="shared" si="3"/>
        <v>248</v>
      </c>
      <c r="B252" s="621" t="s">
        <v>394</v>
      </c>
      <c r="C252" s="621" t="str">
        <f>"777"</f>
        <v>777</v>
      </c>
      <c r="D252" s="621" t="s">
        <v>18</v>
      </c>
      <c r="E252" s="621">
        <v>99</v>
      </c>
      <c r="F252" s="622">
        <v>43389</v>
      </c>
      <c r="G252" s="622">
        <v>44484</v>
      </c>
      <c r="H252" s="621" t="s">
        <v>14</v>
      </c>
      <c r="I252" s="621" t="s">
        <v>6868</v>
      </c>
    </row>
    <row r="253" spans="1:9">
      <c r="A253" s="617">
        <f t="shared" si="3"/>
        <v>249</v>
      </c>
      <c r="B253" s="618" t="s">
        <v>398</v>
      </c>
      <c r="C253" s="618" t="str">
        <f>"778"</f>
        <v>778</v>
      </c>
      <c r="D253" s="618" t="s">
        <v>18</v>
      </c>
      <c r="E253" s="618">
        <v>112</v>
      </c>
      <c r="F253" s="619">
        <v>43389</v>
      </c>
      <c r="G253" s="619">
        <v>44484</v>
      </c>
      <c r="H253" s="618" t="s">
        <v>14</v>
      </c>
      <c r="I253" s="618" t="s">
        <v>6862</v>
      </c>
    </row>
    <row r="254" spans="1:9">
      <c r="A254" s="620">
        <f t="shared" si="3"/>
        <v>250</v>
      </c>
      <c r="B254" s="621" t="s">
        <v>394</v>
      </c>
      <c r="C254" s="621" t="str">
        <f>"779"</f>
        <v>779</v>
      </c>
      <c r="D254" s="621" t="s">
        <v>18</v>
      </c>
      <c r="E254" s="621">
        <v>106</v>
      </c>
      <c r="F254" s="622">
        <v>43389</v>
      </c>
      <c r="G254" s="622">
        <v>44484</v>
      </c>
      <c r="H254" s="621" t="s">
        <v>14</v>
      </c>
      <c r="I254" s="621" t="s">
        <v>6868</v>
      </c>
    </row>
    <row r="255" spans="1:9">
      <c r="A255" s="617">
        <f t="shared" si="3"/>
        <v>251</v>
      </c>
      <c r="B255" s="618" t="s">
        <v>80</v>
      </c>
      <c r="C255" s="618" t="str">
        <f>"803"</f>
        <v>803</v>
      </c>
      <c r="D255" s="618" t="s">
        <v>13</v>
      </c>
      <c r="E255" s="618">
        <v>15</v>
      </c>
      <c r="F255" s="619">
        <v>44281</v>
      </c>
      <c r="G255" s="619">
        <v>53411</v>
      </c>
      <c r="H255" s="618" t="s">
        <v>16</v>
      </c>
      <c r="I255" s="618" t="s">
        <v>51</v>
      </c>
    </row>
    <row r="256" spans="1:9">
      <c r="A256" s="620">
        <f t="shared" si="3"/>
        <v>252</v>
      </c>
      <c r="B256" s="621" t="s">
        <v>80</v>
      </c>
      <c r="C256" s="621" t="str">
        <f>"804"</f>
        <v>804</v>
      </c>
      <c r="D256" s="621" t="s">
        <v>13</v>
      </c>
      <c r="E256" s="621">
        <v>11</v>
      </c>
      <c r="F256" s="622">
        <v>44281</v>
      </c>
      <c r="G256" s="622">
        <v>53411</v>
      </c>
      <c r="H256" s="621" t="s">
        <v>16</v>
      </c>
      <c r="I256" s="621" t="s">
        <v>51</v>
      </c>
    </row>
    <row r="257" spans="1:9">
      <c r="A257" s="617">
        <f t="shared" si="3"/>
        <v>253</v>
      </c>
      <c r="B257" s="618" t="s">
        <v>80</v>
      </c>
      <c r="C257" s="618" t="str">
        <f>"805"</f>
        <v>805</v>
      </c>
      <c r="D257" s="618" t="s">
        <v>13</v>
      </c>
      <c r="E257" s="618">
        <v>16</v>
      </c>
      <c r="F257" s="619">
        <v>44281</v>
      </c>
      <c r="G257" s="619">
        <v>53411</v>
      </c>
      <c r="H257" s="618" t="s">
        <v>14</v>
      </c>
      <c r="I257" s="618" t="s">
        <v>51</v>
      </c>
    </row>
    <row r="258" spans="1:9">
      <c r="A258" s="620">
        <f t="shared" si="3"/>
        <v>254</v>
      </c>
      <c r="B258" s="621" t="s">
        <v>80</v>
      </c>
      <c r="C258" s="621" t="str">
        <f>"806"</f>
        <v>806</v>
      </c>
      <c r="D258" s="621" t="s">
        <v>13</v>
      </c>
      <c r="E258" s="621">
        <v>18</v>
      </c>
      <c r="F258" s="622">
        <v>44281</v>
      </c>
      <c r="G258" s="622">
        <v>53411</v>
      </c>
      <c r="H258" s="621" t="s">
        <v>14</v>
      </c>
      <c r="I258" s="621" t="s">
        <v>51</v>
      </c>
    </row>
    <row r="259" spans="1:9">
      <c r="A259" s="617">
        <f t="shared" si="3"/>
        <v>255</v>
      </c>
      <c r="B259" s="618" t="s">
        <v>1658</v>
      </c>
      <c r="C259" s="618" t="str">
        <f>"808"</f>
        <v>808</v>
      </c>
      <c r="D259" s="618" t="s">
        <v>18</v>
      </c>
      <c r="E259" s="618">
        <v>134</v>
      </c>
      <c r="F259" s="619">
        <v>41589</v>
      </c>
      <c r="G259" s="619">
        <v>43414</v>
      </c>
      <c r="H259" s="618" t="s">
        <v>14</v>
      </c>
      <c r="I259" s="618" t="s">
        <v>385</v>
      </c>
    </row>
    <row r="260" spans="1:9">
      <c r="A260" s="620">
        <f t="shared" si="3"/>
        <v>256</v>
      </c>
      <c r="B260" s="621" t="s">
        <v>78</v>
      </c>
      <c r="C260" s="621" t="str">
        <f>"809"</f>
        <v>809</v>
      </c>
      <c r="D260" s="621" t="s">
        <v>13</v>
      </c>
      <c r="E260" s="621">
        <v>52</v>
      </c>
      <c r="F260" s="622">
        <v>44281</v>
      </c>
      <c r="G260" s="622">
        <v>53411</v>
      </c>
      <c r="H260" s="621" t="s">
        <v>14</v>
      </c>
      <c r="I260" s="621" t="s">
        <v>51</v>
      </c>
    </row>
    <row r="261" spans="1:9">
      <c r="A261" s="617">
        <f t="shared" si="3"/>
        <v>257</v>
      </c>
      <c r="B261" s="618" t="s">
        <v>78</v>
      </c>
      <c r="C261" s="618" t="str">
        <f>"811"</f>
        <v>811</v>
      </c>
      <c r="D261" s="618" t="s">
        <v>13</v>
      </c>
      <c r="E261" s="618">
        <v>44</v>
      </c>
      <c r="F261" s="619">
        <v>44281</v>
      </c>
      <c r="G261" s="619">
        <v>53411</v>
      </c>
      <c r="H261" s="618" t="s">
        <v>14</v>
      </c>
      <c r="I261" s="618" t="s">
        <v>51</v>
      </c>
    </row>
    <row r="262" spans="1:9">
      <c r="A262" s="620">
        <f t="shared" si="3"/>
        <v>258</v>
      </c>
      <c r="B262" s="621" t="s">
        <v>83</v>
      </c>
      <c r="C262" s="621" t="str">
        <f>"815"</f>
        <v>815</v>
      </c>
      <c r="D262" s="621" t="s">
        <v>13</v>
      </c>
      <c r="E262" s="621">
        <v>22</v>
      </c>
      <c r="F262" s="622">
        <v>42809</v>
      </c>
      <c r="G262" s="622">
        <v>53765</v>
      </c>
      <c r="H262" s="621" t="s">
        <v>16</v>
      </c>
      <c r="I262" s="621" t="s">
        <v>51</v>
      </c>
    </row>
    <row r="263" spans="1:9">
      <c r="A263" s="617">
        <f t="shared" ref="A263:A326" si="4">+A262+1</f>
        <v>259</v>
      </c>
      <c r="B263" s="618" t="s">
        <v>165</v>
      </c>
      <c r="C263" s="618" t="str">
        <f>"820"</f>
        <v>820</v>
      </c>
      <c r="D263" s="618" t="s">
        <v>18</v>
      </c>
      <c r="E263" s="618">
        <v>106</v>
      </c>
      <c r="F263" s="619">
        <v>41064</v>
      </c>
      <c r="G263" s="619">
        <v>42889</v>
      </c>
      <c r="H263" s="618" t="s">
        <v>56</v>
      </c>
      <c r="I263" s="618" t="s">
        <v>385</v>
      </c>
    </row>
    <row r="264" spans="1:9">
      <c r="A264" s="620">
        <f t="shared" si="4"/>
        <v>260</v>
      </c>
      <c r="B264" s="621" t="s">
        <v>165</v>
      </c>
      <c r="C264" s="621" t="str">
        <f>"821"</f>
        <v>821</v>
      </c>
      <c r="D264" s="621" t="s">
        <v>18</v>
      </c>
      <c r="E264" s="621">
        <v>234</v>
      </c>
      <c r="F264" s="622">
        <v>41064</v>
      </c>
      <c r="G264" s="622">
        <v>42889</v>
      </c>
      <c r="H264" s="621" t="s">
        <v>56</v>
      </c>
      <c r="I264" s="621" t="s">
        <v>385</v>
      </c>
    </row>
    <row r="265" spans="1:9">
      <c r="A265" s="617">
        <f t="shared" si="4"/>
        <v>261</v>
      </c>
      <c r="B265" s="618" t="s">
        <v>165</v>
      </c>
      <c r="C265" s="618" t="str">
        <f>"822"</f>
        <v>822</v>
      </c>
      <c r="D265" s="618" t="s">
        <v>18</v>
      </c>
      <c r="E265" s="618">
        <v>99</v>
      </c>
      <c r="F265" s="619">
        <v>41064</v>
      </c>
      <c r="G265" s="619">
        <v>42889</v>
      </c>
      <c r="H265" s="618" t="s">
        <v>56</v>
      </c>
      <c r="I265" s="618" t="s">
        <v>385</v>
      </c>
    </row>
    <row r="266" spans="1:9">
      <c r="A266" s="620">
        <f t="shared" si="4"/>
        <v>262</v>
      </c>
      <c r="B266" s="621" t="s">
        <v>165</v>
      </c>
      <c r="C266" s="621" t="str">
        <f>"826"</f>
        <v>826</v>
      </c>
      <c r="D266" s="621" t="s">
        <v>18</v>
      </c>
      <c r="E266" s="621">
        <v>230</v>
      </c>
      <c r="F266" s="622">
        <v>41064</v>
      </c>
      <c r="G266" s="622">
        <v>42889</v>
      </c>
      <c r="H266" s="621" t="s">
        <v>43</v>
      </c>
      <c r="I266" s="621" t="s">
        <v>385</v>
      </c>
    </row>
    <row r="267" spans="1:9">
      <c r="A267" s="617">
        <f t="shared" si="4"/>
        <v>263</v>
      </c>
      <c r="B267" s="618" t="s">
        <v>165</v>
      </c>
      <c r="C267" s="618" t="str">
        <f>"828"</f>
        <v>828</v>
      </c>
      <c r="D267" s="618" t="s">
        <v>18</v>
      </c>
      <c r="E267" s="618">
        <v>235</v>
      </c>
      <c r="F267" s="619">
        <v>41064</v>
      </c>
      <c r="G267" s="619">
        <v>42889</v>
      </c>
      <c r="H267" s="618" t="s">
        <v>43</v>
      </c>
      <c r="I267" s="618" t="s">
        <v>385</v>
      </c>
    </row>
    <row r="268" spans="1:9">
      <c r="A268" s="620">
        <f t="shared" si="4"/>
        <v>264</v>
      </c>
      <c r="B268" s="621" t="s">
        <v>165</v>
      </c>
      <c r="C268" s="621" t="str">
        <f>"829"</f>
        <v>829</v>
      </c>
      <c r="D268" s="621" t="s">
        <v>18</v>
      </c>
      <c r="E268" s="621">
        <v>71</v>
      </c>
      <c r="F268" s="622">
        <v>41064</v>
      </c>
      <c r="G268" s="622">
        <v>42889</v>
      </c>
      <c r="H268" s="621" t="s">
        <v>43</v>
      </c>
      <c r="I268" s="621" t="s">
        <v>385</v>
      </c>
    </row>
    <row r="269" spans="1:9">
      <c r="A269" s="617">
        <f t="shared" si="4"/>
        <v>265</v>
      </c>
      <c r="B269" s="618" t="s">
        <v>1659</v>
      </c>
      <c r="C269" s="618" t="str">
        <f>"834"</f>
        <v>834</v>
      </c>
      <c r="D269" s="618" t="s">
        <v>18</v>
      </c>
      <c r="E269" s="618">
        <v>117</v>
      </c>
      <c r="F269" s="619">
        <v>41580</v>
      </c>
      <c r="G269" s="619">
        <v>43405</v>
      </c>
      <c r="H269" s="618" t="s">
        <v>14</v>
      </c>
      <c r="I269" s="618" t="s">
        <v>6868</v>
      </c>
    </row>
    <row r="270" spans="1:9">
      <c r="A270" s="620">
        <f t="shared" si="4"/>
        <v>266</v>
      </c>
      <c r="B270" s="621" t="s">
        <v>1659</v>
      </c>
      <c r="C270" s="621" t="str">
        <f>"845"</f>
        <v>845</v>
      </c>
      <c r="D270" s="621" t="s">
        <v>18</v>
      </c>
      <c r="E270" s="621">
        <v>115</v>
      </c>
      <c r="F270" s="622">
        <v>41580</v>
      </c>
      <c r="G270" s="622">
        <v>43405</v>
      </c>
      <c r="H270" s="621" t="s">
        <v>14</v>
      </c>
      <c r="I270" s="621" t="s">
        <v>6868</v>
      </c>
    </row>
    <row r="271" spans="1:9">
      <c r="A271" s="617">
        <f t="shared" si="4"/>
        <v>267</v>
      </c>
      <c r="B271" s="618" t="s">
        <v>1659</v>
      </c>
      <c r="C271" s="618" t="str">
        <f>"846"</f>
        <v>846</v>
      </c>
      <c r="D271" s="618" t="s">
        <v>18</v>
      </c>
      <c r="E271" s="618">
        <v>113</v>
      </c>
      <c r="F271" s="619">
        <v>41580</v>
      </c>
      <c r="G271" s="619">
        <v>43405</v>
      </c>
      <c r="H271" s="618" t="s">
        <v>14</v>
      </c>
      <c r="I271" s="618" t="s">
        <v>6868</v>
      </c>
    </row>
    <row r="272" spans="1:9">
      <c r="A272" s="620">
        <f t="shared" si="4"/>
        <v>268</v>
      </c>
      <c r="B272" s="621" t="s">
        <v>1659</v>
      </c>
      <c r="C272" s="621" t="str">
        <f>"847"</f>
        <v>847</v>
      </c>
      <c r="D272" s="621" t="s">
        <v>18</v>
      </c>
      <c r="E272" s="621">
        <v>117</v>
      </c>
      <c r="F272" s="622">
        <v>41580</v>
      </c>
      <c r="G272" s="622">
        <v>43405</v>
      </c>
      <c r="H272" s="621" t="s">
        <v>14</v>
      </c>
      <c r="I272" s="621" t="s">
        <v>6868</v>
      </c>
    </row>
    <row r="273" spans="1:9">
      <c r="A273" s="617">
        <f t="shared" si="4"/>
        <v>269</v>
      </c>
      <c r="B273" s="618" t="s">
        <v>1659</v>
      </c>
      <c r="C273" s="618" t="str">
        <f>"848"</f>
        <v>848</v>
      </c>
      <c r="D273" s="618" t="s">
        <v>18</v>
      </c>
      <c r="E273" s="618">
        <v>110</v>
      </c>
      <c r="F273" s="619">
        <v>41580</v>
      </c>
      <c r="G273" s="619">
        <v>43405</v>
      </c>
      <c r="H273" s="618" t="s">
        <v>14</v>
      </c>
      <c r="I273" s="618" t="s">
        <v>6868</v>
      </c>
    </row>
    <row r="274" spans="1:9">
      <c r="A274" s="620">
        <f t="shared" si="4"/>
        <v>270</v>
      </c>
      <c r="B274" s="621" t="s">
        <v>1659</v>
      </c>
      <c r="C274" s="621" t="str">
        <f>"849"</f>
        <v>849</v>
      </c>
      <c r="D274" s="621" t="s">
        <v>18</v>
      </c>
      <c r="E274" s="621">
        <v>114</v>
      </c>
      <c r="F274" s="622">
        <v>41580</v>
      </c>
      <c r="G274" s="622">
        <v>43405</v>
      </c>
      <c r="H274" s="621" t="s">
        <v>14</v>
      </c>
      <c r="I274" s="621" t="s">
        <v>6868</v>
      </c>
    </row>
    <row r="275" spans="1:9">
      <c r="A275" s="617">
        <f t="shared" si="4"/>
        <v>271</v>
      </c>
      <c r="B275" s="618" t="s">
        <v>1659</v>
      </c>
      <c r="C275" s="618" t="str">
        <f>"850"</f>
        <v>850</v>
      </c>
      <c r="D275" s="618" t="s">
        <v>18</v>
      </c>
      <c r="E275" s="618">
        <v>86</v>
      </c>
      <c r="F275" s="619">
        <v>41580</v>
      </c>
      <c r="G275" s="619">
        <v>43405</v>
      </c>
      <c r="H275" s="618" t="s">
        <v>14</v>
      </c>
      <c r="I275" s="618" t="s">
        <v>6868</v>
      </c>
    </row>
    <row r="276" spans="1:9">
      <c r="A276" s="620">
        <f t="shared" si="4"/>
        <v>272</v>
      </c>
      <c r="B276" s="621" t="s">
        <v>1659</v>
      </c>
      <c r="C276" s="621" t="str">
        <f>"851"</f>
        <v>851</v>
      </c>
      <c r="D276" s="621" t="s">
        <v>18</v>
      </c>
      <c r="E276" s="621">
        <v>71</v>
      </c>
      <c r="F276" s="622">
        <v>41580</v>
      </c>
      <c r="G276" s="622">
        <v>43405</v>
      </c>
      <c r="H276" s="621" t="s">
        <v>14</v>
      </c>
      <c r="I276" s="621" t="s">
        <v>6868</v>
      </c>
    </row>
    <row r="277" spans="1:9">
      <c r="A277" s="617">
        <f t="shared" si="4"/>
        <v>273</v>
      </c>
      <c r="B277" s="618" t="s">
        <v>1660</v>
      </c>
      <c r="C277" s="618" t="str">
        <f>"852"</f>
        <v>852</v>
      </c>
      <c r="D277" s="618" t="s">
        <v>18</v>
      </c>
      <c r="E277" s="618">
        <v>12</v>
      </c>
      <c r="F277" s="619">
        <v>37987</v>
      </c>
      <c r="G277" s="619">
        <v>39447</v>
      </c>
      <c r="H277" s="618" t="s">
        <v>23</v>
      </c>
      <c r="I277" s="618" t="s">
        <v>6862</v>
      </c>
    </row>
    <row r="278" spans="1:9">
      <c r="A278" s="620">
        <f t="shared" si="4"/>
        <v>274</v>
      </c>
      <c r="B278" s="621" t="s">
        <v>1661</v>
      </c>
      <c r="C278" s="621" t="str">
        <f>"865"</f>
        <v>865</v>
      </c>
      <c r="D278" s="621" t="s">
        <v>18</v>
      </c>
      <c r="E278" s="621">
        <v>238</v>
      </c>
      <c r="F278" s="622">
        <v>39735</v>
      </c>
      <c r="G278" s="622">
        <v>45373</v>
      </c>
      <c r="H278" s="621" t="s">
        <v>20</v>
      </c>
      <c r="I278" s="621" t="s">
        <v>6863</v>
      </c>
    </row>
    <row r="279" spans="1:9">
      <c r="A279" s="617">
        <f t="shared" si="4"/>
        <v>275</v>
      </c>
      <c r="B279" s="618" t="s">
        <v>1662</v>
      </c>
      <c r="C279" s="618" t="str">
        <f>"866"</f>
        <v>866</v>
      </c>
      <c r="D279" s="618" t="s">
        <v>18</v>
      </c>
      <c r="E279" s="618">
        <v>336</v>
      </c>
      <c r="F279" s="619">
        <v>39735</v>
      </c>
      <c r="G279" s="619">
        <v>45012</v>
      </c>
      <c r="H279" s="618" t="s">
        <v>1644</v>
      </c>
      <c r="I279" s="618" t="s">
        <v>6863</v>
      </c>
    </row>
    <row r="280" spans="1:9">
      <c r="A280" s="620">
        <f t="shared" si="4"/>
        <v>276</v>
      </c>
      <c r="B280" s="621" t="s">
        <v>1663</v>
      </c>
      <c r="C280" s="621" t="str">
        <f>"929"</f>
        <v>929</v>
      </c>
      <c r="D280" s="621" t="s">
        <v>18</v>
      </c>
      <c r="E280" s="621">
        <v>415</v>
      </c>
      <c r="F280" s="622">
        <v>39380</v>
      </c>
      <c r="G280" s="622">
        <v>42301</v>
      </c>
      <c r="H280" s="621" t="s">
        <v>66</v>
      </c>
      <c r="I280" s="621" t="s">
        <v>6867</v>
      </c>
    </row>
    <row r="281" spans="1:9">
      <c r="A281" s="617">
        <f t="shared" si="4"/>
        <v>277</v>
      </c>
      <c r="B281" s="618" t="s">
        <v>1664</v>
      </c>
      <c r="C281" s="618" t="str">
        <f>"992"</f>
        <v>992</v>
      </c>
      <c r="D281" s="618" t="s">
        <v>27</v>
      </c>
      <c r="E281" s="618">
        <v>36</v>
      </c>
      <c r="F281" s="619">
        <v>40189</v>
      </c>
      <c r="G281" s="619">
        <v>42014</v>
      </c>
      <c r="H281" s="618" t="s">
        <v>23</v>
      </c>
      <c r="I281" s="618" t="s">
        <v>6862</v>
      </c>
    </row>
    <row r="282" spans="1:9">
      <c r="A282" s="620">
        <f t="shared" si="4"/>
        <v>278</v>
      </c>
      <c r="B282" s="621" t="s">
        <v>36</v>
      </c>
      <c r="C282" s="621" t="str">
        <f>"1050"</f>
        <v>1050</v>
      </c>
      <c r="D282" s="621" t="s">
        <v>13</v>
      </c>
      <c r="E282" s="621">
        <v>75</v>
      </c>
      <c r="F282" s="622">
        <v>40372</v>
      </c>
      <c r="G282" s="622">
        <v>51329</v>
      </c>
      <c r="H282" s="621" t="s">
        <v>14</v>
      </c>
      <c r="I282" s="621" t="s">
        <v>51</v>
      </c>
    </row>
    <row r="283" spans="1:9">
      <c r="A283" s="617">
        <f t="shared" si="4"/>
        <v>279</v>
      </c>
      <c r="B283" s="618" t="s">
        <v>36</v>
      </c>
      <c r="C283" s="618" t="str">
        <f>"1052"</f>
        <v>1052</v>
      </c>
      <c r="D283" s="618" t="s">
        <v>13</v>
      </c>
      <c r="E283" s="618">
        <v>330</v>
      </c>
      <c r="F283" s="619">
        <v>40368</v>
      </c>
      <c r="G283" s="619">
        <v>51325</v>
      </c>
      <c r="H283" s="618" t="s">
        <v>14</v>
      </c>
      <c r="I283" s="618" t="s">
        <v>51</v>
      </c>
    </row>
    <row r="284" spans="1:9">
      <c r="A284" s="620">
        <f t="shared" si="4"/>
        <v>280</v>
      </c>
      <c r="B284" s="621" t="s">
        <v>36</v>
      </c>
      <c r="C284" s="621" t="str">
        <f>"1054"</f>
        <v>1054</v>
      </c>
      <c r="D284" s="621" t="s">
        <v>13</v>
      </c>
      <c r="E284" s="621">
        <v>132</v>
      </c>
      <c r="F284" s="622">
        <v>42999</v>
      </c>
      <c r="G284" s="622">
        <v>53955</v>
      </c>
      <c r="H284" s="621" t="s">
        <v>14</v>
      </c>
      <c r="I284" s="621" t="s">
        <v>51</v>
      </c>
    </row>
    <row r="285" spans="1:9">
      <c r="A285" s="617">
        <f t="shared" si="4"/>
        <v>281</v>
      </c>
      <c r="B285" s="618" t="s">
        <v>36</v>
      </c>
      <c r="C285" s="618" t="str">
        <f>"1059"</f>
        <v>1059</v>
      </c>
      <c r="D285" s="618" t="s">
        <v>13</v>
      </c>
      <c r="E285" s="618">
        <v>307</v>
      </c>
      <c r="F285" s="619">
        <v>41552</v>
      </c>
      <c r="G285" s="619">
        <v>52508</v>
      </c>
      <c r="H285" s="618" t="s">
        <v>14</v>
      </c>
      <c r="I285" s="618" t="s">
        <v>51</v>
      </c>
    </row>
    <row r="286" spans="1:9">
      <c r="A286" s="620">
        <f t="shared" si="4"/>
        <v>282</v>
      </c>
      <c r="B286" s="621" t="s">
        <v>36</v>
      </c>
      <c r="C286" s="621" t="str">
        <f>"1060"</f>
        <v>1060</v>
      </c>
      <c r="D286" s="621" t="s">
        <v>13</v>
      </c>
      <c r="E286" s="621">
        <v>141</v>
      </c>
      <c r="F286" s="622">
        <v>40368</v>
      </c>
      <c r="G286" s="622">
        <v>51325</v>
      </c>
      <c r="H286" s="621" t="s">
        <v>14</v>
      </c>
      <c r="I286" s="621" t="s">
        <v>51</v>
      </c>
    </row>
    <row r="287" spans="1:9">
      <c r="A287" s="617">
        <f t="shared" si="4"/>
        <v>283</v>
      </c>
      <c r="B287" s="618" t="s">
        <v>36</v>
      </c>
      <c r="C287" s="618" t="str">
        <f>"1063"</f>
        <v>1063</v>
      </c>
      <c r="D287" s="618" t="s">
        <v>13</v>
      </c>
      <c r="E287" s="618">
        <v>251</v>
      </c>
      <c r="F287" s="619">
        <v>41552</v>
      </c>
      <c r="G287" s="619">
        <v>52508</v>
      </c>
      <c r="H287" s="618" t="s">
        <v>14</v>
      </c>
      <c r="I287" s="618" t="s">
        <v>51</v>
      </c>
    </row>
    <row r="288" spans="1:9">
      <c r="A288" s="620">
        <f t="shared" si="4"/>
        <v>284</v>
      </c>
      <c r="B288" s="621" t="s">
        <v>36</v>
      </c>
      <c r="C288" s="621" t="str">
        <f>"1065"</f>
        <v>1065</v>
      </c>
      <c r="D288" s="621" t="s">
        <v>13</v>
      </c>
      <c r="E288" s="621">
        <v>10</v>
      </c>
      <c r="F288" s="622">
        <v>40372</v>
      </c>
      <c r="G288" s="622">
        <v>51329</v>
      </c>
      <c r="H288" s="621" t="s">
        <v>14</v>
      </c>
      <c r="I288" s="621" t="s">
        <v>51</v>
      </c>
    </row>
    <row r="289" spans="1:9">
      <c r="A289" s="617">
        <f t="shared" si="4"/>
        <v>285</v>
      </c>
      <c r="B289" s="618" t="s">
        <v>36</v>
      </c>
      <c r="C289" s="618" t="str">
        <f>"1066"</f>
        <v>1066</v>
      </c>
      <c r="D289" s="618" t="s">
        <v>13</v>
      </c>
      <c r="E289" s="618">
        <v>94</v>
      </c>
      <c r="F289" s="619">
        <v>42999</v>
      </c>
      <c r="G289" s="619">
        <v>53955</v>
      </c>
      <c r="H289" s="618" t="s">
        <v>14</v>
      </c>
      <c r="I289" s="618" t="s">
        <v>51</v>
      </c>
    </row>
    <row r="290" spans="1:9">
      <c r="A290" s="620">
        <f t="shared" si="4"/>
        <v>286</v>
      </c>
      <c r="B290" s="621" t="s">
        <v>36</v>
      </c>
      <c r="C290" s="621" t="str">
        <f>"1072"</f>
        <v>1072</v>
      </c>
      <c r="D290" s="621" t="s">
        <v>13</v>
      </c>
      <c r="E290" s="621">
        <v>69</v>
      </c>
      <c r="F290" s="622">
        <v>40368</v>
      </c>
      <c r="G290" s="622">
        <v>51325</v>
      </c>
      <c r="H290" s="621" t="s">
        <v>14</v>
      </c>
      <c r="I290" s="621" t="s">
        <v>51</v>
      </c>
    </row>
    <row r="291" spans="1:9">
      <c r="A291" s="617">
        <f t="shared" si="4"/>
        <v>287</v>
      </c>
      <c r="B291" s="618" t="s">
        <v>36</v>
      </c>
      <c r="C291" s="618" t="str">
        <f>"1074"</f>
        <v>1074</v>
      </c>
      <c r="D291" s="618" t="s">
        <v>13</v>
      </c>
      <c r="E291" s="618">
        <v>389</v>
      </c>
      <c r="F291" s="619">
        <v>40372</v>
      </c>
      <c r="G291" s="619">
        <v>51329</v>
      </c>
      <c r="H291" s="618" t="s">
        <v>16</v>
      </c>
      <c r="I291" s="618" t="s">
        <v>51</v>
      </c>
    </row>
    <row r="292" spans="1:9">
      <c r="A292" s="620">
        <f t="shared" si="4"/>
        <v>288</v>
      </c>
      <c r="B292" s="621" t="s">
        <v>36</v>
      </c>
      <c r="C292" s="621" t="str">
        <f>"1075"</f>
        <v>1075</v>
      </c>
      <c r="D292" s="621" t="s">
        <v>13</v>
      </c>
      <c r="E292" s="621">
        <v>371</v>
      </c>
      <c r="F292" s="622">
        <v>40520</v>
      </c>
      <c r="G292" s="622">
        <v>51477</v>
      </c>
      <c r="H292" s="621" t="s">
        <v>16</v>
      </c>
      <c r="I292" s="621" t="s">
        <v>51</v>
      </c>
    </row>
    <row r="293" spans="1:9">
      <c r="A293" s="617">
        <f t="shared" si="4"/>
        <v>289</v>
      </c>
      <c r="B293" s="618" t="s">
        <v>36</v>
      </c>
      <c r="C293" s="618" t="str">
        <f>"1076"</f>
        <v>1076</v>
      </c>
      <c r="D293" s="618" t="s">
        <v>13</v>
      </c>
      <c r="E293" s="618">
        <v>339</v>
      </c>
      <c r="F293" s="619">
        <v>40372</v>
      </c>
      <c r="G293" s="619">
        <v>51329</v>
      </c>
      <c r="H293" s="618" t="s">
        <v>16</v>
      </c>
      <c r="I293" s="618" t="s">
        <v>51</v>
      </c>
    </row>
    <row r="294" spans="1:9">
      <c r="A294" s="620">
        <f t="shared" si="4"/>
        <v>290</v>
      </c>
      <c r="B294" s="621" t="s">
        <v>36</v>
      </c>
      <c r="C294" s="621" t="str">
        <f>"1077"</f>
        <v>1077</v>
      </c>
      <c r="D294" s="621" t="s">
        <v>13</v>
      </c>
      <c r="E294" s="621">
        <v>4</v>
      </c>
      <c r="F294" s="622">
        <v>40368</v>
      </c>
      <c r="G294" s="622">
        <v>51325</v>
      </c>
      <c r="H294" s="621" t="s">
        <v>14</v>
      </c>
      <c r="I294" s="621" t="s">
        <v>6860</v>
      </c>
    </row>
    <row r="295" spans="1:9">
      <c r="A295" s="617">
        <f t="shared" si="4"/>
        <v>291</v>
      </c>
      <c r="B295" s="618" t="s">
        <v>36</v>
      </c>
      <c r="C295" s="618" t="str">
        <f>"1078"</f>
        <v>1078</v>
      </c>
      <c r="D295" s="618" t="s">
        <v>13</v>
      </c>
      <c r="E295" s="618">
        <v>370</v>
      </c>
      <c r="F295" s="619">
        <v>41552</v>
      </c>
      <c r="G295" s="619">
        <v>52508</v>
      </c>
      <c r="H295" s="618" t="s">
        <v>14</v>
      </c>
      <c r="I295" s="618" t="s">
        <v>51</v>
      </c>
    </row>
    <row r="296" spans="1:9">
      <c r="A296" s="620">
        <f t="shared" si="4"/>
        <v>292</v>
      </c>
      <c r="B296" s="621" t="s">
        <v>36</v>
      </c>
      <c r="C296" s="621" t="str">
        <f>"1079"</f>
        <v>1079</v>
      </c>
      <c r="D296" s="621" t="s">
        <v>13</v>
      </c>
      <c r="E296" s="621">
        <v>374</v>
      </c>
      <c r="F296" s="622">
        <v>40368</v>
      </c>
      <c r="G296" s="622">
        <v>51325</v>
      </c>
      <c r="H296" s="621" t="s">
        <v>16</v>
      </c>
      <c r="I296" s="621" t="s">
        <v>51</v>
      </c>
    </row>
    <row r="297" spans="1:9">
      <c r="A297" s="617">
        <f t="shared" si="4"/>
        <v>293</v>
      </c>
      <c r="B297" s="618" t="s">
        <v>36</v>
      </c>
      <c r="C297" s="618" t="str">
        <f>"1084"</f>
        <v>1084</v>
      </c>
      <c r="D297" s="618" t="s">
        <v>13</v>
      </c>
      <c r="E297" s="618">
        <v>284</v>
      </c>
      <c r="F297" s="619">
        <v>41891</v>
      </c>
      <c r="G297" s="619">
        <v>52848</v>
      </c>
      <c r="H297" s="618" t="s">
        <v>45</v>
      </c>
      <c r="I297" s="618" t="s">
        <v>51</v>
      </c>
    </row>
    <row r="298" spans="1:9">
      <c r="A298" s="620">
        <f t="shared" si="4"/>
        <v>294</v>
      </c>
      <c r="B298" s="621" t="s">
        <v>36</v>
      </c>
      <c r="C298" s="621" t="str">
        <f>"1086"</f>
        <v>1086</v>
      </c>
      <c r="D298" s="621" t="s">
        <v>13</v>
      </c>
      <c r="E298" s="621">
        <v>332</v>
      </c>
      <c r="F298" s="622">
        <v>41891</v>
      </c>
      <c r="G298" s="622">
        <v>52848</v>
      </c>
      <c r="H298" s="621" t="s">
        <v>16</v>
      </c>
      <c r="I298" s="621" t="s">
        <v>51</v>
      </c>
    </row>
    <row r="299" spans="1:9">
      <c r="A299" s="617">
        <f t="shared" si="4"/>
        <v>295</v>
      </c>
      <c r="B299" s="618" t="s">
        <v>36</v>
      </c>
      <c r="C299" s="618" t="str">
        <f>"1088"</f>
        <v>1088</v>
      </c>
      <c r="D299" s="618" t="s">
        <v>13</v>
      </c>
      <c r="E299" s="618">
        <v>381</v>
      </c>
      <c r="F299" s="619">
        <v>41891</v>
      </c>
      <c r="G299" s="619">
        <v>52848</v>
      </c>
      <c r="H299" s="618" t="s">
        <v>45</v>
      </c>
      <c r="I299" s="618" t="s">
        <v>51</v>
      </c>
    </row>
    <row r="300" spans="1:9">
      <c r="A300" s="620">
        <f t="shared" si="4"/>
        <v>296</v>
      </c>
      <c r="B300" s="621" t="s">
        <v>36</v>
      </c>
      <c r="C300" s="621" t="str">
        <f>"1089"</f>
        <v>1089</v>
      </c>
      <c r="D300" s="621" t="s">
        <v>13</v>
      </c>
      <c r="E300" s="621">
        <v>20</v>
      </c>
      <c r="F300" s="622">
        <v>40393</v>
      </c>
      <c r="G300" s="622">
        <v>51350</v>
      </c>
      <c r="H300" s="621" t="s">
        <v>45</v>
      </c>
      <c r="I300" s="621" t="s">
        <v>51</v>
      </c>
    </row>
    <row r="301" spans="1:9">
      <c r="A301" s="617">
        <f t="shared" si="4"/>
        <v>297</v>
      </c>
      <c r="B301" s="618" t="s">
        <v>36</v>
      </c>
      <c r="C301" s="618" t="str">
        <f>"1090"</f>
        <v>1090</v>
      </c>
      <c r="D301" s="618" t="s">
        <v>13</v>
      </c>
      <c r="E301" s="618">
        <v>12</v>
      </c>
      <c r="F301" s="619">
        <v>40368</v>
      </c>
      <c r="G301" s="619">
        <v>51325</v>
      </c>
      <c r="H301" s="618" t="s">
        <v>45</v>
      </c>
      <c r="I301" s="618" t="s">
        <v>51</v>
      </c>
    </row>
    <row r="302" spans="1:9">
      <c r="A302" s="620">
        <f t="shared" si="4"/>
        <v>298</v>
      </c>
      <c r="B302" s="621" t="s">
        <v>1661</v>
      </c>
      <c r="C302" s="621" t="str">
        <f>"1141"</f>
        <v>1141</v>
      </c>
      <c r="D302" s="621" t="s">
        <v>18</v>
      </c>
      <c r="E302" s="621">
        <v>245</v>
      </c>
      <c r="F302" s="622">
        <v>39735</v>
      </c>
      <c r="G302" s="622">
        <v>45373</v>
      </c>
      <c r="H302" s="621" t="s">
        <v>20</v>
      </c>
      <c r="I302" s="621" t="s">
        <v>6863</v>
      </c>
    </row>
    <row r="303" spans="1:9">
      <c r="A303" s="617">
        <f t="shared" si="4"/>
        <v>299</v>
      </c>
      <c r="B303" s="618" t="s">
        <v>1661</v>
      </c>
      <c r="C303" s="618" t="str">
        <f>"1142"</f>
        <v>1142</v>
      </c>
      <c r="D303" s="618" t="s">
        <v>18</v>
      </c>
      <c r="E303" s="618">
        <v>231</v>
      </c>
      <c r="F303" s="619">
        <v>37908</v>
      </c>
      <c r="G303" s="619">
        <v>45373</v>
      </c>
      <c r="H303" s="618" t="s">
        <v>1644</v>
      </c>
      <c r="I303" s="618" t="s">
        <v>6863</v>
      </c>
    </row>
    <row r="304" spans="1:9">
      <c r="A304" s="620">
        <f t="shared" si="4"/>
        <v>300</v>
      </c>
      <c r="B304" s="621" t="s">
        <v>1661</v>
      </c>
      <c r="C304" s="621" t="str">
        <f>"1143"</f>
        <v>1143</v>
      </c>
      <c r="D304" s="621" t="s">
        <v>18</v>
      </c>
      <c r="E304" s="621">
        <v>231</v>
      </c>
      <c r="F304" s="622">
        <v>39735</v>
      </c>
      <c r="G304" s="622">
        <v>45373</v>
      </c>
      <c r="H304" s="621" t="s">
        <v>1644</v>
      </c>
      <c r="I304" s="621" t="s">
        <v>6863</v>
      </c>
    </row>
    <row r="305" spans="1:9">
      <c r="A305" s="617">
        <f t="shared" si="4"/>
        <v>301</v>
      </c>
      <c r="B305" s="618" t="s">
        <v>1661</v>
      </c>
      <c r="C305" s="618" t="str">
        <f>"1144"</f>
        <v>1144</v>
      </c>
      <c r="D305" s="618" t="s">
        <v>18</v>
      </c>
      <c r="E305" s="618">
        <v>296</v>
      </c>
      <c r="F305" s="619">
        <v>39735</v>
      </c>
      <c r="G305" s="619">
        <v>45373</v>
      </c>
      <c r="H305" s="618" t="s">
        <v>1644</v>
      </c>
      <c r="I305" s="618" t="s">
        <v>6863</v>
      </c>
    </row>
    <row r="306" spans="1:9">
      <c r="A306" s="620">
        <f t="shared" si="4"/>
        <v>302</v>
      </c>
      <c r="B306" s="621" t="s">
        <v>1661</v>
      </c>
      <c r="C306" s="621" t="str">
        <f>"1145"</f>
        <v>1145</v>
      </c>
      <c r="D306" s="621" t="s">
        <v>18</v>
      </c>
      <c r="E306" s="621">
        <v>263</v>
      </c>
      <c r="F306" s="622">
        <v>39735</v>
      </c>
      <c r="G306" s="622">
        <v>45007</v>
      </c>
      <c r="H306" s="621" t="s">
        <v>1644</v>
      </c>
      <c r="I306" s="621" t="s">
        <v>6863</v>
      </c>
    </row>
    <row r="307" spans="1:9">
      <c r="A307" s="617">
        <f t="shared" si="4"/>
        <v>303</v>
      </c>
      <c r="B307" s="618" t="s">
        <v>1661</v>
      </c>
      <c r="C307" s="618" t="str">
        <f>"1146"</f>
        <v>1146</v>
      </c>
      <c r="D307" s="618" t="s">
        <v>18</v>
      </c>
      <c r="E307" s="618">
        <v>262</v>
      </c>
      <c r="F307" s="619">
        <v>37908</v>
      </c>
      <c r="G307" s="619">
        <v>45373</v>
      </c>
      <c r="H307" s="618" t="s">
        <v>1644</v>
      </c>
      <c r="I307" s="618" t="s">
        <v>6863</v>
      </c>
    </row>
    <row r="308" spans="1:9">
      <c r="A308" s="620">
        <f t="shared" si="4"/>
        <v>304</v>
      </c>
      <c r="B308" s="621" t="s">
        <v>1661</v>
      </c>
      <c r="C308" s="621" t="str">
        <f>"1147"</f>
        <v>1147</v>
      </c>
      <c r="D308" s="621" t="s">
        <v>18</v>
      </c>
      <c r="E308" s="621">
        <v>239</v>
      </c>
      <c r="F308" s="622">
        <v>39735</v>
      </c>
      <c r="G308" s="622">
        <v>45007</v>
      </c>
      <c r="H308" s="621" t="s">
        <v>1644</v>
      </c>
      <c r="I308" s="621" t="s">
        <v>6863</v>
      </c>
    </row>
    <row r="309" spans="1:9">
      <c r="A309" s="617">
        <f t="shared" si="4"/>
        <v>305</v>
      </c>
      <c r="B309" s="618" t="s">
        <v>1661</v>
      </c>
      <c r="C309" s="618" t="str">
        <f>"1148"</f>
        <v>1148</v>
      </c>
      <c r="D309" s="618" t="s">
        <v>18</v>
      </c>
      <c r="E309" s="618">
        <v>205</v>
      </c>
      <c r="F309" s="619">
        <v>37908</v>
      </c>
      <c r="G309" s="619">
        <v>45007</v>
      </c>
      <c r="H309" s="618" t="s">
        <v>1644</v>
      </c>
      <c r="I309" s="618" t="s">
        <v>6863</v>
      </c>
    </row>
    <row r="310" spans="1:9">
      <c r="A310" s="620">
        <f t="shared" si="4"/>
        <v>306</v>
      </c>
      <c r="B310" s="621" t="s">
        <v>1661</v>
      </c>
      <c r="C310" s="621" t="str">
        <f>"1149"</f>
        <v>1149</v>
      </c>
      <c r="D310" s="621" t="s">
        <v>18</v>
      </c>
      <c r="E310" s="621">
        <v>182</v>
      </c>
      <c r="F310" s="622">
        <v>37908</v>
      </c>
      <c r="G310" s="622">
        <v>45007</v>
      </c>
      <c r="H310" s="621" t="s">
        <v>1644</v>
      </c>
      <c r="I310" s="621" t="s">
        <v>6863</v>
      </c>
    </row>
    <row r="311" spans="1:9">
      <c r="A311" s="617">
        <f t="shared" si="4"/>
        <v>307</v>
      </c>
      <c r="B311" s="618" t="s">
        <v>1661</v>
      </c>
      <c r="C311" s="618" t="str">
        <f>"1150"</f>
        <v>1150</v>
      </c>
      <c r="D311" s="618" t="s">
        <v>18</v>
      </c>
      <c r="E311" s="618">
        <v>198</v>
      </c>
      <c r="F311" s="619">
        <v>37908</v>
      </c>
      <c r="G311" s="619">
        <v>45007</v>
      </c>
      <c r="H311" s="618" t="s">
        <v>1644</v>
      </c>
      <c r="I311" s="618" t="s">
        <v>6863</v>
      </c>
    </row>
    <row r="312" spans="1:9">
      <c r="A312" s="620">
        <f t="shared" si="4"/>
        <v>308</v>
      </c>
      <c r="B312" s="621" t="s">
        <v>1661</v>
      </c>
      <c r="C312" s="621" t="str">
        <f>"1151"</f>
        <v>1151</v>
      </c>
      <c r="D312" s="621" t="s">
        <v>18</v>
      </c>
      <c r="E312" s="621">
        <v>201</v>
      </c>
      <c r="F312" s="622">
        <v>37908</v>
      </c>
      <c r="G312" s="622">
        <v>45007</v>
      </c>
      <c r="H312" s="621" t="s">
        <v>1644</v>
      </c>
      <c r="I312" s="621" t="s">
        <v>6863</v>
      </c>
    </row>
    <row r="313" spans="1:9">
      <c r="A313" s="617">
        <f t="shared" si="4"/>
        <v>309</v>
      </c>
      <c r="B313" s="618" t="s">
        <v>1661</v>
      </c>
      <c r="C313" s="618" t="str">
        <f>"1152"</f>
        <v>1152</v>
      </c>
      <c r="D313" s="618" t="s">
        <v>18</v>
      </c>
      <c r="E313" s="618">
        <v>197</v>
      </c>
      <c r="F313" s="619">
        <v>37908</v>
      </c>
      <c r="G313" s="619">
        <v>45007</v>
      </c>
      <c r="H313" s="618" t="s">
        <v>1644</v>
      </c>
      <c r="I313" s="618" t="s">
        <v>6863</v>
      </c>
    </row>
    <row r="314" spans="1:9">
      <c r="A314" s="620">
        <f t="shared" si="4"/>
        <v>310</v>
      </c>
      <c r="B314" s="621" t="s">
        <v>1661</v>
      </c>
      <c r="C314" s="621" t="str">
        <f>"1153"</f>
        <v>1153</v>
      </c>
      <c r="D314" s="621" t="s">
        <v>18</v>
      </c>
      <c r="E314" s="621">
        <v>183</v>
      </c>
      <c r="F314" s="622">
        <v>37908</v>
      </c>
      <c r="G314" s="622">
        <v>45007</v>
      </c>
      <c r="H314" s="621" t="s">
        <v>1644</v>
      </c>
      <c r="I314" s="621" t="s">
        <v>6863</v>
      </c>
    </row>
    <row r="315" spans="1:9">
      <c r="A315" s="617">
        <f t="shared" si="4"/>
        <v>311</v>
      </c>
      <c r="B315" s="618" t="s">
        <v>1661</v>
      </c>
      <c r="C315" s="618" t="str">
        <f>"1154"</f>
        <v>1154</v>
      </c>
      <c r="D315" s="618" t="s">
        <v>18</v>
      </c>
      <c r="E315" s="618">
        <v>147</v>
      </c>
      <c r="F315" s="619">
        <v>37908</v>
      </c>
      <c r="G315" s="619">
        <v>45007</v>
      </c>
      <c r="H315" s="618" t="s">
        <v>1644</v>
      </c>
      <c r="I315" s="618" t="s">
        <v>6863</v>
      </c>
    </row>
    <row r="316" spans="1:9">
      <c r="A316" s="620">
        <f t="shared" si="4"/>
        <v>312</v>
      </c>
      <c r="B316" s="621" t="s">
        <v>1661</v>
      </c>
      <c r="C316" s="621" t="str">
        <f>"1155"</f>
        <v>1155</v>
      </c>
      <c r="D316" s="621" t="s">
        <v>18</v>
      </c>
      <c r="E316" s="621">
        <v>98</v>
      </c>
      <c r="F316" s="622">
        <v>37908</v>
      </c>
      <c r="G316" s="622">
        <v>45007</v>
      </c>
      <c r="H316" s="621" t="s">
        <v>1644</v>
      </c>
      <c r="I316" s="621" t="s">
        <v>6863</v>
      </c>
    </row>
    <row r="317" spans="1:9">
      <c r="A317" s="617">
        <f t="shared" si="4"/>
        <v>313</v>
      </c>
      <c r="B317" s="618" t="s">
        <v>1661</v>
      </c>
      <c r="C317" s="618" t="str">
        <f>"1156"</f>
        <v>1156</v>
      </c>
      <c r="D317" s="618" t="s">
        <v>18</v>
      </c>
      <c r="E317" s="618">
        <v>326</v>
      </c>
      <c r="F317" s="619">
        <v>37908</v>
      </c>
      <c r="G317" s="619">
        <v>45007</v>
      </c>
      <c r="H317" s="618" t="s">
        <v>1644</v>
      </c>
      <c r="I317" s="618" t="s">
        <v>6863</v>
      </c>
    </row>
    <row r="318" spans="1:9">
      <c r="A318" s="620">
        <f t="shared" si="4"/>
        <v>314</v>
      </c>
      <c r="B318" s="621" t="s">
        <v>1661</v>
      </c>
      <c r="C318" s="621" t="str">
        <f>"1158"</f>
        <v>1158</v>
      </c>
      <c r="D318" s="621" t="s">
        <v>18</v>
      </c>
      <c r="E318" s="621">
        <v>51</v>
      </c>
      <c r="F318" s="622">
        <v>37908</v>
      </c>
      <c r="G318" s="622">
        <v>45007</v>
      </c>
      <c r="H318" s="621" t="s">
        <v>1644</v>
      </c>
      <c r="I318" s="621" t="s">
        <v>6863</v>
      </c>
    </row>
    <row r="319" spans="1:9">
      <c r="A319" s="617">
        <f t="shared" si="4"/>
        <v>315</v>
      </c>
      <c r="B319" s="618" t="s">
        <v>1661</v>
      </c>
      <c r="C319" s="618" t="str">
        <f>"1159"</f>
        <v>1159</v>
      </c>
      <c r="D319" s="618" t="s">
        <v>18</v>
      </c>
      <c r="E319" s="618">
        <v>137</v>
      </c>
      <c r="F319" s="619">
        <v>37908</v>
      </c>
      <c r="G319" s="619">
        <v>45007</v>
      </c>
      <c r="H319" s="618" t="s">
        <v>1644</v>
      </c>
      <c r="I319" s="618" t="s">
        <v>6863</v>
      </c>
    </row>
    <row r="320" spans="1:9">
      <c r="A320" s="620">
        <f t="shared" si="4"/>
        <v>316</v>
      </c>
      <c r="B320" s="621" t="s">
        <v>1661</v>
      </c>
      <c r="C320" s="621" t="str">
        <f>"1160"</f>
        <v>1160</v>
      </c>
      <c r="D320" s="621" t="s">
        <v>18</v>
      </c>
      <c r="E320" s="621">
        <v>231</v>
      </c>
      <c r="F320" s="622">
        <v>39735</v>
      </c>
      <c r="G320" s="622">
        <v>45007</v>
      </c>
      <c r="H320" s="621" t="s">
        <v>1644</v>
      </c>
      <c r="I320" s="621" t="s">
        <v>6863</v>
      </c>
    </row>
    <row r="321" spans="1:9">
      <c r="A321" s="617">
        <f t="shared" si="4"/>
        <v>317</v>
      </c>
      <c r="B321" s="618" t="s">
        <v>1661</v>
      </c>
      <c r="C321" s="618" t="str">
        <f>"1161"</f>
        <v>1161</v>
      </c>
      <c r="D321" s="618" t="s">
        <v>18</v>
      </c>
      <c r="E321" s="618">
        <v>231</v>
      </c>
      <c r="F321" s="619">
        <v>37908</v>
      </c>
      <c r="G321" s="619">
        <v>45007</v>
      </c>
      <c r="H321" s="618" t="s">
        <v>1644</v>
      </c>
      <c r="I321" s="618" t="s">
        <v>6863</v>
      </c>
    </row>
    <row r="322" spans="1:9">
      <c r="A322" s="620">
        <f t="shared" si="4"/>
        <v>318</v>
      </c>
      <c r="B322" s="621" t="s">
        <v>1661</v>
      </c>
      <c r="C322" s="621" t="str">
        <f>"1162"</f>
        <v>1162</v>
      </c>
      <c r="D322" s="621" t="s">
        <v>18</v>
      </c>
      <c r="E322" s="621">
        <v>231</v>
      </c>
      <c r="F322" s="622">
        <v>37908</v>
      </c>
      <c r="G322" s="622">
        <v>45007</v>
      </c>
      <c r="H322" s="621" t="s">
        <v>1644</v>
      </c>
      <c r="I322" s="621" t="s">
        <v>6863</v>
      </c>
    </row>
    <row r="323" spans="1:9">
      <c r="A323" s="617">
        <f t="shared" si="4"/>
        <v>319</v>
      </c>
      <c r="B323" s="618" t="s">
        <v>1661</v>
      </c>
      <c r="C323" s="618" t="str">
        <f>"1163"</f>
        <v>1163</v>
      </c>
      <c r="D323" s="618" t="s">
        <v>18</v>
      </c>
      <c r="E323" s="618">
        <v>192</v>
      </c>
      <c r="F323" s="619">
        <v>37908</v>
      </c>
      <c r="G323" s="619">
        <v>45007</v>
      </c>
      <c r="H323" s="618" t="s">
        <v>1644</v>
      </c>
      <c r="I323" s="618" t="s">
        <v>6863</v>
      </c>
    </row>
    <row r="324" spans="1:9">
      <c r="A324" s="620">
        <f t="shared" si="4"/>
        <v>320</v>
      </c>
      <c r="B324" s="621" t="s">
        <v>1661</v>
      </c>
      <c r="C324" s="621" t="str">
        <f>"1164"</f>
        <v>1164</v>
      </c>
      <c r="D324" s="621" t="s">
        <v>18</v>
      </c>
      <c r="E324" s="621">
        <v>204</v>
      </c>
      <c r="F324" s="622">
        <v>37908</v>
      </c>
      <c r="G324" s="622">
        <v>45007</v>
      </c>
      <c r="H324" s="621" t="s">
        <v>1644</v>
      </c>
      <c r="I324" s="621" t="s">
        <v>6863</v>
      </c>
    </row>
    <row r="325" spans="1:9">
      <c r="A325" s="617">
        <f t="shared" si="4"/>
        <v>321</v>
      </c>
      <c r="B325" s="618" t="s">
        <v>1661</v>
      </c>
      <c r="C325" s="618" t="str">
        <f>"1165"</f>
        <v>1165</v>
      </c>
      <c r="D325" s="618" t="s">
        <v>18</v>
      </c>
      <c r="E325" s="618">
        <v>228</v>
      </c>
      <c r="F325" s="619">
        <v>37908</v>
      </c>
      <c r="G325" s="619">
        <v>45007</v>
      </c>
      <c r="H325" s="618" t="s">
        <v>1644</v>
      </c>
      <c r="I325" s="618" t="s">
        <v>6863</v>
      </c>
    </row>
    <row r="326" spans="1:9">
      <c r="A326" s="620">
        <f t="shared" si="4"/>
        <v>322</v>
      </c>
      <c r="B326" s="621" t="s">
        <v>1661</v>
      </c>
      <c r="C326" s="621" t="str">
        <f>"1166"</f>
        <v>1166</v>
      </c>
      <c r="D326" s="621" t="s">
        <v>18</v>
      </c>
      <c r="E326" s="621">
        <v>228</v>
      </c>
      <c r="F326" s="622">
        <v>37908</v>
      </c>
      <c r="G326" s="622">
        <v>45007</v>
      </c>
      <c r="H326" s="621" t="s">
        <v>1644</v>
      </c>
      <c r="I326" s="621" t="s">
        <v>6863</v>
      </c>
    </row>
    <row r="327" spans="1:9">
      <c r="A327" s="617">
        <f t="shared" ref="A327:A390" si="5">+A326+1</f>
        <v>323</v>
      </c>
      <c r="B327" s="618" t="s">
        <v>1661</v>
      </c>
      <c r="C327" s="618" t="str">
        <f>"1167"</f>
        <v>1167</v>
      </c>
      <c r="D327" s="618" t="s">
        <v>18</v>
      </c>
      <c r="E327" s="618">
        <v>156</v>
      </c>
      <c r="F327" s="619">
        <v>37908</v>
      </c>
      <c r="G327" s="619">
        <v>45007</v>
      </c>
      <c r="H327" s="618" t="s">
        <v>1644</v>
      </c>
      <c r="I327" s="618" t="s">
        <v>6863</v>
      </c>
    </row>
    <row r="328" spans="1:9">
      <c r="A328" s="620">
        <f t="shared" si="5"/>
        <v>324</v>
      </c>
      <c r="B328" s="621" t="s">
        <v>1661</v>
      </c>
      <c r="C328" s="621" t="str">
        <f>"1168"</f>
        <v>1168</v>
      </c>
      <c r="D328" s="621" t="s">
        <v>18</v>
      </c>
      <c r="E328" s="621">
        <v>220</v>
      </c>
      <c r="F328" s="622">
        <v>37908</v>
      </c>
      <c r="G328" s="622">
        <v>45007</v>
      </c>
      <c r="H328" s="621" t="s">
        <v>1644</v>
      </c>
      <c r="I328" s="621" t="s">
        <v>6863</v>
      </c>
    </row>
    <row r="329" spans="1:9">
      <c r="A329" s="617">
        <f t="shared" si="5"/>
        <v>325</v>
      </c>
      <c r="B329" s="618" t="s">
        <v>1661</v>
      </c>
      <c r="C329" s="618" t="str">
        <f>"1169"</f>
        <v>1169</v>
      </c>
      <c r="D329" s="618" t="s">
        <v>18</v>
      </c>
      <c r="E329" s="618">
        <v>240</v>
      </c>
      <c r="F329" s="619">
        <v>37908</v>
      </c>
      <c r="G329" s="619">
        <v>45007</v>
      </c>
      <c r="H329" s="618" t="s">
        <v>1644</v>
      </c>
      <c r="I329" s="618" t="s">
        <v>6863</v>
      </c>
    </row>
    <row r="330" spans="1:9">
      <c r="A330" s="620">
        <f t="shared" si="5"/>
        <v>326</v>
      </c>
      <c r="B330" s="621" t="s">
        <v>1661</v>
      </c>
      <c r="C330" s="621" t="str">
        <f>"1170"</f>
        <v>1170</v>
      </c>
      <c r="D330" s="621" t="s">
        <v>18</v>
      </c>
      <c r="E330" s="621">
        <v>231</v>
      </c>
      <c r="F330" s="622">
        <v>37908</v>
      </c>
      <c r="G330" s="622">
        <v>45007</v>
      </c>
      <c r="H330" s="621" t="s">
        <v>1644</v>
      </c>
      <c r="I330" s="621" t="s">
        <v>6863</v>
      </c>
    </row>
    <row r="331" spans="1:9">
      <c r="A331" s="617">
        <f t="shared" si="5"/>
        <v>327</v>
      </c>
      <c r="B331" s="618" t="s">
        <v>1661</v>
      </c>
      <c r="C331" s="618" t="str">
        <f>"1171"</f>
        <v>1171</v>
      </c>
      <c r="D331" s="618" t="s">
        <v>18</v>
      </c>
      <c r="E331" s="618">
        <v>253</v>
      </c>
      <c r="F331" s="619">
        <v>37908</v>
      </c>
      <c r="G331" s="619">
        <v>45007</v>
      </c>
      <c r="H331" s="618" t="s">
        <v>1644</v>
      </c>
      <c r="I331" s="618" t="s">
        <v>6863</v>
      </c>
    </row>
    <row r="332" spans="1:9">
      <c r="A332" s="620">
        <f t="shared" si="5"/>
        <v>328</v>
      </c>
      <c r="B332" s="621" t="s">
        <v>1661</v>
      </c>
      <c r="C332" s="621" t="str">
        <f>"1172"</f>
        <v>1172</v>
      </c>
      <c r="D332" s="621" t="s">
        <v>18</v>
      </c>
      <c r="E332" s="621">
        <v>198</v>
      </c>
      <c r="F332" s="622">
        <v>37908</v>
      </c>
      <c r="G332" s="622">
        <v>45007</v>
      </c>
      <c r="H332" s="621" t="s">
        <v>1644</v>
      </c>
      <c r="I332" s="621" t="s">
        <v>6863</v>
      </c>
    </row>
    <row r="333" spans="1:9">
      <c r="A333" s="617">
        <f t="shared" si="5"/>
        <v>329</v>
      </c>
      <c r="B333" s="618" t="s">
        <v>1661</v>
      </c>
      <c r="C333" s="618" t="str">
        <f>"1173"</f>
        <v>1173</v>
      </c>
      <c r="D333" s="618" t="s">
        <v>18</v>
      </c>
      <c r="E333" s="618">
        <v>242</v>
      </c>
      <c r="F333" s="619">
        <v>37908</v>
      </c>
      <c r="G333" s="619">
        <v>45007</v>
      </c>
      <c r="H333" s="618" t="s">
        <v>1644</v>
      </c>
      <c r="I333" s="618" t="s">
        <v>6863</v>
      </c>
    </row>
    <row r="334" spans="1:9">
      <c r="A334" s="620">
        <f t="shared" si="5"/>
        <v>330</v>
      </c>
      <c r="B334" s="621" t="s">
        <v>1661</v>
      </c>
      <c r="C334" s="621" t="str">
        <f>"1174"</f>
        <v>1174</v>
      </c>
      <c r="D334" s="621" t="s">
        <v>18</v>
      </c>
      <c r="E334" s="621">
        <v>150</v>
      </c>
      <c r="F334" s="622">
        <v>37908</v>
      </c>
      <c r="G334" s="622">
        <v>45007</v>
      </c>
      <c r="H334" s="621" t="s">
        <v>1644</v>
      </c>
      <c r="I334" s="621" t="s">
        <v>6863</v>
      </c>
    </row>
    <row r="335" spans="1:9">
      <c r="A335" s="617">
        <f t="shared" si="5"/>
        <v>331</v>
      </c>
      <c r="B335" s="618" t="s">
        <v>1661</v>
      </c>
      <c r="C335" s="618" t="str">
        <f>"1175"</f>
        <v>1175</v>
      </c>
      <c r="D335" s="618" t="s">
        <v>18</v>
      </c>
      <c r="E335" s="618">
        <v>219</v>
      </c>
      <c r="F335" s="619">
        <v>37908</v>
      </c>
      <c r="G335" s="619">
        <v>45007</v>
      </c>
      <c r="H335" s="618" t="s">
        <v>23</v>
      </c>
      <c r="I335" s="618" t="s">
        <v>6863</v>
      </c>
    </row>
    <row r="336" spans="1:9">
      <c r="A336" s="620">
        <f t="shared" si="5"/>
        <v>332</v>
      </c>
      <c r="B336" s="621" t="s">
        <v>1661</v>
      </c>
      <c r="C336" s="621" t="str">
        <f>"1176"</f>
        <v>1176</v>
      </c>
      <c r="D336" s="621" t="s">
        <v>18</v>
      </c>
      <c r="E336" s="621">
        <v>230</v>
      </c>
      <c r="F336" s="622">
        <v>37908</v>
      </c>
      <c r="G336" s="622">
        <v>45007</v>
      </c>
      <c r="H336" s="621" t="s">
        <v>23</v>
      </c>
      <c r="I336" s="621" t="s">
        <v>6863</v>
      </c>
    </row>
    <row r="337" spans="1:9">
      <c r="A337" s="617">
        <f t="shared" si="5"/>
        <v>333</v>
      </c>
      <c r="B337" s="618" t="s">
        <v>1661</v>
      </c>
      <c r="C337" s="618" t="str">
        <f>"1177"</f>
        <v>1177</v>
      </c>
      <c r="D337" s="618" t="s">
        <v>18</v>
      </c>
      <c r="E337" s="618">
        <v>213</v>
      </c>
      <c r="F337" s="619">
        <v>37908</v>
      </c>
      <c r="G337" s="619">
        <v>45007</v>
      </c>
      <c r="H337" s="618" t="s">
        <v>23</v>
      </c>
      <c r="I337" s="618" t="s">
        <v>6863</v>
      </c>
    </row>
    <row r="338" spans="1:9">
      <c r="A338" s="620">
        <f t="shared" si="5"/>
        <v>334</v>
      </c>
      <c r="B338" s="621" t="s">
        <v>1661</v>
      </c>
      <c r="C338" s="621" t="str">
        <f>"1178"</f>
        <v>1178</v>
      </c>
      <c r="D338" s="621" t="s">
        <v>18</v>
      </c>
      <c r="E338" s="621">
        <v>46</v>
      </c>
      <c r="F338" s="622">
        <v>37908</v>
      </c>
      <c r="G338" s="622">
        <v>45007</v>
      </c>
      <c r="H338" s="621" t="s">
        <v>23</v>
      </c>
      <c r="I338" s="621" t="s">
        <v>6863</v>
      </c>
    </row>
    <row r="339" spans="1:9">
      <c r="A339" s="617">
        <f t="shared" si="5"/>
        <v>335</v>
      </c>
      <c r="B339" s="618" t="s">
        <v>1661</v>
      </c>
      <c r="C339" s="618" t="str">
        <f>"1180"</f>
        <v>1180</v>
      </c>
      <c r="D339" s="618" t="s">
        <v>18</v>
      </c>
      <c r="E339" s="618">
        <v>165</v>
      </c>
      <c r="F339" s="619">
        <v>37908</v>
      </c>
      <c r="G339" s="619">
        <v>45007</v>
      </c>
      <c r="H339" s="618" t="s">
        <v>23</v>
      </c>
      <c r="I339" s="618" t="s">
        <v>6863</v>
      </c>
    </row>
    <row r="340" spans="1:9">
      <c r="A340" s="620">
        <f t="shared" si="5"/>
        <v>336</v>
      </c>
      <c r="B340" s="621" t="s">
        <v>1661</v>
      </c>
      <c r="C340" s="621" t="str">
        <f>"1182"</f>
        <v>1182</v>
      </c>
      <c r="D340" s="621" t="s">
        <v>18</v>
      </c>
      <c r="E340" s="621">
        <v>189</v>
      </c>
      <c r="F340" s="622">
        <v>37908</v>
      </c>
      <c r="G340" s="622">
        <v>45007</v>
      </c>
      <c r="H340" s="621" t="s">
        <v>23</v>
      </c>
      <c r="I340" s="621" t="s">
        <v>6863</v>
      </c>
    </row>
    <row r="341" spans="1:9">
      <c r="A341" s="617">
        <f t="shared" si="5"/>
        <v>337</v>
      </c>
      <c r="B341" s="618" t="s">
        <v>1661</v>
      </c>
      <c r="C341" s="618" t="str">
        <f>"1187"</f>
        <v>1187</v>
      </c>
      <c r="D341" s="618" t="s">
        <v>18</v>
      </c>
      <c r="E341" s="618">
        <v>168</v>
      </c>
      <c r="F341" s="619">
        <v>37908</v>
      </c>
      <c r="G341" s="619">
        <v>45007</v>
      </c>
      <c r="H341" s="618" t="s">
        <v>23</v>
      </c>
      <c r="I341" s="618" t="s">
        <v>6863</v>
      </c>
    </row>
    <row r="342" spans="1:9">
      <c r="A342" s="620">
        <f t="shared" si="5"/>
        <v>338</v>
      </c>
      <c r="B342" s="621" t="s">
        <v>1661</v>
      </c>
      <c r="C342" s="621" t="str">
        <f>"1188"</f>
        <v>1188</v>
      </c>
      <c r="D342" s="621" t="s">
        <v>18</v>
      </c>
      <c r="E342" s="621">
        <v>234</v>
      </c>
      <c r="F342" s="622">
        <v>37908</v>
      </c>
      <c r="G342" s="622">
        <v>45007</v>
      </c>
      <c r="H342" s="621" t="s">
        <v>23</v>
      </c>
      <c r="I342" s="621" t="s">
        <v>6863</v>
      </c>
    </row>
    <row r="343" spans="1:9">
      <c r="A343" s="617">
        <f t="shared" si="5"/>
        <v>339</v>
      </c>
      <c r="B343" s="618" t="s">
        <v>1661</v>
      </c>
      <c r="C343" s="618" t="str">
        <f>"1189"</f>
        <v>1189</v>
      </c>
      <c r="D343" s="618" t="s">
        <v>18</v>
      </c>
      <c r="E343" s="618">
        <v>192</v>
      </c>
      <c r="F343" s="619">
        <v>37908</v>
      </c>
      <c r="G343" s="619">
        <v>39734</v>
      </c>
      <c r="H343" s="618" t="s">
        <v>23</v>
      </c>
      <c r="I343" s="618" t="s">
        <v>6863</v>
      </c>
    </row>
    <row r="344" spans="1:9">
      <c r="A344" s="620">
        <f t="shared" si="5"/>
        <v>340</v>
      </c>
      <c r="B344" s="621" t="s">
        <v>1662</v>
      </c>
      <c r="C344" s="621" t="str">
        <f>"1190"</f>
        <v>1190</v>
      </c>
      <c r="D344" s="621" t="s">
        <v>18</v>
      </c>
      <c r="E344" s="621">
        <v>126</v>
      </c>
      <c r="F344" s="622">
        <v>37908</v>
      </c>
      <c r="G344" s="622">
        <v>44647</v>
      </c>
      <c r="H344" s="621" t="s">
        <v>1644</v>
      </c>
      <c r="I344" s="621" t="s">
        <v>6863</v>
      </c>
    </row>
    <row r="345" spans="1:9">
      <c r="A345" s="617">
        <f t="shared" si="5"/>
        <v>341</v>
      </c>
      <c r="B345" s="618" t="s">
        <v>1662</v>
      </c>
      <c r="C345" s="618" t="str">
        <f>"1191"</f>
        <v>1191</v>
      </c>
      <c r="D345" s="618" t="s">
        <v>18</v>
      </c>
      <c r="E345" s="618">
        <v>140</v>
      </c>
      <c r="F345" s="619">
        <v>37908</v>
      </c>
      <c r="G345" s="619">
        <v>45013</v>
      </c>
      <c r="H345" s="618" t="s">
        <v>61</v>
      </c>
      <c r="I345" s="618" t="s">
        <v>6863</v>
      </c>
    </row>
    <row r="346" spans="1:9">
      <c r="A346" s="620">
        <f t="shared" si="5"/>
        <v>342</v>
      </c>
      <c r="B346" s="621" t="s">
        <v>1662</v>
      </c>
      <c r="C346" s="621" t="str">
        <f>"1192"</f>
        <v>1192</v>
      </c>
      <c r="D346" s="621" t="s">
        <v>18</v>
      </c>
      <c r="E346" s="621">
        <v>141</v>
      </c>
      <c r="F346" s="622">
        <v>37908</v>
      </c>
      <c r="G346" s="622">
        <v>45013</v>
      </c>
      <c r="H346" s="621" t="s">
        <v>431</v>
      </c>
      <c r="I346" s="621" t="s">
        <v>6863</v>
      </c>
    </row>
    <row r="347" spans="1:9">
      <c r="A347" s="617">
        <f t="shared" si="5"/>
        <v>343</v>
      </c>
      <c r="B347" s="618" t="s">
        <v>1662</v>
      </c>
      <c r="C347" s="618" t="str">
        <f>"1193"</f>
        <v>1193</v>
      </c>
      <c r="D347" s="618" t="s">
        <v>18</v>
      </c>
      <c r="E347" s="618">
        <v>373</v>
      </c>
      <c r="F347" s="619">
        <v>37908</v>
      </c>
      <c r="G347" s="619">
        <v>45013</v>
      </c>
      <c r="H347" s="618" t="s">
        <v>431</v>
      </c>
      <c r="I347" s="618" t="s">
        <v>6863</v>
      </c>
    </row>
    <row r="348" spans="1:9">
      <c r="A348" s="620">
        <f t="shared" si="5"/>
        <v>344</v>
      </c>
      <c r="B348" s="621" t="s">
        <v>1662</v>
      </c>
      <c r="C348" s="621" t="str">
        <f>"1194"</f>
        <v>1194</v>
      </c>
      <c r="D348" s="621" t="s">
        <v>18</v>
      </c>
      <c r="E348" s="621">
        <v>104</v>
      </c>
      <c r="F348" s="622">
        <v>37908</v>
      </c>
      <c r="G348" s="622">
        <v>45013</v>
      </c>
      <c r="H348" s="621" t="s">
        <v>1665</v>
      </c>
      <c r="I348" s="621" t="s">
        <v>6863</v>
      </c>
    </row>
    <row r="349" spans="1:9">
      <c r="A349" s="617">
        <f t="shared" si="5"/>
        <v>345</v>
      </c>
      <c r="B349" s="618" t="s">
        <v>1662</v>
      </c>
      <c r="C349" s="618" t="str">
        <f>"1195"</f>
        <v>1195</v>
      </c>
      <c r="D349" s="618" t="s">
        <v>18</v>
      </c>
      <c r="E349" s="618">
        <v>55</v>
      </c>
      <c r="F349" s="619">
        <v>37908</v>
      </c>
      <c r="G349" s="619">
        <v>45013</v>
      </c>
      <c r="H349" s="618" t="s">
        <v>431</v>
      </c>
      <c r="I349" s="618" t="s">
        <v>6863</v>
      </c>
    </row>
    <row r="350" spans="1:9">
      <c r="A350" s="620">
        <f t="shared" si="5"/>
        <v>346</v>
      </c>
      <c r="B350" s="621" t="s">
        <v>1662</v>
      </c>
      <c r="C350" s="621" t="str">
        <f>"1196"</f>
        <v>1196</v>
      </c>
      <c r="D350" s="621" t="s">
        <v>18</v>
      </c>
      <c r="E350" s="621">
        <v>151</v>
      </c>
      <c r="F350" s="622">
        <v>37908</v>
      </c>
      <c r="G350" s="622">
        <v>45013</v>
      </c>
      <c r="H350" s="621" t="s">
        <v>1665</v>
      </c>
      <c r="I350" s="621" t="s">
        <v>6863</v>
      </c>
    </row>
    <row r="351" spans="1:9">
      <c r="A351" s="617">
        <f t="shared" si="5"/>
        <v>347</v>
      </c>
      <c r="B351" s="618" t="s">
        <v>1662</v>
      </c>
      <c r="C351" s="618" t="str">
        <f>"1197"</f>
        <v>1197</v>
      </c>
      <c r="D351" s="618" t="s">
        <v>18</v>
      </c>
      <c r="E351" s="618">
        <v>138</v>
      </c>
      <c r="F351" s="619">
        <v>37908</v>
      </c>
      <c r="G351" s="619">
        <v>45013</v>
      </c>
      <c r="H351" s="618" t="s">
        <v>431</v>
      </c>
      <c r="I351" s="618" t="s">
        <v>6863</v>
      </c>
    </row>
    <row r="352" spans="1:9">
      <c r="A352" s="620">
        <f t="shared" si="5"/>
        <v>348</v>
      </c>
      <c r="B352" s="621" t="s">
        <v>1662</v>
      </c>
      <c r="C352" s="621" t="str">
        <f>"1198"</f>
        <v>1198</v>
      </c>
      <c r="D352" s="621" t="s">
        <v>18</v>
      </c>
      <c r="E352" s="621">
        <v>70</v>
      </c>
      <c r="F352" s="622">
        <v>37908</v>
      </c>
      <c r="G352" s="622">
        <v>45013</v>
      </c>
      <c r="H352" s="621" t="s">
        <v>431</v>
      </c>
      <c r="I352" s="621" t="s">
        <v>6863</v>
      </c>
    </row>
    <row r="353" spans="1:9">
      <c r="A353" s="617">
        <f t="shared" si="5"/>
        <v>349</v>
      </c>
      <c r="B353" s="618" t="s">
        <v>1662</v>
      </c>
      <c r="C353" s="618" t="str">
        <f>"1199"</f>
        <v>1199</v>
      </c>
      <c r="D353" s="618" t="s">
        <v>18</v>
      </c>
      <c r="E353" s="618">
        <v>45</v>
      </c>
      <c r="F353" s="619">
        <v>37908</v>
      </c>
      <c r="G353" s="619">
        <v>45013</v>
      </c>
      <c r="H353" s="618" t="s">
        <v>431</v>
      </c>
      <c r="I353" s="618" t="s">
        <v>6863</v>
      </c>
    </row>
    <row r="354" spans="1:9">
      <c r="A354" s="620">
        <f t="shared" si="5"/>
        <v>350</v>
      </c>
      <c r="B354" s="621" t="s">
        <v>1662</v>
      </c>
      <c r="C354" s="621" t="str">
        <f>"1200"</f>
        <v>1200</v>
      </c>
      <c r="D354" s="621" t="s">
        <v>18</v>
      </c>
      <c r="E354" s="621">
        <v>38</v>
      </c>
      <c r="F354" s="622">
        <v>37908</v>
      </c>
      <c r="G354" s="622">
        <v>45378</v>
      </c>
      <c r="H354" s="621" t="s">
        <v>1644</v>
      </c>
      <c r="I354" s="621" t="s">
        <v>6863</v>
      </c>
    </row>
    <row r="355" spans="1:9">
      <c r="A355" s="617">
        <f t="shared" si="5"/>
        <v>351</v>
      </c>
      <c r="B355" s="618" t="s">
        <v>1662</v>
      </c>
      <c r="C355" s="618" t="str">
        <f>"1201"</f>
        <v>1201</v>
      </c>
      <c r="D355" s="618" t="s">
        <v>18</v>
      </c>
      <c r="E355" s="618">
        <v>52</v>
      </c>
      <c r="F355" s="619">
        <v>37908</v>
      </c>
      <c r="G355" s="619">
        <v>45378</v>
      </c>
      <c r="H355" s="618" t="s">
        <v>1644</v>
      </c>
      <c r="I355" s="618" t="s">
        <v>6863</v>
      </c>
    </row>
    <row r="356" spans="1:9">
      <c r="A356" s="620">
        <f t="shared" si="5"/>
        <v>352</v>
      </c>
      <c r="B356" s="621" t="s">
        <v>1662</v>
      </c>
      <c r="C356" s="621" t="str">
        <f>"1202"</f>
        <v>1202</v>
      </c>
      <c r="D356" s="621" t="s">
        <v>18</v>
      </c>
      <c r="E356" s="621">
        <v>50</v>
      </c>
      <c r="F356" s="622">
        <v>37908</v>
      </c>
      <c r="G356" s="622">
        <v>45378</v>
      </c>
      <c r="H356" s="621" t="s">
        <v>1644</v>
      </c>
      <c r="I356" s="621" t="s">
        <v>6863</v>
      </c>
    </row>
    <row r="357" spans="1:9">
      <c r="A357" s="617">
        <f t="shared" si="5"/>
        <v>353</v>
      </c>
      <c r="B357" s="618" t="s">
        <v>1662</v>
      </c>
      <c r="C357" s="618" t="str">
        <f>"1203"</f>
        <v>1203</v>
      </c>
      <c r="D357" s="618" t="s">
        <v>18</v>
      </c>
      <c r="E357" s="618">
        <v>38</v>
      </c>
      <c r="F357" s="619">
        <v>37908</v>
      </c>
      <c r="G357" s="619">
        <v>45378</v>
      </c>
      <c r="H357" s="618" t="s">
        <v>1644</v>
      </c>
      <c r="I357" s="618" t="s">
        <v>6863</v>
      </c>
    </row>
    <row r="358" spans="1:9">
      <c r="A358" s="620">
        <f t="shared" si="5"/>
        <v>354</v>
      </c>
      <c r="B358" s="621" t="s">
        <v>1662</v>
      </c>
      <c r="C358" s="621" t="str">
        <f>"1204"</f>
        <v>1204</v>
      </c>
      <c r="D358" s="621" t="s">
        <v>18</v>
      </c>
      <c r="E358" s="621">
        <v>52</v>
      </c>
      <c r="F358" s="622">
        <v>37908</v>
      </c>
      <c r="G358" s="622">
        <v>45378</v>
      </c>
      <c r="H358" s="621" t="s">
        <v>1644</v>
      </c>
      <c r="I358" s="621" t="s">
        <v>6863</v>
      </c>
    </row>
    <row r="359" spans="1:9">
      <c r="A359" s="617">
        <f t="shared" si="5"/>
        <v>355</v>
      </c>
      <c r="B359" s="618" t="s">
        <v>1662</v>
      </c>
      <c r="C359" s="618" t="str">
        <f>"1205"</f>
        <v>1205</v>
      </c>
      <c r="D359" s="618" t="s">
        <v>18</v>
      </c>
      <c r="E359" s="618">
        <v>95</v>
      </c>
      <c r="F359" s="619">
        <v>37908</v>
      </c>
      <c r="G359" s="619">
        <v>45378</v>
      </c>
      <c r="H359" s="618" t="s">
        <v>1644</v>
      </c>
      <c r="I359" s="618" t="s">
        <v>6863</v>
      </c>
    </row>
    <row r="360" spans="1:9">
      <c r="A360" s="620">
        <f t="shared" si="5"/>
        <v>356</v>
      </c>
      <c r="B360" s="621" t="s">
        <v>1662</v>
      </c>
      <c r="C360" s="621" t="str">
        <f>"1206"</f>
        <v>1206</v>
      </c>
      <c r="D360" s="621" t="s">
        <v>18</v>
      </c>
      <c r="E360" s="621">
        <v>64</v>
      </c>
      <c r="F360" s="622">
        <v>37908</v>
      </c>
      <c r="G360" s="622">
        <v>45378</v>
      </c>
      <c r="H360" s="621" t="s">
        <v>1644</v>
      </c>
      <c r="I360" s="621" t="s">
        <v>6863</v>
      </c>
    </row>
    <row r="361" spans="1:9">
      <c r="A361" s="617">
        <f t="shared" si="5"/>
        <v>357</v>
      </c>
      <c r="B361" s="618" t="s">
        <v>1662</v>
      </c>
      <c r="C361" s="618" t="str">
        <f>"1207"</f>
        <v>1207</v>
      </c>
      <c r="D361" s="618" t="s">
        <v>18</v>
      </c>
      <c r="E361" s="618">
        <v>51</v>
      </c>
      <c r="F361" s="619">
        <v>37908</v>
      </c>
      <c r="G361" s="619">
        <v>45378</v>
      </c>
      <c r="H361" s="618" t="s">
        <v>1644</v>
      </c>
      <c r="I361" s="618" t="s">
        <v>6863</v>
      </c>
    </row>
    <row r="362" spans="1:9">
      <c r="A362" s="620">
        <f t="shared" si="5"/>
        <v>358</v>
      </c>
      <c r="B362" s="621" t="s">
        <v>1662</v>
      </c>
      <c r="C362" s="621" t="str">
        <f>"1208"</f>
        <v>1208</v>
      </c>
      <c r="D362" s="621" t="s">
        <v>18</v>
      </c>
      <c r="E362" s="621">
        <v>39</v>
      </c>
      <c r="F362" s="622">
        <v>37908</v>
      </c>
      <c r="G362" s="622">
        <v>45378</v>
      </c>
      <c r="H362" s="621" t="s">
        <v>1644</v>
      </c>
      <c r="I362" s="621" t="s">
        <v>6863</v>
      </c>
    </row>
    <row r="363" spans="1:9">
      <c r="A363" s="617">
        <f t="shared" si="5"/>
        <v>359</v>
      </c>
      <c r="B363" s="618" t="s">
        <v>1662</v>
      </c>
      <c r="C363" s="618" t="str">
        <f>"1209"</f>
        <v>1209</v>
      </c>
      <c r="D363" s="618" t="s">
        <v>18</v>
      </c>
      <c r="E363" s="618">
        <v>34</v>
      </c>
      <c r="F363" s="619">
        <v>37908</v>
      </c>
      <c r="G363" s="619">
        <v>45378</v>
      </c>
      <c r="H363" s="618" t="s">
        <v>1644</v>
      </c>
      <c r="I363" s="618" t="s">
        <v>6863</v>
      </c>
    </row>
    <row r="364" spans="1:9">
      <c r="A364" s="620">
        <f t="shared" si="5"/>
        <v>360</v>
      </c>
      <c r="B364" s="621" t="s">
        <v>1662</v>
      </c>
      <c r="C364" s="621" t="str">
        <f>"1210"</f>
        <v>1210</v>
      </c>
      <c r="D364" s="621" t="s">
        <v>18</v>
      </c>
      <c r="E364" s="621">
        <v>49</v>
      </c>
      <c r="F364" s="622">
        <v>37908</v>
      </c>
      <c r="G364" s="622">
        <v>45378</v>
      </c>
      <c r="H364" s="621" t="s">
        <v>1644</v>
      </c>
      <c r="I364" s="621" t="s">
        <v>6863</v>
      </c>
    </row>
    <row r="365" spans="1:9">
      <c r="A365" s="617">
        <f t="shared" si="5"/>
        <v>361</v>
      </c>
      <c r="B365" s="618" t="s">
        <v>1662</v>
      </c>
      <c r="C365" s="618" t="str">
        <f>"1211"</f>
        <v>1211</v>
      </c>
      <c r="D365" s="618" t="s">
        <v>18</v>
      </c>
      <c r="E365" s="618">
        <v>231</v>
      </c>
      <c r="F365" s="619">
        <v>37908</v>
      </c>
      <c r="G365" s="619">
        <v>45012</v>
      </c>
      <c r="H365" s="618" t="s">
        <v>1644</v>
      </c>
      <c r="I365" s="618" t="s">
        <v>6863</v>
      </c>
    </row>
    <row r="366" spans="1:9">
      <c r="A366" s="620">
        <f t="shared" si="5"/>
        <v>362</v>
      </c>
      <c r="B366" s="621" t="s">
        <v>1662</v>
      </c>
      <c r="C366" s="621" t="str">
        <f>"1212"</f>
        <v>1212</v>
      </c>
      <c r="D366" s="621" t="s">
        <v>18</v>
      </c>
      <c r="E366" s="621">
        <v>231</v>
      </c>
      <c r="F366" s="622">
        <v>37908</v>
      </c>
      <c r="G366" s="622">
        <v>45012</v>
      </c>
      <c r="H366" s="621" t="s">
        <v>1644</v>
      </c>
      <c r="I366" s="621" t="s">
        <v>6863</v>
      </c>
    </row>
    <row r="367" spans="1:9">
      <c r="A367" s="617">
        <f t="shared" si="5"/>
        <v>363</v>
      </c>
      <c r="B367" s="618" t="s">
        <v>1662</v>
      </c>
      <c r="C367" s="618" t="str">
        <f>"1213"</f>
        <v>1213</v>
      </c>
      <c r="D367" s="618" t="s">
        <v>18</v>
      </c>
      <c r="E367" s="618">
        <v>27</v>
      </c>
      <c r="F367" s="619">
        <v>37908</v>
      </c>
      <c r="G367" s="619">
        <v>45012</v>
      </c>
      <c r="H367" s="618" t="s">
        <v>1644</v>
      </c>
      <c r="I367" s="618" t="s">
        <v>6863</v>
      </c>
    </row>
    <row r="368" spans="1:9">
      <c r="A368" s="620">
        <f t="shared" si="5"/>
        <v>364</v>
      </c>
      <c r="B368" s="621" t="s">
        <v>1662</v>
      </c>
      <c r="C368" s="621" t="str">
        <f>"1214"</f>
        <v>1214</v>
      </c>
      <c r="D368" s="621" t="s">
        <v>18</v>
      </c>
      <c r="E368" s="621">
        <v>44</v>
      </c>
      <c r="F368" s="622">
        <v>37908</v>
      </c>
      <c r="G368" s="622">
        <v>45012</v>
      </c>
      <c r="H368" s="621" t="s">
        <v>1644</v>
      </c>
      <c r="I368" s="621" t="s">
        <v>6863</v>
      </c>
    </row>
    <row r="369" spans="1:9">
      <c r="A369" s="617">
        <f t="shared" si="5"/>
        <v>365</v>
      </c>
      <c r="B369" s="618" t="s">
        <v>1662</v>
      </c>
      <c r="C369" s="618" t="str">
        <f>"1215"</f>
        <v>1215</v>
      </c>
      <c r="D369" s="618" t="s">
        <v>18</v>
      </c>
      <c r="E369" s="618">
        <v>71</v>
      </c>
      <c r="F369" s="619">
        <v>37908</v>
      </c>
      <c r="G369" s="619">
        <v>45012</v>
      </c>
      <c r="H369" s="618" t="s">
        <v>1644</v>
      </c>
      <c r="I369" s="618" t="s">
        <v>6863</v>
      </c>
    </row>
    <row r="370" spans="1:9">
      <c r="A370" s="620">
        <f t="shared" si="5"/>
        <v>366</v>
      </c>
      <c r="B370" s="621" t="s">
        <v>1662</v>
      </c>
      <c r="C370" s="621" t="str">
        <f>"1216"</f>
        <v>1216</v>
      </c>
      <c r="D370" s="621" t="s">
        <v>18</v>
      </c>
      <c r="E370" s="621">
        <v>163</v>
      </c>
      <c r="F370" s="622">
        <v>37908</v>
      </c>
      <c r="G370" s="622">
        <v>45012</v>
      </c>
      <c r="H370" s="621" t="s">
        <v>1644</v>
      </c>
      <c r="I370" s="621" t="s">
        <v>6863</v>
      </c>
    </row>
    <row r="371" spans="1:9">
      <c r="A371" s="617">
        <f t="shared" si="5"/>
        <v>367</v>
      </c>
      <c r="B371" s="618" t="s">
        <v>1662</v>
      </c>
      <c r="C371" s="618" t="str">
        <f>"1217"</f>
        <v>1217</v>
      </c>
      <c r="D371" s="618" t="s">
        <v>18</v>
      </c>
      <c r="E371" s="618">
        <v>55</v>
      </c>
      <c r="F371" s="619">
        <v>37908</v>
      </c>
      <c r="G371" s="619">
        <v>45012</v>
      </c>
      <c r="H371" s="618" t="s">
        <v>1644</v>
      </c>
      <c r="I371" s="618" t="s">
        <v>6863</v>
      </c>
    </row>
    <row r="372" spans="1:9">
      <c r="A372" s="620">
        <f t="shared" si="5"/>
        <v>368</v>
      </c>
      <c r="B372" s="621" t="s">
        <v>1662</v>
      </c>
      <c r="C372" s="621" t="str">
        <f>"1218"</f>
        <v>1218</v>
      </c>
      <c r="D372" s="621" t="s">
        <v>18</v>
      </c>
      <c r="E372" s="621">
        <v>149</v>
      </c>
      <c r="F372" s="622">
        <v>37908</v>
      </c>
      <c r="G372" s="622">
        <v>45012</v>
      </c>
      <c r="H372" s="621" t="s">
        <v>1644</v>
      </c>
      <c r="I372" s="621" t="s">
        <v>6863</v>
      </c>
    </row>
    <row r="373" spans="1:9">
      <c r="A373" s="617">
        <f t="shared" si="5"/>
        <v>369</v>
      </c>
      <c r="B373" s="618" t="s">
        <v>1662</v>
      </c>
      <c r="C373" s="618" t="str">
        <f>"1219"</f>
        <v>1219</v>
      </c>
      <c r="D373" s="618" t="s">
        <v>18</v>
      </c>
      <c r="E373" s="618">
        <v>104</v>
      </c>
      <c r="F373" s="619">
        <v>37908</v>
      </c>
      <c r="G373" s="619">
        <v>45012</v>
      </c>
      <c r="H373" s="618" t="s">
        <v>1644</v>
      </c>
      <c r="I373" s="618" t="s">
        <v>6863</v>
      </c>
    </row>
    <row r="374" spans="1:9">
      <c r="A374" s="620">
        <f t="shared" si="5"/>
        <v>370</v>
      </c>
      <c r="B374" s="621" t="s">
        <v>1662</v>
      </c>
      <c r="C374" s="621" t="str">
        <f>"1220"</f>
        <v>1220</v>
      </c>
      <c r="D374" s="621" t="s">
        <v>18</v>
      </c>
      <c r="E374" s="621">
        <v>228</v>
      </c>
      <c r="F374" s="622">
        <v>37908</v>
      </c>
      <c r="G374" s="622">
        <v>45012</v>
      </c>
      <c r="H374" s="621" t="s">
        <v>1644</v>
      </c>
      <c r="I374" s="621" t="s">
        <v>6863</v>
      </c>
    </row>
    <row r="375" spans="1:9">
      <c r="A375" s="617">
        <f t="shared" si="5"/>
        <v>371</v>
      </c>
      <c r="B375" s="618" t="s">
        <v>1662</v>
      </c>
      <c r="C375" s="618" t="str">
        <f>"1221"</f>
        <v>1221</v>
      </c>
      <c r="D375" s="618" t="s">
        <v>18</v>
      </c>
      <c r="E375" s="618">
        <v>232</v>
      </c>
      <c r="F375" s="619">
        <v>37908</v>
      </c>
      <c r="G375" s="619">
        <v>45012</v>
      </c>
      <c r="H375" s="618" t="s">
        <v>23</v>
      </c>
      <c r="I375" s="618" t="s">
        <v>6863</v>
      </c>
    </row>
    <row r="376" spans="1:9">
      <c r="A376" s="620">
        <f t="shared" si="5"/>
        <v>372</v>
      </c>
      <c r="B376" s="621" t="s">
        <v>1662</v>
      </c>
      <c r="C376" s="621" t="str">
        <f>"1222"</f>
        <v>1222</v>
      </c>
      <c r="D376" s="621" t="s">
        <v>18</v>
      </c>
      <c r="E376" s="621">
        <v>267</v>
      </c>
      <c r="F376" s="622">
        <v>37908</v>
      </c>
      <c r="G376" s="622">
        <v>45012</v>
      </c>
      <c r="H376" s="621" t="s">
        <v>1644</v>
      </c>
      <c r="I376" s="621" t="s">
        <v>6863</v>
      </c>
    </row>
    <row r="377" spans="1:9">
      <c r="A377" s="617">
        <f t="shared" si="5"/>
        <v>373</v>
      </c>
      <c r="B377" s="618" t="s">
        <v>1662</v>
      </c>
      <c r="C377" s="618" t="str">
        <f>"1223"</f>
        <v>1223</v>
      </c>
      <c r="D377" s="618" t="s">
        <v>18</v>
      </c>
      <c r="E377" s="618">
        <v>168</v>
      </c>
      <c r="F377" s="619">
        <v>37908</v>
      </c>
      <c r="G377" s="619">
        <v>45012</v>
      </c>
      <c r="H377" s="618" t="s">
        <v>1644</v>
      </c>
      <c r="I377" s="618" t="s">
        <v>6863</v>
      </c>
    </row>
    <row r="378" spans="1:9">
      <c r="A378" s="620">
        <f t="shared" si="5"/>
        <v>374</v>
      </c>
      <c r="B378" s="621" t="s">
        <v>86</v>
      </c>
      <c r="C378" s="621" t="str">
        <f>"1229"</f>
        <v>1229</v>
      </c>
      <c r="D378" s="621" t="s">
        <v>18</v>
      </c>
      <c r="E378" s="621">
        <v>82</v>
      </c>
      <c r="F378" s="622">
        <v>39746</v>
      </c>
      <c r="G378" s="622">
        <v>41571</v>
      </c>
      <c r="H378" s="621" t="s">
        <v>14</v>
      </c>
      <c r="I378" s="621" t="s">
        <v>6862</v>
      </c>
    </row>
    <row r="379" spans="1:9">
      <c r="A379" s="617">
        <f t="shared" si="5"/>
        <v>375</v>
      </c>
      <c r="B379" s="618" t="s">
        <v>1666</v>
      </c>
      <c r="C379" s="618" t="str">
        <f>"1232"</f>
        <v>1232</v>
      </c>
      <c r="D379" s="618" t="s">
        <v>18</v>
      </c>
      <c r="E379" s="618">
        <v>224</v>
      </c>
      <c r="F379" s="619">
        <v>39593</v>
      </c>
      <c r="G379" s="619">
        <v>40322</v>
      </c>
      <c r="H379" s="618" t="s">
        <v>23</v>
      </c>
      <c r="I379" s="618" t="s">
        <v>6862</v>
      </c>
    </row>
    <row r="380" spans="1:9">
      <c r="A380" s="620">
        <f t="shared" si="5"/>
        <v>376</v>
      </c>
      <c r="B380" s="621" t="s">
        <v>1666</v>
      </c>
      <c r="C380" s="621" t="str">
        <f>"1236"</f>
        <v>1236</v>
      </c>
      <c r="D380" s="621" t="s">
        <v>18</v>
      </c>
      <c r="E380" s="621">
        <v>234</v>
      </c>
      <c r="F380" s="622">
        <v>38132</v>
      </c>
      <c r="G380" s="622">
        <v>39592</v>
      </c>
      <c r="H380" s="621" t="s">
        <v>23</v>
      </c>
      <c r="I380" s="621" t="s">
        <v>6862</v>
      </c>
    </row>
    <row r="381" spans="1:9">
      <c r="A381" s="617">
        <f t="shared" si="5"/>
        <v>377</v>
      </c>
      <c r="B381" s="618" t="s">
        <v>1667</v>
      </c>
      <c r="C381" s="618" t="str">
        <f>"1260"</f>
        <v>1260</v>
      </c>
      <c r="D381" s="618" t="s">
        <v>18</v>
      </c>
      <c r="E381" s="618">
        <v>399</v>
      </c>
      <c r="F381" s="619">
        <v>38138</v>
      </c>
      <c r="G381" s="619">
        <v>39598</v>
      </c>
      <c r="H381" s="618" t="s">
        <v>23</v>
      </c>
      <c r="I381" s="618" t="s">
        <v>385</v>
      </c>
    </row>
    <row r="382" spans="1:9">
      <c r="A382" s="620">
        <f t="shared" si="5"/>
        <v>378</v>
      </c>
      <c r="B382" s="621" t="s">
        <v>1668</v>
      </c>
      <c r="C382" s="621" t="str">
        <f>"1263"</f>
        <v>1263</v>
      </c>
      <c r="D382" s="621" t="s">
        <v>18</v>
      </c>
      <c r="E382" s="621">
        <v>224</v>
      </c>
      <c r="F382" s="622">
        <v>38132</v>
      </c>
      <c r="G382" s="622">
        <v>39592</v>
      </c>
      <c r="H382" s="621" t="s">
        <v>47</v>
      </c>
      <c r="I382" s="621" t="s">
        <v>385</v>
      </c>
    </row>
    <row r="383" spans="1:9">
      <c r="A383" s="617">
        <f t="shared" si="5"/>
        <v>379</v>
      </c>
      <c r="B383" s="618" t="s">
        <v>1669</v>
      </c>
      <c r="C383" s="618" t="str">
        <f>"1274"</f>
        <v>1274</v>
      </c>
      <c r="D383" s="618" t="s">
        <v>27</v>
      </c>
      <c r="E383" s="618">
        <v>25</v>
      </c>
      <c r="F383" s="619">
        <v>42073</v>
      </c>
      <c r="G383" s="619">
        <v>44945</v>
      </c>
      <c r="H383" s="618" t="s">
        <v>23</v>
      </c>
      <c r="I383" s="618" t="s">
        <v>6863</v>
      </c>
    </row>
    <row r="384" spans="1:9">
      <c r="A384" s="620">
        <f t="shared" si="5"/>
        <v>380</v>
      </c>
      <c r="B384" s="621" t="s">
        <v>84</v>
      </c>
      <c r="C384" s="621" t="str">
        <f>"1283"</f>
        <v>1283</v>
      </c>
      <c r="D384" s="621" t="s">
        <v>13</v>
      </c>
      <c r="E384" s="621">
        <v>19</v>
      </c>
      <c r="F384" s="622">
        <v>43080</v>
      </c>
      <c r="G384" s="622">
        <v>54036</v>
      </c>
      <c r="H384" s="621" t="s">
        <v>16</v>
      </c>
      <c r="I384" s="621" t="s">
        <v>51</v>
      </c>
    </row>
    <row r="385" spans="1:9">
      <c r="A385" s="617">
        <f t="shared" si="5"/>
        <v>381</v>
      </c>
      <c r="B385" s="618" t="s">
        <v>88</v>
      </c>
      <c r="C385" s="618" t="str">
        <f>"1285"</f>
        <v>1285</v>
      </c>
      <c r="D385" s="618" t="s">
        <v>27</v>
      </c>
      <c r="E385" s="618">
        <v>23</v>
      </c>
      <c r="F385" s="619">
        <v>43088</v>
      </c>
      <c r="G385" s="619">
        <v>44913</v>
      </c>
      <c r="H385" s="618" t="s">
        <v>16</v>
      </c>
      <c r="I385" s="618" t="s">
        <v>6864</v>
      </c>
    </row>
    <row r="386" spans="1:9">
      <c r="A386" s="620">
        <f t="shared" si="5"/>
        <v>382</v>
      </c>
      <c r="B386" s="621" t="s">
        <v>39</v>
      </c>
      <c r="C386" s="621" t="str">
        <f>"1297"</f>
        <v>1297</v>
      </c>
      <c r="D386" s="621" t="s">
        <v>13</v>
      </c>
      <c r="E386" s="621">
        <v>64</v>
      </c>
      <c r="F386" s="622">
        <v>44813</v>
      </c>
      <c r="G386" s="622">
        <v>53943</v>
      </c>
      <c r="H386" s="621" t="s">
        <v>20</v>
      </c>
      <c r="I386" s="621" t="s">
        <v>51</v>
      </c>
    </row>
    <row r="387" spans="1:9">
      <c r="A387" s="617">
        <f t="shared" si="5"/>
        <v>383</v>
      </c>
      <c r="B387" s="618" t="s">
        <v>39</v>
      </c>
      <c r="C387" s="618" t="str">
        <f>"1298"</f>
        <v>1298</v>
      </c>
      <c r="D387" s="618" t="s">
        <v>18</v>
      </c>
      <c r="E387" s="618">
        <v>38</v>
      </c>
      <c r="F387" s="619">
        <v>41612</v>
      </c>
      <c r="G387" s="619">
        <v>44552</v>
      </c>
      <c r="H387" s="618" t="s">
        <v>20</v>
      </c>
      <c r="I387" s="618" t="s">
        <v>400</v>
      </c>
    </row>
    <row r="388" spans="1:9">
      <c r="A388" s="620">
        <f t="shared" si="5"/>
        <v>384</v>
      </c>
      <c r="B388" s="621" t="s">
        <v>39</v>
      </c>
      <c r="C388" s="621" t="str">
        <f>"1299"</f>
        <v>1299</v>
      </c>
      <c r="D388" s="621" t="s">
        <v>18</v>
      </c>
      <c r="E388" s="621">
        <v>62</v>
      </c>
      <c r="F388" s="622">
        <v>41612</v>
      </c>
      <c r="G388" s="622">
        <v>44552</v>
      </c>
      <c r="H388" s="621" t="s">
        <v>20</v>
      </c>
      <c r="I388" s="621" t="s">
        <v>6858</v>
      </c>
    </row>
    <row r="389" spans="1:9">
      <c r="A389" s="617">
        <f t="shared" si="5"/>
        <v>385</v>
      </c>
      <c r="B389" s="618" t="s">
        <v>39</v>
      </c>
      <c r="C389" s="618" t="str">
        <f>"1300"</f>
        <v>1300</v>
      </c>
      <c r="D389" s="618" t="s">
        <v>18</v>
      </c>
      <c r="E389" s="618">
        <v>26</v>
      </c>
      <c r="F389" s="619">
        <v>41612</v>
      </c>
      <c r="G389" s="619">
        <v>44552</v>
      </c>
      <c r="H389" s="618" t="s">
        <v>20</v>
      </c>
      <c r="I389" s="618" t="s">
        <v>6858</v>
      </c>
    </row>
    <row r="390" spans="1:9">
      <c r="A390" s="620">
        <f t="shared" si="5"/>
        <v>386</v>
      </c>
      <c r="B390" s="621" t="s">
        <v>39</v>
      </c>
      <c r="C390" s="621" t="str">
        <f>"1301"</f>
        <v>1301</v>
      </c>
      <c r="D390" s="621" t="s">
        <v>18</v>
      </c>
      <c r="E390" s="621">
        <v>37</v>
      </c>
      <c r="F390" s="622">
        <v>41612</v>
      </c>
      <c r="G390" s="622">
        <v>44552</v>
      </c>
      <c r="H390" s="621" t="s">
        <v>20</v>
      </c>
      <c r="I390" s="621" t="s">
        <v>400</v>
      </c>
    </row>
    <row r="391" spans="1:9">
      <c r="A391" s="617">
        <f t="shared" ref="A391:A454" si="6">+A390+1</f>
        <v>387</v>
      </c>
      <c r="B391" s="618" t="s">
        <v>39</v>
      </c>
      <c r="C391" s="618" t="str">
        <f>"1302"</f>
        <v>1302</v>
      </c>
      <c r="D391" s="618" t="s">
        <v>18</v>
      </c>
      <c r="E391" s="618">
        <v>106</v>
      </c>
      <c r="F391" s="619">
        <v>41612</v>
      </c>
      <c r="G391" s="619">
        <v>44552</v>
      </c>
      <c r="H391" s="618" t="s">
        <v>20</v>
      </c>
      <c r="I391" s="618" t="s">
        <v>400</v>
      </c>
    </row>
    <row r="392" spans="1:9">
      <c r="A392" s="620">
        <f t="shared" si="6"/>
        <v>388</v>
      </c>
      <c r="B392" s="621" t="s">
        <v>1662</v>
      </c>
      <c r="C392" s="621" t="str">
        <f>"1303"</f>
        <v>1303</v>
      </c>
      <c r="D392" s="621" t="s">
        <v>18</v>
      </c>
      <c r="E392" s="621">
        <v>235</v>
      </c>
      <c r="F392" s="622">
        <v>37959</v>
      </c>
      <c r="G392" s="622">
        <v>45063</v>
      </c>
      <c r="H392" s="621" t="s">
        <v>20</v>
      </c>
      <c r="I392" s="621" t="s">
        <v>6863</v>
      </c>
    </row>
    <row r="393" spans="1:9">
      <c r="A393" s="617">
        <f t="shared" si="6"/>
        <v>389</v>
      </c>
      <c r="B393" s="618" t="s">
        <v>1662</v>
      </c>
      <c r="C393" s="618" t="str">
        <f>"1304"</f>
        <v>1304</v>
      </c>
      <c r="D393" s="618" t="s">
        <v>18</v>
      </c>
      <c r="E393" s="618">
        <v>120</v>
      </c>
      <c r="F393" s="619">
        <v>37959</v>
      </c>
      <c r="G393" s="619">
        <v>45063</v>
      </c>
      <c r="H393" s="618" t="s">
        <v>20</v>
      </c>
      <c r="I393" s="618" t="s">
        <v>6863</v>
      </c>
    </row>
    <row r="394" spans="1:9">
      <c r="A394" s="620">
        <f t="shared" si="6"/>
        <v>390</v>
      </c>
      <c r="B394" s="621" t="s">
        <v>1662</v>
      </c>
      <c r="C394" s="621" t="str">
        <f>"1305"</f>
        <v>1305</v>
      </c>
      <c r="D394" s="621" t="s">
        <v>18</v>
      </c>
      <c r="E394" s="621">
        <v>26</v>
      </c>
      <c r="F394" s="622">
        <v>37959</v>
      </c>
      <c r="G394" s="622">
        <v>45063</v>
      </c>
      <c r="H394" s="621" t="s">
        <v>20</v>
      </c>
      <c r="I394" s="621" t="s">
        <v>6863</v>
      </c>
    </row>
    <row r="395" spans="1:9">
      <c r="A395" s="617">
        <f t="shared" si="6"/>
        <v>391</v>
      </c>
      <c r="B395" s="618" t="s">
        <v>1662</v>
      </c>
      <c r="C395" s="618" t="str">
        <f>"1306"</f>
        <v>1306</v>
      </c>
      <c r="D395" s="618" t="s">
        <v>18</v>
      </c>
      <c r="E395" s="618">
        <v>45</v>
      </c>
      <c r="F395" s="619">
        <v>37959</v>
      </c>
      <c r="G395" s="619">
        <v>45063</v>
      </c>
      <c r="H395" s="618" t="s">
        <v>20</v>
      </c>
      <c r="I395" s="618" t="s">
        <v>6863</v>
      </c>
    </row>
    <row r="396" spans="1:9">
      <c r="A396" s="620">
        <f t="shared" si="6"/>
        <v>392</v>
      </c>
      <c r="B396" s="621" t="s">
        <v>1662</v>
      </c>
      <c r="C396" s="621" t="str">
        <f>"1307"</f>
        <v>1307</v>
      </c>
      <c r="D396" s="621" t="s">
        <v>18</v>
      </c>
      <c r="E396" s="621">
        <v>354</v>
      </c>
      <c r="F396" s="622">
        <v>37959</v>
      </c>
      <c r="G396" s="622">
        <v>45063</v>
      </c>
      <c r="H396" s="621" t="s">
        <v>20</v>
      </c>
      <c r="I396" s="621" t="s">
        <v>6863</v>
      </c>
    </row>
    <row r="397" spans="1:9">
      <c r="A397" s="617">
        <f t="shared" si="6"/>
        <v>393</v>
      </c>
      <c r="B397" s="618" t="s">
        <v>1662</v>
      </c>
      <c r="C397" s="618" t="str">
        <f>"1308"</f>
        <v>1308</v>
      </c>
      <c r="D397" s="618" t="s">
        <v>18</v>
      </c>
      <c r="E397" s="618">
        <v>96</v>
      </c>
      <c r="F397" s="619">
        <v>37959</v>
      </c>
      <c r="G397" s="619">
        <v>45063</v>
      </c>
      <c r="H397" s="618" t="s">
        <v>20</v>
      </c>
      <c r="I397" s="618" t="s">
        <v>6863</v>
      </c>
    </row>
    <row r="398" spans="1:9">
      <c r="A398" s="620">
        <f t="shared" si="6"/>
        <v>394</v>
      </c>
      <c r="B398" s="621" t="s">
        <v>1662</v>
      </c>
      <c r="C398" s="621" t="str">
        <f>"1309"</f>
        <v>1309</v>
      </c>
      <c r="D398" s="621" t="s">
        <v>18</v>
      </c>
      <c r="E398" s="621">
        <v>137</v>
      </c>
      <c r="F398" s="622">
        <v>37959</v>
      </c>
      <c r="G398" s="622">
        <v>45063</v>
      </c>
      <c r="H398" s="621" t="s">
        <v>20</v>
      </c>
      <c r="I398" s="621" t="s">
        <v>6863</v>
      </c>
    </row>
    <row r="399" spans="1:9">
      <c r="A399" s="617">
        <f t="shared" si="6"/>
        <v>395</v>
      </c>
      <c r="B399" s="618" t="s">
        <v>1662</v>
      </c>
      <c r="C399" s="618" t="str">
        <f>"1310"</f>
        <v>1310</v>
      </c>
      <c r="D399" s="618" t="s">
        <v>18</v>
      </c>
      <c r="E399" s="618">
        <v>135</v>
      </c>
      <c r="F399" s="619">
        <v>37959</v>
      </c>
      <c r="G399" s="619">
        <v>45063</v>
      </c>
      <c r="H399" s="618" t="s">
        <v>20</v>
      </c>
      <c r="I399" s="618" t="s">
        <v>6863</v>
      </c>
    </row>
    <row r="400" spans="1:9">
      <c r="A400" s="620">
        <f t="shared" si="6"/>
        <v>396</v>
      </c>
      <c r="B400" s="621" t="s">
        <v>1662</v>
      </c>
      <c r="C400" s="621" t="str">
        <f>"1311"</f>
        <v>1311</v>
      </c>
      <c r="D400" s="621" t="s">
        <v>18</v>
      </c>
      <c r="E400" s="621">
        <v>271</v>
      </c>
      <c r="F400" s="622">
        <v>37959</v>
      </c>
      <c r="G400" s="622">
        <v>45063</v>
      </c>
      <c r="H400" s="621" t="s">
        <v>20</v>
      </c>
      <c r="I400" s="621" t="s">
        <v>6863</v>
      </c>
    </row>
    <row r="401" spans="1:9">
      <c r="A401" s="617">
        <f t="shared" si="6"/>
        <v>397</v>
      </c>
      <c r="B401" s="618" t="s">
        <v>1662</v>
      </c>
      <c r="C401" s="618" t="str">
        <f>"1312"</f>
        <v>1312</v>
      </c>
      <c r="D401" s="618" t="s">
        <v>18</v>
      </c>
      <c r="E401" s="618">
        <v>386</v>
      </c>
      <c r="F401" s="619">
        <v>37959</v>
      </c>
      <c r="G401" s="619">
        <v>45063</v>
      </c>
      <c r="H401" s="618" t="s">
        <v>20</v>
      </c>
      <c r="I401" s="618" t="s">
        <v>6863</v>
      </c>
    </row>
    <row r="402" spans="1:9">
      <c r="A402" s="620">
        <f t="shared" si="6"/>
        <v>398</v>
      </c>
      <c r="B402" s="621" t="s">
        <v>1662</v>
      </c>
      <c r="C402" s="621" t="str">
        <f>"1313"</f>
        <v>1313</v>
      </c>
      <c r="D402" s="621" t="s">
        <v>18</v>
      </c>
      <c r="E402" s="621">
        <v>141</v>
      </c>
      <c r="F402" s="622">
        <v>37959</v>
      </c>
      <c r="G402" s="622">
        <v>45063</v>
      </c>
      <c r="H402" s="621" t="s">
        <v>20</v>
      </c>
      <c r="I402" s="621" t="s">
        <v>6863</v>
      </c>
    </row>
    <row r="403" spans="1:9">
      <c r="A403" s="617">
        <f t="shared" si="6"/>
        <v>399</v>
      </c>
      <c r="B403" s="618" t="s">
        <v>1662</v>
      </c>
      <c r="C403" s="618" t="str">
        <f>"1314"</f>
        <v>1314</v>
      </c>
      <c r="D403" s="618" t="s">
        <v>18</v>
      </c>
      <c r="E403" s="618">
        <v>61</v>
      </c>
      <c r="F403" s="619">
        <v>37959</v>
      </c>
      <c r="G403" s="619">
        <v>45063</v>
      </c>
      <c r="H403" s="618" t="s">
        <v>20</v>
      </c>
      <c r="I403" s="618" t="s">
        <v>6863</v>
      </c>
    </row>
    <row r="404" spans="1:9">
      <c r="A404" s="620">
        <f t="shared" si="6"/>
        <v>400</v>
      </c>
      <c r="B404" s="621" t="s">
        <v>6869</v>
      </c>
      <c r="C404" s="621" t="str">
        <f>"1318"</f>
        <v>1318</v>
      </c>
      <c r="D404" s="621" t="s">
        <v>27</v>
      </c>
      <c r="E404" s="621">
        <v>3</v>
      </c>
      <c r="F404" s="622">
        <v>40634</v>
      </c>
      <c r="G404" s="622">
        <v>44286</v>
      </c>
      <c r="H404" s="621" t="s">
        <v>23</v>
      </c>
      <c r="I404" s="621" t="s">
        <v>6867</v>
      </c>
    </row>
    <row r="405" spans="1:9">
      <c r="A405" s="617">
        <f t="shared" si="6"/>
        <v>401</v>
      </c>
      <c r="B405" s="618" t="s">
        <v>401</v>
      </c>
      <c r="C405" s="618" t="str">
        <f>"1374"</f>
        <v>1374</v>
      </c>
      <c r="D405" s="618" t="s">
        <v>18</v>
      </c>
      <c r="E405" s="618">
        <v>360</v>
      </c>
      <c r="F405" s="619">
        <v>40414</v>
      </c>
      <c r="G405" s="619">
        <v>41192</v>
      </c>
      <c r="H405" s="618" t="s">
        <v>19</v>
      </c>
      <c r="I405" s="618" t="s">
        <v>6859</v>
      </c>
    </row>
    <row r="406" spans="1:9">
      <c r="A406" s="620">
        <f t="shared" si="6"/>
        <v>402</v>
      </c>
      <c r="B406" s="621" t="s">
        <v>401</v>
      </c>
      <c r="C406" s="621" t="str">
        <f>"1375"</f>
        <v>1375</v>
      </c>
      <c r="D406" s="621" t="s">
        <v>18</v>
      </c>
      <c r="E406" s="621">
        <v>460</v>
      </c>
      <c r="F406" s="622">
        <v>39745</v>
      </c>
      <c r="G406" s="622">
        <v>41192</v>
      </c>
      <c r="H406" s="621" t="s">
        <v>19</v>
      </c>
      <c r="I406" s="621" t="s">
        <v>6859</v>
      </c>
    </row>
    <row r="407" spans="1:9">
      <c r="A407" s="617">
        <f t="shared" si="6"/>
        <v>403</v>
      </c>
      <c r="B407" s="618" t="s">
        <v>401</v>
      </c>
      <c r="C407" s="618" t="str">
        <f>"1376"</f>
        <v>1376</v>
      </c>
      <c r="D407" s="618" t="s">
        <v>18</v>
      </c>
      <c r="E407" s="618">
        <v>114</v>
      </c>
      <c r="F407" s="619">
        <v>39684</v>
      </c>
      <c r="G407" s="619">
        <v>44479</v>
      </c>
      <c r="H407" s="618" t="s">
        <v>19</v>
      </c>
      <c r="I407" s="618" t="s">
        <v>6859</v>
      </c>
    </row>
    <row r="408" spans="1:9">
      <c r="A408" s="620">
        <f t="shared" si="6"/>
        <v>404</v>
      </c>
      <c r="B408" s="621" t="s">
        <v>401</v>
      </c>
      <c r="C408" s="621" t="str">
        <f>"1377"</f>
        <v>1377</v>
      </c>
      <c r="D408" s="621" t="s">
        <v>18</v>
      </c>
      <c r="E408" s="621">
        <v>274</v>
      </c>
      <c r="F408" s="622">
        <v>39735</v>
      </c>
      <c r="G408" s="622">
        <v>41192</v>
      </c>
      <c r="H408" s="621" t="s">
        <v>19</v>
      </c>
      <c r="I408" s="621" t="s">
        <v>6859</v>
      </c>
    </row>
    <row r="409" spans="1:9">
      <c r="A409" s="617">
        <f t="shared" si="6"/>
        <v>405</v>
      </c>
      <c r="B409" s="618" t="s">
        <v>401</v>
      </c>
      <c r="C409" s="618" t="str">
        <f>"1378"</f>
        <v>1378</v>
      </c>
      <c r="D409" s="618" t="s">
        <v>18</v>
      </c>
      <c r="E409" s="618">
        <v>460</v>
      </c>
      <c r="F409" s="619">
        <v>39684</v>
      </c>
      <c r="G409" s="619">
        <v>41192</v>
      </c>
      <c r="H409" s="618" t="s">
        <v>19</v>
      </c>
      <c r="I409" s="618" t="s">
        <v>6859</v>
      </c>
    </row>
    <row r="410" spans="1:9">
      <c r="A410" s="620">
        <f t="shared" si="6"/>
        <v>406</v>
      </c>
      <c r="B410" s="621" t="s">
        <v>401</v>
      </c>
      <c r="C410" s="621" t="str">
        <f>"1379"</f>
        <v>1379</v>
      </c>
      <c r="D410" s="621" t="s">
        <v>18</v>
      </c>
      <c r="E410" s="621">
        <v>202</v>
      </c>
      <c r="F410" s="622">
        <v>39745</v>
      </c>
      <c r="G410" s="622">
        <v>41192</v>
      </c>
      <c r="H410" s="621" t="s">
        <v>19</v>
      </c>
      <c r="I410" s="621" t="s">
        <v>6859</v>
      </c>
    </row>
    <row r="411" spans="1:9">
      <c r="A411" s="617">
        <f t="shared" si="6"/>
        <v>407</v>
      </c>
      <c r="B411" s="618" t="s">
        <v>401</v>
      </c>
      <c r="C411" s="618" t="str">
        <f>"1380"</f>
        <v>1380</v>
      </c>
      <c r="D411" s="618" t="s">
        <v>18</v>
      </c>
      <c r="E411" s="618">
        <v>160</v>
      </c>
      <c r="F411" s="619">
        <v>39745</v>
      </c>
      <c r="G411" s="619">
        <v>41192</v>
      </c>
      <c r="H411" s="618" t="s">
        <v>19</v>
      </c>
      <c r="I411" s="618" t="s">
        <v>6859</v>
      </c>
    </row>
    <row r="412" spans="1:9">
      <c r="A412" s="620">
        <f t="shared" si="6"/>
        <v>408</v>
      </c>
      <c r="B412" s="621" t="s">
        <v>401</v>
      </c>
      <c r="C412" s="621" t="str">
        <f>"1381"</f>
        <v>1381</v>
      </c>
      <c r="D412" s="621" t="s">
        <v>18</v>
      </c>
      <c r="E412" s="621">
        <v>211</v>
      </c>
      <c r="F412" s="622">
        <v>39745</v>
      </c>
      <c r="G412" s="622">
        <v>41192</v>
      </c>
      <c r="H412" s="621" t="s">
        <v>19</v>
      </c>
      <c r="I412" s="621" t="s">
        <v>6859</v>
      </c>
    </row>
    <row r="413" spans="1:9">
      <c r="A413" s="617">
        <f t="shared" si="6"/>
        <v>409</v>
      </c>
      <c r="B413" s="618" t="s">
        <v>401</v>
      </c>
      <c r="C413" s="618" t="str">
        <f>"1382"</f>
        <v>1382</v>
      </c>
      <c r="D413" s="618" t="s">
        <v>18</v>
      </c>
      <c r="E413" s="618">
        <v>318</v>
      </c>
      <c r="F413" s="619">
        <v>39745</v>
      </c>
      <c r="G413" s="619">
        <v>41192</v>
      </c>
      <c r="H413" s="618" t="s">
        <v>19</v>
      </c>
      <c r="I413" s="618" t="s">
        <v>6859</v>
      </c>
    </row>
    <row r="414" spans="1:9">
      <c r="A414" s="620">
        <f t="shared" si="6"/>
        <v>410</v>
      </c>
      <c r="B414" s="621" t="s">
        <v>401</v>
      </c>
      <c r="C414" s="621" t="str">
        <f>"1383"</f>
        <v>1383</v>
      </c>
      <c r="D414" s="621" t="s">
        <v>18</v>
      </c>
      <c r="E414" s="621">
        <v>460</v>
      </c>
      <c r="F414" s="622">
        <v>39745</v>
      </c>
      <c r="G414" s="622">
        <v>41192</v>
      </c>
      <c r="H414" s="621" t="s">
        <v>19</v>
      </c>
      <c r="I414" s="621" t="s">
        <v>6859</v>
      </c>
    </row>
    <row r="415" spans="1:9">
      <c r="A415" s="617">
        <f t="shared" si="6"/>
        <v>411</v>
      </c>
      <c r="B415" s="618" t="s">
        <v>401</v>
      </c>
      <c r="C415" s="618" t="str">
        <f>"1384"</f>
        <v>1384</v>
      </c>
      <c r="D415" s="618" t="s">
        <v>18</v>
      </c>
      <c r="E415" s="618">
        <v>460</v>
      </c>
      <c r="F415" s="619">
        <v>39745</v>
      </c>
      <c r="G415" s="619">
        <v>41192</v>
      </c>
      <c r="H415" s="618" t="s">
        <v>19</v>
      </c>
      <c r="I415" s="618" t="s">
        <v>6859</v>
      </c>
    </row>
    <row r="416" spans="1:9">
      <c r="A416" s="620">
        <f t="shared" si="6"/>
        <v>412</v>
      </c>
      <c r="B416" s="621" t="s">
        <v>401</v>
      </c>
      <c r="C416" s="621" t="str">
        <f>"1385"</f>
        <v>1385</v>
      </c>
      <c r="D416" s="621" t="s">
        <v>18</v>
      </c>
      <c r="E416" s="621">
        <v>220</v>
      </c>
      <c r="F416" s="622">
        <v>39745</v>
      </c>
      <c r="G416" s="622">
        <v>41192</v>
      </c>
      <c r="H416" s="621" t="s">
        <v>19</v>
      </c>
      <c r="I416" s="621" t="s">
        <v>6859</v>
      </c>
    </row>
    <row r="417" spans="1:9">
      <c r="A417" s="617">
        <f t="shared" si="6"/>
        <v>413</v>
      </c>
      <c r="B417" s="618" t="s">
        <v>401</v>
      </c>
      <c r="C417" s="618" t="str">
        <f>"1386"</f>
        <v>1386</v>
      </c>
      <c r="D417" s="618" t="s">
        <v>18</v>
      </c>
      <c r="E417" s="618">
        <v>460</v>
      </c>
      <c r="F417" s="619">
        <v>39745</v>
      </c>
      <c r="G417" s="619">
        <v>41192</v>
      </c>
      <c r="H417" s="618" t="s">
        <v>19</v>
      </c>
      <c r="I417" s="618" t="s">
        <v>6859</v>
      </c>
    </row>
    <row r="418" spans="1:9">
      <c r="A418" s="620">
        <f t="shared" si="6"/>
        <v>414</v>
      </c>
      <c r="B418" s="621" t="s">
        <v>401</v>
      </c>
      <c r="C418" s="621" t="str">
        <f>"1387"</f>
        <v>1387</v>
      </c>
      <c r="D418" s="621" t="s">
        <v>18</v>
      </c>
      <c r="E418" s="621">
        <v>160</v>
      </c>
      <c r="F418" s="622">
        <v>39745</v>
      </c>
      <c r="G418" s="622">
        <v>41192</v>
      </c>
      <c r="H418" s="621" t="s">
        <v>19</v>
      </c>
      <c r="I418" s="621" t="s">
        <v>6859</v>
      </c>
    </row>
    <row r="419" spans="1:9">
      <c r="A419" s="617">
        <f t="shared" si="6"/>
        <v>415</v>
      </c>
      <c r="B419" s="618" t="s">
        <v>401</v>
      </c>
      <c r="C419" s="618" t="str">
        <f>"1388"</f>
        <v>1388</v>
      </c>
      <c r="D419" s="618" t="s">
        <v>18</v>
      </c>
      <c r="E419" s="618">
        <v>416</v>
      </c>
      <c r="F419" s="619">
        <v>39745</v>
      </c>
      <c r="G419" s="619">
        <v>41192</v>
      </c>
      <c r="H419" s="618" t="s">
        <v>19</v>
      </c>
      <c r="I419" s="618" t="s">
        <v>6859</v>
      </c>
    </row>
    <row r="420" spans="1:9">
      <c r="A420" s="620">
        <f t="shared" si="6"/>
        <v>416</v>
      </c>
      <c r="B420" s="621" t="s">
        <v>401</v>
      </c>
      <c r="C420" s="621" t="str">
        <f>"1389"</f>
        <v>1389</v>
      </c>
      <c r="D420" s="621" t="s">
        <v>18</v>
      </c>
      <c r="E420" s="621">
        <v>230</v>
      </c>
      <c r="F420" s="622">
        <v>39745</v>
      </c>
      <c r="G420" s="622">
        <v>41192</v>
      </c>
      <c r="H420" s="621" t="s">
        <v>19</v>
      </c>
      <c r="I420" s="621" t="s">
        <v>6859</v>
      </c>
    </row>
    <row r="421" spans="1:9">
      <c r="A421" s="617">
        <f t="shared" si="6"/>
        <v>417</v>
      </c>
      <c r="B421" s="618" t="s">
        <v>401</v>
      </c>
      <c r="C421" s="618" t="str">
        <f>"1390"</f>
        <v>1390</v>
      </c>
      <c r="D421" s="618" t="s">
        <v>18</v>
      </c>
      <c r="E421" s="618">
        <v>225</v>
      </c>
      <c r="F421" s="619">
        <v>39745</v>
      </c>
      <c r="G421" s="619">
        <v>41192</v>
      </c>
      <c r="H421" s="618" t="s">
        <v>19</v>
      </c>
      <c r="I421" s="618" t="s">
        <v>6859</v>
      </c>
    </row>
    <row r="422" spans="1:9">
      <c r="A422" s="620">
        <f t="shared" si="6"/>
        <v>418</v>
      </c>
      <c r="B422" s="621" t="s">
        <v>401</v>
      </c>
      <c r="C422" s="621" t="str">
        <f>"1391"</f>
        <v>1391</v>
      </c>
      <c r="D422" s="621" t="s">
        <v>18</v>
      </c>
      <c r="E422" s="621">
        <v>189</v>
      </c>
      <c r="F422" s="622">
        <v>39745</v>
      </c>
      <c r="G422" s="622">
        <v>41192</v>
      </c>
      <c r="H422" s="621" t="s">
        <v>19</v>
      </c>
      <c r="I422" s="621" t="s">
        <v>6859</v>
      </c>
    </row>
    <row r="423" spans="1:9">
      <c r="A423" s="617">
        <f t="shared" si="6"/>
        <v>419</v>
      </c>
      <c r="B423" s="618" t="s">
        <v>401</v>
      </c>
      <c r="C423" s="618" t="str">
        <f>"1392"</f>
        <v>1392</v>
      </c>
      <c r="D423" s="618" t="s">
        <v>18</v>
      </c>
      <c r="E423" s="618">
        <v>139</v>
      </c>
      <c r="F423" s="619">
        <v>39745</v>
      </c>
      <c r="G423" s="619">
        <v>41192</v>
      </c>
      <c r="H423" s="618" t="s">
        <v>19</v>
      </c>
      <c r="I423" s="618" t="s">
        <v>6859</v>
      </c>
    </row>
    <row r="424" spans="1:9">
      <c r="A424" s="620">
        <f t="shared" si="6"/>
        <v>420</v>
      </c>
      <c r="B424" s="621" t="s">
        <v>401</v>
      </c>
      <c r="C424" s="621" t="str">
        <f>"1393"</f>
        <v>1393</v>
      </c>
      <c r="D424" s="621" t="s">
        <v>18</v>
      </c>
      <c r="E424" s="621">
        <v>460</v>
      </c>
      <c r="F424" s="622">
        <v>39745</v>
      </c>
      <c r="G424" s="622">
        <v>41192</v>
      </c>
      <c r="H424" s="621" t="s">
        <v>19</v>
      </c>
      <c r="I424" s="621" t="s">
        <v>6859</v>
      </c>
    </row>
    <row r="425" spans="1:9">
      <c r="A425" s="617">
        <f t="shared" si="6"/>
        <v>421</v>
      </c>
      <c r="B425" s="618" t="s">
        <v>401</v>
      </c>
      <c r="C425" s="618" t="str">
        <f>"1394"</f>
        <v>1394</v>
      </c>
      <c r="D425" s="618" t="s">
        <v>18</v>
      </c>
      <c r="E425" s="618">
        <v>460</v>
      </c>
      <c r="F425" s="619">
        <v>39745</v>
      </c>
      <c r="G425" s="619">
        <v>41192</v>
      </c>
      <c r="H425" s="618" t="s">
        <v>19</v>
      </c>
      <c r="I425" s="618" t="s">
        <v>6859</v>
      </c>
    </row>
    <row r="426" spans="1:9">
      <c r="A426" s="620">
        <f t="shared" si="6"/>
        <v>422</v>
      </c>
      <c r="B426" s="621" t="s">
        <v>401</v>
      </c>
      <c r="C426" s="621" t="str">
        <f>"1395"</f>
        <v>1395</v>
      </c>
      <c r="D426" s="621" t="s">
        <v>18</v>
      </c>
      <c r="E426" s="621">
        <v>227</v>
      </c>
      <c r="F426" s="622">
        <v>39745</v>
      </c>
      <c r="G426" s="622">
        <v>41192</v>
      </c>
      <c r="H426" s="621" t="s">
        <v>19</v>
      </c>
      <c r="I426" s="621" t="s">
        <v>6859</v>
      </c>
    </row>
    <row r="427" spans="1:9">
      <c r="A427" s="617">
        <f t="shared" si="6"/>
        <v>423</v>
      </c>
      <c r="B427" s="618" t="s">
        <v>401</v>
      </c>
      <c r="C427" s="618" t="str">
        <f>"1396"</f>
        <v>1396</v>
      </c>
      <c r="D427" s="618" t="s">
        <v>18</v>
      </c>
      <c r="E427" s="618">
        <v>209</v>
      </c>
      <c r="F427" s="619">
        <v>39745</v>
      </c>
      <c r="G427" s="619">
        <v>41192</v>
      </c>
      <c r="H427" s="618" t="s">
        <v>19</v>
      </c>
      <c r="I427" s="618" t="s">
        <v>6859</v>
      </c>
    </row>
    <row r="428" spans="1:9">
      <c r="A428" s="620">
        <f t="shared" si="6"/>
        <v>424</v>
      </c>
      <c r="B428" s="621" t="s">
        <v>401</v>
      </c>
      <c r="C428" s="621" t="str">
        <f>"1397"</f>
        <v>1397</v>
      </c>
      <c r="D428" s="621" t="s">
        <v>18</v>
      </c>
      <c r="E428" s="621">
        <v>165</v>
      </c>
      <c r="F428" s="622">
        <v>39745</v>
      </c>
      <c r="G428" s="622">
        <v>41192</v>
      </c>
      <c r="H428" s="621" t="s">
        <v>19</v>
      </c>
      <c r="I428" s="621" t="s">
        <v>6859</v>
      </c>
    </row>
    <row r="429" spans="1:9">
      <c r="A429" s="617">
        <f t="shared" si="6"/>
        <v>425</v>
      </c>
      <c r="B429" s="618" t="s">
        <v>401</v>
      </c>
      <c r="C429" s="618" t="str">
        <f>"1398"</f>
        <v>1398</v>
      </c>
      <c r="D429" s="618" t="s">
        <v>18</v>
      </c>
      <c r="E429" s="618">
        <v>331</v>
      </c>
      <c r="F429" s="619">
        <v>39745</v>
      </c>
      <c r="G429" s="619">
        <v>41192</v>
      </c>
      <c r="H429" s="618" t="s">
        <v>19</v>
      </c>
      <c r="I429" s="618" t="s">
        <v>6859</v>
      </c>
    </row>
    <row r="430" spans="1:9">
      <c r="A430" s="620">
        <f t="shared" si="6"/>
        <v>426</v>
      </c>
      <c r="B430" s="621" t="s">
        <v>401</v>
      </c>
      <c r="C430" s="621" t="str">
        <f>"1399"</f>
        <v>1399</v>
      </c>
      <c r="D430" s="621" t="s">
        <v>18</v>
      </c>
      <c r="E430" s="621">
        <v>460</v>
      </c>
      <c r="F430" s="622">
        <v>39745</v>
      </c>
      <c r="G430" s="622">
        <v>41192</v>
      </c>
      <c r="H430" s="621" t="s">
        <v>19</v>
      </c>
      <c r="I430" s="621" t="s">
        <v>6859</v>
      </c>
    </row>
    <row r="431" spans="1:9">
      <c r="A431" s="617">
        <f t="shared" si="6"/>
        <v>427</v>
      </c>
      <c r="B431" s="618" t="s">
        <v>401</v>
      </c>
      <c r="C431" s="618" t="str">
        <f>"1400"</f>
        <v>1400</v>
      </c>
      <c r="D431" s="618" t="s">
        <v>18</v>
      </c>
      <c r="E431" s="618">
        <v>460</v>
      </c>
      <c r="F431" s="619">
        <v>39745</v>
      </c>
      <c r="G431" s="619">
        <v>41192</v>
      </c>
      <c r="H431" s="618" t="s">
        <v>19</v>
      </c>
      <c r="I431" s="618" t="s">
        <v>6859</v>
      </c>
    </row>
    <row r="432" spans="1:9">
      <c r="A432" s="620">
        <f t="shared" si="6"/>
        <v>428</v>
      </c>
      <c r="B432" s="621" t="s">
        <v>401</v>
      </c>
      <c r="C432" s="621" t="str">
        <f>"1401"</f>
        <v>1401</v>
      </c>
      <c r="D432" s="621" t="s">
        <v>18</v>
      </c>
      <c r="E432" s="621">
        <v>460</v>
      </c>
      <c r="F432" s="622">
        <v>39745</v>
      </c>
      <c r="G432" s="622">
        <v>41192</v>
      </c>
      <c r="H432" s="621" t="s">
        <v>19</v>
      </c>
      <c r="I432" s="621" t="s">
        <v>6859</v>
      </c>
    </row>
    <row r="433" spans="1:9">
      <c r="A433" s="617">
        <f t="shared" si="6"/>
        <v>429</v>
      </c>
      <c r="B433" s="618" t="s">
        <v>401</v>
      </c>
      <c r="C433" s="618" t="str">
        <f>"1402"</f>
        <v>1402</v>
      </c>
      <c r="D433" s="618" t="s">
        <v>18</v>
      </c>
      <c r="E433" s="618">
        <v>181</v>
      </c>
      <c r="F433" s="619">
        <v>39745</v>
      </c>
      <c r="G433" s="619">
        <v>41192</v>
      </c>
      <c r="H433" s="618" t="s">
        <v>19</v>
      </c>
      <c r="I433" s="618" t="s">
        <v>6859</v>
      </c>
    </row>
    <row r="434" spans="1:9">
      <c r="A434" s="620">
        <f t="shared" si="6"/>
        <v>430</v>
      </c>
      <c r="B434" s="621" t="s">
        <v>401</v>
      </c>
      <c r="C434" s="621" t="str">
        <f>"1403"</f>
        <v>1403</v>
      </c>
      <c r="D434" s="621" t="s">
        <v>18</v>
      </c>
      <c r="E434" s="621">
        <v>460</v>
      </c>
      <c r="F434" s="622">
        <v>39745</v>
      </c>
      <c r="G434" s="622">
        <v>41192</v>
      </c>
      <c r="H434" s="621" t="s">
        <v>19</v>
      </c>
      <c r="I434" s="621" t="s">
        <v>6859</v>
      </c>
    </row>
    <row r="435" spans="1:9">
      <c r="A435" s="617">
        <f t="shared" si="6"/>
        <v>431</v>
      </c>
      <c r="B435" s="618" t="s">
        <v>401</v>
      </c>
      <c r="C435" s="618" t="str">
        <f>"1404"</f>
        <v>1404</v>
      </c>
      <c r="D435" s="618" t="s">
        <v>18</v>
      </c>
      <c r="E435" s="618">
        <v>460</v>
      </c>
      <c r="F435" s="619">
        <v>39745</v>
      </c>
      <c r="G435" s="619">
        <v>41192</v>
      </c>
      <c r="H435" s="618" t="s">
        <v>19</v>
      </c>
      <c r="I435" s="618" t="s">
        <v>6859</v>
      </c>
    </row>
    <row r="436" spans="1:9">
      <c r="A436" s="620">
        <f t="shared" si="6"/>
        <v>432</v>
      </c>
      <c r="B436" s="621" t="s">
        <v>401</v>
      </c>
      <c r="C436" s="621" t="str">
        <f>"1405"</f>
        <v>1405</v>
      </c>
      <c r="D436" s="621" t="s">
        <v>18</v>
      </c>
      <c r="E436" s="621">
        <v>385</v>
      </c>
      <c r="F436" s="622">
        <v>39745</v>
      </c>
      <c r="G436" s="622">
        <v>41192</v>
      </c>
      <c r="H436" s="621" t="s">
        <v>19</v>
      </c>
      <c r="I436" s="621" t="s">
        <v>6859</v>
      </c>
    </row>
    <row r="437" spans="1:9">
      <c r="A437" s="617">
        <f t="shared" si="6"/>
        <v>433</v>
      </c>
      <c r="B437" s="618" t="s">
        <v>401</v>
      </c>
      <c r="C437" s="618" t="str">
        <f>"1406"</f>
        <v>1406</v>
      </c>
      <c r="D437" s="618" t="s">
        <v>18</v>
      </c>
      <c r="E437" s="618">
        <v>122</v>
      </c>
      <c r="F437" s="619">
        <v>39745</v>
      </c>
      <c r="G437" s="619">
        <v>41192</v>
      </c>
      <c r="H437" s="618" t="s">
        <v>19</v>
      </c>
      <c r="I437" s="618" t="s">
        <v>6859</v>
      </c>
    </row>
    <row r="438" spans="1:9">
      <c r="A438" s="620">
        <f t="shared" si="6"/>
        <v>434</v>
      </c>
      <c r="B438" s="621" t="s">
        <v>1663</v>
      </c>
      <c r="C438" s="621" t="str">
        <f>"1409"</f>
        <v>1409</v>
      </c>
      <c r="D438" s="621" t="s">
        <v>18</v>
      </c>
      <c r="E438" s="621">
        <v>192</v>
      </c>
      <c r="F438" s="622">
        <v>39380</v>
      </c>
      <c r="G438" s="622">
        <v>42301</v>
      </c>
      <c r="H438" s="621" t="s">
        <v>66</v>
      </c>
      <c r="I438" s="621" t="s">
        <v>6867</v>
      </c>
    </row>
    <row r="439" spans="1:9">
      <c r="A439" s="617">
        <f t="shared" si="6"/>
        <v>435</v>
      </c>
      <c r="B439" s="618" t="s">
        <v>15</v>
      </c>
      <c r="C439" s="618" t="str">
        <f>"1411"</f>
        <v>1411</v>
      </c>
      <c r="D439" s="618" t="s">
        <v>13</v>
      </c>
      <c r="E439" s="618">
        <v>63</v>
      </c>
      <c r="F439" s="619">
        <v>39982</v>
      </c>
      <c r="G439" s="619">
        <v>50938</v>
      </c>
      <c r="H439" s="618" t="s">
        <v>14</v>
      </c>
      <c r="I439" s="618" t="s">
        <v>51</v>
      </c>
    </row>
    <row r="440" spans="1:9">
      <c r="A440" s="620">
        <f t="shared" si="6"/>
        <v>436</v>
      </c>
      <c r="B440" s="621" t="s">
        <v>15</v>
      </c>
      <c r="C440" s="621" t="str">
        <f>"1427"</f>
        <v>1427</v>
      </c>
      <c r="D440" s="621" t="s">
        <v>13</v>
      </c>
      <c r="E440" s="621">
        <v>94</v>
      </c>
      <c r="F440" s="622">
        <v>42949</v>
      </c>
      <c r="G440" s="622">
        <v>53905</v>
      </c>
      <c r="H440" s="621" t="s">
        <v>16</v>
      </c>
      <c r="I440" s="621" t="s">
        <v>6870</v>
      </c>
    </row>
    <row r="441" spans="1:9">
      <c r="A441" s="617">
        <f t="shared" si="6"/>
        <v>437</v>
      </c>
      <c r="B441" s="618" t="s">
        <v>15</v>
      </c>
      <c r="C441" s="618" t="str">
        <f>"1429"</f>
        <v>1429</v>
      </c>
      <c r="D441" s="618" t="s">
        <v>18</v>
      </c>
      <c r="E441" s="618">
        <v>117</v>
      </c>
      <c r="F441" s="619">
        <v>41561</v>
      </c>
      <c r="G441" s="619">
        <v>43386</v>
      </c>
      <c r="H441" s="618" t="s">
        <v>16</v>
      </c>
      <c r="I441" s="618" t="s">
        <v>6871</v>
      </c>
    </row>
    <row r="442" spans="1:9">
      <c r="A442" s="620">
        <f t="shared" si="6"/>
        <v>438</v>
      </c>
      <c r="B442" s="621" t="s">
        <v>15</v>
      </c>
      <c r="C442" s="621" t="str">
        <f>"1430"</f>
        <v>1430</v>
      </c>
      <c r="D442" s="621" t="s">
        <v>13</v>
      </c>
      <c r="E442" s="621">
        <v>17</v>
      </c>
      <c r="F442" s="622">
        <v>40059</v>
      </c>
      <c r="G442" s="622">
        <v>51015</v>
      </c>
      <c r="H442" s="621" t="s">
        <v>16</v>
      </c>
      <c r="I442" s="621" t="s">
        <v>51</v>
      </c>
    </row>
    <row r="443" spans="1:9">
      <c r="A443" s="617">
        <f t="shared" si="6"/>
        <v>439</v>
      </c>
      <c r="B443" s="618" t="s">
        <v>15</v>
      </c>
      <c r="C443" s="618" t="str">
        <f>"1431"</f>
        <v>1431</v>
      </c>
      <c r="D443" s="618" t="s">
        <v>13</v>
      </c>
      <c r="E443" s="618">
        <v>12</v>
      </c>
      <c r="F443" s="619">
        <v>40801</v>
      </c>
      <c r="G443" s="619">
        <v>51758</v>
      </c>
      <c r="H443" s="618" t="s">
        <v>16</v>
      </c>
      <c r="I443" s="618" t="s">
        <v>51</v>
      </c>
    </row>
    <row r="444" spans="1:9">
      <c r="A444" s="620">
        <f t="shared" si="6"/>
        <v>440</v>
      </c>
      <c r="B444" s="621" t="s">
        <v>15</v>
      </c>
      <c r="C444" s="621" t="str">
        <f>"1432"</f>
        <v>1432</v>
      </c>
      <c r="D444" s="621" t="s">
        <v>13</v>
      </c>
      <c r="E444" s="621">
        <v>15</v>
      </c>
      <c r="F444" s="622">
        <v>41999</v>
      </c>
      <c r="G444" s="622">
        <v>52956</v>
      </c>
      <c r="H444" s="621" t="s">
        <v>16</v>
      </c>
      <c r="I444" s="621" t="s">
        <v>51</v>
      </c>
    </row>
    <row r="445" spans="1:9">
      <c r="A445" s="617">
        <f t="shared" si="6"/>
        <v>441</v>
      </c>
      <c r="B445" s="618" t="s">
        <v>15</v>
      </c>
      <c r="C445" s="618" t="str">
        <f>"1434"</f>
        <v>1434</v>
      </c>
      <c r="D445" s="618" t="s">
        <v>13</v>
      </c>
      <c r="E445" s="618">
        <v>5</v>
      </c>
      <c r="F445" s="619">
        <v>40801</v>
      </c>
      <c r="G445" s="619">
        <v>51758</v>
      </c>
      <c r="H445" s="618" t="s">
        <v>16</v>
      </c>
      <c r="I445" s="618" t="s">
        <v>51</v>
      </c>
    </row>
    <row r="446" spans="1:9">
      <c r="A446" s="620">
        <f t="shared" si="6"/>
        <v>442</v>
      </c>
      <c r="B446" s="621" t="s">
        <v>15</v>
      </c>
      <c r="C446" s="621" t="str">
        <f>"1435"</f>
        <v>1435</v>
      </c>
      <c r="D446" s="621" t="s">
        <v>13</v>
      </c>
      <c r="E446" s="621">
        <v>135</v>
      </c>
      <c r="F446" s="622">
        <v>39405</v>
      </c>
      <c r="G446" s="622">
        <v>50362</v>
      </c>
      <c r="H446" s="621" t="s">
        <v>16</v>
      </c>
      <c r="I446" s="621" t="s">
        <v>51</v>
      </c>
    </row>
    <row r="447" spans="1:9">
      <c r="A447" s="617">
        <f t="shared" si="6"/>
        <v>443</v>
      </c>
      <c r="B447" s="618" t="s">
        <v>15</v>
      </c>
      <c r="C447" s="618" t="str">
        <f>"1438"</f>
        <v>1438</v>
      </c>
      <c r="D447" s="618" t="s">
        <v>18</v>
      </c>
      <c r="E447" s="618">
        <v>40</v>
      </c>
      <c r="F447" s="619">
        <v>41570</v>
      </c>
      <c r="G447" s="619">
        <v>43395</v>
      </c>
      <c r="H447" s="618" t="s">
        <v>14</v>
      </c>
      <c r="I447" s="618" t="s">
        <v>6868</v>
      </c>
    </row>
    <row r="448" spans="1:9">
      <c r="A448" s="620">
        <f t="shared" si="6"/>
        <v>444</v>
      </c>
      <c r="B448" s="621" t="s">
        <v>15</v>
      </c>
      <c r="C448" s="621" t="str">
        <f>"1440"</f>
        <v>1440</v>
      </c>
      <c r="D448" s="621" t="s">
        <v>18</v>
      </c>
      <c r="E448" s="621">
        <v>10</v>
      </c>
      <c r="F448" s="622">
        <v>41561</v>
      </c>
      <c r="G448" s="622">
        <v>43386</v>
      </c>
      <c r="H448" s="621" t="s">
        <v>14</v>
      </c>
      <c r="I448" s="621" t="s">
        <v>6868</v>
      </c>
    </row>
    <row r="449" spans="1:9">
      <c r="A449" s="617">
        <f t="shared" si="6"/>
        <v>445</v>
      </c>
      <c r="B449" s="618" t="s">
        <v>15</v>
      </c>
      <c r="C449" s="618" t="str">
        <f>"1444"</f>
        <v>1444</v>
      </c>
      <c r="D449" s="618" t="s">
        <v>18</v>
      </c>
      <c r="E449" s="618">
        <v>32</v>
      </c>
      <c r="F449" s="619">
        <v>41561</v>
      </c>
      <c r="G449" s="619">
        <v>43386</v>
      </c>
      <c r="H449" s="618" t="s">
        <v>14</v>
      </c>
      <c r="I449" s="618" t="s">
        <v>6868</v>
      </c>
    </row>
    <row r="450" spans="1:9">
      <c r="A450" s="620">
        <f t="shared" si="6"/>
        <v>446</v>
      </c>
      <c r="B450" s="621" t="s">
        <v>347</v>
      </c>
      <c r="C450" s="621" t="str">
        <f>"1446"</f>
        <v>1446</v>
      </c>
      <c r="D450" s="621" t="s">
        <v>18</v>
      </c>
      <c r="E450" s="621">
        <v>7</v>
      </c>
      <c r="F450" s="622">
        <v>38106</v>
      </c>
      <c r="G450" s="622">
        <v>39566</v>
      </c>
      <c r="H450" s="621" t="s">
        <v>23</v>
      </c>
      <c r="I450" s="621" t="s">
        <v>6868</v>
      </c>
    </row>
    <row r="451" spans="1:9">
      <c r="A451" s="617">
        <f t="shared" si="6"/>
        <v>447</v>
      </c>
      <c r="B451" s="618" t="s">
        <v>85</v>
      </c>
      <c r="C451" s="618" t="str">
        <f>"1447"</f>
        <v>1447</v>
      </c>
      <c r="D451" s="618" t="s">
        <v>13</v>
      </c>
      <c r="E451" s="618">
        <v>32</v>
      </c>
      <c r="F451" s="619">
        <v>40124</v>
      </c>
      <c r="G451" s="619">
        <v>51080</v>
      </c>
      <c r="H451" s="618" t="s">
        <v>16</v>
      </c>
      <c r="I451" s="618" t="s">
        <v>51</v>
      </c>
    </row>
    <row r="452" spans="1:9">
      <c r="A452" s="620">
        <f t="shared" si="6"/>
        <v>448</v>
      </c>
      <c r="B452" s="621" t="s">
        <v>65</v>
      </c>
      <c r="C452" s="621" t="str">
        <f>"1484"</f>
        <v>1484</v>
      </c>
      <c r="D452" s="621" t="s">
        <v>27</v>
      </c>
      <c r="E452" s="621">
        <v>4</v>
      </c>
      <c r="F452" s="622">
        <v>40256</v>
      </c>
      <c r="G452" s="622">
        <v>44637</v>
      </c>
      <c r="H452" s="621" t="s">
        <v>23</v>
      </c>
      <c r="I452" s="621" t="s">
        <v>6864</v>
      </c>
    </row>
    <row r="453" spans="1:9">
      <c r="A453" s="617">
        <f t="shared" si="6"/>
        <v>449</v>
      </c>
      <c r="B453" s="618" t="s">
        <v>65</v>
      </c>
      <c r="C453" s="618" t="str">
        <f>"1496"</f>
        <v>1496</v>
      </c>
      <c r="D453" s="618" t="s">
        <v>13</v>
      </c>
      <c r="E453" s="618">
        <v>1</v>
      </c>
      <c r="F453" s="619">
        <v>42411</v>
      </c>
      <c r="G453" s="619">
        <v>54097</v>
      </c>
      <c r="H453" s="618" t="s">
        <v>23</v>
      </c>
      <c r="I453" s="618" t="s">
        <v>51</v>
      </c>
    </row>
    <row r="454" spans="1:9">
      <c r="A454" s="620">
        <f t="shared" si="6"/>
        <v>450</v>
      </c>
      <c r="B454" s="621" t="s">
        <v>402</v>
      </c>
      <c r="C454" s="621" t="str">
        <f>"1497"</f>
        <v>1497</v>
      </c>
      <c r="D454" s="621" t="s">
        <v>27</v>
      </c>
      <c r="E454" s="621">
        <v>9</v>
      </c>
      <c r="F454" s="622">
        <v>40086</v>
      </c>
      <c r="G454" s="622">
        <v>41911</v>
      </c>
      <c r="H454" s="621" t="s">
        <v>23</v>
      </c>
      <c r="I454" s="621" t="s">
        <v>385</v>
      </c>
    </row>
    <row r="455" spans="1:9">
      <c r="A455" s="617">
        <f t="shared" ref="A455:A518" si="7">+A454+1</f>
        <v>451</v>
      </c>
      <c r="B455" s="618" t="s">
        <v>65</v>
      </c>
      <c r="C455" s="618" t="str">
        <f>"1499"</f>
        <v>1499</v>
      </c>
      <c r="D455" s="618" t="s">
        <v>27</v>
      </c>
      <c r="E455" s="618">
        <v>1</v>
      </c>
      <c r="F455" s="619">
        <v>40256</v>
      </c>
      <c r="G455" s="619">
        <v>44627</v>
      </c>
      <c r="H455" s="618" t="s">
        <v>23</v>
      </c>
      <c r="I455" s="618" t="s">
        <v>6864</v>
      </c>
    </row>
    <row r="456" spans="1:9">
      <c r="A456" s="620">
        <f t="shared" si="7"/>
        <v>452</v>
      </c>
      <c r="B456" s="621" t="s">
        <v>402</v>
      </c>
      <c r="C456" s="621" t="str">
        <f>"1500"</f>
        <v>1500</v>
      </c>
      <c r="D456" s="621" t="s">
        <v>27</v>
      </c>
      <c r="E456" s="621">
        <v>7</v>
      </c>
      <c r="F456" s="622">
        <v>40256</v>
      </c>
      <c r="G456" s="622">
        <v>43908</v>
      </c>
      <c r="H456" s="621" t="s">
        <v>23</v>
      </c>
      <c r="I456" s="621" t="s">
        <v>385</v>
      </c>
    </row>
    <row r="457" spans="1:9">
      <c r="A457" s="617">
        <f t="shared" si="7"/>
        <v>453</v>
      </c>
      <c r="B457" s="618" t="s">
        <v>15</v>
      </c>
      <c r="C457" s="618" t="str">
        <f>"1524"</f>
        <v>1524</v>
      </c>
      <c r="D457" s="618" t="s">
        <v>13</v>
      </c>
      <c r="E457" s="618">
        <v>38</v>
      </c>
      <c r="F457" s="619">
        <v>41999</v>
      </c>
      <c r="G457" s="619">
        <v>52956</v>
      </c>
      <c r="H457" s="618" t="s">
        <v>16</v>
      </c>
      <c r="I457" s="618" t="s">
        <v>51</v>
      </c>
    </row>
    <row r="458" spans="1:9">
      <c r="A458" s="620">
        <f t="shared" si="7"/>
        <v>454</v>
      </c>
      <c r="B458" s="621" t="s">
        <v>15</v>
      </c>
      <c r="C458" s="621" t="str">
        <f>"1526"</f>
        <v>1526</v>
      </c>
      <c r="D458" s="621" t="s">
        <v>13</v>
      </c>
      <c r="E458" s="621">
        <v>12</v>
      </c>
      <c r="F458" s="622">
        <v>38969</v>
      </c>
      <c r="G458" s="622">
        <v>49926</v>
      </c>
      <c r="H458" s="621" t="s">
        <v>16</v>
      </c>
      <c r="I458" s="621" t="s">
        <v>51</v>
      </c>
    </row>
    <row r="459" spans="1:9">
      <c r="A459" s="617">
        <f t="shared" si="7"/>
        <v>455</v>
      </c>
      <c r="B459" s="618" t="s">
        <v>15</v>
      </c>
      <c r="C459" s="618" t="str">
        <f>"1538"</f>
        <v>1538</v>
      </c>
      <c r="D459" s="618" t="s">
        <v>13</v>
      </c>
      <c r="E459" s="618">
        <v>17</v>
      </c>
      <c r="F459" s="619">
        <v>39839</v>
      </c>
      <c r="G459" s="619">
        <v>50795</v>
      </c>
      <c r="H459" s="618" t="s">
        <v>14</v>
      </c>
      <c r="I459" s="618" t="s">
        <v>51</v>
      </c>
    </row>
    <row r="460" spans="1:9">
      <c r="A460" s="620">
        <f t="shared" si="7"/>
        <v>456</v>
      </c>
      <c r="B460" s="621" t="s">
        <v>1670</v>
      </c>
      <c r="C460" s="621" t="str">
        <f>"1551"</f>
        <v>1551</v>
      </c>
      <c r="D460" s="621" t="s">
        <v>18</v>
      </c>
      <c r="E460" s="621">
        <v>39</v>
      </c>
      <c r="F460" s="622">
        <v>39118</v>
      </c>
      <c r="G460" s="622">
        <v>44231</v>
      </c>
      <c r="H460" s="621" t="s">
        <v>56</v>
      </c>
      <c r="I460" s="621" t="s">
        <v>6863</v>
      </c>
    </row>
    <row r="461" spans="1:9">
      <c r="A461" s="617">
        <f t="shared" si="7"/>
        <v>457</v>
      </c>
      <c r="B461" s="618" t="s">
        <v>1670</v>
      </c>
      <c r="C461" s="618" t="str">
        <f>"1557"</f>
        <v>1557</v>
      </c>
      <c r="D461" s="618" t="s">
        <v>18</v>
      </c>
      <c r="E461" s="618">
        <v>241</v>
      </c>
      <c r="F461" s="619">
        <v>39118</v>
      </c>
      <c r="G461" s="619">
        <v>44231</v>
      </c>
      <c r="H461" s="618" t="s">
        <v>56</v>
      </c>
      <c r="I461" s="618" t="s">
        <v>6863</v>
      </c>
    </row>
    <row r="462" spans="1:9">
      <c r="A462" s="620">
        <f t="shared" si="7"/>
        <v>458</v>
      </c>
      <c r="B462" s="621" t="s">
        <v>1670</v>
      </c>
      <c r="C462" s="621" t="str">
        <f>"1570"</f>
        <v>1570</v>
      </c>
      <c r="D462" s="621" t="s">
        <v>18</v>
      </c>
      <c r="E462" s="621">
        <v>65</v>
      </c>
      <c r="F462" s="622">
        <v>39118</v>
      </c>
      <c r="G462" s="622">
        <v>44231</v>
      </c>
      <c r="H462" s="621" t="s">
        <v>56</v>
      </c>
      <c r="I462" s="621" t="s">
        <v>6863</v>
      </c>
    </row>
    <row r="463" spans="1:9">
      <c r="A463" s="617">
        <f t="shared" si="7"/>
        <v>459</v>
      </c>
      <c r="B463" s="618" t="s">
        <v>1670</v>
      </c>
      <c r="C463" s="618" t="str">
        <f>"1571"</f>
        <v>1571</v>
      </c>
      <c r="D463" s="618" t="s">
        <v>18</v>
      </c>
      <c r="E463" s="618">
        <v>44</v>
      </c>
      <c r="F463" s="619">
        <v>39118</v>
      </c>
      <c r="G463" s="619">
        <v>44231</v>
      </c>
      <c r="H463" s="618" t="s">
        <v>56</v>
      </c>
      <c r="I463" s="618" t="s">
        <v>6863</v>
      </c>
    </row>
    <row r="464" spans="1:9">
      <c r="A464" s="620">
        <f t="shared" si="7"/>
        <v>460</v>
      </c>
      <c r="B464" s="621" t="s">
        <v>1670</v>
      </c>
      <c r="C464" s="621" t="str">
        <f>"1575"</f>
        <v>1575</v>
      </c>
      <c r="D464" s="621" t="s">
        <v>18</v>
      </c>
      <c r="E464" s="621">
        <v>343</v>
      </c>
      <c r="F464" s="622">
        <v>39118</v>
      </c>
      <c r="G464" s="622">
        <v>43866</v>
      </c>
      <c r="H464" s="621" t="s">
        <v>56</v>
      </c>
      <c r="I464" s="621" t="s">
        <v>6863</v>
      </c>
    </row>
    <row r="465" spans="1:9">
      <c r="A465" s="617">
        <f t="shared" si="7"/>
        <v>461</v>
      </c>
      <c r="B465" s="618" t="s">
        <v>1670</v>
      </c>
      <c r="C465" s="618" t="str">
        <f>"1576"</f>
        <v>1576</v>
      </c>
      <c r="D465" s="618" t="s">
        <v>18</v>
      </c>
      <c r="E465" s="618">
        <v>247</v>
      </c>
      <c r="F465" s="619">
        <v>39118</v>
      </c>
      <c r="G465" s="619">
        <v>44231</v>
      </c>
      <c r="H465" s="618" t="s">
        <v>56</v>
      </c>
      <c r="I465" s="618" t="s">
        <v>6863</v>
      </c>
    </row>
    <row r="466" spans="1:9">
      <c r="A466" s="620">
        <f t="shared" si="7"/>
        <v>462</v>
      </c>
      <c r="B466" s="621" t="s">
        <v>12</v>
      </c>
      <c r="C466" s="621" t="str">
        <f>"1684"</f>
        <v>1684</v>
      </c>
      <c r="D466" s="621" t="s">
        <v>13</v>
      </c>
      <c r="E466" s="621">
        <v>162</v>
      </c>
      <c r="F466" s="622">
        <v>43334</v>
      </c>
      <c r="G466" s="622">
        <v>52464</v>
      </c>
      <c r="H466" s="621" t="s">
        <v>14</v>
      </c>
      <c r="I466" s="621" t="s">
        <v>6859</v>
      </c>
    </row>
    <row r="467" spans="1:9">
      <c r="A467" s="617">
        <f t="shared" si="7"/>
        <v>463</v>
      </c>
      <c r="B467" s="618" t="s">
        <v>12</v>
      </c>
      <c r="C467" s="618" t="str">
        <f>"1686"</f>
        <v>1686</v>
      </c>
      <c r="D467" s="618" t="s">
        <v>13</v>
      </c>
      <c r="E467" s="618">
        <v>235</v>
      </c>
      <c r="F467" s="619">
        <v>43334</v>
      </c>
      <c r="G467" s="619">
        <v>52464</v>
      </c>
      <c r="H467" s="618" t="s">
        <v>14</v>
      </c>
      <c r="I467" s="618" t="s">
        <v>6870</v>
      </c>
    </row>
    <row r="468" spans="1:9">
      <c r="A468" s="620">
        <f t="shared" si="7"/>
        <v>464</v>
      </c>
      <c r="B468" s="621" t="s">
        <v>12</v>
      </c>
      <c r="C468" s="621" t="str">
        <f>"1688"</f>
        <v>1688</v>
      </c>
      <c r="D468" s="621" t="s">
        <v>13</v>
      </c>
      <c r="E468" s="621">
        <v>130</v>
      </c>
      <c r="F468" s="622">
        <v>43334</v>
      </c>
      <c r="G468" s="622">
        <v>52464</v>
      </c>
      <c r="H468" s="621" t="s">
        <v>14</v>
      </c>
      <c r="I468" s="621" t="s">
        <v>6870</v>
      </c>
    </row>
    <row r="469" spans="1:9">
      <c r="A469" s="617">
        <f t="shared" si="7"/>
        <v>465</v>
      </c>
      <c r="B469" s="618" t="s">
        <v>12</v>
      </c>
      <c r="C469" s="618" t="str">
        <f>"1689"</f>
        <v>1689</v>
      </c>
      <c r="D469" s="618" t="s">
        <v>13</v>
      </c>
      <c r="E469" s="618">
        <v>471</v>
      </c>
      <c r="F469" s="619">
        <v>43334</v>
      </c>
      <c r="G469" s="619">
        <v>52464</v>
      </c>
      <c r="H469" s="618" t="s">
        <v>14</v>
      </c>
      <c r="I469" s="618" t="s">
        <v>6862</v>
      </c>
    </row>
    <row r="470" spans="1:9">
      <c r="A470" s="620">
        <f t="shared" si="7"/>
        <v>466</v>
      </c>
      <c r="B470" s="621" t="s">
        <v>12</v>
      </c>
      <c r="C470" s="621" t="str">
        <f>"1693"</f>
        <v>1693</v>
      </c>
      <c r="D470" s="621" t="s">
        <v>13</v>
      </c>
      <c r="E470" s="621">
        <v>471</v>
      </c>
      <c r="F470" s="622">
        <v>43334</v>
      </c>
      <c r="G470" s="622">
        <v>52464</v>
      </c>
      <c r="H470" s="621" t="s">
        <v>14</v>
      </c>
      <c r="I470" s="621" t="s">
        <v>6871</v>
      </c>
    </row>
    <row r="471" spans="1:9">
      <c r="A471" s="617">
        <f t="shared" si="7"/>
        <v>467</v>
      </c>
      <c r="B471" s="618" t="s">
        <v>12</v>
      </c>
      <c r="C471" s="618" t="str">
        <f>"1697"</f>
        <v>1697</v>
      </c>
      <c r="D471" s="618" t="s">
        <v>13</v>
      </c>
      <c r="E471" s="618">
        <v>471</v>
      </c>
      <c r="F471" s="619">
        <v>40935</v>
      </c>
      <c r="G471" s="619">
        <v>51892</v>
      </c>
      <c r="H471" s="618" t="s">
        <v>14</v>
      </c>
      <c r="I471" s="618" t="s">
        <v>6862</v>
      </c>
    </row>
    <row r="472" spans="1:9">
      <c r="A472" s="620">
        <f t="shared" si="7"/>
        <v>468</v>
      </c>
      <c r="B472" s="621" t="s">
        <v>1670</v>
      </c>
      <c r="C472" s="621" t="str">
        <f>"1714"</f>
        <v>1714</v>
      </c>
      <c r="D472" s="621" t="s">
        <v>18</v>
      </c>
      <c r="E472" s="621">
        <v>140</v>
      </c>
      <c r="F472" s="622">
        <v>39882</v>
      </c>
      <c r="G472" s="622">
        <v>41635</v>
      </c>
      <c r="H472" s="621" t="s">
        <v>28</v>
      </c>
      <c r="I472" s="621" t="s">
        <v>6863</v>
      </c>
    </row>
    <row r="473" spans="1:9">
      <c r="A473" s="617">
        <f t="shared" si="7"/>
        <v>469</v>
      </c>
      <c r="B473" s="618" t="s">
        <v>1670</v>
      </c>
      <c r="C473" s="618" t="str">
        <f>"1715"</f>
        <v>1715</v>
      </c>
      <c r="D473" s="618" t="s">
        <v>18</v>
      </c>
      <c r="E473" s="618">
        <v>457</v>
      </c>
      <c r="F473" s="619">
        <v>39882</v>
      </c>
      <c r="G473" s="619">
        <v>41635</v>
      </c>
      <c r="H473" s="618" t="s">
        <v>28</v>
      </c>
      <c r="I473" s="618" t="s">
        <v>6863</v>
      </c>
    </row>
    <row r="474" spans="1:9">
      <c r="A474" s="620">
        <f t="shared" si="7"/>
        <v>470</v>
      </c>
      <c r="B474" s="621" t="s">
        <v>1670</v>
      </c>
      <c r="C474" s="621" t="str">
        <f>"1716"</f>
        <v>1716</v>
      </c>
      <c r="D474" s="621" t="s">
        <v>18</v>
      </c>
      <c r="E474" s="621">
        <v>460</v>
      </c>
      <c r="F474" s="622">
        <v>39882</v>
      </c>
      <c r="G474" s="622">
        <v>41635</v>
      </c>
      <c r="H474" s="621" t="s">
        <v>19</v>
      </c>
      <c r="I474" s="621" t="s">
        <v>6863</v>
      </c>
    </row>
    <row r="475" spans="1:9">
      <c r="A475" s="617">
        <f t="shared" si="7"/>
        <v>471</v>
      </c>
      <c r="B475" s="618" t="s">
        <v>1670</v>
      </c>
      <c r="C475" s="618" t="str">
        <f>"1718"</f>
        <v>1718</v>
      </c>
      <c r="D475" s="618" t="s">
        <v>18</v>
      </c>
      <c r="E475" s="618">
        <v>134</v>
      </c>
      <c r="F475" s="619">
        <v>39882</v>
      </c>
      <c r="G475" s="619">
        <v>41635</v>
      </c>
      <c r="H475" s="618" t="s">
        <v>19</v>
      </c>
      <c r="I475" s="618" t="s">
        <v>6863</v>
      </c>
    </row>
    <row r="476" spans="1:9">
      <c r="A476" s="620">
        <f t="shared" si="7"/>
        <v>472</v>
      </c>
      <c r="B476" s="621" t="s">
        <v>1670</v>
      </c>
      <c r="C476" s="621" t="str">
        <f>"1719"</f>
        <v>1719</v>
      </c>
      <c r="D476" s="621" t="s">
        <v>18</v>
      </c>
      <c r="E476" s="621">
        <v>246</v>
      </c>
      <c r="F476" s="622">
        <v>39882</v>
      </c>
      <c r="G476" s="622">
        <v>41635</v>
      </c>
      <c r="H476" s="621" t="s">
        <v>19</v>
      </c>
      <c r="I476" s="621" t="s">
        <v>6863</v>
      </c>
    </row>
    <row r="477" spans="1:9">
      <c r="A477" s="617">
        <f t="shared" si="7"/>
        <v>473</v>
      </c>
      <c r="B477" s="618" t="s">
        <v>1670</v>
      </c>
      <c r="C477" s="618" t="str">
        <f>"1720"</f>
        <v>1720</v>
      </c>
      <c r="D477" s="618" t="s">
        <v>18</v>
      </c>
      <c r="E477" s="618">
        <v>195</v>
      </c>
      <c r="F477" s="619">
        <v>39882</v>
      </c>
      <c r="G477" s="619">
        <v>41635</v>
      </c>
      <c r="H477" s="618" t="s">
        <v>19</v>
      </c>
      <c r="I477" s="618" t="s">
        <v>6863</v>
      </c>
    </row>
    <row r="478" spans="1:9">
      <c r="A478" s="620">
        <f t="shared" si="7"/>
        <v>474</v>
      </c>
      <c r="B478" s="621" t="s">
        <v>1670</v>
      </c>
      <c r="C478" s="621" t="str">
        <f>"1722"</f>
        <v>1722</v>
      </c>
      <c r="D478" s="621" t="s">
        <v>18</v>
      </c>
      <c r="E478" s="621">
        <v>240</v>
      </c>
      <c r="F478" s="622">
        <v>39882</v>
      </c>
      <c r="G478" s="622">
        <v>41635</v>
      </c>
      <c r="H478" s="621" t="s">
        <v>19</v>
      </c>
      <c r="I478" s="621" t="s">
        <v>6863</v>
      </c>
    </row>
    <row r="479" spans="1:9">
      <c r="A479" s="617">
        <f t="shared" si="7"/>
        <v>475</v>
      </c>
      <c r="B479" s="618" t="s">
        <v>1670</v>
      </c>
      <c r="C479" s="618" t="str">
        <f>"1723"</f>
        <v>1723</v>
      </c>
      <c r="D479" s="618" t="s">
        <v>18</v>
      </c>
      <c r="E479" s="618">
        <v>386</v>
      </c>
      <c r="F479" s="619">
        <v>39882</v>
      </c>
      <c r="G479" s="619">
        <v>41635</v>
      </c>
      <c r="H479" s="618" t="s">
        <v>19</v>
      </c>
      <c r="I479" s="618" t="s">
        <v>6863</v>
      </c>
    </row>
    <row r="480" spans="1:9">
      <c r="A480" s="620">
        <f t="shared" si="7"/>
        <v>476</v>
      </c>
      <c r="B480" s="621" t="s">
        <v>1670</v>
      </c>
      <c r="C480" s="621" t="str">
        <f>"1726"</f>
        <v>1726</v>
      </c>
      <c r="D480" s="621" t="s">
        <v>18</v>
      </c>
      <c r="E480" s="621">
        <v>111</v>
      </c>
      <c r="F480" s="622">
        <v>39882</v>
      </c>
      <c r="G480" s="622">
        <v>41635</v>
      </c>
      <c r="H480" s="621" t="s">
        <v>19</v>
      </c>
      <c r="I480" s="621" t="s">
        <v>6863</v>
      </c>
    </row>
    <row r="481" spans="1:9">
      <c r="A481" s="617">
        <f t="shared" si="7"/>
        <v>477</v>
      </c>
      <c r="B481" s="618" t="s">
        <v>1670</v>
      </c>
      <c r="C481" s="618" t="str">
        <f>"1727"</f>
        <v>1727</v>
      </c>
      <c r="D481" s="618" t="s">
        <v>18</v>
      </c>
      <c r="E481" s="618">
        <v>325</v>
      </c>
      <c r="F481" s="619">
        <v>39882</v>
      </c>
      <c r="G481" s="619">
        <v>41635</v>
      </c>
      <c r="H481" s="618" t="s">
        <v>19</v>
      </c>
      <c r="I481" s="618" t="s">
        <v>6863</v>
      </c>
    </row>
    <row r="482" spans="1:9">
      <c r="A482" s="620">
        <f t="shared" si="7"/>
        <v>478</v>
      </c>
      <c r="B482" s="621" t="s">
        <v>1671</v>
      </c>
      <c r="C482" s="621" t="str">
        <f>"1731"</f>
        <v>1731</v>
      </c>
      <c r="D482" s="621" t="s">
        <v>13</v>
      </c>
      <c r="E482" s="621">
        <v>180</v>
      </c>
      <c r="F482" s="622">
        <v>41824</v>
      </c>
      <c r="G482" s="622">
        <v>52781</v>
      </c>
      <c r="H482" s="621" t="s">
        <v>14</v>
      </c>
      <c r="I482" s="621" t="s">
        <v>385</v>
      </c>
    </row>
    <row r="483" spans="1:9">
      <c r="A483" s="617">
        <f t="shared" si="7"/>
        <v>479</v>
      </c>
      <c r="B483" s="618" t="s">
        <v>15</v>
      </c>
      <c r="C483" s="618" t="str">
        <f>"1734"</f>
        <v>1734</v>
      </c>
      <c r="D483" s="618" t="s">
        <v>18</v>
      </c>
      <c r="E483" s="618">
        <v>64</v>
      </c>
      <c r="F483" s="619">
        <v>41742</v>
      </c>
      <c r="G483" s="619">
        <v>43567</v>
      </c>
      <c r="H483" s="618" t="s">
        <v>14</v>
      </c>
      <c r="I483" s="618" t="s">
        <v>6868</v>
      </c>
    </row>
    <row r="484" spans="1:9">
      <c r="A484" s="620">
        <f t="shared" si="7"/>
        <v>480</v>
      </c>
      <c r="B484" s="621" t="s">
        <v>36</v>
      </c>
      <c r="C484" s="621" t="str">
        <f>"1776"</f>
        <v>1776</v>
      </c>
      <c r="D484" s="621" t="s">
        <v>13</v>
      </c>
      <c r="E484" s="621">
        <v>75</v>
      </c>
      <c r="F484" s="622">
        <v>42032</v>
      </c>
      <c r="G484" s="622">
        <v>52989</v>
      </c>
      <c r="H484" s="621" t="s">
        <v>45</v>
      </c>
      <c r="I484" s="621" t="s">
        <v>51</v>
      </c>
    </row>
    <row r="485" spans="1:9">
      <c r="A485" s="617">
        <f t="shared" si="7"/>
        <v>481</v>
      </c>
      <c r="B485" s="618" t="s">
        <v>84</v>
      </c>
      <c r="C485" s="618" t="str">
        <f>"1782"</f>
        <v>1782</v>
      </c>
      <c r="D485" s="618" t="s">
        <v>27</v>
      </c>
      <c r="E485" s="618">
        <v>10</v>
      </c>
      <c r="F485" s="619">
        <v>43080</v>
      </c>
      <c r="G485" s="619">
        <v>44905</v>
      </c>
      <c r="H485" s="618" t="s">
        <v>14</v>
      </c>
      <c r="I485" s="618" t="s">
        <v>6864</v>
      </c>
    </row>
    <row r="486" spans="1:9">
      <c r="A486" s="620">
        <f t="shared" si="7"/>
        <v>482</v>
      </c>
      <c r="B486" s="621" t="s">
        <v>86</v>
      </c>
      <c r="C486" s="621" t="str">
        <f>"1785"</f>
        <v>1785</v>
      </c>
      <c r="D486" s="621" t="s">
        <v>13</v>
      </c>
      <c r="E486" s="621">
        <v>27</v>
      </c>
      <c r="F486" s="622">
        <v>41733</v>
      </c>
      <c r="G486" s="622">
        <v>52690</v>
      </c>
      <c r="H486" s="621" t="s">
        <v>14</v>
      </c>
      <c r="I486" s="621" t="s">
        <v>51</v>
      </c>
    </row>
    <row r="487" spans="1:9">
      <c r="A487" s="617">
        <f t="shared" si="7"/>
        <v>483</v>
      </c>
      <c r="B487" s="618" t="s">
        <v>86</v>
      </c>
      <c r="C487" s="618" t="str">
        <f>"1787"</f>
        <v>1787</v>
      </c>
      <c r="D487" s="618" t="s">
        <v>27</v>
      </c>
      <c r="E487" s="618">
        <v>25</v>
      </c>
      <c r="F487" s="619">
        <v>40624</v>
      </c>
      <c r="G487" s="619">
        <v>43794</v>
      </c>
      <c r="H487" s="618" t="s">
        <v>16</v>
      </c>
      <c r="I487" s="618" t="s">
        <v>6864</v>
      </c>
    </row>
    <row r="488" spans="1:9">
      <c r="A488" s="620">
        <f t="shared" si="7"/>
        <v>484</v>
      </c>
      <c r="B488" s="621" t="s">
        <v>86</v>
      </c>
      <c r="C488" s="621" t="str">
        <f>"1791"</f>
        <v>1791</v>
      </c>
      <c r="D488" s="621" t="s">
        <v>27</v>
      </c>
      <c r="E488" s="621">
        <v>22</v>
      </c>
      <c r="F488" s="622">
        <v>42796</v>
      </c>
      <c r="G488" s="622">
        <v>44621</v>
      </c>
      <c r="H488" s="621" t="s">
        <v>14</v>
      </c>
      <c r="I488" s="621" t="s">
        <v>6864</v>
      </c>
    </row>
    <row r="489" spans="1:9">
      <c r="A489" s="617">
        <f t="shared" si="7"/>
        <v>485</v>
      </c>
      <c r="B489" s="618" t="s">
        <v>401</v>
      </c>
      <c r="C489" s="618" t="str">
        <f>"1794"</f>
        <v>1794</v>
      </c>
      <c r="D489" s="618" t="s">
        <v>18</v>
      </c>
      <c r="E489" s="618">
        <v>116</v>
      </c>
      <c r="F489" s="619">
        <v>42776</v>
      </c>
      <c r="G489" s="619">
        <v>44601</v>
      </c>
      <c r="H489" s="618" t="s">
        <v>21</v>
      </c>
      <c r="I489" s="618" t="s">
        <v>6859</v>
      </c>
    </row>
    <row r="490" spans="1:9">
      <c r="A490" s="620">
        <f t="shared" si="7"/>
        <v>486</v>
      </c>
      <c r="B490" s="621" t="s">
        <v>401</v>
      </c>
      <c r="C490" s="621" t="str">
        <f>"1796"</f>
        <v>1796</v>
      </c>
      <c r="D490" s="621" t="s">
        <v>18</v>
      </c>
      <c r="E490" s="621">
        <v>89</v>
      </c>
      <c r="F490" s="622">
        <v>42776</v>
      </c>
      <c r="G490" s="622">
        <v>44601</v>
      </c>
      <c r="H490" s="621" t="s">
        <v>29</v>
      </c>
      <c r="I490" s="621" t="s">
        <v>6868</v>
      </c>
    </row>
    <row r="491" spans="1:9">
      <c r="A491" s="617">
        <f t="shared" si="7"/>
        <v>487</v>
      </c>
      <c r="B491" s="618" t="s">
        <v>401</v>
      </c>
      <c r="C491" s="618" t="str">
        <f>"1798"</f>
        <v>1798</v>
      </c>
      <c r="D491" s="618" t="s">
        <v>18</v>
      </c>
      <c r="E491" s="618">
        <v>105</v>
      </c>
      <c r="F491" s="619">
        <v>42776</v>
      </c>
      <c r="G491" s="619">
        <v>44601</v>
      </c>
      <c r="H491" s="618" t="s">
        <v>29</v>
      </c>
      <c r="I491" s="618" t="s">
        <v>6859</v>
      </c>
    </row>
    <row r="492" spans="1:9">
      <c r="A492" s="620">
        <f t="shared" si="7"/>
        <v>488</v>
      </c>
      <c r="B492" s="621" t="s">
        <v>401</v>
      </c>
      <c r="C492" s="621" t="str">
        <f>"1800"</f>
        <v>1800</v>
      </c>
      <c r="D492" s="621" t="s">
        <v>18</v>
      </c>
      <c r="E492" s="621">
        <v>97</v>
      </c>
      <c r="F492" s="622">
        <v>42776</v>
      </c>
      <c r="G492" s="622">
        <v>44601</v>
      </c>
      <c r="H492" s="621" t="s">
        <v>29</v>
      </c>
      <c r="I492" s="621" t="s">
        <v>6859</v>
      </c>
    </row>
    <row r="493" spans="1:9">
      <c r="A493" s="617">
        <f t="shared" si="7"/>
        <v>489</v>
      </c>
      <c r="B493" s="618" t="s">
        <v>401</v>
      </c>
      <c r="C493" s="618" t="str">
        <f>"1804"</f>
        <v>1804</v>
      </c>
      <c r="D493" s="618" t="s">
        <v>18</v>
      </c>
      <c r="E493" s="618">
        <v>72</v>
      </c>
      <c r="F493" s="619">
        <v>42776</v>
      </c>
      <c r="G493" s="619">
        <v>44601</v>
      </c>
      <c r="H493" s="618" t="s">
        <v>29</v>
      </c>
      <c r="I493" s="618" t="s">
        <v>6859</v>
      </c>
    </row>
    <row r="494" spans="1:9">
      <c r="A494" s="620">
        <f t="shared" si="7"/>
        <v>490</v>
      </c>
      <c r="B494" s="621" t="s">
        <v>15</v>
      </c>
      <c r="C494" s="621" t="str">
        <f>"1818"</f>
        <v>1818</v>
      </c>
      <c r="D494" s="621" t="s">
        <v>18</v>
      </c>
      <c r="E494" s="621">
        <v>112</v>
      </c>
      <c r="F494" s="622">
        <v>41904</v>
      </c>
      <c r="G494" s="622">
        <v>43729</v>
      </c>
      <c r="H494" s="621" t="s">
        <v>14</v>
      </c>
      <c r="I494" s="621" t="s">
        <v>6868</v>
      </c>
    </row>
    <row r="495" spans="1:9">
      <c r="A495" s="617">
        <f t="shared" si="7"/>
        <v>491</v>
      </c>
      <c r="B495" s="618" t="s">
        <v>15</v>
      </c>
      <c r="C495" s="618" t="str">
        <f>"1820"</f>
        <v>1820</v>
      </c>
      <c r="D495" s="618" t="s">
        <v>18</v>
      </c>
      <c r="E495" s="618">
        <v>12</v>
      </c>
      <c r="F495" s="619">
        <v>41904</v>
      </c>
      <c r="G495" s="619">
        <v>43729</v>
      </c>
      <c r="H495" s="618" t="s">
        <v>14</v>
      </c>
      <c r="I495" s="618" t="s">
        <v>6868</v>
      </c>
    </row>
    <row r="496" spans="1:9">
      <c r="A496" s="620">
        <f t="shared" si="7"/>
        <v>492</v>
      </c>
      <c r="B496" s="621" t="s">
        <v>84</v>
      </c>
      <c r="C496" s="621" t="str">
        <f>"1876"</f>
        <v>1876</v>
      </c>
      <c r="D496" s="621" t="s">
        <v>27</v>
      </c>
      <c r="E496" s="621">
        <v>126</v>
      </c>
      <c r="F496" s="622">
        <v>43080</v>
      </c>
      <c r="G496" s="622">
        <v>44905</v>
      </c>
      <c r="H496" s="621" t="s">
        <v>43</v>
      </c>
      <c r="I496" s="621" t="s">
        <v>6864</v>
      </c>
    </row>
    <row r="497" spans="1:9">
      <c r="A497" s="617">
        <f t="shared" si="7"/>
        <v>493</v>
      </c>
      <c r="B497" s="618" t="s">
        <v>87</v>
      </c>
      <c r="C497" s="618" t="str">
        <f>"1884"</f>
        <v>1884</v>
      </c>
      <c r="D497" s="618" t="s">
        <v>13</v>
      </c>
      <c r="E497" s="618">
        <v>23</v>
      </c>
      <c r="F497" s="619">
        <v>43112</v>
      </c>
      <c r="G497" s="619">
        <v>54068</v>
      </c>
      <c r="H497" s="618" t="s">
        <v>14</v>
      </c>
      <c r="I497" s="618" t="s">
        <v>6861</v>
      </c>
    </row>
    <row r="498" spans="1:9">
      <c r="A498" s="620">
        <f t="shared" si="7"/>
        <v>494</v>
      </c>
      <c r="B498" s="621" t="s">
        <v>15</v>
      </c>
      <c r="C498" s="621" t="str">
        <f>"1887"</f>
        <v>1887</v>
      </c>
      <c r="D498" s="621" t="s">
        <v>18</v>
      </c>
      <c r="E498" s="621">
        <v>7</v>
      </c>
      <c r="F498" s="622">
        <v>41742</v>
      </c>
      <c r="G498" s="622">
        <v>43567</v>
      </c>
      <c r="H498" s="621" t="s">
        <v>16</v>
      </c>
      <c r="I498" s="621" t="s">
        <v>6868</v>
      </c>
    </row>
    <row r="499" spans="1:9">
      <c r="A499" s="617">
        <f t="shared" si="7"/>
        <v>495</v>
      </c>
      <c r="B499" s="618" t="s">
        <v>15</v>
      </c>
      <c r="C499" s="618" t="str">
        <f>"1891"</f>
        <v>1891</v>
      </c>
      <c r="D499" s="618" t="s">
        <v>13</v>
      </c>
      <c r="E499" s="618">
        <v>24</v>
      </c>
      <c r="F499" s="619">
        <v>42038</v>
      </c>
      <c r="G499" s="619">
        <v>52995</v>
      </c>
      <c r="H499" s="618" t="s">
        <v>16</v>
      </c>
      <c r="I499" s="618" t="s">
        <v>51</v>
      </c>
    </row>
    <row r="500" spans="1:9">
      <c r="A500" s="620">
        <f t="shared" si="7"/>
        <v>496</v>
      </c>
      <c r="B500" s="621" t="s">
        <v>403</v>
      </c>
      <c r="C500" s="621" t="str">
        <f>"1929"</f>
        <v>1929</v>
      </c>
      <c r="D500" s="621" t="s">
        <v>27</v>
      </c>
      <c r="E500" s="621">
        <v>82</v>
      </c>
      <c r="F500" s="622">
        <v>41929</v>
      </c>
      <c r="G500" s="622">
        <v>43754</v>
      </c>
      <c r="H500" s="621" t="s">
        <v>16</v>
      </c>
      <c r="I500" s="621" t="s">
        <v>6858</v>
      </c>
    </row>
    <row r="501" spans="1:9">
      <c r="A501" s="617">
        <f t="shared" si="7"/>
        <v>497</v>
      </c>
      <c r="B501" s="618" t="s">
        <v>88</v>
      </c>
      <c r="C501" s="618" t="str">
        <f>"1959"</f>
        <v>1959</v>
      </c>
      <c r="D501" s="618" t="s">
        <v>18</v>
      </c>
      <c r="E501" s="618">
        <v>100</v>
      </c>
      <c r="F501" s="619">
        <v>43522</v>
      </c>
      <c r="G501" s="619">
        <v>45347</v>
      </c>
      <c r="H501" s="618" t="s">
        <v>14</v>
      </c>
      <c r="I501" s="618" t="s">
        <v>6872</v>
      </c>
    </row>
    <row r="502" spans="1:9">
      <c r="A502" s="620">
        <f t="shared" si="7"/>
        <v>498</v>
      </c>
      <c r="B502" s="621" t="s">
        <v>88</v>
      </c>
      <c r="C502" s="621" t="str">
        <f>"1960"</f>
        <v>1960</v>
      </c>
      <c r="D502" s="621" t="s">
        <v>18</v>
      </c>
      <c r="E502" s="621">
        <v>76</v>
      </c>
      <c r="F502" s="622">
        <v>43522</v>
      </c>
      <c r="G502" s="622">
        <v>45347</v>
      </c>
      <c r="H502" s="621" t="s">
        <v>45</v>
      </c>
      <c r="I502" s="621" t="s">
        <v>6872</v>
      </c>
    </row>
    <row r="503" spans="1:9">
      <c r="A503" s="617">
        <f t="shared" si="7"/>
        <v>499</v>
      </c>
      <c r="B503" s="618" t="s">
        <v>88</v>
      </c>
      <c r="C503" s="618" t="str">
        <f>"1961"</f>
        <v>1961</v>
      </c>
      <c r="D503" s="618" t="s">
        <v>18</v>
      </c>
      <c r="E503" s="618">
        <v>42</v>
      </c>
      <c r="F503" s="619">
        <v>39926</v>
      </c>
      <c r="G503" s="619">
        <v>41751</v>
      </c>
      <c r="H503" s="618" t="s">
        <v>16</v>
      </c>
      <c r="I503" s="618" t="s">
        <v>6872</v>
      </c>
    </row>
    <row r="504" spans="1:9">
      <c r="A504" s="620">
        <f t="shared" si="7"/>
        <v>500</v>
      </c>
      <c r="B504" s="621" t="s">
        <v>88</v>
      </c>
      <c r="C504" s="621" t="str">
        <f>"1962"</f>
        <v>1962</v>
      </c>
      <c r="D504" s="621" t="s">
        <v>13</v>
      </c>
      <c r="E504" s="621">
        <v>14</v>
      </c>
      <c r="F504" s="622">
        <v>43381</v>
      </c>
      <c r="G504" s="622">
        <v>52511</v>
      </c>
      <c r="H504" s="621" t="s">
        <v>16</v>
      </c>
      <c r="I504" s="621" t="s">
        <v>51</v>
      </c>
    </row>
    <row r="505" spans="1:9">
      <c r="A505" s="617">
        <f t="shared" si="7"/>
        <v>501</v>
      </c>
      <c r="B505" s="618" t="s">
        <v>1673</v>
      </c>
      <c r="C505" s="618" t="str">
        <f>"1993"</f>
        <v>1993</v>
      </c>
      <c r="D505" s="618" t="s">
        <v>27</v>
      </c>
      <c r="E505" s="618">
        <v>207</v>
      </c>
      <c r="F505" s="619">
        <v>40079</v>
      </c>
      <c r="G505" s="619">
        <v>43730</v>
      </c>
      <c r="H505" s="618" t="s">
        <v>20</v>
      </c>
      <c r="I505" s="618" t="s">
        <v>385</v>
      </c>
    </row>
    <row r="506" spans="1:9">
      <c r="A506" s="620">
        <f t="shared" si="7"/>
        <v>502</v>
      </c>
      <c r="B506" s="621" t="s">
        <v>15</v>
      </c>
      <c r="C506" s="621" t="str">
        <f>"1995"</f>
        <v>1995</v>
      </c>
      <c r="D506" s="621" t="s">
        <v>18</v>
      </c>
      <c r="E506" s="621">
        <v>76</v>
      </c>
      <c r="F506" s="622">
        <v>41904</v>
      </c>
      <c r="G506" s="622">
        <v>43729</v>
      </c>
      <c r="H506" s="621" t="s">
        <v>16</v>
      </c>
      <c r="I506" s="621" t="s">
        <v>6868</v>
      </c>
    </row>
    <row r="507" spans="1:9">
      <c r="A507" s="617">
        <f t="shared" si="7"/>
        <v>503</v>
      </c>
      <c r="B507" s="618" t="s">
        <v>15</v>
      </c>
      <c r="C507" s="618" t="str">
        <f>"2061"</f>
        <v>2061</v>
      </c>
      <c r="D507" s="618" t="s">
        <v>18</v>
      </c>
      <c r="E507" s="618">
        <v>20</v>
      </c>
      <c r="F507" s="619">
        <v>41742</v>
      </c>
      <c r="G507" s="619">
        <v>43567</v>
      </c>
      <c r="H507" s="618" t="s">
        <v>16</v>
      </c>
      <c r="I507" s="618" t="s">
        <v>6868</v>
      </c>
    </row>
    <row r="508" spans="1:9">
      <c r="A508" s="620">
        <f t="shared" si="7"/>
        <v>504</v>
      </c>
      <c r="B508" s="621" t="s">
        <v>15</v>
      </c>
      <c r="C508" s="621" t="str">
        <f>"2115"</f>
        <v>2115</v>
      </c>
      <c r="D508" s="621" t="s">
        <v>13</v>
      </c>
      <c r="E508" s="621">
        <v>101</v>
      </c>
      <c r="F508" s="622">
        <v>40801</v>
      </c>
      <c r="G508" s="622">
        <v>51758</v>
      </c>
      <c r="H508" s="621" t="s">
        <v>16</v>
      </c>
      <c r="I508" s="621" t="s">
        <v>51</v>
      </c>
    </row>
    <row r="509" spans="1:9">
      <c r="A509" s="617">
        <f t="shared" si="7"/>
        <v>505</v>
      </c>
      <c r="B509" s="618" t="s">
        <v>15</v>
      </c>
      <c r="C509" s="618" t="str">
        <f>"2116"</f>
        <v>2116</v>
      </c>
      <c r="D509" s="618" t="s">
        <v>13</v>
      </c>
      <c r="E509" s="618">
        <v>179</v>
      </c>
      <c r="F509" s="619">
        <v>42038</v>
      </c>
      <c r="G509" s="619">
        <v>52995</v>
      </c>
      <c r="H509" s="618" t="s">
        <v>16</v>
      </c>
      <c r="I509" s="618" t="s">
        <v>51</v>
      </c>
    </row>
    <row r="510" spans="1:9">
      <c r="A510" s="620">
        <f t="shared" si="7"/>
        <v>506</v>
      </c>
      <c r="B510" s="621" t="s">
        <v>15</v>
      </c>
      <c r="C510" s="621" t="str">
        <f>"2120"</f>
        <v>2120</v>
      </c>
      <c r="D510" s="621" t="s">
        <v>18</v>
      </c>
      <c r="E510" s="621">
        <v>15</v>
      </c>
      <c r="F510" s="622">
        <v>41742</v>
      </c>
      <c r="G510" s="622">
        <v>43567</v>
      </c>
      <c r="H510" s="621" t="s">
        <v>14</v>
      </c>
      <c r="I510" s="621" t="s">
        <v>6868</v>
      </c>
    </row>
    <row r="511" spans="1:9">
      <c r="A511" s="617">
        <f t="shared" si="7"/>
        <v>507</v>
      </c>
      <c r="B511" s="618" t="s">
        <v>15</v>
      </c>
      <c r="C511" s="618" t="str">
        <f>"2121"</f>
        <v>2121</v>
      </c>
      <c r="D511" s="618" t="s">
        <v>13</v>
      </c>
      <c r="E511" s="618">
        <v>21</v>
      </c>
      <c r="F511" s="619">
        <v>40824</v>
      </c>
      <c r="G511" s="619">
        <v>51781</v>
      </c>
      <c r="H511" s="618" t="s">
        <v>16</v>
      </c>
      <c r="I511" s="618" t="s">
        <v>6871</v>
      </c>
    </row>
    <row r="512" spans="1:9">
      <c r="A512" s="620">
        <f t="shared" si="7"/>
        <v>508</v>
      </c>
      <c r="B512" s="621" t="s">
        <v>86</v>
      </c>
      <c r="C512" s="621" t="str">
        <f>"2128"</f>
        <v>2128</v>
      </c>
      <c r="D512" s="621" t="s">
        <v>27</v>
      </c>
      <c r="E512" s="621">
        <v>144</v>
      </c>
      <c r="F512" s="622">
        <v>41967</v>
      </c>
      <c r="G512" s="622">
        <v>43792</v>
      </c>
      <c r="H512" s="621" t="s">
        <v>14</v>
      </c>
      <c r="I512" s="621" t="s">
        <v>6864</v>
      </c>
    </row>
    <row r="513" spans="1:9">
      <c r="A513" s="617">
        <f t="shared" si="7"/>
        <v>509</v>
      </c>
      <c r="B513" s="618" t="s">
        <v>86</v>
      </c>
      <c r="C513" s="618" t="str">
        <f>"2129"</f>
        <v>2129</v>
      </c>
      <c r="D513" s="618" t="s">
        <v>13</v>
      </c>
      <c r="E513" s="618">
        <v>42</v>
      </c>
      <c r="F513" s="619">
        <v>44305</v>
      </c>
      <c r="G513" s="619">
        <v>53435</v>
      </c>
      <c r="H513" s="618" t="s">
        <v>14</v>
      </c>
      <c r="I513" s="618" t="s">
        <v>51</v>
      </c>
    </row>
    <row r="514" spans="1:9">
      <c r="A514" s="620">
        <f t="shared" si="7"/>
        <v>510</v>
      </c>
      <c r="B514" s="621" t="s">
        <v>404</v>
      </c>
      <c r="C514" s="621" t="str">
        <f>"2130"</f>
        <v>2130</v>
      </c>
      <c r="D514" s="621" t="s">
        <v>18</v>
      </c>
      <c r="E514" s="621">
        <v>55</v>
      </c>
      <c r="F514" s="622">
        <v>42579</v>
      </c>
      <c r="G514" s="622">
        <v>44404</v>
      </c>
      <c r="H514" s="621" t="s">
        <v>43</v>
      </c>
      <c r="I514" s="621" t="s">
        <v>6867</v>
      </c>
    </row>
    <row r="515" spans="1:9">
      <c r="A515" s="617">
        <f t="shared" si="7"/>
        <v>511</v>
      </c>
      <c r="B515" s="618" t="s">
        <v>404</v>
      </c>
      <c r="C515" s="618" t="str">
        <f>"2131"</f>
        <v>2131</v>
      </c>
      <c r="D515" s="618" t="s">
        <v>18</v>
      </c>
      <c r="E515" s="618">
        <v>114</v>
      </c>
      <c r="F515" s="619">
        <v>41784</v>
      </c>
      <c r="G515" s="619">
        <v>43609</v>
      </c>
      <c r="H515" s="618" t="s">
        <v>43</v>
      </c>
      <c r="I515" s="618" t="s">
        <v>400</v>
      </c>
    </row>
    <row r="516" spans="1:9">
      <c r="A516" s="620">
        <f t="shared" si="7"/>
        <v>512</v>
      </c>
      <c r="B516" s="621" t="s">
        <v>88</v>
      </c>
      <c r="C516" s="621" t="str">
        <f>"2133"</f>
        <v>2133</v>
      </c>
      <c r="D516" s="621" t="s">
        <v>18</v>
      </c>
      <c r="E516" s="621">
        <v>97</v>
      </c>
      <c r="F516" s="622">
        <v>43522</v>
      </c>
      <c r="G516" s="622">
        <v>45347</v>
      </c>
      <c r="H516" s="621" t="s">
        <v>14</v>
      </c>
      <c r="I516" s="621" t="s">
        <v>6872</v>
      </c>
    </row>
    <row r="517" spans="1:9">
      <c r="A517" s="617">
        <f t="shared" si="7"/>
        <v>513</v>
      </c>
      <c r="B517" s="618" t="s">
        <v>88</v>
      </c>
      <c r="C517" s="618" t="str">
        <f>"2136"</f>
        <v>2136</v>
      </c>
      <c r="D517" s="618" t="s">
        <v>18</v>
      </c>
      <c r="E517" s="618">
        <v>87</v>
      </c>
      <c r="F517" s="619">
        <v>43522</v>
      </c>
      <c r="G517" s="619">
        <v>45347</v>
      </c>
      <c r="H517" s="618" t="s">
        <v>14</v>
      </c>
      <c r="I517" s="618" t="s">
        <v>6872</v>
      </c>
    </row>
    <row r="518" spans="1:9">
      <c r="A518" s="620">
        <f t="shared" si="7"/>
        <v>514</v>
      </c>
      <c r="B518" s="621" t="s">
        <v>15</v>
      </c>
      <c r="C518" s="621" t="str">
        <f>"2142"</f>
        <v>2142</v>
      </c>
      <c r="D518" s="621" t="s">
        <v>18</v>
      </c>
      <c r="E518" s="621">
        <v>67</v>
      </c>
      <c r="F518" s="622">
        <v>41742</v>
      </c>
      <c r="G518" s="622">
        <v>43567</v>
      </c>
      <c r="H518" s="621" t="s">
        <v>14</v>
      </c>
      <c r="I518" s="621" t="s">
        <v>6868</v>
      </c>
    </row>
    <row r="519" spans="1:9">
      <c r="A519" s="617">
        <f t="shared" ref="A519:A582" si="8">+A518+1</f>
        <v>515</v>
      </c>
      <c r="B519" s="618" t="s">
        <v>88</v>
      </c>
      <c r="C519" s="618" t="str">
        <f>"2150"</f>
        <v>2150</v>
      </c>
      <c r="D519" s="618" t="s">
        <v>18</v>
      </c>
      <c r="E519" s="618">
        <v>106</v>
      </c>
      <c r="F519" s="619">
        <v>43522</v>
      </c>
      <c r="G519" s="619">
        <v>45347</v>
      </c>
      <c r="H519" s="618" t="s">
        <v>16</v>
      </c>
      <c r="I519" s="618" t="s">
        <v>6872</v>
      </c>
    </row>
    <row r="520" spans="1:9">
      <c r="A520" s="620">
        <f t="shared" si="8"/>
        <v>516</v>
      </c>
      <c r="B520" s="621" t="s">
        <v>88</v>
      </c>
      <c r="C520" s="621" t="str">
        <f>"2151"</f>
        <v>2151</v>
      </c>
      <c r="D520" s="621" t="s">
        <v>18</v>
      </c>
      <c r="E520" s="621">
        <v>62</v>
      </c>
      <c r="F520" s="622">
        <v>43522</v>
      </c>
      <c r="G520" s="622">
        <v>45347</v>
      </c>
      <c r="H520" s="621" t="s">
        <v>16</v>
      </c>
      <c r="I520" s="621" t="s">
        <v>6872</v>
      </c>
    </row>
    <row r="521" spans="1:9">
      <c r="A521" s="617">
        <f t="shared" si="8"/>
        <v>517</v>
      </c>
      <c r="B521" s="618" t="s">
        <v>88</v>
      </c>
      <c r="C521" s="618" t="str">
        <f>"2152"</f>
        <v>2152</v>
      </c>
      <c r="D521" s="618" t="s">
        <v>18</v>
      </c>
      <c r="E521" s="618">
        <v>163</v>
      </c>
      <c r="F521" s="619">
        <v>39947</v>
      </c>
      <c r="G521" s="619">
        <v>41772</v>
      </c>
      <c r="H521" s="618" t="s">
        <v>16</v>
      </c>
      <c r="I521" s="618" t="s">
        <v>6872</v>
      </c>
    </row>
    <row r="522" spans="1:9">
      <c r="A522" s="620">
        <f t="shared" si="8"/>
        <v>518</v>
      </c>
      <c r="B522" s="621" t="s">
        <v>88</v>
      </c>
      <c r="C522" s="621" t="str">
        <f>"2154"</f>
        <v>2154</v>
      </c>
      <c r="D522" s="621" t="s">
        <v>18</v>
      </c>
      <c r="E522" s="621">
        <v>61</v>
      </c>
      <c r="F522" s="622">
        <v>43522</v>
      </c>
      <c r="G522" s="622">
        <v>45347</v>
      </c>
      <c r="H522" s="621" t="s">
        <v>45</v>
      </c>
      <c r="I522" s="621" t="s">
        <v>6872</v>
      </c>
    </row>
    <row r="523" spans="1:9">
      <c r="A523" s="617">
        <f t="shared" si="8"/>
        <v>519</v>
      </c>
      <c r="B523" s="618" t="s">
        <v>88</v>
      </c>
      <c r="C523" s="618" t="str">
        <f>"2156"</f>
        <v>2156</v>
      </c>
      <c r="D523" s="618" t="s">
        <v>18</v>
      </c>
      <c r="E523" s="618">
        <v>100</v>
      </c>
      <c r="F523" s="619">
        <v>43522</v>
      </c>
      <c r="G523" s="619">
        <v>45347</v>
      </c>
      <c r="H523" s="618" t="s">
        <v>14</v>
      </c>
      <c r="I523" s="618" t="s">
        <v>6872</v>
      </c>
    </row>
    <row r="524" spans="1:9">
      <c r="A524" s="620">
        <f t="shared" si="8"/>
        <v>520</v>
      </c>
      <c r="B524" s="621" t="s">
        <v>15</v>
      </c>
      <c r="C524" s="621" t="str">
        <f>"2178"</f>
        <v>2178</v>
      </c>
      <c r="D524" s="621" t="s">
        <v>18</v>
      </c>
      <c r="E524" s="621">
        <v>100</v>
      </c>
      <c r="F524" s="622">
        <v>41742</v>
      </c>
      <c r="G524" s="622">
        <v>43567</v>
      </c>
      <c r="H524" s="621" t="s">
        <v>16</v>
      </c>
      <c r="I524" s="621" t="s">
        <v>6871</v>
      </c>
    </row>
    <row r="525" spans="1:9">
      <c r="A525" s="617">
        <f t="shared" si="8"/>
        <v>521</v>
      </c>
      <c r="B525" s="618" t="s">
        <v>15</v>
      </c>
      <c r="C525" s="618" t="str">
        <f>"2180"</f>
        <v>2180</v>
      </c>
      <c r="D525" s="618" t="s">
        <v>18</v>
      </c>
      <c r="E525" s="618">
        <v>100</v>
      </c>
      <c r="F525" s="619">
        <v>41742</v>
      </c>
      <c r="G525" s="619">
        <v>43567</v>
      </c>
      <c r="H525" s="618" t="s">
        <v>16</v>
      </c>
      <c r="I525" s="618" t="s">
        <v>6871</v>
      </c>
    </row>
    <row r="526" spans="1:9">
      <c r="A526" s="620">
        <f t="shared" si="8"/>
        <v>522</v>
      </c>
      <c r="B526" s="621" t="s">
        <v>15</v>
      </c>
      <c r="C526" s="621" t="str">
        <f>"2181"</f>
        <v>2181</v>
      </c>
      <c r="D526" s="621" t="s">
        <v>18</v>
      </c>
      <c r="E526" s="621">
        <v>100</v>
      </c>
      <c r="F526" s="622">
        <v>41742</v>
      </c>
      <c r="G526" s="622">
        <v>43567</v>
      </c>
      <c r="H526" s="621" t="s">
        <v>16</v>
      </c>
      <c r="I526" s="621" t="s">
        <v>6871</v>
      </c>
    </row>
    <row r="527" spans="1:9">
      <c r="A527" s="617">
        <f t="shared" si="8"/>
        <v>523</v>
      </c>
      <c r="B527" s="618" t="s">
        <v>15</v>
      </c>
      <c r="C527" s="618" t="str">
        <f>"2182"</f>
        <v>2182</v>
      </c>
      <c r="D527" s="618" t="s">
        <v>18</v>
      </c>
      <c r="E527" s="618">
        <v>100</v>
      </c>
      <c r="F527" s="619">
        <v>41742</v>
      </c>
      <c r="G527" s="619">
        <v>43567</v>
      </c>
      <c r="H527" s="618" t="s">
        <v>16</v>
      </c>
      <c r="I527" s="618" t="s">
        <v>6871</v>
      </c>
    </row>
    <row r="528" spans="1:9">
      <c r="A528" s="620">
        <f t="shared" si="8"/>
        <v>524</v>
      </c>
      <c r="B528" s="621" t="s">
        <v>15</v>
      </c>
      <c r="C528" s="621" t="str">
        <f>"2186"</f>
        <v>2186</v>
      </c>
      <c r="D528" s="621" t="s">
        <v>18</v>
      </c>
      <c r="E528" s="621">
        <v>113</v>
      </c>
      <c r="F528" s="622">
        <v>41742</v>
      </c>
      <c r="G528" s="622">
        <v>43567</v>
      </c>
      <c r="H528" s="621" t="s">
        <v>16</v>
      </c>
      <c r="I528" s="621" t="s">
        <v>6871</v>
      </c>
    </row>
    <row r="529" spans="1:9">
      <c r="A529" s="617">
        <f t="shared" si="8"/>
        <v>525</v>
      </c>
      <c r="B529" s="618" t="s">
        <v>15</v>
      </c>
      <c r="C529" s="618" t="str">
        <f>"2187"</f>
        <v>2187</v>
      </c>
      <c r="D529" s="618" t="s">
        <v>18</v>
      </c>
      <c r="E529" s="618">
        <v>100</v>
      </c>
      <c r="F529" s="619">
        <v>41742</v>
      </c>
      <c r="G529" s="619">
        <v>43567</v>
      </c>
      <c r="H529" s="618" t="s">
        <v>16</v>
      </c>
      <c r="I529" s="618" t="s">
        <v>6871</v>
      </c>
    </row>
    <row r="530" spans="1:9">
      <c r="A530" s="620">
        <f t="shared" si="8"/>
        <v>526</v>
      </c>
      <c r="B530" s="621" t="s">
        <v>15</v>
      </c>
      <c r="C530" s="621" t="str">
        <f>"2188"</f>
        <v>2188</v>
      </c>
      <c r="D530" s="621" t="s">
        <v>18</v>
      </c>
      <c r="E530" s="621">
        <v>100</v>
      </c>
      <c r="F530" s="622">
        <v>41742</v>
      </c>
      <c r="G530" s="622">
        <v>43567</v>
      </c>
      <c r="H530" s="621" t="s">
        <v>16</v>
      </c>
      <c r="I530" s="621" t="s">
        <v>6871</v>
      </c>
    </row>
    <row r="531" spans="1:9">
      <c r="A531" s="617">
        <f t="shared" si="8"/>
        <v>527</v>
      </c>
      <c r="B531" s="618" t="s">
        <v>15</v>
      </c>
      <c r="C531" s="618" t="str">
        <f>"2192"</f>
        <v>2192</v>
      </c>
      <c r="D531" s="618" t="s">
        <v>18</v>
      </c>
      <c r="E531" s="618">
        <v>75</v>
      </c>
      <c r="F531" s="619">
        <v>41742</v>
      </c>
      <c r="G531" s="619">
        <v>43567</v>
      </c>
      <c r="H531" s="618" t="s">
        <v>45</v>
      </c>
      <c r="I531" s="618" t="s">
        <v>6868</v>
      </c>
    </row>
    <row r="532" spans="1:9">
      <c r="A532" s="620">
        <f t="shared" si="8"/>
        <v>528</v>
      </c>
      <c r="B532" s="621" t="s">
        <v>89</v>
      </c>
      <c r="C532" s="621" t="str">
        <f>"2214"</f>
        <v>2214</v>
      </c>
      <c r="D532" s="621" t="s">
        <v>13</v>
      </c>
      <c r="E532" s="621">
        <v>145</v>
      </c>
      <c r="F532" s="622">
        <v>42037</v>
      </c>
      <c r="G532" s="622">
        <v>52994</v>
      </c>
      <c r="H532" s="621" t="s">
        <v>14</v>
      </c>
      <c r="I532" s="621" t="s">
        <v>51</v>
      </c>
    </row>
    <row r="533" spans="1:9">
      <c r="A533" s="617">
        <f t="shared" si="8"/>
        <v>529</v>
      </c>
      <c r="B533" s="618" t="s">
        <v>88</v>
      </c>
      <c r="C533" s="618" t="str">
        <f>"2215"</f>
        <v>2215</v>
      </c>
      <c r="D533" s="618" t="s">
        <v>18</v>
      </c>
      <c r="E533" s="618">
        <v>82</v>
      </c>
      <c r="F533" s="619">
        <v>43522</v>
      </c>
      <c r="G533" s="619">
        <v>45347</v>
      </c>
      <c r="H533" s="618" t="s">
        <v>14</v>
      </c>
      <c r="I533" s="618" t="s">
        <v>6872</v>
      </c>
    </row>
    <row r="534" spans="1:9">
      <c r="A534" s="620">
        <f t="shared" si="8"/>
        <v>530</v>
      </c>
      <c r="B534" s="621" t="s">
        <v>88</v>
      </c>
      <c r="C534" s="621" t="str">
        <f>"2216"</f>
        <v>2216</v>
      </c>
      <c r="D534" s="621" t="s">
        <v>18</v>
      </c>
      <c r="E534" s="621">
        <v>97</v>
      </c>
      <c r="F534" s="622">
        <v>43522</v>
      </c>
      <c r="G534" s="622">
        <v>45347</v>
      </c>
      <c r="H534" s="621" t="s">
        <v>14</v>
      </c>
      <c r="I534" s="621" t="s">
        <v>6872</v>
      </c>
    </row>
    <row r="535" spans="1:9">
      <c r="A535" s="617">
        <f t="shared" si="8"/>
        <v>531</v>
      </c>
      <c r="B535" s="618" t="s">
        <v>1674</v>
      </c>
      <c r="C535" s="618" t="str">
        <f>"2227"</f>
        <v>2227</v>
      </c>
      <c r="D535" s="618" t="s">
        <v>18</v>
      </c>
      <c r="E535" s="618">
        <v>161</v>
      </c>
      <c r="F535" s="619">
        <v>41462</v>
      </c>
      <c r="G535" s="619">
        <v>43580</v>
      </c>
      <c r="H535" s="618" t="s">
        <v>29</v>
      </c>
      <c r="I535" s="618" t="s">
        <v>6863</v>
      </c>
    </row>
    <row r="536" spans="1:9">
      <c r="A536" s="620">
        <f t="shared" si="8"/>
        <v>532</v>
      </c>
      <c r="B536" s="621" t="s">
        <v>93</v>
      </c>
      <c r="C536" s="621" t="str">
        <f>"2266"</f>
        <v>2266</v>
      </c>
      <c r="D536" s="621" t="s">
        <v>18</v>
      </c>
      <c r="E536" s="621">
        <v>40</v>
      </c>
      <c r="F536" s="622">
        <v>39958</v>
      </c>
      <c r="G536" s="622">
        <v>41783</v>
      </c>
      <c r="H536" s="621" t="s">
        <v>20</v>
      </c>
      <c r="I536" s="621" t="s">
        <v>385</v>
      </c>
    </row>
    <row r="537" spans="1:9">
      <c r="A537" s="617">
        <f t="shared" si="8"/>
        <v>533</v>
      </c>
      <c r="B537" s="618" t="s">
        <v>86</v>
      </c>
      <c r="C537" s="618" t="str">
        <f>"2275"</f>
        <v>2275</v>
      </c>
      <c r="D537" s="618" t="s">
        <v>13</v>
      </c>
      <c r="E537" s="618">
        <v>63</v>
      </c>
      <c r="F537" s="619">
        <v>45188</v>
      </c>
      <c r="G537" s="619">
        <v>50666</v>
      </c>
      <c r="H537" s="618" t="s">
        <v>16</v>
      </c>
      <c r="I537" s="618" t="s">
        <v>51</v>
      </c>
    </row>
    <row r="538" spans="1:9">
      <c r="A538" s="620">
        <f t="shared" si="8"/>
        <v>534</v>
      </c>
      <c r="B538" s="621" t="s">
        <v>1674</v>
      </c>
      <c r="C538" s="621" t="str">
        <f>"2285"</f>
        <v>2285</v>
      </c>
      <c r="D538" s="621" t="s">
        <v>18</v>
      </c>
      <c r="E538" s="621">
        <v>231</v>
      </c>
      <c r="F538" s="622">
        <v>40944</v>
      </c>
      <c r="G538" s="622">
        <v>43621</v>
      </c>
      <c r="H538" s="621" t="s">
        <v>22</v>
      </c>
      <c r="I538" s="621" t="s">
        <v>6863</v>
      </c>
    </row>
    <row r="539" spans="1:9">
      <c r="A539" s="617">
        <f t="shared" si="8"/>
        <v>535</v>
      </c>
      <c r="B539" s="618" t="s">
        <v>1674</v>
      </c>
      <c r="C539" s="618" t="str">
        <f>"2286"</f>
        <v>2286</v>
      </c>
      <c r="D539" s="618" t="s">
        <v>18</v>
      </c>
      <c r="E539" s="618">
        <v>217</v>
      </c>
      <c r="F539" s="619">
        <v>40944</v>
      </c>
      <c r="G539" s="619">
        <v>43619</v>
      </c>
      <c r="H539" s="618" t="s">
        <v>22</v>
      </c>
      <c r="I539" s="618" t="s">
        <v>6863</v>
      </c>
    </row>
    <row r="540" spans="1:9">
      <c r="A540" s="620">
        <f t="shared" si="8"/>
        <v>536</v>
      </c>
      <c r="B540" s="621" t="s">
        <v>1674</v>
      </c>
      <c r="C540" s="621" t="str">
        <f>"2287"</f>
        <v>2287</v>
      </c>
      <c r="D540" s="621" t="s">
        <v>18</v>
      </c>
      <c r="E540" s="621">
        <v>214</v>
      </c>
      <c r="F540" s="622">
        <v>40944</v>
      </c>
      <c r="G540" s="622">
        <v>43619</v>
      </c>
      <c r="H540" s="621" t="s">
        <v>29</v>
      </c>
      <c r="I540" s="621" t="s">
        <v>6863</v>
      </c>
    </row>
    <row r="541" spans="1:9">
      <c r="A541" s="617">
        <f t="shared" si="8"/>
        <v>537</v>
      </c>
      <c r="B541" s="618" t="s">
        <v>1674</v>
      </c>
      <c r="C541" s="618" t="str">
        <f>"2289"</f>
        <v>2289</v>
      </c>
      <c r="D541" s="618" t="s">
        <v>18</v>
      </c>
      <c r="E541" s="618">
        <v>228</v>
      </c>
      <c r="F541" s="619">
        <v>40944</v>
      </c>
      <c r="G541" s="619">
        <v>43619</v>
      </c>
      <c r="H541" s="618" t="s">
        <v>29</v>
      </c>
      <c r="I541" s="618" t="s">
        <v>6863</v>
      </c>
    </row>
    <row r="542" spans="1:9">
      <c r="A542" s="620">
        <f t="shared" si="8"/>
        <v>538</v>
      </c>
      <c r="B542" s="621" t="s">
        <v>1674</v>
      </c>
      <c r="C542" s="621" t="str">
        <f>"2290"</f>
        <v>2290</v>
      </c>
      <c r="D542" s="621" t="s">
        <v>18</v>
      </c>
      <c r="E542" s="621">
        <v>222</v>
      </c>
      <c r="F542" s="622">
        <v>40944</v>
      </c>
      <c r="G542" s="622">
        <v>43619</v>
      </c>
      <c r="H542" s="621" t="s">
        <v>29</v>
      </c>
      <c r="I542" s="621" t="s">
        <v>6863</v>
      </c>
    </row>
    <row r="543" spans="1:9">
      <c r="A543" s="617">
        <f t="shared" si="8"/>
        <v>539</v>
      </c>
      <c r="B543" s="618" t="s">
        <v>1674</v>
      </c>
      <c r="C543" s="618" t="str">
        <f>"2291"</f>
        <v>2291</v>
      </c>
      <c r="D543" s="618" t="s">
        <v>18</v>
      </c>
      <c r="E543" s="618">
        <v>224</v>
      </c>
      <c r="F543" s="619">
        <v>40944</v>
      </c>
      <c r="G543" s="619">
        <v>43134</v>
      </c>
      <c r="H543" s="618" t="s">
        <v>29</v>
      </c>
      <c r="I543" s="618" t="s">
        <v>6863</v>
      </c>
    </row>
    <row r="544" spans="1:9">
      <c r="A544" s="620">
        <f t="shared" si="8"/>
        <v>540</v>
      </c>
      <c r="B544" s="621" t="s">
        <v>1656</v>
      </c>
      <c r="C544" s="621" t="str">
        <f>"2303"</f>
        <v>2303</v>
      </c>
      <c r="D544" s="621" t="s">
        <v>27</v>
      </c>
      <c r="E544" s="621">
        <v>19</v>
      </c>
      <c r="F544" s="622">
        <v>41857</v>
      </c>
      <c r="G544" s="622">
        <v>43999</v>
      </c>
      <c r="H544" s="621" t="s">
        <v>23</v>
      </c>
      <c r="I544" s="621" t="s">
        <v>6862</v>
      </c>
    </row>
    <row r="545" spans="1:9">
      <c r="A545" s="617">
        <f t="shared" si="8"/>
        <v>541</v>
      </c>
      <c r="B545" s="618" t="s">
        <v>1652</v>
      </c>
      <c r="C545" s="618" t="str">
        <f>"2306"</f>
        <v>2306</v>
      </c>
      <c r="D545" s="618" t="s">
        <v>13</v>
      </c>
      <c r="E545" s="618">
        <v>36</v>
      </c>
      <c r="F545" s="619">
        <v>40151</v>
      </c>
      <c r="G545" s="619">
        <v>51107</v>
      </c>
      <c r="H545" s="618" t="s">
        <v>23</v>
      </c>
      <c r="I545" s="618" t="s">
        <v>385</v>
      </c>
    </row>
    <row r="546" spans="1:9">
      <c r="A546" s="620">
        <f t="shared" si="8"/>
        <v>542</v>
      </c>
      <c r="B546" s="621" t="s">
        <v>90</v>
      </c>
      <c r="C546" s="621" t="str">
        <f>"2315"</f>
        <v>2315</v>
      </c>
      <c r="D546" s="621" t="s">
        <v>13</v>
      </c>
      <c r="E546" s="621">
        <v>17</v>
      </c>
      <c r="F546" s="622">
        <v>43719</v>
      </c>
      <c r="G546" s="622">
        <v>52850</v>
      </c>
      <c r="H546" s="621" t="s">
        <v>16</v>
      </c>
      <c r="I546" s="621" t="s">
        <v>51</v>
      </c>
    </row>
    <row r="547" spans="1:9">
      <c r="A547" s="617">
        <f t="shared" si="8"/>
        <v>543</v>
      </c>
      <c r="B547" s="618" t="s">
        <v>1675</v>
      </c>
      <c r="C547" s="618" t="str">
        <f>"2316"</f>
        <v>2316</v>
      </c>
      <c r="D547" s="618" t="s">
        <v>18</v>
      </c>
      <c r="E547" s="618">
        <v>46</v>
      </c>
      <c r="F547" s="619">
        <v>39964</v>
      </c>
      <c r="G547" s="619">
        <v>41789</v>
      </c>
      <c r="H547" s="618" t="s">
        <v>43</v>
      </c>
      <c r="I547" s="618" t="s">
        <v>6863</v>
      </c>
    </row>
    <row r="548" spans="1:9">
      <c r="A548" s="620">
        <f t="shared" si="8"/>
        <v>544</v>
      </c>
      <c r="B548" s="621" t="s">
        <v>1675</v>
      </c>
      <c r="C548" s="621" t="str">
        <f>"2318"</f>
        <v>2318</v>
      </c>
      <c r="D548" s="621" t="s">
        <v>18</v>
      </c>
      <c r="E548" s="621">
        <v>215</v>
      </c>
      <c r="F548" s="622">
        <v>38138</v>
      </c>
      <c r="G548" s="622">
        <v>39963</v>
      </c>
      <c r="H548" s="621" t="s">
        <v>43</v>
      </c>
      <c r="I548" s="621" t="s">
        <v>6863</v>
      </c>
    </row>
    <row r="549" spans="1:9">
      <c r="A549" s="617">
        <f t="shared" si="8"/>
        <v>545</v>
      </c>
      <c r="B549" s="618" t="s">
        <v>91</v>
      </c>
      <c r="C549" s="618" t="str">
        <f>"2322"</f>
        <v>2322</v>
      </c>
      <c r="D549" s="618" t="s">
        <v>27</v>
      </c>
      <c r="E549" s="618">
        <v>17</v>
      </c>
      <c r="F549" s="619">
        <v>43621</v>
      </c>
      <c r="G549" s="619">
        <v>45447</v>
      </c>
      <c r="H549" s="618" t="s">
        <v>14</v>
      </c>
      <c r="I549" s="618" t="s">
        <v>6864</v>
      </c>
    </row>
    <row r="550" spans="1:9">
      <c r="A550" s="620">
        <f t="shared" si="8"/>
        <v>546</v>
      </c>
      <c r="B550" s="621" t="s">
        <v>1676</v>
      </c>
      <c r="C550" s="621" t="str">
        <f>"2331"</f>
        <v>2331</v>
      </c>
      <c r="D550" s="621" t="s">
        <v>18</v>
      </c>
      <c r="E550" s="621">
        <v>9</v>
      </c>
      <c r="F550" s="622">
        <v>39607</v>
      </c>
      <c r="G550" s="622">
        <v>42528</v>
      </c>
      <c r="H550" s="621" t="s">
        <v>66</v>
      </c>
      <c r="I550" s="621" t="s">
        <v>6867</v>
      </c>
    </row>
    <row r="551" spans="1:9">
      <c r="A551" s="617">
        <f t="shared" si="8"/>
        <v>547</v>
      </c>
      <c r="B551" s="618" t="s">
        <v>92</v>
      </c>
      <c r="C551" s="618" t="str">
        <f>"2339"</f>
        <v>2339</v>
      </c>
      <c r="D551" s="618" t="s">
        <v>13</v>
      </c>
      <c r="E551" s="618">
        <v>30</v>
      </c>
      <c r="F551" s="619">
        <v>43377</v>
      </c>
      <c r="G551" s="619">
        <v>52507</v>
      </c>
      <c r="H551" s="618" t="s">
        <v>14</v>
      </c>
      <c r="I551" s="618" t="s">
        <v>6862</v>
      </c>
    </row>
    <row r="552" spans="1:9">
      <c r="A552" s="620">
        <f t="shared" si="8"/>
        <v>548</v>
      </c>
      <c r="B552" s="621" t="s">
        <v>92</v>
      </c>
      <c r="C552" s="621" t="str">
        <f>"2342"</f>
        <v>2342</v>
      </c>
      <c r="D552" s="621" t="s">
        <v>13</v>
      </c>
      <c r="E552" s="621">
        <v>15</v>
      </c>
      <c r="F552" s="622">
        <v>43377</v>
      </c>
      <c r="G552" s="622">
        <v>52507</v>
      </c>
      <c r="H552" s="621" t="s">
        <v>16</v>
      </c>
      <c r="I552" s="621" t="s">
        <v>51</v>
      </c>
    </row>
    <row r="553" spans="1:9">
      <c r="A553" s="617">
        <f t="shared" si="8"/>
        <v>549</v>
      </c>
      <c r="B553" s="618" t="s">
        <v>36</v>
      </c>
      <c r="C553" s="618" t="str">
        <f>"2347"</f>
        <v>2347</v>
      </c>
      <c r="D553" s="618" t="s">
        <v>13</v>
      </c>
      <c r="E553" s="618">
        <v>136</v>
      </c>
      <c r="F553" s="619">
        <v>40245</v>
      </c>
      <c r="G553" s="619">
        <v>51202</v>
      </c>
      <c r="H553" s="618" t="s">
        <v>14</v>
      </c>
      <c r="I553" s="618" t="s">
        <v>51</v>
      </c>
    </row>
    <row r="554" spans="1:9">
      <c r="A554" s="620">
        <f t="shared" si="8"/>
        <v>550</v>
      </c>
      <c r="B554" s="621" t="s">
        <v>36</v>
      </c>
      <c r="C554" s="621" t="str">
        <f>"2348"</f>
        <v>2348</v>
      </c>
      <c r="D554" s="621" t="s">
        <v>13</v>
      </c>
      <c r="E554" s="621">
        <v>183</v>
      </c>
      <c r="F554" s="622">
        <v>40245</v>
      </c>
      <c r="G554" s="622">
        <v>51202</v>
      </c>
      <c r="H554" s="621" t="s">
        <v>16</v>
      </c>
      <c r="I554" s="621" t="s">
        <v>51</v>
      </c>
    </row>
    <row r="555" spans="1:9">
      <c r="A555" s="617">
        <f t="shared" si="8"/>
        <v>551</v>
      </c>
      <c r="B555" s="618" t="s">
        <v>36</v>
      </c>
      <c r="C555" s="618" t="str">
        <f>"2349"</f>
        <v>2349</v>
      </c>
      <c r="D555" s="618" t="s">
        <v>13</v>
      </c>
      <c r="E555" s="618">
        <v>66</v>
      </c>
      <c r="F555" s="619">
        <v>40520</v>
      </c>
      <c r="G555" s="619">
        <v>51477</v>
      </c>
      <c r="H555" s="618" t="s">
        <v>45</v>
      </c>
      <c r="I555" s="618" t="s">
        <v>51</v>
      </c>
    </row>
    <row r="556" spans="1:9">
      <c r="A556" s="620">
        <f t="shared" si="8"/>
        <v>552</v>
      </c>
      <c r="B556" s="621" t="s">
        <v>36</v>
      </c>
      <c r="C556" s="621" t="str">
        <f>"2350"</f>
        <v>2350</v>
      </c>
      <c r="D556" s="621" t="s">
        <v>13</v>
      </c>
      <c r="E556" s="621">
        <v>270</v>
      </c>
      <c r="F556" s="622">
        <v>40394</v>
      </c>
      <c r="G556" s="622">
        <v>51351</v>
      </c>
      <c r="H556" s="621" t="s">
        <v>16</v>
      </c>
      <c r="I556" s="621" t="s">
        <v>51</v>
      </c>
    </row>
    <row r="557" spans="1:9">
      <c r="A557" s="617">
        <f t="shared" si="8"/>
        <v>553</v>
      </c>
      <c r="B557" s="618" t="s">
        <v>36</v>
      </c>
      <c r="C557" s="618" t="str">
        <f>"2351"</f>
        <v>2351</v>
      </c>
      <c r="D557" s="618" t="s">
        <v>13</v>
      </c>
      <c r="E557" s="618">
        <v>174</v>
      </c>
      <c r="F557" s="619">
        <v>40245</v>
      </c>
      <c r="G557" s="619">
        <v>51202</v>
      </c>
      <c r="H557" s="618" t="s">
        <v>14</v>
      </c>
      <c r="I557" s="618" t="s">
        <v>51</v>
      </c>
    </row>
    <row r="558" spans="1:9">
      <c r="A558" s="620">
        <f t="shared" si="8"/>
        <v>554</v>
      </c>
      <c r="B558" s="621" t="s">
        <v>36</v>
      </c>
      <c r="C558" s="621" t="str">
        <f>"2352"</f>
        <v>2352</v>
      </c>
      <c r="D558" s="621" t="s">
        <v>13</v>
      </c>
      <c r="E558" s="621">
        <v>10</v>
      </c>
      <c r="F558" s="622">
        <v>40245</v>
      </c>
      <c r="G558" s="622">
        <v>51202</v>
      </c>
      <c r="H558" s="621" t="s">
        <v>16</v>
      </c>
      <c r="I558" s="621" t="s">
        <v>51</v>
      </c>
    </row>
    <row r="559" spans="1:9">
      <c r="A559" s="617">
        <f t="shared" si="8"/>
        <v>555</v>
      </c>
      <c r="B559" s="618" t="s">
        <v>36</v>
      </c>
      <c r="C559" s="618" t="str">
        <f>"2353"</f>
        <v>2353</v>
      </c>
      <c r="D559" s="618" t="s">
        <v>13</v>
      </c>
      <c r="E559" s="618">
        <v>161</v>
      </c>
      <c r="F559" s="619">
        <v>40245</v>
      </c>
      <c r="G559" s="619">
        <v>51202</v>
      </c>
      <c r="H559" s="618" t="s">
        <v>14</v>
      </c>
      <c r="I559" s="618" t="s">
        <v>51</v>
      </c>
    </row>
    <row r="560" spans="1:9">
      <c r="A560" s="620">
        <f t="shared" si="8"/>
        <v>556</v>
      </c>
      <c r="B560" s="621" t="s">
        <v>36</v>
      </c>
      <c r="C560" s="621" t="str">
        <f>"2354"</f>
        <v>2354</v>
      </c>
      <c r="D560" s="621" t="s">
        <v>13</v>
      </c>
      <c r="E560" s="621">
        <v>201</v>
      </c>
      <c r="F560" s="622">
        <v>40245</v>
      </c>
      <c r="G560" s="622">
        <v>51202</v>
      </c>
      <c r="H560" s="621" t="s">
        <v>14</v>
      </c>
      <c r="I560" s="621" t="s">
        <v>51</v>
      </c>
    </row>
    <row r="561" spans="1:9">
      <c r="A561" s="617">
        <f t="shared" si="8"/>
        <v>557</v>
      </c>
      <c r="B561" s="618" t="s">
        <v>36</v>
      </c>
      <c r="C561" s="618" t="str">
        <f>"2355"</f>
        <v>2355</v>
      </c>
      <c r="D561" s="618" t="s">
        <v>13</v>
      </c>
      <c r="E561" s="618">
        <v>121</v>
      </c>
      <c r="F561" s="619">
        <v>40245</v>
      </c>
      <c r="G561" s="619">
        <v>51202</v>
      </c>
      <c r="H561" s="618" t="s">
        <v>14</v>
      </c>
      <c r="I561" s="618" t="s">
        <v>51</v>
      </c>
    </row>
    <row r="562" spans="1:9">
      <c r="A562" s="620">
        <f t="shared" si="8"/>
        <v>558</v>
      </c>
      <c r="B562" s="621" t="s">
        <v>36</v>
      </c>
      <c r="C562" s="621" t="str">
        <f>"2356"</f>
        <v>2356</v>
      </c>
      <c r="D562" s="621" t="s">
        <v>13</v>
      </c>
      <c r="E562" s="621">
        <v>82</v>
      </c>
      <c r="F562" s="622">
        <v>40245</v>
      </c>
      <c r="G562" s="622">
        <v>51202</v>
      </c>
      <c r="H562" s="621" t="s">
        <v>14</v>
      </c>
      <c r="I562" s="621" t="s">
        <v>51</v>
      </c>
    </row>
    <row r="563" spans="1:9">
      <c r="A563" s="617">
        <f t="shared" si="8"/>
        <v>559</v>
      </c>
      <c r="B563" s="618" t="s">
        <v>36</v>
      </c>
      <c r="C563" s="618" t="str">
        <f>"2357"</f>
        <v>2357</v>
      </c>
      <c r="D563" s="618" t="s">
        <v>13</v>
      </c>
      <c r="E563" s="618">
        <v>141</v>
      </c>
      <c r="F563" s="619">
        <v>40245</v>
      </c>
      <c r="G563" s="619">
        <v>51202</v>
      </c>
      <c r="H563" s="618" t="s">
        <v>14</v>
      </c>
      <c r="I563" s="618" t="s">
        <v>51</v>
      </c>
    </row>
    <row r="564" spans="1:9">
      <c r="A564" s="620">
        <f t="shared" si="8"/>
        <v>560</v>
      </c>
      <c r="B564" s="621" t="s">
        <v>36</v>
      </c>
      <c r="C564" s="621" t="str">
        <f>"2358"</f>
        <v>2358</v>
      </c>
      <c r="D564" s="621" t="s">
        <v>13</v>
      </c>
      <c r="E564" s="621">
        <v>147</v>
      </c>
      <c r="F564" s="622">
        <v>42999</v>
      </c>
      <c r="G564" s="622">
        <v>53955</v>
      </c>
      <c r="H564" s="621" t="s">
        <v>14</v>
      </c>
      <c r="I564" s="621" t="s">
        <v>51</v>
      </c>
    </row>
    <row r="565" spans="1:9">
      <c r="A565" s="617">
        <f t="shared" si="8"/>
        <v>561</v>
      </c>
      <c r="B565" s="618" t="s">
        <v>36</v>
      </c>
      <c r="C565" s="618" t="str">
        <f>"2359"</f>
        <v>2359</v>
      </c>
      <c r="D565" s="618" t="s">
        <v>13</v>
      </c>
      <c r="E565" s="618">
        <v>107</v>
      </c>
      <c r="F565" s="619">
        <v>40245</v>
      </c>
      <c r="G565" s="619">
        <v>51202</v>
      </c>
      <c r="H565" s="618" t="s">
        <v>14</v>
      </c>
      <c r="I565" s="618" t="s">
        <v>51</v>
      </c>
    </row>
    <row r="566" spans="1:9">
      <c r="A566" s="620">
        <f t="shared" si="8"/>
        <v>562</v>
      </c>
      <c r="B566" s="621" t="s">
        <v>36</v>
      </c>
      <c r="C566" s="621" t="str">
        <f>"2360"</f>
        <v>2360</v>
      </c>
      <c r="D566" s="621" t="s">
        <v>13</v>
      </c>
      <c r="E566" s="621">
        <v>183</v>
      </c>
      <c r="F566" s="622">
        <v>40368</v>
      </c>
      <c r="G566" s="622">
        <v>51325</v>
      </c>
      <c r="H566" s="621" t="s">
        <v>14</v>
      </c>
      <c r="I566" s="621" t="s">
        <v>51</v>
      </c>
    </row>
    <row r="567" spans="1:9">
      <c r="A567" s="617">
        <f t="shared" si="8"/>
        <v>563</v>
      </c>
      <c r="B567" s="618" t="s">
        <v>36</v>
      </c>
      <c r="C567" s="618" t="str">
        <f>"2361"</f>
        <v>2361</v>
      </c>
      <c r="D567" s="618" t="s">
        <v>13</v>
      </c>
      <c r="E567" s="618">
        <v>7</v>
      </c>
      <c r="F567" s="619">
        <v>40396</v>
      </c>
      <c r="G567" s="619">
        <v>51353</v>
      </c>
      <c r="H567" s="618" t="s">
        <v>16</v>
      </c>
      <c r="I567" s="618" t="s">
        <v>51</v>
      </c>
    </row>
    <row r="568" spans="1:9">
      <c r="A568" s="620">
        <f t="shared" si="8"/>
        <v>564</v>
      </c>
      <c r="B568" s="621" t="s">
        <v>36</v>
      </c>
      <c r="C568" s="621" t="str">
        <f>"2362"</f>
        <v>2362</v>
      </c>
      <c r="D568" s="621" t="s">
        <v>13</v>
      </c>
      <c r="E568" s="621">
        <v>148</v>
      </c>
      <c r="F568" s="622">
        <v>40393</v>
      </c>
      <c r="G568" s="622">
        <v>51350</v>
      </c>
      <c r="H568" s="621" t="s">
        <v>45</v>
      </c>
      <c r="I568" s="621" t="s">
        <v>51</v>
      </c>
    </row>
    <row r="569" spans="1:9">
      <c r="A569" s="617">
        <f t="shared" si="8"/>
        <v>565</v>
      </c>
      <c r="B569" s="618" t="s">
        <v>405</v>
      </c>
      <c r="C569" s="618" t="str">
        <f>"2436"</f>
        <v>2436</v>
      </c>
      <c r="D569" s="618" t="s">
        <v>18</v>
      </c>
      <c r="E569" s="618">
        <v>149</v>
      </c>
      <c r="F569" s="619">
        <v>38180</v>
      </c>
      <c r="G569" s="619">
        <v>40005</v>
      </c>
      <c r="H569" s="618" t="s">
        <v>20</v>
      </c>
      <c r="I569" s="618" t="s">
        <v>6858</v>
      </c>
    </row>
    <row r="570" spans="1:9">
      <c r="A570" s="620">
        <f t="shared" si="8"/>
        <v>566</v>
      </c>
      <c r="B570" s="621" t="s">
        <v>405</v>
      </c>
      <c r="C570" s="621" t="str">
        <f>"2445"</f>
        <v>2445</v>
      </c>
      <c r="D570" s="621" t="s">
        <v>18</v>
      </c>
      <c r="E570" s="621">
        <v>228</v>
      </c>
      <c r="F570" s="622">
        <v>42178</v>
      </c>
      <c r="G570" s="622">
        <v>44004</v>
      </c>
      <c r="H570" s="621" t="s">
        <v>20</v>
      </c>
      <c r="I570" s="621" t="s">
        <v>400</v>
      </c>
    </row>
    <row r="571" spans="1:9">
      <c r="A571" s="617">
        <f t="shared" si="8"/>
        <v>567</v>
      </c>
      <c r="B571" s="618" t="s">
        <v>1677</v>
      </c>
      <c r="C571" s="618" t="str">
        <f>"2477"</f>
        <v>2477</v>
      </c>
      <c r="D571" s="618" t="s">
        <v>18</v>
      </c>
      <c r="E571" s="618">
        <v>116</v>
      </c>
      <c r="F571" s="619">
        <v>41904</v>
      </c>
      <c r="G571" s="619">
        <v>44228</v>
      </c>
      <c r="H571" s="618" t="s">
        <v>43</v>
      </c>
      <c r="I571" s="618" t="s">
        <v>6868</v>
      </c>
    </row>
    <row r="572" spans="1:9">
      <c r="A572" s="620">
        <f t="shared" si="8"/>
        <v>568</v>
      </c>
      <c r="B572" s="621" t="s">
        <v>387</v>
      </c>
      <c r="C572" s="621" t="str">
        <f>"2485"</f>
        <v>2485</v>
      </c>
      <c r="D572" s="621" t="s">
        <v>18</v>
      </c>
      <c r="E572" s="621">
        <v>85</v>
      </c>
      <c r="F572" s="622">
        <v>38146</v>
      </c>
      <c r="G572" s="622">
        <v>39606</v>
      </c>
      <c r="H572" s="621" t="s">
        <v>23</v>
      </c>
      <c r="I572" s="621" t="s">
        <v>6862</v>
      </c>
    </row>
    <row r="573" spans="1:9">
      <c r="A573" s="617">
        <f t="shared" si="8"/>
        <v>569</v>
      </c>
      <c r="B573" s="618" t="s">
        <v>387</v>
      </c>
      <c r="C573" s="618" t="str">
        <f>"2488"</f>
        <v>2488</v>
      </c>
      <c r="D573" s="618" t="s">
        <v>18</v>
      </c>
      <c r="E573" s="618">
        <v>147</v>
      </c>
      <c r="F573" s="619">
        <v>38146</v>
      </c>
      <c r="G573" s="619">
        <v>39606</v>
      </c>
      <c r="H573" s="618" t="s">
        <v>23</v>
      </c>
      <c r="I573" s="618" t="s">
        <v>6862</v>
      </c>
    </row>
    <row r="574" spans="1:9">
      <c r="A574" s="620">
        <f t="shared" si="8"/>
        <v>570</v>
      </c>
      <c r="B574" s="621" t="s">
        <v>387</v>
      </c>
      <c r="C574" s="621" t="str">
        <f>"2492"</f>
        <v>2492</v>
      </c>
      <c r="D574" s="621" t="s">
        <v>18</v>
      </c>
      <c r="E574" s="621">
        <v>47</v>
      </c>
      <c r="F574" s="622">
        <v>38146</v>
      </c>
      <c r="G574" s="622">
        <v>39606</v>
      </c>
      <c r="H574" s="621" t="s">
        <v>23</v>
      </c>
      <c r="I574" s="621" t="s">
        <v>6862</v>
      </c>
    </row>
    <row r="575" spans="1:9">
      <c r="A575" s="617">
        <f t="shared" si="8"/>
        <v>571</v>
      </c>
      <c r="B575" s="618" t="s">
        <v>387</v>
      </c>
      <c r="C575" s="618" t="str">
        <f>"2494"</f>
        <v>2494</v>
      </c>
      <c r="D575" s="618" t="s">
        <v>18</v>
      </c>
      <c r="E575" s="618">
        <v>105</v>
      </c>
      <c r="F575" s="619">
        <v>38146</v>
      </c>
      <c r="G575" s="619">
        <v>39606</v>
      </c>
      <c r="H575" s="618" t="s">
        <v>23</v>
      </c>
      <c r="I575" s="618" t="s">
        <v>6862</v>
      </c>
    </row>
    <row r="576" spans="1:9">
      <c r="A576" s="620">
        <f t="shared" si="8"/>
        <v>572</v>
      </c>
      <c r="B576" s="621" t="s">
        <v>387</v>
      </c>
      <c r="C576" s="621" t="str">
        <f>"2495"</f>
        <v>2495</v>
      </c>
      <c r="D576" s="621" t="s">
        <v>18</v>
      </c>
      <c r="E576" s="621">
        <v>94</v>
      </c>
      <c r="F576" s="622">
        <v>38146</v>
      </c>
      <c r="G576" s="622">
        <v>39606</v>
      </c>
      <c r="H576" s="621" t="s">
        <v>23</v>
      </c>
      <c r="I576" s="621" t="s">
        <v>6862</v>
      </c>
    </row>
    <row r="577" spans="1:9">
      <c r="A577" s="617">
        <f t="shared" si="8"/>
        <v>573</v>
      </c>
      <c r="B577" s="618" t="s">
        <v>406</v>
      </c>
      <c r="C577" s="618" t="str">
        <f>"2505"</f>
        <v>2505</v>
      </c>
      <c r="D577" s="618" t="s">
        <v>27</v>
      </c>
      <c r="E577" s="618">
        <v>2</v>
      </c>
      <c r="F577" s="619">
        <v>40670</v>
      </c>
      <c r="G577" s="619">
        <v>44322</v>
      </c>
      <c r="H577" s="618" t="s">
        <v>16</v>
      </c>
      <c r="I577" s="618" t="s">
        <v>6864</v>
      </c>
    </row>
    <row r="578" spans="1:9">
      <c r="A578" s="620">
        <f t="shared" si="8"/>
        <v>574</v>
      </c>
      <c r="B578" s="621" t="s">
        <v>93</v>
      </c>
      <c r="C578" s="621" t="str">
        <f>"2506"</f>
        <v>2506</v>
      </c>
      <c r="D578" s="621" t="s">
        <v>27</v>
      </c>
      <c r="E578" s="621">
        <v>7</v>
      </c>
      <c r="F578" s="622">
        <v>43510</v>
      </c>
      <c r="G578" s="622">
        <v>45335</v>
      </c>
      <c r="H578" s="621" t="s">
        <v>16</v>
      </c>
      <c r="I578" s="621" t="s">
        <v>51</v>
      </c>
    </row>
    <row r="579" spans="1:9">
      <c r="A579" s="617">
        <f t="shared" si="8"/>
        <v>575</v>
      </c>
      <c r="B579" s="618" t="s">
        <v>88</v>
      </c>
      <c r="C579" s="618" t="str">
        <f>"2508"</f>
        <v>2508</v>
      </c>
      <c r="D579" s="618" t="s">
        <v>18</v>
      </c>
      <c r="E579" s="618">
        <v>50</v>
      </c>
      <c r="F579" s="619">
        <v>43522</v>
      </c>
      <c r="G579" s="619">
        <v>45347</v>
      </c>
      <c r="H579" s="618" t="s">
        <v>14</v>
      </c>
      <c r="I579" s="618" t="s">
        <v>6872</v>
      </c>
    </row>
    <row r="580" spans="1:9">
      <c r="A580" s="620">
        <f t="shared" si="8"/>
        <v>576</v>
      </c>
      <c r="B580" s="621" t="s">
        <v>88</v>
      </c>
      <c r="C580" s="621" t="str">
        <f>"2509"</f>
        <v>2509</v>
      </c>
      <c r="D580" s="621" t="s">
        <v>18</v>
      </c>
      <c r="E580" s="621">
        <v>92</v>
      </c>
      <c r="F580" s="622">
        <v>43522</v>
      </c>
      <c r="G580" s="622">
        <v>45347</v>
      </c>
      <c r="H580" s="621" t="s">
        <v>16</v>
      </c>
      <c r="I580" s="621" t="s">
        <v>6872</v>
      </c>
    </row>
    <row r="581" spans="1:9">
      <c r="A581" s="617">
        <f t="shared" si="8"/>
        <v>577</v>
      </c>
      <c r="B581" s="618" t="s">
        <v>88</v>
      </c>
      <c r="C581" s="618" t="str">
        <f>"2511"</f>
        <v>2511</v>
      </c>
      <c r="D581" s="618" t="s">
        <v>18</v>
      </c>
      <c r="E581" s="618">
        <v>100</v>
      </c>
      <c r="F581" s="619">
        <v>43522</v>
      </c>
      <c r="G581" s="619">
        <v>45347</v>
      </c>
      <c r="H581" s="618" t="s">
        <v>16</v>
      </c>
      <c r="I581" s="618" t="s">
        <v>6872</v>
      </c>
    </row>
    <row r="582" spans="1:9">
      <c r="A582" s="620">
        <f t="shared" si="8"/>
        <v>578</v>
      </c>
      <c r="B582" s="621" t="s">
        <v>88</v>
      </c>
      <c r="C582" s="621" t="str">
        <f>"2512"</f>
        <v>2512</v>
      </c>
      <c r="D582" s="621" t="s">
        <v>18</v>
      </c>
      <c r="E582" s="621">
        <v>70</v>
      </c>
      <c r="F582" s="622">
        <v>43522</v>
      </c>
      <c r="G582" s="622">
        <v>45347</v>
      </c>
      <c r="H582" s="621" t="s">
        <v>16</v>
      </c>
      <c r="I582" s="621" t="s">
        <v>6872</v>
      </c>
    </row>
    <row r="583" spans="1:9">
      <c r="A583" s="617">
        <f t="shared" ref="A583:A646" si="9">+A582+1</f>
        <v>579</v>
      </c>
      <c r="B583" s="618" t="s">
        <v>88</v>
      </c>
      <c r="C583" s="618" t="str">
        <f>"2513"</f>
        <v>2513</v>
      </c>
      <c r="D583" s="618" t="s">
        <v>18</v>
      </c>
      <c r="E583" s="618">
        <v>96</v>
      </c>
      <c r="F583" s="619">
        <v>43522</v>
      </c>
      <c r="G583" s="619">
        <v>45347</v>
      </c>
      <c r="H583" s="618" t="s">
        <v>16</v>
      </c>
      <c r="I583" s="618" t="s">
        <v>6872</v>
      </c>
    </row>
    <row r="584" spans="1:9">
      <c r="A584" s="620">
        <f t="shared" si="9"/>
        <v>580</v>
      </c>
      <c r="B584" s="621" t="s">
        <v>67</v>
      </c>
      <c r="C584" s="621" t="str">
        <f>"2589"</f>
        <v>2589</v>
      </c>
      <c r="D584" s="621" t="s">
        <v>13</v>
      </c>
      <c r="E584" s="621">
        <v>2</v>
      </c>
      <c r="F584" s="622">
        <v>36253</v>
      </c>
      <c r="G584" s="622">
        <v>47210</v>
      </c>
      <c r="H584" s="621" t="s">
        <v>16</v>
      </c>
      <c r="I584" s="621" t="s">
        <v>51</v>
      </c>
    </row>
    <row r="585" spans="1:9">
      <c r="A585" s="617">
        <f t="shared" si="9"/>
        <v>581</v>
      </c>
      <c r="B585" s="618" t="s">
        <v>36</v>
      </c>
      <c r="C585" s="618" t="str">
        <f>"2590"</f>
        <v>2590</v>
      </c>
      <c r="D585" s="618" t="s">
        <v>13</v>
      </c>
      <c r="E585" s="618">
        <v>92</v>
      </c>
      <c r="F585" s="619">
        <v>39908</v>
      </c>
      <c r="G585" s="619">
        <v>45386</v>
      </c>
      <c r="H585" s="618" t="s">
        <v>14</v>
      </c>
      <c r="I585" s="618" t="s">
        <v>6858</v>
      </c>
    </row>
    <row r="586" spans="1:9">
      <c r="A586" s="620">
        <f t="shared" si="9"/>
        <v>582</v>
      </c>
      <c r="B586" s="621" t="s">
        <v>48</v>
      </c>
      <c r="C586" s="621" t="str">
        <f>"2591"</f>
        <v>2591</v>
      </c>
      <c r="D586" s="621" t="s">
        <v>13</v>
      </c>
      <c r="E586" s="621">
        <v>162</v>
      </c>
      <c r="F586" s="622">
        <v>36105</v>
      </c>
      <c r="G586" s="622">
        <v>48032</v>
      </c>
      <c r="H586" s="621" t="s">
        <v>41</v>
      </c>
      <c r="I586" s="621" t="s">
        <v>6859</v>
      </c>
    </row>
    <row r="587" spans="1:9">
      <c r="A587" s="617">
        <f t="shared" si="9"/>
        <v>583</v>
      </c>
      <c r="B587" s="618" t="s">
        <v>40</v>
      </c>
      <c r="C587" s="618" t="str">
        <f>"2592"</f>
        <v>2592</v>
      </c>
      <c r="D587" s="618" t="s">
        <v>13</v>
      </c>
      <c r="E587" s="618">
        <v>256</v>
      </c>
      <c r="F587" s="619">
        <v>42557</v>
      </c>
      <c r="G587" s="619">
        <v>48034</v>
      </c>
      <c r="H587" s="618" t="s">
        <v>41</v>
      </c>
      <c r="I587" s="618" t="s">
        <v>51</v>
      </c>
    </row>
    <row r="588" spans="1:9">
      <c r="A588" s="620">
        <f t="shared" si="9"/>
        <v>584</v>
      </c>
      <c r="B588" s="621" t="s">
        <v>40</v>
      </c>
      <c r="C588" s="621" t="str">
        <f>"2593"</f>
        <v>2593</v>
      </c>
      <c r="D588" s="621" t="s">
        <v>13</v>
      </c>
      <c r="E588" s="621">
        <v>236</v>
      </c>
      <c r="F588" s="622">
        <v>36105</v>
      </c>
      <c r="G588" s="622">
        <v>42556</v>
      </c>
      <c r="H588" s="621" t="s">
        <v>41</v>
      </c>
      <c r="I588" s="621" t="s">
        <v>6858</v>
      </c>
    </row>
    <row r="589" spans="1:9">
      <c r="A589" s="617">
        <f t="shared" si="9"/>
        <v>585</v>
      </c>
      <c r="B589" s="618" t="s">
        <v>53</v>
      </c>
      <c r="C589" s="618" t="str">
        <f>"2594"</f>
        <v>2594</v>
      </c>
      <c r="D589" s="618" t="s">
        <v>13</v>
      </c>
      <c r="E589" s="618">
        <v>346</v>
      </c>
      <c r="F589" s="619">
        <v>42557</v>
      </c>
      <c r="G589" s="619">
        <v>48034</v>
      </c>
      <c r="H589" s="618" t="s">
        <v>41</v>
      </c>
      <c r="I589" s="618" t="s">
        <v>51</v>
      </c>
    </row>
    <row r="590" spans="1:9">
      <c r="A590" s="620">
        <f t="shared" si="9"/>
        <v>586</v>
      </c>
      <c r="B590" s="621" t="s">
        <v>53</v>
      </c>
      <c r="C590" s="621" t="str">
        <f>"2595"</f>
        <v>2595</v>
      </c>
      <c r="D590" s="621" t="s">
        <v>13</v>
      </c>
      <c r="E590" s="621">
        <v>267</v>
      </c>
      <c r="F590" s="622">
        <v>42557</v>
      </c>
      <c r="G590" s="622">
        <v>48034</v>
      </c>
      <c r="H590" s="621" t="s">
        <v>41</v>
      </c>
      <c r="I590" s="621" t="s">
        <v>51</v>
      </c>
    </row>
    <row r="591" spans="1:9">
      <c r="A591" s="617">
        <f t="shared" si="9"/>
        <v>587</v>
      </c>
      <c r="B591" s="618" t="s">
        <v>40</v>
      </c>
      <c r="C591" s="618" t="str">
        <f>"2596"</f>
        <v>2596</v>
      </c>
      <c r="D591" s="618" t="s">
        <v>13</v>
      </c>
      <c r="E591" s="618">
        <v>420</v>
      </c>
      <c r="F591" s="619">
        <v>36105</v>
      </c>
      <c r="G591" s="619">
        <v>42556</v>
      </c>
      <c r="H591" s="618" t="s">
        <v>56</v>
      </c>
      <c r="I591" s="618" t="s">
        <v>6858</v>
      </c>
    </row>
    <row r="592" spans="1:9">
      <c r="A592" s="620">
        <f t="shared" si="9"/>
        <v>588</v>
      </c>
      <c r="B592" s="621" t="s">
        <v>40</v>
      </c>
      <c r="C592" s="621" t="str">
        <f>"2597"</f>
        <v>2597</v>
      </c>
      <c r="D592" s="621" t="s">
        <v>13</v>
      </c>
      <c r="E592" s="621">
        <v>159</v>
      </c>
      <c r="F592" s="622">
        <v>36254</v>
      </c>
      <c r="G592" s="622">
        <v>42738</v>
      </c>
      <c r="H592" s="621" t="s">
        <v>19</v>
      </c>
      <c r="I592" s="621" t="s">
        <v>6858</v>
      </c>
    </row>
    <row r="593" spans="1:9">
      <c r="A593" s="617">
        <f t="shared" si="9"/>
        <v>589</v>
      </c>
      <c r="B593" s="618" t="s">
        <v>6873</v>
      </c>
      <c r="C593" s="618" t="str">
        <f>"2598"</f>
        <v>2598</v>
      </c>
      <c r="D593" s="618" t="s">
        <v>13</v>
      </c>
      <c r="E593" s="618">
        <v>235</v>
      </c>
      <c r="F593" s="619">
        <v>36254</v>
      </c>
      <c r="G593" s="619">
        <v>48216</v>
      </c>
      <c r="H593" s="618" t="s">
        <v>56</v>
      </c>
      <c r="I593" s="618" t="s">
        <v>6861</v>
      </c>
    </row>
    <row r="594" spans="1:9">
      <c r="A594" s="620">
        <f t="shared" si="9"/>
        <v>590</v>
      </c>
      <c r="B594" s="621" t="s">
        <v>40</v>
      </c>
      <c r="C594" s="621" t="str">
        <f>"2599"</f>
        <v>2599</v>
      </c>
      <c r="D594" s="621" t="s">
        <v>13</v>
      </c>
      <c r="E594" s="621">
        <v>163</v>
      </c>
      <c r="F594" s="622">
        <v>36254</v>
      </c>
      <c r="G594" s="622">
        <v>42738</v>
      </c>
      <c r="H594" s="621" t="s">
        <v>56</v>
      </c>
      <c r="I594" s="621" t="s">
        <v>6858</v>
      </c>
    </row>
    <row r="595" spans="1:9">
      <c r="A595" s="617">
        <f t="shared" si="9"/>
        <v>591</v>
      </c>
      <c r="B595" s="618" t="s">
        <v>40</v>
      </c>
      <c r="C595" s="618" t="str">
        <f>"2600"</f>
        <v>2600</v>
      </c>
      <c r="D595" s="618" t="s">
        <v>13</v>
      </c>
      <c r="E595" s="618">
        <v>291</v>
      </c>
      <c r="F595" s="619">
        <v>38093</v>
      </c>
      <c r="G595" s="619">
        <v>44576</v>
      </c>
      <c r="H595" s="618" t="s">
        <v>41</v>
      </c>
      <c r="I595" s="618" t="s">
        <v>6858</v>
      </c>
    </row>
    <row r="596" spans="1:9">
      <c r="A596" s="620">
        <f t="shared" si="9"/>
        <v>592</v>
      </c>
      <c r="B596" s="621" t="s">
        <v>62</v>
      </c>
      <c r="C596" s="621" t="str">
        <f>"2601"</f>
        <v>2601</v>
      </c>
      <c r="D596" s="621" t="s">
        <v>13</v>
      </c>
      <c r="E596" s="621">
        <v>338</v>
      </c>
      <c r="F596" s="622">
        <v>42632</v>
      </c>
      <c r="G596" s="622">
        <v>48109</v>
      </c>
      <c r="H596" s="621" t="s">
        <v>56</v>
      </c>
      <c r="I596" s="621" t="s">
        <v>51</v>
      </c>
    </row>
    <row r="597" spans="1:9">
      <c r="A597" s="617">
        <f t="shared" si="9"/>
        <v>593</v>
      </c>
      <c r="B597" s="618" t="s">
        <v>36</v>
      </c>
      <c r="C597" s="618" t="str">
        <f>"2603"</f>
        <v>2603</v>
      </c>
      <c r="D597" s="618" t="s">
        <v>13</v>
      </c>
      <c r="E597" s="618">
        <v>22</v>
      </c>
      <c r="F597" s="619">
        <v>39907</v>
      </c>
      <c r="G597" s="619">
        <v>45385</v>
      </c>
      <c r="H597" s="618" t="s">
        <v>14</v>
      </c>
      <c r="I597" s="618" t="s">
        <v>6858</v>
      </c>
    </row>
    <row r="598" spans="1:9">
      <c r="A598" s="620">
        <f t="shared" si="9"/>
        <v>594</v>
      </c>
      <c r="B598" s="621" t="s">
        <v>36</v>
      </c>
      <c r="C598" s="621" t="str">
        <f>"2604"</f>
        <v>2604</v>
      </c>
      <c r="D598" s="621" t="s">
        <v>13</v>
      </c>
      <c r="E598" s="621">
        <v>56</v>
      </c>
      <c r="F598" s="622">
        <v>39907</v>
      </c>
      <c r="G598" s="622">
        <v>45385</v>
      </c>
      <c r="H598" s="621" t="s">
        <v>16</v>
      </c>
      <c r="I598" s="621" t="s">
        <v>6858</v>
      </c>
    </row>
    <row r="599" spans="1:9">
      <c r="A599" s="617">
        <f t="shared" si="9"/>
        <v>595</v>
      </c>
      <c r="B599" s="618" t="s">
        <v>36</v>
      </c>
      <c r="C599" s="618" t="str">
        <f>"2605"</f>
        <v>2605</v>
      </c>
      <c r="D599" s="618" t="s">
        <v>13</v>
      </c>
      <c r="E599" s="618">
        <v>11</v>
      </c>
      <c r="F599" s="619">
        <v>39907</v>
      </c>
      <c r="G599" s="619">
        <v>45385</v>
      </c>
      <c r="H599" s="618" t="s">
        <v>16</v>
      </c>
      <c r="I599" s="618" t="s">
        <v>6858</v>
      </c>
    </row>
    <row r="600" spans="1:9">
      <c r="A600" s="620">
        <f t="shared" si="9"/>
        <v>596</v>
      </c>
      <c r="B600" s="621" t="s">
        <v>981</v>
      </c>
      <c r="C600" s="621" t="str">
        <f>"2606"</f>
        <v>2606</v>
      </c>
      <c r="D600" s="621" t="s">
        <v>13</v>
      </c>
      <c r="E600" s="621">
        <v>34</v>
      </c>
      <c r="F600" s="622">
        <v>37382</v>
      </c>
      <c r="G600" s="622">
        <v>44686</v>
      </c>
      <c r="H600" s="621" t="s">
        <v>16</v>
      </c>
      <c r="I600" s="621" t="s">
        <v>6858</v>
      </c>
    </row>
    <row r="601" spans="1:9">
      <c r="A601" s="617">
        <f t="shared" si="9"/>
        <v>597</v>
      </c>
      <c r="B601" s="618" t="s">
        <v>981</v>
      </c>
      <c r="C601" s="618" t="str">
        <f>"2607"</f>
        <v>2607</v>
      </c>
      <c r="D601" s="618" t="s">
        <v>13</v>
      </c>
      <c r="E601" s="618">
        <v>41</v>
      </c>
      <c r="F601" s="619">
        <v>37382</v>
      </c>
      <c r="G601" s="619">
        <v>44686</v>
      </c>
      <c r="H601" s="618" t="s">
        <v>16</v>
      </c>
      <c r="I601" s="618" t="s">
        <v>6858</v>
      </c>
    </row>
    <row r="602" spans="1:9">
      <c r="A602" s="620">
        <f t="shared" si="9"/>
        <v>598</v>
      </c>
      <c r="B602" s="621" t="s">
        <v>981</v>
      </c>
      <c r="C602" s="621" t="str">
        <f>"2608"</f>
        <v>2608</v>
      </c>
      <c r="D602" s="621" t="s">
        <v>13</v>
      </c>
      <c r="E602" s="621">
        <v>122</v>
      </c>
      <c r="F602" s="622">
        <v>37382</v>
      </c>
      <c r="G602" s="622">
        <v>44686</v>
      </c>
      <c r="H602" s="621" t="s">
        <v>16</v>
      </c>
      <c r="I602" s="621" t="s">
        <v>6858</v>
      </c>
    </row>
    <row r="603" spans="1:9">
      <c r="A603" s="617">
        <f t="shared" si="9"/>
        <v>599</v>
      </c>
      <c r="B603" s="618" t="s">
        <v>40</v>
      </c>
      <c r="C603" s="618" t="str">
        <f>"2609"</f>
        <v>2609</v>
      </c>
      <c r="D603" s="618" t="s">
        <v>13</v>
      </c>
      <c r="E603" s="618">
        <v>270</v>
      </c>
      <c r="F603" s="619">
        <v>38093</v>
      </c>
      <c r="G603" s="619">
        <v>44576</v>
      </c>
      <c r="H603" s="618" t="s">
        <v>41</v>
      </c>
      <c r="I603" s="618" t="s">
        <v>6858</v>
      </c>
    </row>
    <row r="604" spans="1:9">
      <c r="A604" s="620">
        <f t="shared" si="9"/>
        <v>600</v>
      </c>
      <c r="B604" s="621" t="s">
        <v>40</v>
      </c>
      <c r="C604" s="621" t="str">
        <f>"2610"</f>
        <v>2610</v>
      </c>
      <c r="D604" s="621" t="s">
        <v>13</v>
      </c>
      <c r="E604" s="621">
        <v>82</v>
      </c>
      <c r="F604" s="622">
        <v>38093</v>
      </c>
      <c r="G604" s="622">
        <v>44576</v>
      </c>
      <c r="H604" s="621" t="s">
        <v>41</v>
      </c>
      <c r="I604" s="621" t="s">
        <v>6858</v>
      </c>
    </row>
    <row r="605" spans="1:9">
      <c r="A605" s="617">
        <f t="shared" si="9"/>
        <v>601</v>
      </c>
      <c r="B605" s="618" t="s">
        <v>1678</v>
      </c>
      <c r="C605" s="618" t="str">
        <f>"2618"</f>
        <v>2618</v>
      </c>
      <c r="D605" s="618" t="s">
        <v>18</v>
      </c>
      <c r="E605" s="618">
        <v>178</v>
      </c>
      <c r="F605" s="619">
        <v>39000</v>
      </c>
      <c r="G605" s="619">
        <v>40825</v>
      </c>
      <c r="H605" s="618" t="s">
        <v>28</v>
      </c>
      <c r="I605" s="618" t="s">
        <v>6863</v>
      </c>
    </row>
    <row r="606" spans="1:9">
      <c r="A606" s="620">
        <f t="shared" si="9"/>
        <v>602</v>
      </c>
      <c r="B606" s="621" t="s">
        <v>1678</v>
      </c>
      <c r="C606" s="621" t="str">
        <f>"2619"</f>
        <v>2619</v>
      </c>
      <c r="D606" s="621" t="s">
        <v>18</v>
      </c>
      <c r="E606" s="621">
        <v>172</v>
      </c>
      <c r="F606" s="622">
        <v>39000</v>
      </c>
      <c r="G606" s="622">
        <v>40825</v>
      </c>
      <c r="H606" s="621" t="s">
        <v>28</v>
      </c>
      <c r="I606" s="621" t="s">
        <v>6863</v>
      </c>
    </row>
    <row r="607" spans="1:9">
      <c r="A607" s="617">
        <f t="shared" si="9"/>
        <v>603</v>
      </c>
      <c r="B607" s="618" t="s">
        <v>1678</v>
      </c>
      <c r="C607" s="618" t="str">
        <f>"2628"</f>
        <v>2628</v>
      </c>
      <c r="D607" s="618" t="s">
        <v>18</v>
      </c>
      <c r="E607" s="618">
        <v>188</v>
      </c>
      <c r="F607" s="619">
        <v>39000</v>
      </c>
      <c r="G607" s="619">
        <v>40825</v>
      </c>
      <c r="H607" s="618" t="s">
        <v>28</v>
      </c>
      <c r="I607" s="618" t="s">
        <v>6863</v>
      </c>
    </row>
    <row r="608" spans="1:9">
      <c r="A608" s="620">
        <f t="shared" si="9"/>
        <v>604</v>
      </c>
      <c r="B608" s="621" t="s">
        <v>1678</v>
      </c>
      <c r="C608" s="621" t="str">
        <f>"2631"</f>
        <v>2631</v>
      </c>
      <c r="D608" s="621" t="s">
        <v>18</v>
      </c>
      <c r="E608" s="621">
        <v>200</v>
      </c>
      <c r="F608" s="622">
        <v>39000</v>
      </c>
      <c r="G608" s="622">
        <v>40825</v>
      </c>
      <c r="H608" s="621" t="s">
        <v>28</v>
      </c>
      <c r="I608" s="621" t="s">
        <v>6863</v>
      </c>
    </row>
    <row r="609" spans="1:9">
      <c r="A609" s="617">
        <f t="shared" si="9"/>
        <v>605</v>
      </c>
      <c r="B609" s="618" t="s">
        <v>1678</v>
      </c>
      <c r="C609" s="618" t="str">
        <f>"2632"</f>
        <v>2632</v>
      </c>
      <c r="D609" s="618" t="s">
        <v>18</v>
      </c>
      <c r="E609" s="618">
        <v>184</v>
      </c>
      <c r="F609" s="619">
        <v>39000</v>
      </c>
      <c r="G609" s="619">
        <v>40825</v>
      </c>
      <c r="H609" s="618" t="s">
        <v>28</v>
      </c>
      <c r="I609" s="618" t="s">
        <v>6863</v>
      </c>
    </row>
    <row r="610" spans="1:9">
      <c r="A610" s="620">
        <f t="shared" si="9"/>
        <v>606</v>
      </c>
      <c r="B610" s="621" t="s">
        <v>1678</v>
      </c>
      <c r="C610" s="621" t="str">
        <f>"2635"</f>
        <v>2635</v>
      </c>
      <c r="D610" s="621" t="s">
        <v>18</v>
      </c>
      <c r="E610" s="621">
        <v>200</v>
      </c>
      <c r="F610" s="622">
        <v>39000</v>
      </c>
      <c r="G610" s="622">
        <v>40825</v>
      </c>
      <c r="H610" s="621" t="s">
        <v>28</v>
      </c>
      <c r="I610" s="621" t="s">
        <v>6863</v>
      </c>
    </row>
    <row r="611" spans="1:9">
      <c r="A611" s="617">
        <f t="shared" si="9"/>
        <v>607</v>
      </c>
      <c r="B611" s="618" t="s">
        <v>1678</v>
      </c>
      <c r="C611" s="618" t="str">
        <f>"2636"</f>
        <v>2636</v>
      </c>
      <c r="D611" s="618" t="s">
        <v>18</v>
      </c>
      <c r="E611" s="618">
        <v>200</v>
      </c>
      <c r="F611" s="619">
        <v>39000</v>
      </c>
      <c r="G611" s="619">
        <v>40825</v>
      </c>
      <c r="H611" s="618" t="s">
        <v>28</v>
      </c>
      <c r="I611" s="618" t="s">
        <v>6863</v>
      </c>
    </row>
    <row r="612" spans="1:9">
      <c r="A612" s="620">
        <f t="shared" si="9"/>
        <v>608</v>
      </c>
      <c r="B612" s="621" t="s">
        <v>65</v>
      </c>
      <c r="C612" s="621" t="str">
        <f>"2639"</f>
        <v>2639</v>
      </c>
      <c r="D612" s="621" t="s">
        <v>13</v>
      </c>
      <c r="E612" s="621">
        <v>11</v>
      </c>
      <c r="F612" s="622">
        <v>42411</v>
      </c>
      <c r="G612" s="622">
        <v>54100</v>
      </c>
      <c r="H612" s="621" t="s">
        <v>23</v>
      </c>
      <c r="I612" s="621" t="s">
        <v>51</v>
      </c>
    </row>
    <row r="613" spans="1:9">
      <c r="A613" s="617">
        <f t="shared" si="9"/>
        <v>609</v>
      </c>
      <c r="B613" s="618" t="s">
        <v>15</v>
      </c>
      <c r="C613" s="618" t="str">
        <f>"2752"</f>
        <v>2752</v>
      </c>
      <c r="D613" s="618" t="s">
        <v>13</v>
      </c>
      <c r="E613" s="618">
        <v>44</v>
      </c>
      <c r="F613" s="619">
        <v>42411</v>
      </c>
      <c r="G613" s="619">
        <v>53368</v>
      </c>
      <c r="H613" s="618" t="s">
        <v>14</v>
      </c>
      <c r="I613" s="618" t="s">
        <v>51</v>
      </c>
    </row>
    <row r="614" spans="1:9">
      <c r="A614" s="620">
        <f t="shared" si="9"/>
        <v>610</v>
      </c>
      <c r="B614" s="621" t="s">
        <v>15</v>
      </c>
      <c r="C614" s="621" t="str">
        <f>"2756"</f>
        <v>2756</v>
      </c>
      <c r="D614" s="621" t="s">
        <v>13</v>
      </c>
      <c r="E614" s="621">
        <v>68</v>
      </c>
      <c r="F614" s="622">
        <v>40059</v>
      </c>
      <c r="G614" s="622">
        <v>51015</v>
      </c>
      <c r="H614" s="621" t="s">
        <v>16</v>
      </c>
      <c r="I614" s="621" t="s">
        <v>51</v>
      </c>
    </row>
    <row r="615" spans="1:9">
      <c r="A615" s="617">
        <f t="shared" si="9"/>
        <v>611</v>
      </c>
      <c r="B615" s="618" t="s">
        <v>15</v>
      </c>
      <c r="C615" s="618" t="str">
        <f>"2758"</f>
        <v>2758</v>
      </c>
      <c r="D615" s="618" t="s">
        <v>13</v>
      </c>
      <c r="E615" s="618">
        <v>106</v>
      </c>
      <c r="F615" s="619">
        <v>39839</v>
      </c>
      <c r="G615" s="619">
        <v>50795</v>
      </c>
      <c r="H615" s="618" t="s">
        <v>16</v>
      </c>
      <c r="I615" s="618" t="s">
        <v>6870</v>
      </c>
    </row>
    <row r="616" spans="1:9">
      <c r="A616" s="620">
        <f t="shared" si="9"/>
        <v>612</v>
      </c>
      <c r="B616" s="621" t="s">
        <v>15</v>
      </c>
      <c r="C616" s="621" t="str">
        <f>"2760"</f>
        <v>2760</v>
      </c>
      <c r="D616" s="621" t="s">
        <v>13</v>
      </c>
      <c r="E616" s="621">
        <v>194</v>
      </c>
      <c r="F616" s="622">
        <v>40995</v>
      </c>
      <c r="G616" s="622">
        <v>51951</v>
      </c>
      <c r="H616" s="621" t="s">
        <v>16</v>
      </c>
      <c r="I616" s="621" t="s">
        <v>51</v>
      </c>
    </row>
    <row r="617" spans="1:9">
      <c r="A617" s="617">
        <f t="shared" si="9"/>
        <v>613</v>
      </c>
      <c r="B617" s="618" t="s">
        <v>15</v>
      </c>
      <c r="C617" s="618" t="str">
        <f>"2765"</f>
        <v>2765</v>
      </c>
      <c r="D617" s="618" t="s">
        <v>18</v>
      </c>
      <c r="E617" s="618">
        <v>99</v>
      </c>
      <c r="F617" s="619">
        <v>42200</v>
      </c>
      <c r="G617" s="619">
        <v>44026</v>
      </c>
      <c r="H617" s="618" t="s">
        <v>45</v>
      </c>
      <c r="I617" s="618" t="s">
        <v>6868</v>
      </c>
    </row>
    <row r="618" spans="1:9">
      <c r="A618" s="620">
        <f t="shared" si="9"/>
        <v>614</v>
      </c>
      <c r="B618" s="621" t="s">
        <v>15</v>
      </c>
      <c r="C618" s="621" t="str">
        <f>"2769"</f>
        <v>2769</v>
      </c>
      <c r="D618" s="621" t="s">
        <v>13</v>
      </c>
      <c r="E618" s="621">
        <v>7</v>
      </c>
      <c r="F618" s="622">
        <v>42949</v>
      </c>
      <c r="G618" s="622">
        <v>53905</v>
      </c>
      <c r="H618" s="621" t="s">
        <v>16</v>
      </c>
      <c r="I618" s="621" t="s">
        <v>51</v>
      </c>
    </row>
    <row r="619" spans="1:9">
      <c r="A619" s="617">
        <f t="shared" si="9"/>
        <v>615</v>
      </c>
      <c r="B619" s="618" t="s">
        <v>15</v>
      </c>
      <c r="C619" s="618" t="str">
        <f>"2774"</f>
        <v>2774</v>
      </c>
      <c r="D619" s="618" t="s">
        <v>13</v>
      </c>
      <c r="E619" s="618">
        <v>45</v>
      </c>
      <c r="F619" s="619">
        <v>42304</v>
      </c>
      <c r="G619" s="619">
        <v>53261</v>
      </c>
      <c r="H619" s="618" t="s">
        <v>16</v>
      </c>
      <c r="I619" s="618" t="s">
        <v>51</v>
      </c>
    </row>
    <row r="620" spans="1:9">
      <c r="A620" s="620">
        <f t="shared" si="9"/>
        <v>616</v>
      </c>
      <c r="B620" s="621" t="s">
        <v>15</v>
      </c>
      <c r="C620" s="621" t="str">
        <f>"2775"</f>
        <v>2775</v>
      </c>
      <c r="D620" s="621" t="s">
        <v>13</v>
      </c>
      <c r="E620" s="621">
        <v>200</v>
      </c>
      <c r="F620" s="622">
        <v>41824</v>
      </c>
      <c r="G620" s="622">
        <v>52781</v>
      </c>
      <c r="H620" s="621" t="s">
        <v>45</v>
      </c>
      <c r="I620" s="621" t="s">
        <v>51</v>
      </c>
    </row>
    <row r="621" spans="1:9">
      <c r="A621" s="617">
        <f t="shared" si="9"/>
        <v>617</v>
      </c>
      <c r="B621" s="618" t="s">
        <v>15</v>
      </c>
      <c r="C621" s="618" t="str">
        <f>"2778"</f>
        <v>2778</v>
      </c>
      <c r="D621" s="618" t="s">
        <v>13</v>
      </c>
      <c r="E621" s="618">
        <v>93</v>
      </c>
      <c r="F621" s="619">
        <v>42949</v>
      </c>
      <c r="G621" s="619">
        <v>53905</v>
      </c>
      <c r="H621" s="618" t="s">
        <v>16</v>
      </c>
      <c r="I621" s="618" t="s">
        <v>51</v>
      </c>
    </row>
    <row r="622" spans="1:9">
      <c r="A622" s="620">
        <f t="shared" si="9"/>
        <v>618</v>
      </c>
      <c r="B622" s="621" t="s">
        <v>1678</v>
      </c>
      <c r="C622" s="621" t="str">
        <f>"2791"</f>
        <v>2791</v>
      </c>
      <c r="D622" s="621" t="s">
        <v>18</v>
      </c>
      <c r="E622" s="621">
        <v>291</v>
      </c>
      <c r="F622" s="622">
        <v>39000</v>
      </c>
      <c r="G622" s="622">
        <v>40825</v>
      </c>
      <c r="H622" s="621" t="s">
        <v>22</v>
      </c>
      <c r="I622" s="621" t="s">
        <v>6863</v>
      </c>
    </row>
    <row r="623" spans="1:9">
      <c r="A623" s="617">
        <f t="shared" si="9"/>
        <v>619</v>
      </c>
      <c r="B623" s="618" t="s">
        <v>1678</v>
      </c>
      <c r="C623" s="618" t="str">
        <f>"2792"</f>
        <v>2792</v>
      </c>
      <c r="D623" s="618" t="s">
        <v>18</v>
      </c>
      <c r="E623" s="618">
        <v>158</v>
      </c>
      <c r="F623" s="619">
        <v>39000</v>
      </c>
      <c r="G623" s="619">
        <v>40825</v>
      </c>
      <c r="H623" s="618" t="s">
        <v>28</v>
      </c>
      <c r="I623" s="618" t="s">
        <v>6863</v>
      </c>
    </row>
    <row r="624" spans="1:9">
      <c r="A624" s="620">
        <f t="shared" si="9"/>
        <v>620</v>
      </c>
      <c r="B624" s="621" t="s">
        <v>1678</v>
      </c>
      <c r="C624" s="621" t="str">
        <f>"2793"</f>
        <v>2793</v>
      </c>
      <c r="D624" s="621" t="s">
        <v>18</v>
      </c>
      <c r="E624" s="621">
        <v>155</v>
      </c>
      <c r="F624" s="622">
        <v>39000</v>
      </c>
      <c r="G624" s="622">
        <v>40825</v>
      </c>
      <c r="H624" s="621" t="s">
        <v>29</v>
      </c>
      <c r="I624" s="621" t="s">
        <v>6863</v>
      </c>
    </row>
    <row r="625" spans="1:9">
      <c r="A625" s="617">
        <f t="shared" si="9"/>
        <v>621</v>
      </c>
      <c r="B625" s="618" t="s">
        <v>36</v>
      </c>
      <c r="C625" s="618" t="str">
        <f>"2808"</f>
        <v>2808</v>
      </c>
      <c r="D625" s="618" t="s">
        <v>13</v>
      </c>
      <c r="E625" s="618">
        <v>117</v>
      </c>
      <c r="F625" s="619">
        <v>43006</v>
      </c>
      <c r="G625" s="619">
        <v>53962</v>
      </c>
      <c r="H625" s="618" t="s">
        <v>14</v>
      </c>
      <c r="I625" s="618" t="s">
        <v>51</v>
      </c>
    </row>
    <row r="626" spans="1:9">
      <c r="A626" s="620">
        <f t="shared" si="9"/>
        <v>622</v>
      </c>
      <c r="B626" s="621" t="s">
        <v>36</v>
      </c>
      <c r="C626" s="621" t="str">
        <f>"2809"</f>
        <v>2809</v>
      </c>
      <c r="D626" s="621" t="s">
        <v>13</v>
      </c>
      <c r="E626" s="621">
        <v>157</v>
      </c>
      <c r="F626" s="622">
        <v>41552</v>
      </c>
      <c r="G626" s="622">
        <v>52508</v>
      </c>
      <c r="H626" s="621" t="s">
        <v>14</v>
      </c>
      <c r="I626" s="621" t="s">
        <v>51</v>
      </c>
    </row>
    <row r="627" spans="1:9">
      <c r="A627" s="617">
        <f t="shared" si="9"/>
        <v>623</v>
      </c>
      <c r="B627" s="618" t="s">
        <v>36</v>
      </c>
      <c r="C627" s="618" t="str">
        <f>"2810"</f>
        <v>2810</v>
      </c>
      <c r="D627" s="618" t="s">
        <v>13</v>
      </c>
      <c r="E627" s="618">
        <v>88</v>
      </c>
      <c r="F627" s="619">
        <v>41552</v>
      </c>
      <c r="G627" s="619">
        <v>52508</v>
      </c>
      <c r="H627" s="618" t="s">
        <v>14</v>
      </c>
      <c r="I627" s="618" t="s">
        <v>51</v>
      </c>
    </row>
    <row r="628" spans="1:9">
      <c r="A628" s="620">
        <f t="shared" si="9"/>
        <v>624</v>
      </c>
      <c r="B628" s="621" t="s">
        <v>36</v>
      </c>
      <c r="C628" s="621" t="str">
        <f>"2811"</f>
        <v>2811</v>
      </c>
      <c r="D628" s="621" t="s">
        <v>13</v>
      </c>
      <c r="E628" s="621">
        <v>18</v>
      </c>
      <c r="F628" s="622">
        <v>41552</v>
      </c>
      <c r="G628" s="622">
        <v>52508</v>
      </c>
      <c r="H628" s="621" t="s">
        <v>14</v>
      </c>
      <c r="I628" s="621" t="s">
        <v>51</v>
      </c>
    </row>
    <row r="629" spans="1:9">
      <c r="A629" s="617">
        <f t="shared" si="9"/>
        <v>625</v>
      </c>
      <c r="B629" s="618" t="s">
        <v>1679</v>
      </c>
      <c r="C629" s="618" t="str">
        <f>"2812"</f>
        <v>2812</v>
      </c>
      <c r="D629" s="618" t="s">
        <v>37</v>
      </c>
      <c r="E629" s="618">
        <v>68</v>
      </c>
      <c r="F629" s="619">
        <v>40477</v>
      </c>
      <c r="G629" s="619">
        <v>42302</v>
      </c>
      <c r="H629" s="618" t="s">
        <v>16</v>
      </c>
      <c r="I629" s="618" t="s">
        <v>385</v>
      </c>
    </row>
    <row r="630" spans="1:9">
      <c r="A630" s="620">
        <f t="shared" si="9"/>
        <v>626</v>
      </c>
      <c r="B630" s="621" t="s">
        <v>407</v>
      </c>
      <c r="C630" s="621" t="str">
        <f>"2818"</f>
        <v>2818</v>
      </c>
      <c r="D630" s="621" t="s">
        <v>27</v>
      </c>
      <c r="E630" s="621">
        <v>11</v>
      </c>
      <c r="F630" s="622">
        <v>41970</v>
      </c>
      <c r="G630" s="622">
        <v>43795</v>
      </c>
      <c r="H630" s="621" t="s">
        <v>23</v>
      </c>
      <c r="I630" s="621" t="s">
        <v>6858</v>
      </c>
    </row>
    <row r="631" spans="1:9">
      <c r="A631" s="617">
        <f t="shared" si="9"/>
        <v>627</v>
      </c>
      <c r="B631" s="618" t="s">
        <v>1680</v>
      </c>
      <c r="C631" s="618" t="str">
        <f>"2925"</f>
        <v>2925</v>
      </c>
      <c r="D631" s="618" t="s">
        <v>18</v>
      </c>
      <c r="E631" s="618">
        <v>6</v>
      </c>
      <c r="F631" s="619">
        <v>38572</v>
      </c>
      <c r="G631" s="619">
        <v>40397</v>
      </c>
      <c r="H631" s="618" t="s">
        <v>23</v>
      </c>
      <c r="I631" s="618" t="s">
        <v>6862</v>
      </c>
    </row>
    <row r="632" spans="1:9">
      <c r="A632" s="620">
        <f t="shared" si="9"/>
        <v>628</v>
      </c>
      <c r="B632" s="621" t="s">
        <v>389</v>
      </c>
      <c r="C632" s="621" t="str">
        <f>"3014"</f>
        <v>3014</v>
      </c>
      <c r="D632" s="621" t="s">
        <v>18</v>
      </c>
      <c r="E632" s="621">
        <v>18</v>
      </c>
      <c r="F632" s="622">
        <v>38621</v>
      </c>
      <c r="G632" s="622">
        <v>40081</v>
      </c>
      <c r="H632" s="621" t="s">
        <v>23</v>
      </c>
      <c r="I632" s="621" t="s">
        <v>6863</v>
      </c>
    </row>
    <row r="633" spans="1:9">
      <c r="A633" s="617">
        <f t="shared" si="9"/>
        <v>629</v>
      </c>
      <c r="B633" s="618" t="s">
        <v>389</v>
      </c>
      <c r="C633" s="618" t="str">
        <f>"3015"</f>
        <v>3015</v>
      </c>
      <c r="D633" s="618" t="s">
        <v>18</v>
      </c>
      <c r="E633" s="618">
        <v>9</v>
      </c>
      <c r="F633" s="619">
        <v>38621</v>
      </c>
      <c r="G633" s="619">
        <v>40081</v>
      </c>
      <c r="H633" s="618" t="s">
        <v>23</v>
      </c>
      <c r="I633" s="618" t="s">
        <v>6863</v>
      </c>
    </row>
    <row r="634" spans="1:9">
      <c r="A634" s="620">
        <f t="shared" si="9"/>
        <v>630</v>
      </c>
      <c r="B634" s="621" t="s">
        <v>1681</v>
      </c>
      <c r="C634" s="621" t="str">
        <f>"3082"</f>
        <v>3082</v>
      </c>
      <c r="D634" s="621" t="s">
        <v>18</v>
      </c>
      <c r="E634" s="621">
        <v>220</v>
      </c>
      <c r="F634" s="622">
        <v>38570</v>
      </c>
      <c r="G634" s="622">
        <v>40030</v>
      </c>
      <c r="H634" s="621" t="s">
        <v>43</v>
      </c>
      <c r="I634" s="621" t="s">
        <v>385</v>
      </c>
    </row>
    <row r="635" spans="1:9">
      <c r="A635" s="617">
        <f t="shared" si="9"/>
        <v>631</v>
      </c>
      <c r="B635" s="618" t="s">
        <v>1682</v>
      </c>
      <c r="C635" s="618" t="str">
        <f>"3092"</f>
        <v>3092</v>
      </c>
      <c r="D635" s="618" t="s">
        <v>18</v>
      </c>
      <c r="E635" s="618">
        <v>76</v>
      </c>
      <c r="F635" s="619">
        <v>40398</v>
      </c>
      <c r="G635" s="619">
        <v>42223</v>
      </c>
      <c r="H635" s="618" t="s">
        <v>14</v>
      </c>
      <c r="I635" s="618" t="s">
        <v>385</v>
      </c>
    </row>
    <row r="636" spans="1:9">
      <c r="A636" s="620">
        <f t="shared" si="9"/>
        <v>632</v>
      </c>
      <c r="B636" s="621" t="s">
        <v>1682</v>
      </c>
      <c r="C636" s="621" t="str">
        <f>"3104"</f>
        <v>3104</v>
      </c>
      <c r="D636" s="621" t="s">
        <v>18</v>
      </c>
      <c r="E636" s="621">
        <v>376</v>
      </c>
      <c r="F636" s="622">
        <v>39265</v>
      </c>
      <c r="G636" s="622">
        <v>41091</v>
      </c>
      <c r="H636" s="621" t="s">
        <v>41</v>
      </c>
      <c r="I636" s="621" t="s">
        <v>385</v>
      </c>
    </row>
    <row r="637" spans="1:9">
      <c r="A637" s="617">
        <f t="shared" si="9"/>
        <v>633</v>
      </c>
      <c r="B637" s="618" t="s">
        <v>1682</v>
      </c>
      <c r="C637" s="618" t="str">
        <f>"3105"</f>
        <v>3105</v>
      </c>
      <c r="D637" s="618" t="s">
        <v>18</v>
      </c>
      <c r="E637" s="618">
        <v>400</v>
      </c>
      <c r="F637" s="619">
        <v>39265</v>
      </c>
      <c r="G637" s="619">
        <v>41091</v>
      </c>
      <c r="H637" s="618" t="s">
        <v>41</v>
      </c>
      <c r="I637" s="618" t="s">
        <v>385</v>
      </c>
    </row>
    <row r="638" spans="1:9">
      <c r="A638" s="620">
        <f t="shared" si="9"/>
        <v>634</v>
      </c>
      <c r="B638" s="621" t="s">
        <v>1682</v>
      </c>
      <c r="C638" s="621" t="str">
        <f>"3107"</f>
        <v>3107</v>
      </c>
      <c r="D638" s="621" t="s">
        <v>18</v>
      </c>
      <c r="E638" s="621">
        <v>400</v>
      </c>
      <c r="F638" s="622">
        <v>39265</v>
      </c>
      <c r="G638" s="622">
        <v>41091</v>
      </c>
      <c r="H638" s="621" t="s">
        <v>41</v>
      </c>
      <c r="I638" s="621" t="s">
        <v>385</v>
      </c>
    </row>
    <row r="639" spans="1:9">
      <c r="A639" s="617">
        <f t="shared" si="9"/>
        <v>635</v>
      </c>
      <c r="B639" s="618" t="s">
        <v>1682</v>
      </c>
      <c r="C639" s="618" t="str">
        <f>"3108"</f>
        <v>3108</v>
      </c>
      <c r="D639" s="618" t="s">
        <v>18</v>
      </c>
      <c r="E639" s="618">
        <v>400</v>
      </c>
      <c r="F639" s="619">
        <v>39265</v>
      </c>
      <c r="G639" s="619">
        <v>41091</v>
      </c>
      <c r="H639" s="618" t="s">
        <v>41</v>
      </c>
      <c r="I639" s="618" t="s">
        <v>385</v>
      </c>
    </row>
    <row r="640" spans="1:9">
      <c r="A640" s="620">
        <f t="shared" si="9"/>
        <v>636</v>
      </c>
      <c r="B640" s="621" t="s">
        <v>1682</v>
      </c>
      <c r="C640" s="621" t="str">
        <f>"3111"</f>
        <v>3111</v>
      </c>
      <c r="D640" s="621" t="s">
        <v>27</v>
      </c>
      <c r="E640" s="621">
        <v>394</v>
      </c>
      <c r="F640" s="622">
        <v>41536</v>
      </c>
      <c r="G640" s="622">
        <v>43361</v>
      </c>
      <c r="H640" s="621" t="s">
        <v>41</v>
      </c>
      <c r="I640" s="621" t="s">
        <v>385</v>
      </c>
    </row>
    <row r="641" spans="1:9">
      <c r="A641" s="617">
        <f t="shared" si="9"/>
        <v>637</v>
      </c>
      <c r="B641" s="618" t="s">
        <v>1683</v>
      </c>
      <c r="C641" s="618" t="str">
        <f>"3216"</f>
        <v>3216</v>
      </c>
      <c r="D641" s="618" t="s">
        <v>18</v>
      </c>
      <c r="E641" s="618">
        <v>200</v>
      </c>
      <c r="F641" s="619">
        <v>38572</v>
      </c>
      <c r="G641" s="619">
        <v>40397</v>
      </c>
      <c r="H641" s="618" t="s">
        <v>14</v>
      </c>
      <c r="I641" s="618" t="s">
        <v>385</v>
      </c>
    </row>
    <row r="642" spans="1:9">
      <c r="A642" s="620">
        <f t="shared" si="9"/>
        <v>638</v>
      </c>
      <c r="B642" s="621" t="s">
        <v>1683</v>
      </c>
      <c r="C642" s="621" t="str">
        <f>"3217"</f>
        <v>3217</v>
      </c>
      <c r="D642" s="621" t="s">
        <v>18</v>
      </c>
      <c r="E642" s="621">
        <v>200</v>
      </c>
      <c r="F642" s="622">
        <v>38572</v>
      </c>
      <c r="G642" s="622">
        <v>40397</v>
      </c>
      <c r="H642" s="621" t="s">
        <v>14</v>
      </c>
      <c r="I642" s="621" t="s">
        <v>385</v>
      </c>
    </row>
    <row r="643" spans="1:9">
      <c r="A643" s="617">
        <f t="shared" si="9"/>
        <v>639</v>
      </c>
      <c r="B643" s="618" t="s">
        <v>142</v>
      </c>
      <c r="C643" s="618" t="str">
        <f>"3238"</f>
        <v>3238</v>
      </c>
      <c r="D643" s="618" t="s">
        <v>18</v>
      </c>
      <c r="E643" s="618">
        <v>117</v>
      </c>
      <c r="F643" s="619">
        <v>40475</v>
      </c>
      <c r="G643" s="619">
        <v>41044</v>
      </c>
      <c r="H643" s="618" t="s">
        <v>43</v>
      </c>
      <c r="I643" s="618" t="s">
        <v>6858</v>
      </c>
    </row>
    <row r="644" spans="1:9">
      <c r="A644" s="620">
        <f t="shared" si="9"/>
        <v>640</v>
      </c>
      <c r="B644" s="621" t="s">
        <v>410</v>
      </c>
      <c r="C644" s="621" t="str">
        <f>"3279"</f>
        <v>3279</v>
      </c>
      <c r="D644" s="621" t="s">
        <v>18</v>
      </c>
      <c r="E644" s="621">
        <v>200</v>
      </c>
      <c r="F644" s="622">
        <v>39377</v>
      </c>
      <c r="G644" s="622">
        <v>41203</v>
      </c>
      <c r="H644" s="621" t="s">
        <v>41</v>
      </c>
      <c r="I644" s="621" t="s">
        <v>51</v>
      </c>
    </row>
    <row r="645" spans="1:9">
      <c r="A645" s="617">
        <f t="shared" si="9"/>
        <v>641</v>
      </c>
      <c r="B645" s="618" t="s">
        <v>410</v>
      </c>
      <c r="C645" s="618" t="str">
        <f>"3280"</f>
        <v>3280</v>
      </c>
      <c r="D645" s="618" t="s">
        <v>18</v>
      </c>
      <c r="E645" s="618">
        <v>222</v>
      </c>
      <c r="F645" s="619">
        <v>38992</v>
      </c>
      <c r="G645" s="619">
        <v>40817</v>
      </c>
      <c r="H645" s="618" t="s">
        <v>41</v>
      </c>
      <c r="I645" s="618" t="s">
        <v>385</v>
      </c>
    </row>
    <row r="646" spans="1:9">
      <c r="A646" s="620">
        <f t="shared" si="9"/>
        <v>642</v>
      </c>
      <c r="B646" s="621" t="s">
        <v>1684</v>
      </c>
      <c r="C646" s="621" t="str">
        <f>"3359"</f>
        <v>3359</v>
      </c>
      <c r="D646" s="621" t="s">
        <v>18</v>
      </c>
      <c r="E646" s="621">
        <v>380</v>
      </c>
      <c r="F646" s="622">
        <v>40694</v>
      </c>
      <c r="G646" s="622">
        <v>41343</v>
      </c>
      <c r="H646" s="621" t="s">
        <v>19</v>
      </c>
      <c r="I646" s="621" t="s">
        <v>6863</v>
      </c>
    </row>
    <row r="647" spans="1:9">
      <c r="A647" s="617">
        <f t="shared" ref="A647:A710" si="10">+A646+1</f>
        <v>643</v>
      </c>
      <c r="B647" s="618" t="s">
        <v>1684</v>
      </c>
      <c r="C647" s="618" t="str">
        <f>"3360"</f>
        <v>3360</v>
      </c>
      <c r="D647" s="618" t="s">
        <v>18</v>
      </c>
      <c r="E647" s="618">
        <v>349</v>
      </c>
      <c r="F647" s="619">
        <v>40695</v>
      </c>
      <c r="G647" s="619">
        <v>41528</v>
      </c>
      <c r="H647" s="618" t="s">
        <v>19</v>
      </c>
      <c r="I647" s="618" t="s">
        <v>6863</v>
      </c>
    </row>
    <row r="648" spans="1:9">
      <c r="A648" s="620">
        <f t="shared" si="10"/>
        <v>644</v>
      </c>
      <c r="B648" s="621" t="s">
        <v>1684</v>
      </c>
      <c r="C648" s="621" t="str">
        <f>"3368"</f>
        <v>3368</v>
      </c>
      <c r="D648" s="621" t="s">
        <v>18</v>
      </c>
      <c r="E648" s="621">
        <v>200</v>
      </c>
      <c r="F648" s="622">
        <v>40695</v>
      </c>
      <c r="G648" s="622">
        <v>41528</v>
      </c>
      <c r="H648" s="621" t="s">
        <v>28</v>
      </c>
      <c r="I648" s="621" t="s">
        <v>6863</v>
      </c>
    </row>
    <row r="649" spans="1:9">
      <c r="A649" s="617">
        <f t="shared" si="10"/>
        <v>645</v>
      </c>
      <c r="B649" s="618" t="s">
        <v>1684</v>
      </c>
      <c r="C649" s="618" t="str">
        <f>"3373"</f>
        <v>3373</v>
      </c>
      <c r="D649" s="618" t="s">
        <v>18</v>
      </c>
      <c r="E649" s="618">
        <v>280</v>
      </c>
      <c r="F649" s="619">
        <v>40695</v>
      </c>
      <c r="G649" s="619">
        <v>41528</v>
      </c>
      <c r="H649" s="618" t="s">
        <v>19</v>
      </c>
      <c r="I649" s="618" t="s">
        <v>6863</v>
      </c>
    </row>
    <row r="650" spans="1:9">
      <c r="A650" s="620">
        <f t="shared" si="10"/>
        <v>646</v>
      </c>
      <c r="B650" s="621" t="s">
        <v>1684</v>
      </c>
      <c r="C650" s="621" t="str">
        <f>"3376"</f>
        <v>3376</v>
      </c>
      <c r="D650" s="621" t="s">
        <v>18</v>
      </c>
      <c r="E650" s="621">
        <v>420</v>
      </c>
      <c r="F650" s="622">
        <v>40695</v>
      </c>
      <c r="G650" s="622">
        <v>41528</v>
      </c>
      <c r="H650" s="621" t="s">
        <v>19</v>
      </c>
      <c r="I650" s="621" t="s">
        <v>6863</v>
      </c>
    </row>
    <row r="651" spans="1:9">
      <c r="A651" s="617">
        <f t="shared" si="10"/>
        <v>647</v>
      </c>
      <c r="B651" s="618" t="s">
        <v>401</v>
      </c>
      <c r="C651" s="618" t="str">
        <f>"3383"</f>
        <v>3383</v>
      </c>
      <c r="D651" s="618" t="s">
        <v>18</v>
      </c>
      <c r="E651" s="618">
        <v>464</v>
      </c>
      <c r="F651" s="619">
        <v>39233</v>
      </c>
      <c r="G651" s="619">
        <v>41775</v>
      </c>
      <c r="H651" s="618" t="s">
        <v>19</v>
      </c>
      <c r="I651" s="618" t="s">
        <v>6859</v>
      </c>
    </row>
    <row r="652" spans="1:9">
      <c r="A652" s="620">
        <f t="shared" si="10"/>
        <v>648</v>
      </c>
      <c r="B652" s="621" t="s">
        <v>401</v>
      </c>
      <c r="C652" s="621" t="str">
        <f>"3384"</f>
        <v>3384</v>
      </c>
      <c r="D652" s="621" t="s">
        <v>18</v>
      </c>
      <c r="E652" s="621">
        <v>460</v>
      </c>
      <c r="F652" s="622">
        <v>39233</v>
      </c>
      <c r="G652" s="622">
        <v>41775</v>
      </c>
      <c r="H652" s="621" t="s">
        <v>19</v>
      </c>
      <c r="I652" s="621" t="s">
        <v>6859</v>
      </c>
    </row>
    <row r="653" spans="1:9">
      <c r="A653" s="617">
        <f t="shared" si="10"/>
        <v>649</v>
      </c>
      <c r="B653" s="618" t="s">
        <v>401</v>
      </c>
      <c r="C653" s="618" t="str">
        <f>"3387"</f>
        <v>3387</v>
      </c>
      <c r="D653" s="618" t="s">
        <v>18</v>
      </c>
      <c r="E653" s="618">
        <v>384</v>
      </c>
      <c r="F653" s="619">
        <v>39233</v>
      </c>
      <c r="G653" s="619">
        <v>41775</v>
      </c>
      <c r="H653" s="618" t="s">
        <v>19</v>
      </c>
      <c r="I653" s="618" t="s">
        <v>6859</v>
      </c>
    </row>
    <row r="654" spans="1:9">
      <c r="A654" s="620">
        <f t="shared" si="10"/>
        <v>650</v>
      </c>
      <c r="B654" s="621" t="s">
        <v>1652</v>
      </c>
      <c r="C654" s="621" t="str">
        <f>"3541"</f>
        <v>3541</v>
      </c>
      <c r="D654" s="621" t="s">
        <v>18</v>
      </c>
      <c r="E654" s="621">
        <v>16</v>
      </c>
      <c r="F654" s="622">
        <v>38548</v>
      </c>
      <c r="G654" s="622">
        <v>40373</v>
      </c>
      <c r="H654" s="621" t="s">
        <v>23</v>
      </c>
      <c r="I654" s="621" t="s">
        <v>6867</v>
      </c>
    </row>
    <row r="655" spans="1:9">
      <c r="A655" s="617">
        <f t="shared" si="10"/>
        <v>651</v>
      </c>
      <c r="B655" s="618" t="s">
        <v>1652</v>
      </c>
      <c r="C655" s="618" t="str">
        <f>"3542"</f>
        <v>3542</v>
      </c>
      <c r="D655" s="618" t="s">
        <v>18</v>
      </c>
      <c r="E655" s="618">
        <v>279</v>
      </c>
      <c r="F655" s="619">
        <v>38548</v>
      </c>
      <c r="G655" s="619">
        <v>40373</v>
      </c>
      <c r="H655" s="618" t="s">
        <v>23</v>
      </c>
      <c r="I655" s="618" t="s">
        <v>6867</v>
      </c>
    </row>
    <row r="656" spans="1:9">
      <c r="A656" s="620">
        <f t="shared" si="10"/>
        <v>652</v>
      </c>
      <c r="B656" s="621" t="s">
        <v>1652</v>
      </c>
      <c r="C656" s="621" t="str">
        <f>"3544"</f>
        <v>3544</v>
      </c>
      <c r="D656" s="621" t="s">
        <v>18</v>
      </c>
      <c r="E656" s="621">
        <v>12</v>
      </c>
      <c r="F656" s="622">
        <v>38548</v>
      </c>
      <c r="G656" s="622">
        <v>40373</v>
      </c>
      <c r="H656" s="621" t="s">
        <v>23</v>
      </c>
      <c r="I656" s="621" t="s">
        <v>6867</v>
      </c>
    </row>
    <row r="657" spans="1:9">
      <c r="A657" s="617">
        <f t="shared" si="10"/>
        <v>653</v>
      </c>
      <c r="B657" s="618" t="s">
        <v>1652</v>
      </c>
      <c r="C657" s="618" t="str">
        <f>"3545"</f>
        <v>3545</v>
      </c>
      <c r="D657" s="618" t="s">
        <v>18</v>
      </c>
      <c r="E657" s="618">
        <v>21</v>
      </c>
      <c r="F657" s="619">
        <v>38548</v>
      </c>
      <c r="G657" s="619">
        <v>40373</v>
      </c>
      <c r="H657" s="618" t="s">
        <v>23</v>
      </c>
      <c r="I657" s="618" t="s">
        <v>6867</v>
      </c>
    </row>
    <row r="658" spans="1:9">
      <c r="A658" s="620">
        <f t="shared" si="10"/>
        <v>654</v>
      </c>
      <c r="B658" s="621" t="s">
        <v>1652</v>
      </c>
      <c r="C658" s="621" t="str">
        <f>"3549"</f>
        <v>3549</v>
      </c>
      <c r="D658" s="621" t="s">
        <v>18</v>
      </c>
      <c r="E658" s="621">
        <v>46</v>
      </c>
      <c r="F658" s="622">
        <v>38548</v>
      </c>
      <c r="G658" s="622">
        <v>40373</v>
      </c>
      <c r="H658" s="621" t="s">
        <v>23</v>
      </c>
      <c r="I658" s="621" t="s">
        <v>6867</v>
      </c>
    </row>
    <row r="659" spans="1:9">
      <c r="A659" s="617">
        <f t="shared" si="10"/>
        <v>655</v>
      </c>
      <c r="B659" s="618" t="s">
        <v>1652</v>
      </c>
      <c r="C659" s="618" t="str">
        <f>"3552"</f>
        <v>3552</v>
      </c>
      <c r="D659" s="618" t="s">
        <v>18</v>
      </c>
      <c r="E659" s="618">
        <v>30</v>
      </c>
      <c r="F659" s="619">
        <v>38548</v>
      </c>
      <c r="G659" s="619">
        <v>40373</v>
      </c>
      <c r="H659" s="618" t="s">
        <v>23</v>
      </c>
      <c r="I659" s="618" t="s">
        <v>6867</v>
      </c>
    </row>
    <row r="660" spans="1:9">
      <c r="A660" s="620">
        <f t="shared" si="10"/>
        <v>656</v>
      </c>
      <c r="B660" s="621" t="s">
        <v>1652</v>
      </c>
      <c r="C660" s="621" t="str">
        <f>"3554"</f>
        <v>3554</v>
      </c>
      <c r="D660" s="621" t="s">
        <v>18</v>
      </c>
      <c r="E660" s="621">
        <v>110</v>
      </c>
      <c r="F660" s="622">
        <v>38548</v>
      </c>
      <c r="G660" s="622">
        <v>40373</v>
      </c>
      <c r="H660" s="621" t="s">
        <v>23</v>
      </c>
      <c r="I660" s="621" t="s">
        <v>6867</v>
      </c>
    </row>
    <row r="661" spans="1:9">
      <c r="A661" s="617">
        <f t="shared" si="10"/>
        <v>657</v>
      </c>
      <c r="B661" s="618" t="s">
        <v>1652</v>
      </c>
      <c r="C661" s="618" t="str">
        <f>"3556"</f>
        <v>3556</v>
      </c>
      <c r="D661" s="618" t="s">
        <v>18</v>
      </c>
      <c r="E661" s="618">
        <v>12</v>
      </c>
      <c r="F661" s="619">
        <v>38548</v>
      </c>
      <c r="G661" s="619">
        <v>40373</v>
      </c>
      <c r="H661" s="618" t="s">
        <v>23</v>
      </c>
      <c r="I661" s="618" t="s">
        <v>6867</v>
      </c>
    </row>
    <row r="662" spans="1:9">
      <c r="A662" s="620">
        <f t="shared" si="10"/>
        <v>658</v>
      </c>
      <c r="B662" s="621" t="s">
        <v>1652</v>
      </c>
      <c r="C662" s="621" t="str">
        <f>"3569"</f>
        <v>3569</v>
      </c>
      <c r="D662" s="621" t="s">
        <v>18</v>
      </c>
      <c r="E662" s="621">
        <v>24</v>
      </c>
      <c r="F662" s="622">
        <v>38548</v>
      </c>
      <c r="G662" s="622">
        <v>40373</v>
      </c>
      <c r="H662" s="621" t="s">
        <v>23</v>
      </c>
      <c r="I662" s="621" t="s">
        <v>6867</v>
      </c>
    </row>
    <row r="663" spans="1:9">
      <c r="A663" s="617">
        <f t="shared" si="10"/>
        <v>659</v>
      </c>
      <c r="B663" s="618" t="s">
        <v>1652</v>
      </c>
      <c r="C663" s="618" t="str">
        <f>"3570"</f>
        <v>3570</v>
      </c>
      <c r="D663" s="618" t="s">
        <v>18</v>
      </c>
      <c r="E663" s="618">
        <v>74</v>
      </c>
      <c r="F663" s="619">
        <v>38548</v>
      </c>
      <c r="G663" s="619">
        <v>40373</v>
      </c>
      <c r="H663" s="618" t="s">
        <v>23</v>
      </c>
      <c r="I663" s="618" t="s">
        <v>6867</v>
      </c>
    </row>
    <row r="664" spans="1:9">
      <c r="A664" s="620">
        <f t="shared" si="10"/>
        <v>660</v>
      </c>
      <c r="B664" s="621" t="s">
        <v>1652</v>
      </c>
      <c r="C664" s="621" t="str">
        <f>"3573"</f>
        <v>3573</v>
      </c>
      <c r="D664" s="621" t="s">
        <v>18</v>
      </c>
      <c r="E664" s="621">
        <v>36</v>
      </c>
      <c r="F664" s="622">
        <v>38548</v>
      </c>
      <c r="G664" s="622">
        <v>40373</v>
      </c>
      <c r="H664" s="621" t="s">
        <v>23</v>
      </c>
      <c r="I664" s="621" t="s">
        <v>6867</v>
      </c>
    </row>
    <row r="665" spans="1:9">
      <c r="A665" s="617">
        <f t="shared" si="10"/>
        <v>661</v>
      </c>
      <c r="B665" s="618" t="s">
        <v>1685</v>
      </c>
      <c r="C665" s="618" t="str">
        <f>"3576"</f>
        <v>3576</v>
      </c>
      <c r="D665" s="618" t="s">
        <v>13</v>
      </c>
      <c r="E665" s="618">
        <v>4</v>
      </c>
      <c r="F665" s="619">
        <v>42027</v>
      </c>
      <c r="G665" s="619">
        <v>52984</v>
      </c>
      <c r="H665" s="618" t="s">
        <v>23</v>
      </c>
      <c r="I665" s="618" t="s">
        <v>385</v>
      </c>
    </row>
    <row r="666" spans="1:9">
      <c r="A666" s="620">
        <f t="shared" si="10"/>
        <v>662</v>
      </c>
      <c r="B666" s="621" t="s">
        <v>15</v>
      </c>
      <c r="C666" s="621" t="str">
        <f>"3859"</f>
        <v>3859</v>
      </c>
      <c r="D666" s="621" t="s">
        <v>13</v>
      </c>
      <c r="E666" s="621">
        <v>33</v>
      </c>
      <c r="F666" s="622">
        <v>42949</v>
      </c>
      <c r="G666" s="622">
        <v>53905</v>
      </c>
      <c r="H666" s="621" t="s">
        <v>14</v>
      </c>
      <c r="I666" s="621" t="s">
        <v>6870</v>
      </c>
    </row>
    <row r="667" spans="1:9">
      <c r="A667" s="617">
        <f t="shared" si="10"/>
        <v>663</v>
      </c>
      <c r="B667" s="618" t="s">
        <v>1670</v>
      </c>
      <c r="C667" s="618" t="str">
        <f>"3872"</f>
        <v>3872</v>
      </c>
      <c r="D667" s="618" t="s">
        <v>18</v>
      </c>
      <c r="E667" s="618">
        <v>387</v>
      </c>
      <c r="F667" s="619">
        <v>39116</v>
      </c>
      <c r="G667" s="619">
        <v>44229</v>
      </c>
      <c r="H667" s="618" t="s">
        <v>56</v>
      </c>
      <c r="I667" s="618" t="s">
        <v>6863</v>
      </c>
    </row>
    <row r="668" spans="1:9">
      <c r="A668" s="620">
        <f t="shared" si="10"/>
        <v>664</v>
      </c>
      <c r="B668" s="621" t="s">
        <v>1670</v>
      </c>
      <c r="C668" s="621" t="str">
        <f>"3873"</f>
        <v>3873</v>
      </c>
      <c r="D668" s="621" t="s">
        <v>18</v>
      </c>
      <c r="E668" s="621">
        <v>459</v>
      </c>
      <c r="F668" s="622">
        <v>42592</v>
      </c>
      <c r="G668" s="622">
        <v>44417</v>
      </c>
      <c r="H668" s="621" t="s">
        <v>56</v>
      </c>
      <c r="I668" s="621" t="s">
        <v>6868</v>
      </c>
    </row>
    <row r="669" spans="1:9">
      <c r="A669" s="617">
        <f t="shared" si="10"/>
        <v>665</v>
      </c>
      <c r="B669" s="618" t="s">
        <v>112</v>
      </c>
      <c r="C669" s="618" t="str">
        <f>"4004"</f>
        <v>4004</v>
      </c>
      <c r="D669" s="618" t="s">
        <v>27</v>
      </c>
      <c r="E669" s="618">
        <v>26</v>
      </c>
      <c r="F669" s="619">
        <v>42372</v>
      </c>
      <c r="G669" s="619">
        <v>44198</v>
      </c>
      <c r="H669" s="618" t="s">
        <v>14</v>
      </c>
      <c r="I669" s="618" t="s">
        <v>6858</v>
      </c>
    </row>
    <row r="670" spans="1:9">
      <c r="A670" s="620">
        <f t="shared" si="10"/>
        <v>666</v>
      </c>
      <c r="B670" s="621" t="s">
        <v>36</v>
      </c>
      <c r="C670" s="621" t="str">
        <f>"4018"</f>
        <v>4018</v>
      </c>
      <c r="D670" s="621" t="s">
        <v>13</v>
      </c>
      <c r="E670" s="621">
        <v>7</v>
      </c>
      <c r="F670" s="622">
        <v>40835</v>
      </c>
      <c r="G670" s="622">
        <v>51792</v>
      </c>
      <c r="H670" s="621" t="s">
        <v>14</v>
      </c>
      <c r="I670" s="621" t="s">
        <v>51</v>
      </c>
    </row>
    <row r="671" spans="1:9">
      <c r="A671" s="617">
        <f t="shared" si="10"/>
        <v>667</v>
      </c>
      <c r="B671" s="618" t="s">
        <v>5683</v>
      </c>
      <c r="C671" s="618" t="str">
        <f>"4019"</f>
        <v>4019</v>
      </c>
      <c r="D671" s="618" t="s">
        <v>13</v>
      </c>
      <c r="E671" s="618">
        <v>7</v>
      </c>
      <c r="F671" s="619">
        <v>44231</v>
      </c>
      <c r="G671" s="619">
        <v>53361</v>
      </c>
      <c r="H671" s="618" t="s">
        <v>14</v>
      </c>
      <c r="I671" s="618" t="s">
        <v>51</v>
      </c>
    </row>
    <row r="672" spans="1:9">
      <c r="A672" s="620">
        <f t="shared" si="10"/>
        <v>668</v>
      </c>
      <c r="B672" s="621" t="s">
        <v>42</v>
      </c>
      <c r="C672" s="621" t="str">
        <f>"4029"</f>
        <v>4029</v>
      </c>
      <c r="D672" s="621" t="s">
        <v>18</v>
      </c>
      <c r="E672" s="621">
        <v>79</v>
      </c>
      <c r="F672" s="622">
        <v>42572</v>
      </c>
      <c r="G672" s="622">
        <v>46223</v>
      </c>
      <c r="H672" s="621" t="s">
        <v>43</v>
      </c>
      <c r="I672" s="621" t="s">
        <v>51</v>
      </c>
    </row>
    <row r="673" spans="1:9">
      <c r="A673" s="617">
        <f t="shared" si="10"/>
        <v>669</v>
      </c>
      <c r="B673" s="618" t="s">
        <v>42</v>
      </c>
      <c r="C673" s="618" t="str">
        <f>"4030"</f>
        <v>4030</v>
      </c>
      <c r="D673" s="618" t="s">
        <v>18</v>
      </c>
      <c r="E673" s="618">
        <v>63</v>
      </c>
      <c r="F673" s="619">
        <v>42572</v>
      </c>
      <c r="G673" s="619">
        <v>46223</v>
      </c>
      <c r="H673" s="618" t="s">
        <v>43</v>
      </c>
      <c r="I673" s="618" t="s">
        <v>51</v>
      </c>
    </row>
    <row r="674" spans="1:9">
      <c r="A674" s="620">
        <f t="shared" si="10"/>
        <v>670</v>
      </c>
      <c r="B674" s="621" t="s">
        <v>161</v>
      </c>
      <c r="C674" s="621" t="str">
        <f>"4072"</f>
        <v>4072</v>
      </c>
      <c r="D674" s="621" t="s">
        <v>18</v>
      </c>
      <c r="E674" s="621">
        <v>214</v>
      </c>
      <c r="F674" s="622">
        <v>40426</v>
      </c>
      <c r="G674" s="622">
        <v>44485</v>
      </c>
      <c r="H674" s="621" t="s">
        <v>45</v>
      </c>
      <c r="I674" s="621" t="s">
        <v>6868</v>
      </c>
    </row>
    <row r="675" spans="1:9">
      <c r="A675" s="617">
        <f t="shared" si="10"/>
        <v>671</v>
      </c>
      <c r="B675" s="618" t="s">
        <v>161</v>
      </c>
      <c r="C675" s="618" t="str">
        <f>"4076"</f>
        <v>4076</v>
      </c>
      <c r="D675" s="618" t="s">
        <v>18</v>
      </c>
      <c r="E675" s="618">
        <v>105</v>
      </c>
      <c r="F675" s="619">
        <v>42252</v>
      </c>
      <c r="G675" s="619">
        <v>44485</v>
      </c>
      <c r="H675" s="618" t="s">
        <v>45</v>
      </c>
      <c r="I675" s="618" t="s">
        <v>6872</v>
      </c>
    </row>
    <row r="676" spans="1:9">
      <c r="A676" s="620">
        <f t="shared" si="10"/>
        <v>672</v>
      </c>
      <c r="B676" s="621" t="s">
        <v>1652</v>
      </c>
      <c r="C676" s="621" t="str">
        <f>"4088"</f>
        <v>4088</v>
      </c>
      <c r="D676" s="621" t="s">
        <v>18</v>
      </c>
      <c r="E676" s="621">
        <v>17</v>
      </c>
      <c r="F676" s="622">
        <v>38581</v>
      </c>
      <c r="G676" s="622">
        <v>40041</v>
      </c>
      <c r="H676" s="621" t="s">
        <v>23</v>
      </c>
      <c r="I676" s="621" t="s">
        <v>6867</v>
      </c>
    </row>
    <row r="677" spans="1:9">
      <c r="A677" s="617">
        <f t="shared" si="10"/>
        <v>673</v>
      </c>
      <c r="B677" s="618" t="s">
        <v>411</v>
      </c>
      <c r="C677" s="618" t="str">
        <f>"4091"</f>
        <v>4091</v>
      </c>
      <c r="D677" s="618" t="s">
        <v>18</v>
      </c>
      <c r="E677" s="618">
        <v>2</v>
      </c>
      <c r="F677" s="619">
        <v>38631</v>
      </c>
      <c r="G677" s="619">
        <v>40091</v>
      </c>
      <c r="H677" s="618" t="s">
        <v>23</v>
      </c>
      <c r="I677" s="618" t="s">
        <v>6868</v>
      </c>
    </row>
    <row r="678" spans="1:9">
      <c r="A678" s="620">
        <f t="shared" si="10"/>
        <v>674</v>
      </c>
      <c r="B678" s="621" t="s">
        <v>412</v>
      </c>
      <c r="C678" s="621" t="str">
        <f>"4100"</f>
        <v>4100</v>
      </c>
      <c r="D678" s="621" t="s">
        <v>18</v>
      </c>
      <c r="E678" s="621">
        <v>155</v>
      </c>
      <c r="F678" s="622">
        <v>40465</v>
      </c>
      <c r="G678" s="622">
        <v>42290</v>
      </c>
      <c r="H678" s="621" t="s">
        <v>45</v>
      </c>
      <c r="I678" s="621" t="s">
        <v>6868</v>
      </c>
    </row>
    <row r="679" spans="1:9">
      <c r="A679" s="617">
        <f t="shared" si="10"/>
        <v>675</v>
      </c>
      <c r="B679" s="618" t="s">
        <v>95</v>
      </c>
      <c r="C679" s="618" t="str">
        <f>"4135"</f>
        <v>4135</v>
      </c>
      <c r="D679" s="618" t="s">
        <v>13</v>
      </c>
      <c r="E679" s="618">
        <v>6</v>
      </c>
      <c r="F679" s="619">
        <v>43111</v>
      </c>
      <c r="G679" s="619">
        <v>54067</v>
      </c>
      <c r="H679" s="618" t="s">
        <v>14</v>
      </c>
      <c r="I679" s="618" t="s">
        <v>51</v>
      </c>
    </row>
    <row r="680" spans="1:9">
      <c r="A680" s="620">
        <f t="shared" si="10"/>
        <v>676</v>
      </c>
      <c r="B680" s="621" t="s">
        <v>257</v>
      </c>
      <c r="C680" s="621" t="str">
        <f>"4158"</f>
        <v>4158</v>
      </c>
      <c r="D680" s="621" t="s">
        <v>13</v>
      </c>
      <c r="E680" s="621">
        <v>200</v>
      </c>
      <c r="F680" s="622">
        <v>42209</v>
      </c>
      <c r="G680" s="622">
        <v>53166</v>
      </c>
      <c r="H680" s="621" t="s">
        <v>43</v>
      </c>
      <c r="I680" s="621" t="s">
        <v>6863</v>
      </c>
    </row>
    <row r="681" spans="1:9">
      <c r="A681" s="617">
        <f t="shared" si="10"/>
        <v>677</v>
      </c>
      <c r="B681" s="618" t="s">
        <v>1686</v>
      </c>
      <c r="C681" s="618" t="str">
        <f>"4162"</f>
        <v>4162</v>
      </c>
      <c r="D681" s="618" t="s">
        <v>13</v>
      </c>
      <c r="E681" s="618">
        <v>214</v>
      </c>
      <c r="F681" s="619">
        <v>42209</v>
      </c>
      <c r="G681" s="619">
        <v>53166</v>
      </c>
      <c r="H681" s="618" t="s">
        <v>43</v>
      </c>
      <c r="I681" s="618" t="s">
        <v>6863</v>
      </c>
    </row>
    <row r="682" spans="1:9">
      <c r="A682" s="620">
        <f t="shared" si="10"/>
        <v>678</v>
      </c>
      <c r="B682" s="621" t="s">
        <v>96</v>
      </c>
      <c r="C682" s="621" t="str">
        <f>"4191"</f>
        <v>4191</v>
      </c>
      <c r="D682" s="621" t="s">
        <v>27</v>
      </c>
      <c r="E682" s="621">
        <v>4</v>
      </c>
      <c r="F682" s="622">
        <v>44019</v>
      </c>
      <c r="G682" s="622">
        <v>45844</v>
      </c>
      <c r="H682" s="621" t="s">
        <v>16</v>
      </c>
      <c r="I682" s="621" t="s">
        <v>51</v>
      </c>
    </row>
    <row r="683" spans="1:9">
      <c r="A683" s="617">
        <f t="shared" si="10"/>
        <v>679</v>
      </c>
      <c r="B683" s="618" t="s">
        <v>96</v>
      </c>
      <c r="C683" s="618" t="str">
        <f>"4192"</f>
        <v>4192</v>
      </c>
      <c r="D683" s="618" t="s">
        <v>18</v>
      </c>
      <c r="E683" s="618">
        <v>30</v>
      </c>
      <c r="F683" s="619">
        <v>38603</v>
      </c>
      <c r="G683" s="619">
        <v>40428</v>
      </c>
      <c r="H683" s="618" t="s">
        <v>16</v>
      </c>
      <c r="I683" s="618" t="s">
        <v>6858</v>
      </c>
    </row>
    <row r="684" spans="1:9">
      <c r="A684" s="620">
        <f t="shared" si="10"/>
        <v>680</v>
      </c>
      <c r="B684" s="621" t="s">
        <v>96</v>
      </c>
      <c r="C684" s="621" t="str">
        <f>"4197"</f>
        <v>4197</v>
      </c>
      <c r="D684" s="621" t="s">
        <v>18</v>
      </c>
      <c r="E684" s="621">
        <v>68</v>
      </c>
      <c r="F684" s="622">
        <v>38603</v>
      </c>
      <c r="G684" s="622">
        <v>40428</v>
      </c>
      <c r="H684" s="621" t="s">
        <v>14</v>
      </c>
      <c r="I684" s="621" t="s">
        <v>6868</v>
      </c>
    </row>
    <row r="685" spans="1:9">
      <c r="A685" s="617">
        <f t="shared" si="10"/>
        <v>681</v>
      </c>
      <c r="B685" s="618" t="s">
        <v>17</v>
      </c>
      <c r="C685" s="618" t="str">
        <f>"4246"</f>
        <v>4246</v>
      </c>
      <c r="D685" s="618" t="s">
        <v>18</v>
      </c>
      <c r="E685" s="618">
        <v>274</v>
      </c>
      <c r="F685" s="619">
        <v>40807</v>
      </c>
      <c r="G685" s="619">
        <v>43397</v>
      </c>
      <c r="H685" s="618" t="s">
        <v>19</v>
      </c>
      <c r="I685" s="618" t="s">
        <v>6871</v>
      </c>
    </row>
    <row r="686" spans="1:9">
      <c r="A686" s="620">
        <f t="shared" si="10"/>
        <v>682</v>
      </c>
      <c r="B686" s="621" t="s">
        <v>96</v>
      </c>
      <c r="C686" s="621" t="str">
        <f>"4293"</f>
        <v>4293</v>
      </c>
      <c r="D686" s="621" t="s">
        <v>18</v>
      </c>
      <c r="E686" s="621">
        <v>12</v>
      </c>
      <c r="F686" s="622">
        <v>38589</v>
      </c>
      <c r="G686" s="622">
        <v>40414</v>
      </c>
      <c r="H686" s="621" t="s">
        <v>16</v>
      </c>
      <c r="I686" s="621" t="s">
        <v>6868</v>
      </c>
    </row>
    <row r="687" spans="1:9">
      <c r="A687" s="617">
        <f t="shared" si="10"/>
        <v>683</v>
      </c>
      <c r="B687" s="618" t="s">
        <v>96</v>
      </c>
      <c r="C687" s="618" t="str">
        <f>"4294"</f>
        <v>4294</v>
      </c>
      <c r="D687" s="618" t="s">
        <v>18</v>
      </c>
      <c r="E687" s="618">
        <v>47</v>
      </c>
      <c r="F687" s="619">
        <v>38589</v>
      </c>
      <c r="G687" s="619">
        <v>40414</v>
      </c>
      <c r="H687" s="618" t="s">
        <v>16</v>
      </c>
      <c r="I687" s="618" t="s">
        <v>6858</v>
      </c>
    </row>
    <row r="688" spans="1:9">
      <c r="A688" s="620">
        <f t="shared" si="10"/>
        <v>684</v>
      </c>
      <c r="B688" s="621" t="s">
        <v>96</v>
      </c>
      <c r="C688" s="621" t="str">
        <f>"4295"</f>
        <v>4295</v>
      </c>
      <c r="D688" s="621" t="s">
        <v>13</v>
      </c>
      <c r="E688" s="621">
        <v>471</v>
      </c>
      <c r="F688" s="622">
        <v>45093</v>
      </c>
      <c r="G688" s="622">
        <v>50571</v>
      </c>
      <c r="H688" s="621" t="s">
        <v>45</v>
      </c>
      <c r="I688" s="621" t="s">
        <v>51</v>
      </c>
    </row>
    <row r="689" spans="1:9">
      <c r="A689" s="617">
        <f t="shared" si="10"/>
        <v>685</v>
      </c>
      <c r="B689" s="618" t="s">
        <v>96</v>
      </c>
      <c r="C689" s="618" t="str">
        <f>"4296"</f>
        <v>4296</v>
      </c>
      <c r="D689" s="618" t="s">
        <v>18</v>
      </c>
      <c r="E689" s="618">
        <v>471</v>
      </c>
      <c r="F689" s="619">
        <v>38589</v>
      </c>
      <c r="G689" s="619">
        <v>40414</v>
      </c>
      <c r="H689" s="618" t="s">
        <v>43</v>
      </c>
      <c r="I689" s="618" t="s">
        <v>6868</v>
      </c>
    </row>
    <row r="690" spans="1:9">
      <c r="A690" s="620">
        <f t="shared" si="10"/>
        <v>686</v>
      </c>
      <c r="B690" s="621" t="s">
        <v>96</v>
      </c>
      <c r="C690" s="621" t="str">
        <f>"4297"</f>
        <v>4297</v>
      </c>
      <c r="D690" s="621" t="s">
        <v>13</v>
      </c>
      <c r="E690" s="621">
        <v>393</v>
      </c>
      <c r="F690" s="622">
        <v>41997</v>
      </c>
      <c r="G690" s="622">
        <v>53458</v>
      </c>
      <c r="H690" s="621" t="s">
        <v>43</v>
      </c>
      <c r="I690" s="621" t="s">
        <v>6867</v>
      </c>
    </row>
    <row r="691" spans="1:9">
      <c r="A691" s="617">
        <f t="shared" si="10"/>
        <v>687</v>
      </c>
      <c r="B691" s="618" t="s">
        <v>96</v>
      </c>
      <c r="C691" s="618" t="str">
        <f>"4298"</f>
        <v>4298</v>
      </c>
      <c r="D691" s="618" t="s">
        <v>13</v>
      </c>
      <c r="E691" s="618">
        <v>471</v>
      </c>
      <c r="F691" s="619">
        <v>41997</v>
      </c>
      <c r="G691" s="619">
        <v>52954</v>
      </c>
      <c r="H691" s="618" t="s">
        <v>43</v>
      </c>
      <c r="I691" s="618" t="s">
        <v>6867</v>
      </c>
    </row>
    <row r="692" spans="1:9">
      <c r="A692" s="620">
        <f t="shared" si="10"/>
        <v>688</v>
      </c>
      <c r="B692" s="621" t="s">
        <v>96</v>
      </c>
      <c r="C692" s="621" t="str">
        <f>"4299"</f>
        <v>4299</v>
      </c>
      <c r="D692" s="621" t="s">
        <v>13</v>
      </c>
      <c r="E692" s="621">
        <v>391</v>
      </c>
      <c r="F692" s="622">
        <v>41997</v>
      </c>
      <c r="G692" s="622">
        <v>52954</v>
      </c>
      <c r="H692" s="621" t="s">
        <v>43</v>
      </c>
      <c r="I692" s="621" t="s">
        <v>6867</v>
      </c>
    </row>
    <row r="693" spans="1:9">
      <c r="A693" s="617">
        <f t="shared" si="10"/>
        <v>689</v>
      </c>
      <c r="B693" s="618" t="s">
        <v>403</v>
      </c>
      <c r="C693" s="618" t="str">
        <f>"4380"</f>
        <v>4380</v>
      </c>
      <c r="D693" s="618" t="s">
        <v>27</v>
      </c>
      <c r="E693" s="618">
        <v>6</v>
      </c>
      <c r="F693" s="619">
        <v>41929</v>
      </c>
      <c r="G693" s="619">
        <v>43754</v>
      </c>
      <c r="H693" s="618" t="s">
        <v>16</v>
      </c>
      <c r="I693" s="618" t="s">
        <v>6864</v>
      </c>
    </row>
    <row r="694" spans="1:9">
      <c r="A694" s="620">
        <f t="shared" si="10"/>
        <v>690</v>
      </c>
      <c r="B694" s="621" t="s">
        <v>86</v>
      </c>
      <c r="C694" s="621" t="str">
        <f>"4401"</f>
        <v>4401</v>
      </c>
      <c r="D694" s="621" t="s">
        <v>18</v>
      </c>
      <c r="E694" s="621">
        <v>460</v>
      </c>
      <c r="F694" s="622">
        <v>38637</v>
      </c>
      <c r="G694" s="622">
        <v>40097</v>
      </c>
      <c r="H694" s="621" t="s">
        <v>16</v>
      </c>
      <c r="I694" s="621" t="s">
        <v>6868</v>
      </c>
    </row>
    <row r="695" spans="1:9">
      <c r="A695" s="617">
        <f t="shared" si="10"/>
        <v>691</v>
      </c>
      <c r="B695" s="618" t="s">
        <v>410</v>
      </c>
      <c r="C695" s="618" t="str">
        <f>"4484"</f>
        <v>4484</v>
      </c>
      <c r="D695" s="618" t="s">
        <v>18</v>
      </c>
      <c r="E695" s="618">
        <v>50</v>
      </c>
      <c r="F695" s="619">
        <v>39252</v>
      </c>
      <c r="G695" s="619">
        <v>41078</v>
      </c>
      <c r="H695" s="618" t="s">
        <v>41</v>
      </c>
      <c r="I695" s="618" t="s">
        <v>385</v>
      </c>
    </row>
    <row r="696" spans="1:9">
      <c r="A696" s="620">
        <f t="shared" si="10"/>
        <v>692</v>
      </c>
      <c r="B696" s="621" t="s">
        <v>410</v>
      </c>
      <c r="C696" s="621" t="str">
        <f>"4486"</f>
        <v>4486</v>
      </c>
      <c r="D696" s="621" t="s">
        <v>18</v>
      </c>
      <c r="E696" s="621">
        <v>68</v>
      </c>
      <c r="F696" s="622">
        <v>39252</v>
      </c>
      <c r="G696" s="622">
        <v>41078</v>
      </c>
      <c r="H696" s="621" t="s">
        <v>41</v>
      </c>
      <c r="I696" s="621" t="s">
        <v>6874</v>
      </c>
    </row>
    <row r="697" spans="1:9">
      <c r="A697" s="617">
        <f t="shared" si="10"/>
        <v>693</v>
      </c>
      <c r="B697" s="618" t="s">
        <v>413</v>
      </c>
      <c r="C697" s="618" t="str">
        <f>"4551"</f>
        <v>4551</v>
      </c>
      <c r="D697" s="618" t="s">
        <v>18</v>
      </c>
      <c r="E697" s="618">
        <v>338</v>
      </c>
      <c r="F697" s="619">
        <v>39248</v>
      </c>
      <c r="G697" s="619">
        <v>41074</v>
      </c>
      <c r="H697" s="618" t="s">
        <v>56</v>
      </c>
      <c r="I697" s="618" t="s">
        <v>6867</v>
      </c>
    </row>
    <row r="698" spans="1:9">
      <c r="A698" s="620">
        <f t="shared" si="10"/>
        <v>694</v>
      </c>
      <c r="B698" s="621" t="s">
        <v>139</v>
      </c>
      <c r="C698" s="621" t="str">
        <f>"4576"</f>
        <v>4576</v>
      </c>
      <c r="D698" s="621" t="s">
        <v>27</v>
      </c>
      <c r="E698" s="621">
        <v>233</v>
      </c>
      <c r="F698" s="622">
        <v>42073</v>
      </c>
      <c r="G698" s="622">
        <v>43899</v>
      </c>
      <c r="H698" s="621" t="s">
        <v>14</v>
      </c>
      <c r="I698" s="621" t="s">
        <v>385</v>
      </c>
    </row>
    <row r="699" spans="1:9">
      <c r="A699" s="617">
        <f t="shared" si="10"/>
        <v>695</v>
      </c>
      <c r="B699" s="618" t="s">
        <v>139</v>
      </c>
      <c r="C699" s="618" t="str">
        <f>"4577"</f>
        <v>4577</v>
      </c>
      <c r="D699" s="618" t="s">
        <v>27</v>
      </c>
      <c r="E699" s="618">
        <v>79</v>
      </c>
      <c r="F699" s="619">
        <v>42073</v>
      </c>
      <c r="G699" s="619">
        <v>43899</v>
      </c>
      <c r="H699" s="618" t="s">
        <v>14</v>
      </c>
      <c r="I699" s="618" t="s">
        <v>6858</v>
      </c>
    </row>
    <row r="700" spans="1:9">
      <c r="A700" s="620">
        <f t="shared" si="10"/>
        <v>696</v>
      </c>
      <c r="B700" s="621" t="s">
        <v>139</v>
      </c>
      <c r="C700" s="621" t="str">
        <f>"4580"</f>
        <v>4580</v>
      </c>
      <c r="D700" s="621" t="s">
        <v>27</v>
      </c>
      <c r="E700" s="621">
        <v>110</v>
      </c>
      <c r="F700" s="622">
        <v>42073</v>
      </c>
      <c r="G700" s="622">
        <v>43899</v>
      </c>
      <c r="H700" s="621" t="s">
        <v>14</v>
      </c>
      <c r="I700" s="621" t="s">
        <v>6858</v>
      </c>
    </row>
    <row r="701" spans="1:9">
      <c r="A701" s="617">
        <f t="shared" si="10"/>
        <v>697</v>
      </c>
      <c r="B701" s="618" t="s">
        <v>92</v>
      </c>
      <c r="C701" s="618" t="str">
        <f>"4582"</f>
        <v>4582</v>
      </c>
      <c r="D701" s="618" t="s">
        <v>27</v>
      </c>
      <c r="E701" s="618">
        <v>200</v>
      </c>
      <c r="F701" s="619">
        <v>43178</v>
      </c>
      <c r="G701" s="619">
        <v>45003</v>
      </c>
      <c r="H701" s="618" t="s">
        <v>43</v>
      </c>
      <c r="I701" s="618" t="s">
        <v>6862</v>
      </c>
    </row>
    <row r="702" spans="1:9">
      <c r="A702" s="620">
        <f t="shared" si="10"/>
        <v>698</v>
      </c>
      <c r="B702" s="621" t="s">
        <v>92</v>
      </c>
      <c r="C702" s="621" t="str">
        <f>"4585"</f>
        <v>4585</v>
      </c>
      <c r="D702" s="621" t="s">
        <v>27</v>
      </c>
      <c r="E702" s="621">
        <v>50</v>
      </c>
      <c r="F702" s="622">
        <v>43178</v>
      </c>
      <c r="G702" s="622">
        <v>45003</v>
      </c>
      <c r="H702" s="621" t="s">
        <v>45</v>
      </c>
      <c r="I702" s="621" t="s">
        <v>6859</v>
      </c>
    </row>
    <row r="703" spans="1:9">
      <c r="A703" s="617">
        <f t="shared" si="10"/>
        <v>699</v>
      </c>
      <c r="B703" s="618" t="s">
        <v>92</v>
      </c>
      <c r="C703" s="618" t="str">
        <f>"4586"</f>
        <v>4586</v>
      </c>
      <c r="D703" s="618" t="s">
        <v>27</v>
      </c>
      <c r="E703" s="618">
        <v>90</v>
      </c>
      <c r="F703" s="619">
        <v>43158</v>
      </c>
      <c r="G703" s="619">
        <v>44983</v>
      </c>
      <c r="H703" s="618" t="s">
        <v>14</v>
      </c>
      <c r="I703" s="618" t="s">
        <v>6859</v>
      </c>
    </row>
    <row r="704" spans="1:9">
      <c r="A704" s="620">
        <f t="shared" si="10"/>
        <v>700</v>
      </c>
      <c r="B704" s="621" t="s">
        <v>15</v>
      </c>
      <c r="C704" s="621" t="str">
        <f>"4613"</f>
        <v>4613</v>
      </c>
      <c r="D704" s="621" t="s">
        <v>13</v>
      </c>
      <c r="E704" s="621">
        <v>107</v>
      </c>
      <c r="F704" s="622">
        <v>38621</v>
      </c>
      <c r="G704" s="622">
        <v>49577</v>
      </c>
      <c r="H704" s="621" t="s">
        <v>16</v>
      </c>
      <c r="I704" s="621" t="s">
        <v>51</v>
      </c>
    </row>
    <row r="705" spans="1:9">
      <c r="A705" s="617">
        <f t="shared" si="10"/>
        <v>701</v>
      </c>
      <c r="B705" s="618" t="s">
        <v>203</v>
      </c>
      <c r="C705" s="618" t="str">
        <f>"4679"</f>
        <v>4679</v>
      </c>
      <c r="D705" s="618" t="s">
        <v>27</v>
      </c>
      <c r="E705" s="618">
        <v>5</v>
      </c>
      <c r="F705" s="619">
        <v>40134</v>
      </c>
      <c r="G705" s="619">
        <v>41959</v>
      </c>
      <c r="H705" s="618" t="s">
        <v>23</v>
      </c>
      <c r="I705" s="618" t="s">
        <v>6862</v>
      </c>
    </row>
    <row r="706" spans="1:9">
      <c r="A706" s="620">
        <f t="shared" si="10"/>
        <v>702</v>
      </c>
      <c r="B706" s="621" t="s">
        <v>96</v>
      </c>
      <c r="C706" s="621" t="str">
        <f>"4688"</f>
        <v>4688</v>
      </c>
      <c r="D706" s="621" t="s">
        <v>18</v>
      </c>
      <c r="E706" s="621">
        <v>234</v>
      </c>
      <c r="F706" s="622">
        <v>43376</v>
      </c>
      <c r="G706" s="622">
        <v>45201</v>
      </c>
      <c r="H706" s="621" t="s">
        <v>16</v>
      </c>
      <c r="I706" s="621" t="s">
        <v>6868</v>
      </c>
    </row>
    <row r="707" spans="1:9">
      <c r="A707" s="617">
        <f t="shared" si="10"/>
        <v>703</v>
      </c>
      <c r="B707" s="618" t="s">
        <v>96</v>
      </c>
      <c r="C707" s="618" t="str">
        <f>"4689"</f>
        <v>4689</v>
      </c>
      <c r="D707" s="618" t="s">
        <v>18</v>
      </c>
      <c r="E707" s="618">
        <v>235</v>
      </c>
      <c r="F707" s="619">
        <v>43376</v>
      </c>
      <c r="G707" s="619">
        <v>45201</v>
      </c>
      <c r="H707" s="618" t="s">
        <v>16</v>
      </c>
      <c r="I707" s="618" t="s">
        <v>6868</v>
      </c>
    </row>
    <row r="708" spans="1:9">
      <c r="A708" s="620">
        <f t="shared" si="10"/>
        <v>704</v>
      </c>
      <c r="B708" s="621" t="s">
        <v>97</v>
      </c>
      <c r="C708" s="621" t="str">
        <f>"4690"</f>
        <v>4690</v>
      </c>
      <c r="D708" s="621" t="s">
        <v>13</v>
      </c>
      <c r="E708" s="621">
        <v>5</v>
      </c>
      <c r="F708" s="622">
        <v>42245</v>
      </c>
      <c r="G708" s="622">
        <v>53202</v>
      </c>
      <c r="H708" s="621" t="s">
        <v>16</v>
      </c>
      <c r="I708" s="621" t="s">
        <v>51</v>
      </c>
    </row>
    <row r="709" spans="1:9">
      <c r="A709" s="617">
        <f t="shared" si="10"/>
        <v>705</v>
      </c>
      <c r="B709" s="618" t="s">
        <v>96</v>
      </c>
      <c r="C709" s="618" t="str">
        <f>"4691"</f>
        <v>4691</v>
      </c>
      <c r="D709" s="618" t="s">
        <v>18</v>
      </c>
      <c r="E709" s="618">
        <v>66</v>
      </c>
      <c r="F709" s="619">
        <v>38686</v>
      </c>
      <c r="G709" s="619">
        <v>40511</v>
      </c>
      <c r="H709" s="618" t="s">
        <v>43</v>
      </c>
      <c r="I709" s="618" t="s">
        <v>6858</v>
      </c>
    </row>
    <row r="710" spans="1:9">
      <c r="A710" s="620">
        <f t="shared" si="10"/>
        <v>706</v>
      </c>
      <c r="B710" s="621" t="s">
        <v>96</v>
      </c>
      <c r="C710" s="621" t="str">
        <f>"4692"</f>
        <v>4692</v>
      </c>
      <c r="D710" s="621" t="s">
        <v>18</v>
      </c>
      <c r="E710" s="621">
        <v>30</v>
      </c>
      <c r="F710" s="622">
        <v>38677</v>
      </c>
      <c r="G710" s="622">
        <v>40502</v>
      </c>
      <c r="H710" s="621" t="s">
        <v>43</v>
      </c>
      <c r="I710" s="621" t="s">
        <v>6858</v>
      </c>
    </row>
    <row r="711" spans="1:9">
      <c r="A711" s="617">
        <f t="shared" ref="A711:A774" si="11">+A710+1</f>
        <v>707</v>
      </c>
      <c r="B711" s="618" t="s">
        <v>96</v>
      </c>
      <c r="C711" s="618" t="str">
        <f>"4693"</f>
        <v>4693</v>
      </c>
      <c r="D711" s="618" t="s">
        <v>18</v>
      </c>
      <c r="E711" s="618">
        <v>88</v>
      </c>
      <c r="F711" s="619">
        <v>38686</v>
      </c>
      <c r="G711" s="619">
        <v>40511</v>
      </c>
      <c r="H711" s="618" t="s">
        <v>16</v>
      </c>
      <c r="I711" s="618" t="s">
        <v>6858</v>
      </c>
    </row>
    <row r="712" spans="1:9">
      <c r="A712" s="620">
        <f t="shared" si="11"/>
        <v>708</v>
      </c>
      <c r="B712" s="621" t="s">
        <v>96</v>
      </c>
      <c r="C712" s="621" t="str">
        <f>"4694"</f>
        <v>4694</v>
      </c>
      <c r="D712" s="621" t="s">
        <v>18</v>
      </c>
      <c r="E712" s="621">
        <v>122</v>
      </c>
      <c r="F712" s="622">
        <v>38686</v>
      </c>
      <c r="G712" s="622">
        <v>40511</v>
      </c>
      <c r="H712" s="621" t="s">
        <v>16</v>
      </c>
      <c r="I712" s="621" t="s">
        <v>6858</v>
      </c>
    </row>
    <row r="713" spans="1:9">
      <c r="A713" s="617">
        <f t="shared" si="11"/>
        <v>709</v>
      </c>
      <c r="B713" s="618" t="s">
        <v>96</v>
      </c>
      <c r="C713" s="618" t="str">
        <f>"4695"</f>
        <v>4695</v>
      </c>
      <c r="D713" s="618" t="s">
        <v>18</v>
      </c>
      <c r="E713" s="618">
        <v>235</v>
      </c>
      <c r="F713" s="619">
        <v>38686</v>
      </c>
      <c r="G713" s="619">
        <v>40511</v>
      </c>
      <c r="H713" s="618" t="s">
        <v>14</v>
      </c>
      <c r="I713" s="618" t="s">
        <v>6858</v>
      </c>
    </row>
    <row r="714" spans="1:9">
      <c r="A714" s="620">
        <f t="shared" si="11"/>
        <v>710</v>
      </c>
      <c r="B714" s="621" t="s">
        <v>98</v>
      </c>
      <c r="C714" s="621" t="str">
        <f>"4696"</f>
        <v>4696</v>
      </c>
      <c r="D714" s="621" t="s">
        <v>27</v>
      </c>
      <c r="E714" s="621">
        <v>64</v>
      </c>
      <c r="F714" s="622">
        <v>44111</v>
      </c>
      <c r="G714" s="622">
        <v>45936</v>
      </c>
      <c r="H714" s="621" t="s">
        <v>14</v>
      </c>
      <c r="I714" s="621" t="s">
        <v>51</v>
      </c>
    </row>
    <row r="715" spans="1:9">
      <c r="A715" s="617">
        <f t="shared" si="11"/>
        <v>711</v>
      </c>
      <c r="B715" s="618" t="s">
        <v>86</v>
      </c>
      <c r="C715" s="618" t="str">
        <f>"4697"</f>
        <v>4697</v>
      </c>
      <c r="D715" s="618" t="s">
        <v>27</v>
      </c>
      <c r="E715" s="618">
        <v>52</v>
      </c>
      <c r="F715" s="619">
        <v>42251</v>
      </c>
      <c r="G715" s="619">
        <v>44077</v>
      </c>
      <c r="H715" s="618" t="s">
        <v>16</v>
      </c>
      <c r="I715" s="618" t="s">
        <v>6867</v>
      </c>
    </row>
    <row r="716" spans="1:9">
      <c r="A716" s="620">
        <f t="shared" si="11"/>
        <v>712</v>
      </c>
      <c r="B716" s="621" t="s">
        <v>86</v>
      </c>
      <c r="C716" s="621" t="str">
        <f>"4699"</f>
        <v>4699</v>
      </c>
      <c r="D716" s="621" t="s">
        <v>27</v>
      </c>
      <c r="E716" s="621">
        <v>181</v>
      </c>
      <c r="F716" s="622">
        <v>42251</v>
      </c>
      <c r="G716" s="622">
        <v>44077</v>
      </c>
      <c r="H716" s="621" t="s">
        <v>16</v>
      </c>
      <c r="I716" s="621" t="s">
        <v>6867</v>
      </c>
    </row>
    <row r="717" spans="1:9">
      <c r="A717" s="617">
        <f t="shared" si="11"/>
        <v>713</v>
      </c>
      <c r="B717" s="618" t="s">
        <v>347</v>
      </c>
      <c r="C717" s="618" t="str">
        <f>"4716"</f>
        <v>4716</v>
      </c>
      <c r="D717" s="618" t="s">
        <v>18</v>
      </c>
      <c r="E717" s="618">
        <v>12</v>
      </c>
      <c r="F717" s="619">
        <v>38765</v>
      </c>
      <c r="G717" s="619">
        <v>40225</v>
      </c>
      <c r="H717" s="618" t="s">
        <v>23</v>
      </c>
      <c r="I717" s="618" t="s">
        <v>385</v>
      </c>
    </row>
    <row r="718" spans="1:9">
      <c r="A718" s="620">
        <f t="shared" si="11"/>
        <v>714</v>
      </c>
      <c r="B718" s="621" t="s">
        <v>1687</v>
      </c>
      <c r="C718" s="621" t="str">
        <f>"4717"</f>
        <v>4717</v>
      </c>
      <c r="D718" s="621" t="s">
        <v>18</v>
      </c>
      <c r="E718" s="621">
        <v>9</v>
      </c>
      <c r="F718" s="622">
        <v>40226</v>
      </c>
      <c r="G718" s="622">
        <v>42354</v>
      </c>
      <c r="H718" s="621" t="s">
        <v>23</v>
      </c>
      <c r="I718" s="621" t="s">
        <v>385</v>
      </c>
    </row>
    <row r="719" spans="1:9">
      <c r="A719" s="617">
        <f t="shared" si="11"/>
        <v>715</v>
      </c>
      <c r="B719" s="618" t="s">
        <v>1688</v>
      </c>
      <c r="C719" s="618" t="str">
        <f>"4723"</f>
        <v>4723</v>
      </c>
      <c r="D719" s="618" t="s">
        <v>18</v>
      </c>
      <c r="E719" s="618">
        <v>34</v>
      </c>
      <c r="F719" s="619">
        <v>41919</v>
      </c>
      <c r="G719" s="619">
        <v>43744</v>
      </c>
      <c r="H719" s="618" t="s">
        <v>14</v>
      </c>
      <c r="I719" s="618" t="s">
        <v>6868</v>
      </c>
    </row>
    <row r="720" spans="1:9">
      <c r="A720" s="620">
        <f t="shared" si="11"/>
        <v>716</v>
      </c>
      <c r="B720" s="621" t="s">
        <v>99</v>
      </c>
      <c r="C720" s="621" t="str">
        <f>"4725"</f>
        <v>4725</v>
      </c>
      <c r="D720" s="621" t="s">
        <v>13</v>
      </c>
      <c r="E720" s="621">
        <v>1</v>
      </c>
      <c r="F720" s="622">
        <v>39905</v>
      </c>
      <c r="G720" s="622">
        <v>45383</v>
      </c>
      <c r="H720" s="621" t="s">
        <v>14</v>
      </c>
      <c r="I720" s="621" t="s">
        <v>51</v>
      </c>
    </row>
    <row r="721" spans="1:9">
      <c r="A721" s="617">
        <f t="shared" si="11"/>
        <v>717</v>
      </c>
      <c r="B721" s="618" t="s">
        <v>1689</v>
      </c>
      <c r="C721" s="618" t="str">
        <f>"4727"</f>
        <v>4727</v>
      </c>
      <c r="D721" s="618" t="s">
        <v>18</v>
      </c>
      <c r="E721" s="618">
        <v>8</v>
      </c>
      <c r="F721" s="619">
        <v>37833</v>
      </c>
      <c r="G721" s="619">
        <v>37857</v>
      </c>
      <c r="H721" s="618" t="s">
        <v>23</v>
      </c>
      <c r="I721" s="618" t="s">
        <v>1690</v>
      </c>
    </row>
    <row r="722" spans="1:9">
      <c r="A722" s="620">
        <f t="shared" si="11"/>
        <v>718</v>
      </c>
      <c r="B722" s="621" t="s">
        <v>59</v>
      </c>
      <c r="C722" s="621" t="str">
        <f>"4728"</f>
        <v>4728</v>
      </c>
      <c r="D722" s="621" t="s">
        <v>13</v>
      </c>
      <c r="E722" s="621">
        <v>135</v>
      </c>
      <c r="F722" s="622">
        <v>40768</v>
      </c>
      <c r="G722" s="622">
        <v>46246</v>
      </c>
      <c r="H722" s="621" t="s">
        <v>16</v>
      </c>
      <c r="I722" s="621" t="s">
        <v>51</v>
      </c>
    </row>
    <row r="723" spans="1:9">
      <c r="A723" s="617">
        <f t="shared" si="11"/>
        <v>719</v>
      </c>
      <c r="B723" s="618" t="s">
        <v>59</v>
      </c>
      <c r="C723" s="618" t="str">
        <f>"4729"</f>
        <v>4729</v>
      </c>
      <c r="D723" s="618" t="s">
        <v>13</v>
      </c>
      <c r="E723" s="618">
        <v>322</v>
      </c>
      <c r="F723" s="619">
        <v>40768</v>
      </c>
      <c r="G723" s="619">
        <v>46246</v>
      </c>
      <c r="H723" s="618" t="s">
        <v>16</v>
      </c>
      <c r="I723" s="618" t="s">
        <v>51</v>
      </c>
    </row>
    <row r="724" spans="1:9">
      <c r="A724" s="620">
        <f t="shared" si="11"/>
        <v>720</v>
      </c>
      <c r="B724" s="621" t="s">
        <v>1691</v>
      </c>
      <c r="C724" s="621" t="str">
        <f>"4766"</f>
        <v>4766</v>
      </c>
      <c r="D724" s="621" t="s">
        <v>18</v>
      </c>
      <c r="E724" s="621">
        <v>30</v>
      </c>
      <c r="F724" s="622">
        <v>39301</v>
      </c>
      <c r="G724" s="622">
        <v>43682</v>
      </c>
      <c r="H724" s="621" t="s">
        <v>21</v>
      </c>
      <c r="I724" s="621" t="s">
        <v>6863</v>
      </c>
    </row>
    <row r="725" spans="1:9">
      <c r="A725" s="617">
        <f t="shared" si="11"/>
        <v>721</v>
      </c>
      <c r="B725" s="618" t="s">
        <v>1691</v>
      </c>
      <c r="C725" s="618" t="str">
        <f>"4782"</f>
        <v>4782</v>
      </c>
      <c r="D725" s="618" t="s">
        <v>18</v>
      </c>
      <c r="E725" s="618">
        <v>30</v>
      </c>
      <c r="F725" s="619">
        <v>39301</v>
      </c>
      <c r="G725" s="619">
        <v>43682</v>
      </c>
      <c r="H725" s="618" t="s">
        <v>21</v>
      </c>
      <c r="I725" s="618" t="s">
        <v>6863</v>
      </c>
    </row>
    <row r="726" spans="1:9">
      <c r="A726" s="620">
        <f t="shared" si="11"/>
        <v>722</v>
      </c>
      <c r="B726" s="621" t="s">
        <v>1691</v>
      </c>
      <c r="C726" s="621" t="str">
        <f>"4788"</f>
        <v>4788</v>
      </c>
      <c r="D726" s="621" t="s">
        <v>18</v>
      </c>
      <c r="E726" s="621">
        <v>30</v>
      </c>
      <c r="F726" s="622">
        <v>39301</v>
      </c>
      <c r="G726" s="622">
        <v>43682</v>
      </c>
      <c r="H726" s="621" t="s">
        <v>21</v>
      </c>
      <c r="I726" s="621" t="s">
        <v>6863</v>
      </c>
    </row>
    <row r="727" spans="1:9">
      <c r="A727" s="617">
        <f t="shared" si="11"/>
        <v>723</v>
      </c>
      <c r="B727" s="618" t="s">
        <v>189</v>
      </c>
      <c r="C727" s="618" t="str">
        <f>"4791"</f>
        <v>4791</v>
      </c>
      <c r="D727" s="618" t="s">
        <v>18</v>
      </c>
      <c r="E727" s="618">
        <v>50</v>
      </c>
      <c r="F727" s="619">
        <v>41098</v>
      </c>
      <c r="G727" s="619">
        <v>42923</v>
      </c>
      <c r="H727" s="618" t="s">
        <v>56</v>
      </c>
      <c r="I727" s="618" t="s">
        <v>6859</v>
      </c>
    </row>
    <row r="728" spans="1:9">
      <c r="A728" s="620">
        <f t="shared" si="11"/>
        <v>724</v>
      </c>
      <c r="B728" s="621" t="s">
        <v>189</v>
      </c>
      <c r="C728" s="621" t="str">
        <f>"4799"</f>
        <v>4799</v>
      </c>
      <c r="D728" s="621" t="s">
        <v>18</v>
      </c>
      <c r="E728" s="621">
        <v>104</v>
      </c>
      <c r="F728" s="622">
        <v>41098</v>
      </c>
      <c r="G728" s="622">
        <v>42923</v>
      </c>
      <c r="H728" s="621" t="s">
        <v>56</v>
      </c>
      <c r="I728" s="621" t="s">
        <v>6859</v>
      </c>
    </row>
    <row r="729" spans="1:9">
      <c r="A729" s="617">
        <f t="shared" si="11"/>
        <v>725</v>
      </c>
      <c r="B729" s="618" t="s">
        <v>189</v>
      </c>
      <c r="C729" s="618" t="str">
        <f>"4809"</f>
        <v>4809</v>
      </c>
      <c r="D729" s="618" t="s">
        <v>18</v>
      </c>
      <c r="E729" s="618">
        <v>89</v>
      </c>
      <c r="F729" s="619">
        <v>40944</v>
      </c>
      <c r="G729" s="619">
        <v>42770</v>
      </c>
      <c r="H729" s="618" t="s">
        <v>56</v>
      </c>
      <c r="I729" s="618" t="s">
        <v>6859</v>
      </c>
    </row>
    <row r="730" spans="1:9">
      <c r="A730" s="620">
        <f t="shared" si="11"/>
        <v>726</v>
      </c>
      <c r="B730" s="621" t="s">
        <v>1692</v>
      </c>
      <c r="C730" s="621" t="str">
        <f>"4810"</f>
        <v>4810</v>
      </c>
      <c r="D730" s="621" t="s">
        <v>18</v>
      </c>
      <c r="E730" s="621">
        <v>170</v>
      </c>
      <c r="F730" s="622">
        <v>40944</v>
      </c>
      <c r="G730" s="622">
        <v>42770</v>
      </c>
      <c r="H730" s="621" t="s">
        <v>41</v>
      </c>
      <c r="I730" s="621" t="s">
        <v>6862</v>
      </c>
    </row>
    <row r="731" spans="1:9">
      <c r="A731" s="617">
        <f t="shared" si="11"/>
        <v>727</v>
      </c>
      <c r="B731" s="618" t="s">
        <v>101</v>
      </c>
      <c r="C731" s="618" t="str">
        <f>"4816"</f>
        <v>4816</v>
      </c>
      <c r="D731" s="618" t="s">
        <v>27</v>
      </c>
      <c r="E731" s="618">
        <v>44</v>
      </c>
      <c r="F731" s="619">
        <v>44272</v>
      </c>
      <c r="G731" s="619">
        <v>46097</v>
      </c>
      <c r="H731" s="618" t="s">
        <v>56</v>
      </c>
      <c r="I731" s="618" t="s">
        <v>6862</v>
      </c>
    </row>
    <row r="732" spans="1:9">
      <c r="A732" s="620">
        <f t="shared" si="11"/>
        <v>728</v>
      </c>
      <c r="B732" s="621" t="s">
        <v>189</v>
      </c>
      <c r="C732" s="621" t="str">
        <f>"4817"</f>
        <v>4817</v>
      </c>
      <c r="D732" s="621" t="s">
        <v>18</v>
      </c>
      <c r="E732" s="621">
        <v>144</v>
      </c>
      <c r="F732" s="622">
        <v>41098</v>
      </c>
      <c r="G732" s="622">
        <v>42923</v>
      </c>
      <c r="H732" s="621" t="s">
        <v>56</v>
      </c>
      <c r="I732" s="621" t="s">
        <v>385</v>
      </c>
    </row>
    <row r="733" spans="1:9">
      <c r="A733" s="617">
        <f t="shared" si="11"/>
        <v>729</v>
      </c>
      <c r="B733" s="618" t="s">
        <v>1693</v>
      </c>
      <c r="C733" s="618" t="str">
        <f>"4820"</f>
        <v>4820</v>
      </c>
      <c r="D733" s="618" t="s">
        <v>18</v>
      </c>
      <c r="E733" s="618">
        <v>190</v>
      </c>
      <c r="F733" s="619">
        <v>39483</v>
      </c>
      <c r="G733" s="619">
        <v>40943</v>
      </c>
      <c r="H733" s="618" t="s">
        <v>41</v>
      </c>
      <c r="I733" s="618" t="s">
        <v>6858</v>
      </c>
    </row>
    <row r="734" spans="1:9">
      <c r="A734" s="620">
        <f t="shared" si="11"/>
        <v>730</v>
      </c>
      <c r="B734" s="621" t="s">
        <v>1693</v>
      </c>
      <c r="C734" s="621" t="str">
        <f>"4821"</f>
        <v>4821</v>
      </c>
      <c r="D734" s="621" t="s">
        <v>18</v>
      </c>
      <c r="E734" s="621">
        <v>200</v>
      </c>
      <c r="F734" s="622">
        <v>39483</v>
      </c>
      <c r="G734" s="622">
        <v>40943</v>
      </c>
      <c r="H734" s="621" t="s">
        <v>41</v>
      </c>
      <c r="I734" s="621" t="s">
        <v>6858</v>
      </c>
    </row>
    <row r="735" spans="1:9">
      <c r="A735" s="617">
        <f t="shared" si="11"/>
        <v>731</v>
      </c>
      <c r="B735" s="618" t="s">
        <v>367</v>
      </c>
      <c r="C735" s="618" t="str">
        <f>"4871"</f>
        <v>4871</v>
      </c>
      <c r="D735" s="618" t="s">
        <v>13</v>
      </c>
      <c r="E735" s="618">
        <v>38</v>
      </c>
      <c r="F735" s="619">
        <v>41192</v>
      </c>
      <c r="G735" s="619">
        <v>52148</v>
      </c>
      <c r="H735" s="618" t="s">
        <v>43</v>
      </c>
      <c r="I735" s="618" t="s">
        <v>6861</v>
      </c>
    </row>
    <row r="736" spans="1:9">
      <c r="A736" s="620">
        <f t="shared" si="11"/>
        <v>732</v>
      </c>
      <c r="B736" s="621" t="s">
        <v>367</v>
      </c>
      <c r="C736" s="621" t="str">
        <f>"4872"</f>
        <v>4872</v>
      </c>
      <c r="D736" s="621" t="s">
        <v>13</v>
      </c>
      <c r="E736" s="621">
        <v>308</v>
      </c>
      <c r="F736" s="622">
        <v>41192</v>
      </c>
      <c r="G736" s="622">
        <v>52148</v>
      </c>
      <c r="H736" s="621" t="s">
        <v>43</v>
      </c>
      <c r="I736" s="621" t="s">
        <v>6861</v>
      </c>
    </row>
    <row r="737" spans="1:9">
      <c r="A737" s="617">
        <f t="shared" si="11"/>
        <v>733</v>
      </c>
      <c r="B737" s="618" t="s">
        <v>102</v>
      </c>
      <c r="C737" s="618" t="str">
        <f>"4881"</f>
        <v>4881</v>
      </c>
      <c r="D737" s="618" t="s">
        <v>13</v>
      </c>
      <c r="E737" s="618">
        <v>20</v>
      </c>
      <c r="F737" s="619">
        <v>42464</v>
      </c>
      <c r="G737" s="619">
        <v>53420</v>
      </c>
      <c r="H737" s="618" t="s">
        <v>14</v>
      </c>
      <c r="I737" s="618" t="s">
        <v>51</v>
      </c>
    </row>
    <row r="738" spans="1:9">
      <c r="A738" s="620">
        <f t="shared" si="11"/>
        <v>734</v>
      </c>
      <c r="B738" s="621" t="s">
        <v>103</v>
      </c>
      <c r="C738" s="621" t="str">
        <f>"4884"</f>
        <v>4884</v>
      </c>
      <c r="D738" s="621" t="s">
        <v>13</v>
      </c>
      <c r="E738" s="621">
        <v>28</v>
      </c>
      <c r="F738" s="622">
        <v>42676</v>
      </c>
      <c r="G738" s="622">
        <v>53632</v>
      </c>
      <c r="H738" s="621" t="s">
        <v>14</v>
      </c>
      <c r="I738" s="621" t="s">
        <v>51</v>
      </c>
    </row>
    <row r="739" spans="1:9">
      <c r="A739" s="617">
        <f t="shared" si="11"/>
        <v>735</v>
      </c>
      <c r="B739" s="618" t="s">
        <v>36</v>
      </c>
      <c r="C739" s="618" t="str">
        <f>"4886"</f>
        <v>4886</v>
      </c>
      <c r="D739" s="618" t="s">
        <v>13</v>
      </c>
      <c r="E739" s="618">
        <v>10</v>
      </c>
      <c r="F739" s="619">
        <v>40161</v>
      </c>
      <c r="G739" s="619">
        <v>45639</v>
      </c>
      <c r="H739" s="618" t="s">
        <v>14</v>
      </c>
      <c r="I739" s="618" t="s">
        <v>6858</v>
      </c>
    </row>
    <row r="740" spans="1:9">
      <c r="A740" s="620">
        <f t="shared" si="11"/>
        <v>736</v>
      </c>
      <c r="B740" s="621" t="s">
        <v>1059</v>
      </c>
      <c r="C740" s="621" t="str">
        <f>"4925"</f>
        <v>4925</v>
      </c>
      <c r="D740" s="621" t="s">
        <v>13</v>
      </c>
      <c r="E740" s="621">
        <v>34</v>
      </c>
      <c r="F740" s="622">
        <v>38987</v>
      </c>
      <c r="G740" s="622">
        <v>49937</v>
      </c>
      <c r="H740" s="621" t="s">
        <v>28</v>
      </c>
      <c r="I740" s="621" t="s">
        <v>385</v>
      </c>
    </row>
    <row r="741" spans="1:9">
      <c r="A741" s="617">
        <f t="shared" si="11"/>
        <v>737</v>
      </c>
      <c r="B741" s="618" t="s">
        <v>1694</v>
      </c>
      <c r="C741" s="618" t="str">
        <f>"4926"</f>
        <v>4926</v>
      </c>
      <c r="D741" s="618" t="s">
        <v>13</v>
      </c>
      <c r="E741" s="618">
        <v>33</v>
      </c>
      <c r="F741" s="619">
        <v>40763</v>
      </c>
      <c r="G741" s="619">
        <v>51720</v>
      </c>
      <c r="H741" s="618" t="s">
        <v>41</v>
      </c>
      <c r="I741" s="618" t="s">
        <v>385</v>
      </c>
    </row>
    <row r="742" spans="1:9">
      <c r="A742" s="620">
        <f t="shared" si="11"/>
        <v>738</v>
      </c>
      <c r="B742" s="621" t="s">
        <v>36</v>
      </c>
      <c r="C742" s="621" t="str">
        <f>"4958"</f>
        <v>4958</v>
      </c>
      <c r="D742" s="621" t="s">
        <v>13</v>
      </c>
      <c r="E742" s="621">
        <v>75</v>
      </c>
      <c r="F742" s="622">
        <v>40102</v>
      </c>
      <c r="G742" s="622">
        <v>45385</v>
      </c>
      <c r="H742" s="621" t="s">
        <v>16</v>
      </c>
      <c r="I742" s="621" t="s">
        <v>6858</v>
      </c>
    </row>
    <row r="743" spans="1:9">
      <c r="A743" s="617">
        <f t="shared" si="11"/>
        <v>739</v>
      </c>
      <c r="B743" s="618" t="s">
        <v>77</v>
      </c>
      <c r="C743" s="618" t="str">
        <f>"4959"</f>
        <v>4959</v>
      </c>
      <c r="D743" s="618" t="s">
        <v>13</v>
      </c>
      <c r="E743" s="618">
        <v>3</v>
      </c>
      <c r="F743" s="619">
        <v>39907</v>
      </c>
      <c r="G743" s="619">
        <v>45385</v>
      </c>
      <c r="H743" s="618" t="s">
        <v>16</v>
      </c>
      <c r="I743" s="618" t="s">
        <v>51</v>
      </c>
    </row>
    <row r="744" spans="1:9">
      <c r="A744" s="620">
        <f t="shared" si="11"/>
        <v>740</v>
      </c>
      <c r="B744" s="621" t="s">
        <v>69</v>
      </c>
      <c r="C744" s="621" t="str">
        <f>"4960"</f>
        <v>4960</v>
      </c>
      <c r="D744" s="621" t="s">
        <v>13</v>
      </c>
      <c r="E744" s="621">
        <v>13</v>
      </c>
      <c r="F744" s="622">
        <v>39906</v>
      </c>
      <c r="G744" s="622">
        <v>45385</v>
      </c>
      <c r="H744" s="621" t="s">
        <v>16</v>
      </c>
      <c r="I744" s="621" t="s">
        <v>51</v>
      </c>
    </row>
    <row r="745" spans="1:9">
      <c r="A745" s="617">
        <f t="shared" si="11"/>
        <v>741</v>
      </c>
      <c r="B745" s="618" t="s">
        <v>69</v>
      </c>
      <c r="C745" s="618" t="str">
        <f>"4961"</f>
        <v>4961</v>
      </c>
      <c r="D745" s="618" t="s">
        <v>13</v>
      </c>
      <c r="E745" s="618">
        <v>10</v>
      </c>
      <c r="F745" s="619">
        <v>39906</v>
      </c>
      <c r="G745" s="619">
        <v>45385</v>
      </c>
      <c r="H745" s="618" t="s">
        <v>16</v>
      </c>
      <c r="I745" s="618" t="s">
        <v>6858</v>
      </c>
    </row>
    <row r="746" spans="1:9">
      <c r="A746" s="620">
        <f t="shared" si="11"/>
        <v>742</v>
      </c>
      <c r="B746" s="621" t="s">
        <v>36</v>
      </c>
      <c r="C746" s="621" t="str">
        <f>"4962"</f>
        <v>4962</v>
      </c>
      <c r="D746" s="621" t="s">
        <v>13</v>
      </c>
      <c r="E746" s="621">
        <v>2</v>
      </c>
      <c r="F746" s="622">
        <v>40161</v>
      </c>
      <c r="G746" s="622">
        <v>45639</v>
      </c>
      <c r="H746" s="621" t="s">
        <v>16</v>
      </c>
      <c r="I746" s="621" t="s">
        <v>6858</v>
      </c>
    </row>
    <row r="747" spans="1:9">
      <c r="A747" s="617">
        <f t="shared" si="11"/>
        <v>743</v>
      </c>
      <c r="B747" s="618" t="s">
        <v>69</v>
      </c>
      <c r="C747" s="618" t="str">
        <f>"4963"</f>
        <v>4963</v>
      </c>
      <c r="D747" s="618" t="s">
        <v>13</v>
      </c>
      <c r="E747" s="618">
        <v>9</v>
      </c>
      <c r="F747" s="619">
        <v>39906</v>
      </c>
      <c r="G747" s="619">
        <v>45385</v>
      </c>
      <c r="H747" s="618" t="s">
        <v>16</v>
      </c>
      <c r="I747" s="618" t="s">
        <v>51</v>
      </c>
    </row>
    <row r="748" spans="1:9">
      <c r="A748" s="620">
        <f t="shared" si="11"/>
        <v>744</v>
      </c>
      <c r="B748" s="621" t="s">
        <v>104</v>
      </c>
      <c r="C748" s="621" t="str">
        <f>"4981"</f>
        <v>4981</v>
      </c>
      <c r="D748" s="621" t="s">
        <v>13</v>
      </c>
      <c r="E748" s="621">
        <v>57</v>
      </c>
      <c r="F748" s="622">
        <v>40568</v>
      </c>
      <c r="G748" s="622">
        <v>51525</v>
      </c>
      <c r="H748" s="621" t="s">
        <v>14</v>
      </c>
      <c r="I748" s="621" t="s">
        <v>51</v>
      </c>
    </row>
    <row r="749" spans="1:9">
      <c r="A749" s="617">
        <f t="shared" si="11"/>
        <v>745</v>
      </c>
      <c r="B749" s="618" t="s">
        <v>1695</v>
      </c>
      <c r="C749" s="618" t="str">
        <f>"4993"</f>
        <v>4993</v>
      </c>
      <c r="D749" s="618" t="s">
        <v>18</v>
      </c>
      <c r="E749" s="618">
        <v>36</v>
      </c>
      <c r="F749" s="619">
        <v>39017</v>
      </c>
      <c r="G749" s="619">
        <v>40842</v>
      </c>
      <c r="H749" s="618" t="s">
        <v>21</v>
      </c>
      <c r="I749" s="618" t="s">
        <v>6871</v>
      </c>
    </row>
    <row r="750" spans="1:9">
      <c r="A750" s="620">
        <f t="shared" si="11"/>
        <v>746</v>
      </c>
      <c r="B750" s="621" t="s">
        <v>1695</v>
      </c>
      <c r="C750" s="621" t="str">
        <f>"4994"</f>
        <v>4994</v>
      </c>
      <c r="D750" s="621" t="s">
        <v>18</v>
      </c>
      <c r="E750" s="621">
        <v>36</v>
      </c>
      <c r="F750" s="622">
        <v>39017</v>
      </c>
      <c r="G750" s="622">
        <v>40842</v>
      </c>
      <c r="H750" s="621" t="s">
        <v>21</v>
      </c>
      <c r="I750" s="621" t="s">
        <v>6871</v>
      </c>
    </row>
    <row r="751" spans="1:9">
      <c r="A751" s="617">
        <f t="shared" si="11"/>
        <v>747</v>
      </c>
      <c r="B751" s="618" t="s">
        <v>1695</v>
      </c>
      <c r="C751" s="618" t="str">
        <f>"4995"</f>
        <v>4995</v>
      </c>
      <c r="D751" s="618" t="s">
        <v>18</v>
      </c>
      <c r="E751" s="618">
        <v>36</v>
      </c>
      <c r="F751" s="619">
        <v>39017</v>
      </c>
      <c r="G751" s="619">
        <v>40842</v>
      </c>
      <c r="H751" s="618" t="s">
        <v>22</v>
      </c>
      <c r="I751" s="618" t="s">
        <v>6871</v>
      </c>
    </row>
    <row r="752" spans="1:9">
      <c r="A752" s="620">
        <f t="shared" si="11"/>
        <v>748</v>
      </c>
      <c r="B752" s="621" t="s">
        <v>1695</v>
      </c>
      <c r="C752" s="621" t="str">
        <f>"4996"</f>
        <v>4996</v>
      </c>
      <c r="D752" s="621" t="s">
        <v>18</v>
      </c>
      <c r="E752" s="621">
        <v>36</v>
      </c>
      <c r="F752" s="622">
        <v>39017</v>
      </c>
      <c r="G752" s="622">
        <v>40842</v>
      </c>
      <c r="H752" s="621" t="s">
        <v>22</v>
      </c>
      <c r="I752" s="621" t="s">
        <v>6871</v>
      </c>
    </row>
    <row r="753" spans="1:9">
      <c r="A753" s="617">
        <f t="shared" si="11"/>
        <v>749</v>
      </c>
      <c r="B753" s="618" t="s">
        <v>1695</v>
      </c>
      <c r="C753" s="618" t="str">
        <f>"4997"</f>
        <v>4997</v>
      </c>
      <c r="D753" s="618" t="s">
        <v>18</v>
      </c>
      <c r="E753" s="618">
        <v>36</v>
      </c>
      <c r="F753" s="619">
        <v>39017</v>
      </c>
      <c r="G753" s="619">
        <v>40842</v>
      </c>
      <c r="H753" s="618" t="s">
        <v>21</v>
      </c>
      <c r="I753" s="618" t="s">
        <v>6871</v>
      </c>
    </row>
    <row r="754" spans="1:9">
      <c r="A754" s="620">
        <f t="shared" si="11"/>
        <v>750</v>
      </c>
      <c r="B754" s="621" t="s">
        <v>1695</v>
      </c>
      <c r="C754" s="621" t="str">
        <f>"4998"</f>
        <v>4998</v>
      </c>
      <c r="D754" s="621" t="s">
        <v>18</v>
      </c>
      <c r="E754" s="621">
        <v>36</v>
      </c>
      <c r="F754" s="622">
        <v>39017</v>
      </c>
      <c r="G754" s="622">
        <v>40842</v>
      </c>
      <c r="H754" s="621" t="s">
        <v>21</v>
      </c>
      <c r="I754" s="621" t="s">
        <v>6871</v>
      </c>
    </row>
    <row r="755" spans="1:9">
      <c r="A755" s="617">
        <f t="shared" si="11"/>
        <v>751</v>
      </c>
      <c r="B755" s="618" t="s">
        <v>1695</v>
      </c>
      <c r="C755" s="618" t="str">
        <f>"5005"</f>
        <v>5005</v>
      </c>
      <c r="D755" s="618" t="s">
        <v>18</v>
      </c>
      <c r="E755" s="618">
        <v>36</v>
      </c>
      <c r="F755" s="619">
        <v>39017</v>
      </c>
      <c r="G755" s="619">
        <v>40842</v>
      </c>
      <c r="H755" s="618" t="s">
        <v>21</v>
      </c>
      <c r="I755" s="618" t="s">
        <v>6871</v>
      </c>
    </row>
    <row r="756" spans="1:9">
      <c r="A756" s="620">
        <f t="shared" si="11"/>
        <v>752</v>
      </c>
      <c r="B756" s="621" t="s">
        <v>1695</v>
      </c>
      <c r="C756" s="621" t="str">
        <f>"5006"</f>
        <v>5006</v>
      </c>
      <c r="D756" s="621" t="s">
        <v>18</v>
      </c>
      <c r="E756" s="621">
        <v>36</v>
      </c>
      <c r="F756" s="622">
        <v>39017</v>
      </c>
      <c r="G756" s="622">
        <v>40842</v>
      </c>
      <c r="H756" s="621" t="s">
        <v>21</v>
      </c>
      <c r="I756" s="621" t="s">
        <v>6871</v>
      </c>
    </row>
    <row r="757" spans="1:9">
      <c r="A757" s="617">
        <f t="shared" si="11"/>
        <v>753</v>
      </c>
      <c r="B757" s="618" t="s">
        <v>1695</v>
      </c>
      <c r="C757" s="618" t="str">
        <f>"5007"</f>
        <v>5007</v>
      </c>
      <c r="D757" s="618" t="s">
        <v>18</v>
      </c>
      <c r="E757" s="618">
        <v>36</v>
      </c>
      <c r="F757" s="619">
        <v>39017</v>
      </c>
      <c r="G757" s="619">
        <v>40842</v>
      </c>
      <c r="H757" s="618" t="s">
        <v>22</v>
      </c>
      <c r="I757" s="618" t="s">
        <v>6871</v>
      </c>
    </row>
    <row r="758" spans="1:9">
      <c r="A758" s="620">
        <f t="shared" si="11"/>
        <v>754</v>
      </c>
      <c r="B758" s="621" t="s">
        <v>1695</v>
      </c>
      <c r="C758" s="621" t="str">
        <f>"5008"</f>
        <v>5008</v>
      </c>
      <c r="D758" s="621" t="s">
        <v>18</v>
      </c>
      <c r="E758" s="621">
        <v>36</v>
      </c>
      <c r="F758" s="622">
        <v>39017</v>
      </c>
      <c r="G758" s="622">
        <v>40842</v>
      </c>
      <c r="H758" s="621" t="s">
        <v>21</v>
      </c>
      <c r="I758" s="621" t="s">
        <v>6871</v>
      </c>
    </row>
    <row r="759" spans="1:9">
      <c r="A759" s="617">
        <f t="shared" si="11"/>
        <v>755</v>
      </c>
      <c r="B759" s="618" t="s">
        <v>1695</v>
      </c>
      <c r="C759" s="618" t="str">
        <f>"5009"</f>
        <v>5009</v>
      </c>
      <c r="D759" s="618" t="s">
        <v>18</v>
      </c>
      <c r="E759" s="618">
        <v>36</v>
      </c>
      <c r="F759" s="619">
        <v>39017</v>
      </c>
      <c r="G759" s="619">
        <v>40842</v>
      </c>
      <c r="H759" s="618" t="s">
        <v>21</v>
      </c>
      <c r="I759" s="618" t="s">
        <v>6871</v>
      </c>
    </row>
    <row r="760" spans="1:9">
      <c r="A760" s="620">
        <f t="shared" si="11"/>
        <v>756</v>
      </c>
      <c r="B760" s="621" t="s">
        <v>1695</v>
      </c>
      <c r="C760" s="621" t="str">
        <f>"5010"</f>
        <v>5010</v>
      </c>
      <c r="D760" s="621" t="s">
        <v>18</v>
      </c>
      <c r="E760" s="621">
        <v>36</v>
      </c>
      <c r="F760" s="622">
        <v>39017</v>
      </c>
      <c r="G760" s="622">
        <v>40842</v>
      </c>
      <c r="H760" s="621" t="s">
        <v>21</v>
      </c>
      <c r="I760" s="621" t="s">
        <v>6871</v>
      </c>
    </row>
    <row r="761" spans="1:9">
      <c r="A761" s="617">
        <f t="shared" si="11"/>
        <v>757</v>
      </c>
      <c r="B761" s="618" t="s">
        <v>1695</v>
      </c>
      <c r="C761" s="618" t="str">
        <f>"5020"</f>
        <v>5020</v>
      </c>
      <c r="D761" s="618" t="s">
        <v>18</v>
      </c>
      <c r="E761" s="618">
        <v>36</v>
      </c>
      <c r="F761" s="619">
        <v>39017</v>
      </c>
      <c r="G761" s="619">
        <v>40842</v>
      </c>
      <c r="H761" s="618" t="s">
        <v>21</v>
      </c>
      <c r="I761" s="618" t="s">
        <v>6871</v>
      </c>
    </row>
    <row r="762" spans="1:9">
      <c r="A762" s="620">
        <f t="shared" si="11"/>
        <v>758</v>
      </c>
      <c r="B762" s="621" t="s">
        <v>1695</v>
      </c>
      <c r="C762" s="621" t="str">
        <f>"5021"</f>
        <v>5021</v>
      </c>
      <c r="D762" s="621" t="s">
        <v>18</v>
      </c>
      <c r="E762" s="621">
        <v>36</v>
      </c>
      <c r="F762" s="622">
        <v>39017</v>
      </c>
      <c r="G762" s="622">
        <v>40842</v>
      </c>
      <c r="H762" s="621" t="s">
        <v>21</v>
      </c>
      <c r="I762" s="621" t="s">
        <v>6871</v>
      </c>
    </row>
    <row r="763" spans="1:9">
      <c r="A763" s="617">
        <f t="shared" si="11"/>
        <v>759</v>
      </c>
      <c r="B763" s="618" t="s">
        <v>1695</v>
      </c>
      <c r="C763" s="618" t="str">
        <f>"5022"</f>
        <v>5022</v>
      </c>
      <c r="D763" s="618" t="s">
        <v>18</v>
      </c>
      <c r="E763" s="618">
        <v>36</v>
      </c>
      <c r="F763" s="619">
        <v>39017</v>
      </c>
      <c r="G763" s="619">
        <v>40842</v>
      </c>
      <c r="H763" s="618" t="s">
        <v>21</v>
      </c>
      <c r="I763" s="618" t="s">
        <v>6871</v>
      </c>
    </row>
    <row r="764" spans="1:9">
      <c r="A764" s="620">
        <f t="shared" si="11"/>
        <v>760</v>
      </c>
      <c r="B764" s="621" t="s">
        <v>6875</v>
      </c>
      <c r="C764" s="621" t="str">
        <f>"5032"</f>
        <v>5032</v>
      </c>
      <c r="D764" s="621" t="s">
        <v>18</v>
      </c>
      <c r="E764" s="621">
        <v>46</v>
      </c>
      <c r="F764" s="622">
        <v>40707</v>
      </c>
      <c r="G764" s="622">
        <v>42533</v>
      </c>
      <c r="H764" s="621" t="s">
        <v>14</v>
      </c>
      <c r="I764" s="621" t="s">
        <v>6872</v>
      </c>
    </row>
    <row r="765" spans="1:9">
      <c r="A765" s="617">
        <f t="shared" si="11"/>
        <v>761</v>
      </c>
      <c r="B765" s="618" t="s">
        <v>1696</v>
      </c>
      <c r="C765" s="618" t="str">
        <f>"5034"</f>
        <v>5034</v>
      </c>
      <c r="D765" s="618" t="s">
        <v>27</v>
      </c>
      <c r="E765" s="618">
        <v>48</v>
      </c>
      <c r="F765" s="619">
        <v>43711</v>
      </c>
      <c r="G765" s="619">
        <v>45537</v>
      </c>
      <c r="H765" s="618" t="s">
        <v>14</v>
      </c>
      <c r="I765" s="618" t="s">
        <v>385</v>
      </c>
    </row>
    <row r="766" spans="1:9">
      <c r="A766" s="620">
        <f t="shared" si="11"/>
        <v>762</v>
      </c>
      <c r="B766" s="621" t="s">
        <v>120</v>
      </c>
      <c r="C766" s="621" t="str">
        <f>"5035"</f>
        <v>5035</v>
      </c>
      <c r="D766" s="621" t="s">
        <v>18</v>
      </c>
      <c r="E766" s="621">
        <v>18</v>
      </c>
      <c r="F766" s="622">
        <v>38881</v>
      </c>
      <c r="G766" s="622">
        <v>40706</v>
      </c>
      <c r="H766" s="621" t="s">
        <v>14</v>
      </c>
      <c r="I766" s="621" t="s">
        <v>6863</v>
      </c>
    </row>
    <row r="767" spans="1:9">
      <c r="A767" s="617">
        <f t="shared" si="11"/>
        <v>763</v>
      </c>
      <c r="B767" s="618" t="s">
        <v>26</v>
      </c>
      <c r="C767" s="618" t="str">
        <f>"5036"</f>
        <v>5036</v>
      </c>
      <c r="D767" s="618" t="s">
        <v>27</v>
      </c>
      <c r="E767" s="618">
        <v>57</v>
      </c>
      <c r="F767" s="619">
        <v>43567</v>
      </c>
      <c r="G767" s="619">
        <v>45393</v>
      </c>
      <c r="H767" s="618" t="s">
        <v>14</v>
      </c>
      <c r="I767" s="618" t="s">
        <v>6871</v>
      </c>
    </row>
    <row r="768" spans="1:9">
      <c r="A768" s="620">
        <f t="shared" si="11"/>
        <v>764</v>
      </c>
      <c r="B768" s="621" t="s">
        <v>1696</v>
      </c>
      <c r="C768" s="621" t="str">
        <f>"5038"</f>
        <v>5038</v>
      </c>
      <c r="D768" s="621" t="s">
        <v>18</v>
      </c>
      <c r="E768" s="621">
        <v>10</v>
      </c>
      <c r="F768" s="622">
        <v>40707</v>
      </c>
      <c r="G768" s="622">
        <v>42533</v>
      </c>
      <c r="H768" s="621" t="s">
        <v>14</v>
      </c>
      <c r="I768" s="621" t="s">
        <v>385</v>
      </c>
    </row>
    <row r="769" spans="1:9">
      <c r="A769" s="617">
        <f t="shared" si="11"/>
        <v>765</v>
      </c>
      <c r="B769" s="618" t="s">
        <v>26</v>
      </c>
      <c r="C769" s="618" t="str">
        <f>"5040"</f>
        <v>5040</v>
      </c>
      <c r="D769" s="618" t="s">
        <v>27</v>
      </c>
      <c r="E769" s="618">
        <v>13</v>
      </c>
      <c r="F769" s="619">
        <v>43567</v>
      </c>
      <c r="G769" s="619">
        <v>45393</v>
      </c>
      <c r="H769" s="618" t="s">
        <v>14</v>
      </c>
      <c r="I769" s="618" t="s">
        <v>6871</v>
      </c>
    </row>
    <row r="770" spans="1:9">
      <c r="A770" s="620">
        <f t="shared" si="11"/>
        <v>766</v>
      </c>
      <c r="B770" s="621" t="s">
        <v>1696</v>
      </c>
      <c r="C770" s="621" t="str">
        <f>"5044"</f>
        <v>5044</v>
      </c>
      <c r="D770" s="621" t="s">
        <v>27</v>
      </c>
      <c r="E770" s="621">
        <v>12</v>
      </c>
      <c r="F770" s="622">
        <v>43567</v>
      </c>
      <c r="G770" s="622">
        <v>45393</v>
      </c>
      <c r="H770" s="621" t="s">
        <v>14</v>
      </c>
      <c r="I770" s="621" t="s">
        <v>385</v>
      </c>
    </row>
    <row r="771" spans="1:9">
      <c r="A771" s="617">
        <f t="shared" si="11"/>
        <v>767</v>
      </c>
      <c r="B771" s="618" t="s">
        <v>6876</v>
      </c>
      <c r="C771" s="618" t="str">
        <f>"5045"</f>
        <v>5045</v>
      </c>
      <c r="D771" s="618" t="s">
        <v>13</v>
      </c>
      <c r="E771" s="618">
        <v>471</v>
      </c>
      <c r="F771" s="619">
        <v>41771</v>
      </c>
      <c r="G771" s="619">
        <v>43595</v>
      </c>
      <c r="H771" s="618" t="s">
        <v>29</v>
      </c>
      <c r="I771" s="618" t="s">
        <v>6858</v>
      </c>
    </row>
    <row r="772" spans="1:9">
      <c r="A772" s="620">
        <f t="shared" si="11"/>
        <v>768</v>
      </c>
      <c r="B772" s="621" t="s">
        <v>105</v>
      </c>
      <c r="C772" s="621" t="str">
        <f>"5046"</f>
        <v>5046</v>
      </c>
      <c r="D772" s="621" t="s">
        <v>13</v>
      </c>
      <c r="E772" s="621">
        <v>213</v>
      </c>
      <c r="F772" s="622">
        <v>41771</v>
      </c>
      <c r="G772" s="622">
        <v>47249</v>
      </c>
      <c r="H772" s="621" t="s">
        <v>29</v>
      </c>
      <c r="I772" s="621" t="s">
        <v>51</v>
      </c>
    </row>
    <row r="773" spans="1:9">
      <c r="A773" s="617">
        <f t="shared" si="11"/>
        <v>769</v>
      </c>
      <c r="B773" s="618" t="s">
        <v>1697</v>
      </c>
      <c r="C773" s="618" t="str">
        <f>"5047"</f>
        <v>5047</v>
      </c>
      <c r="D773" s="618" t="s">
        <v>13</v>
      </c>
      <c r="E773" s="618">
        <v>178</v>
      </c>
      <c r="F773" s="619">
        <v>39214</v>
      </c>
      <c r="G773" s="619">
        <v>41770</v>
      </c>
      <c r="H773" s="618" t="s">
        <v>29</v>
      </c>
      <c r="I773" s="618" t="s">
        <v>6867</v>
      </c>
    </row>
    <row r="774" spans="1:9">
      <c r="A774" s="620">
        <f t="shared" si="11"/>
        <v>770</v>
      </c>
      <c r="B774" s="621" t="s">
        <v>107</v>
      </c>
      <c r="C774" s="621" t="str">
        <f>"5048"</f>
        <v>5048</v>
      </c>
      <c r="D774" s="621" t="s">
        <v>13</v>
      </c>
      <c r="E774" s="621">
        <v>177</v>
      </c>
      <c r="F774" s="622">
        <v>39214</v>
      </c>
      <c r="G774" s="622">
        <v>41770</v>
      </c>
      <c r="H774" s="621" t="s">
        <v>29</v>
      </c>
      <c r="I774" s="621" t="s">
        <v>6865</v>
      </c>
    </row>
    <row r="775" spans="1:9">
      <c r="A775" s="617">
        <f t="shared" ref="A775:A838" si="12">+A774+1</f>
        <v>771</v>
      </c>
      <c r="B775" s="618" t="s">
        <v>105</v>
      </c>
      <c r="C775" s="618" t="str">
        <f>"5049"</f>
        <v>5049</v>
      </c>
      <c r="D775" s="618" t="s">
        <v>13</v>
      </c>
      <c r="E775" s="618">
        <v>369</v>
      </c>
      <c r="F775" s="619">
        <v>41041</v>
      </c>
      <c r="G775" s="619">
        <v>47249</v>
      </c>
      <c r="H775" s="618" t="s">
        <v>29</v>
      </c>
      <c r="I775" s="618" t="s">
        <v>51</v>
      </c>
    </row>
    <row r="776" spans="1:9">
      <c r="A776" s="620">
        <f t="shared" si="12"/>
        <v>772</v>
      </c>
      <c r="B776" s="621" t="s">
        <v>6876</v>
      </c>
      <c r="C776" s="621" t="str">
        <f>"5050"</f>
        <v>5050</v>
      </c>
      <c r="D776" s="621" t="s">
        <v>13</v>
      </c>
      <c r="E776" s="621">
        <v>467</v>
      </c>
      <c r="F776" s="622">
        <v>41771</v>
      </c>
      <c r="G776" s="622">
        <v>43595</v>
      </c>
      <c r="H776" s="621" t="s">
        <v>29</v>
      </c>
      <c r="I776" s="621" t="s">
        <v>6858</v>
      </c>
    </row>
    <row r="777" spans="1:9">
      <c r="A777" s="617">
        <f t="shared" si="12"/>
        <v>773</v>
      </c>
      <c r="B777" s="618" t="s">
        <v>106</v>
      </c>
      <c r="C777" s="618" t="str">
        <f>"5052"</f>
        <v>5052</v>
      </c>
      <c r="D777" s="618" t="s">
        <v>13</v>
      </c>
      <c r="E777" s="618">
        <v>356</v>
      </c>
      <c r="F777" s="619">
        <v>41771</v>
      </c>
      <c r="G777" s="619">
        <v>47249</v>
      </c>
      <c r="H777" s="618" t="s">
        <v>29</v>
      </c>
      <c r="I777" s="618" t="s">
        <v>51</v>
      </c>
    </row>
    <row r="778" spans="1:9">
      <c r="A778" s="620">
        <f t="shared" si="12"/>
        <v>774</v>
      </c>
      <c r="B778" s="621" t="s">
        <v>6876</v>
      </c>
      <c r="C778" s="621" t="str">
        <f>"5054"</f>
        <v>5054</v>
      </c>
      <c r="D778" s="621" t="s">
        <v>13</v>
      </c>
      <c r="E778" s="621">
        <v>357</v>
      </c>
      <c r="F778" s="622">
        <v>41771</v>
      </c>
      <c r="G778" s="622">
        <v>43595</v>
      </c>
      <c r="H778" s="621" t="s">
        <v>29</v>
      </c>
      <c r="I778" s="621" t="s">
        <v>6858</v>
      </c>
    </row>
    <row r="779" spans="1:9">
      <c r="A779" s="617">
        <f t="shared" si="12"/>
        <v>775</v>
      </c>
      <c r="B779" s="618" t="s">
        <v>107</v>
      </c>
      <c r="C779" s="618" t="str">
        <f>"5056"</f>
        <v>5056</v>
      </c>
      <c r="D779" s="618" t="s">
        <v>13</v>
      </c>
      <c r="E779" s="618">
        <v>66</v>
      </c>
      <c r="F779" s="619">
        <v>39214</v>
      </c>
      <c r="G779" s="619">
        <v>41770</v>
      </c>
      <c r="H779" s="618" t="s">
        <v>29</v>
      </c>
      <c r="I779" s="618" t="s">
        <v>6865</v>
      </c>
    </row>
    <row r="780" spans="1:9">
      <c r="A780" s="620">
        <f t="shared" si="12"/>
        <v>776</v>
      </c>
      <c r="B780" s="621" t="s">
        <v>1697</v>
      </c>
      <c r="C780" s="621" t="str">
        <f>"5057"</f>
        <v>5057</v>
      </c>
      <c r="D780" s="621" t="s">
        <v>13</v>
      </c>
      <c r="E780" s="621">
        <v>417</v>
      </c>
      <c r="F780" s="622">
        <v>41771</v>
      </c>
      <c r="G780" s="622">
        <v>47249</v>
      </c>
      <c r="H780" s="621" t="s">
        <v>29</v>
      </c>
      <c r="I780" s="621" t="s">
        <v>6867</v>
      </c>
    </row>
    <row r="781" spans="1:9">
      <c r="A781" s="617">
        <f t="shared" si="12"/>
        <v>777</v>
      </c>
      <c r="B781" s="618" t="s">
        <v>107</v>
      </c>
      <c r="C781" s="618" t="str">
        <f>"5058"</f>
        <v>5058</v>
      </c>
      <c r="D781" s="618" t="s">
        <v>13</v>
      </c>
      <c r="E781" s="618">
        <v>120</v>
      </c>
      <c r="F781" s="619">
        <v>39214</v>
      </c>
      <c r="G781" s="619">
        <v>41770</v>
      </c>
      <c r="H781" s="618" t="s">
        <v>29</v>
      </c>
      <c r="I781" s="618" t="s">
        <v>6865</v>
      </c>
    </row>
    <row r="782" spans="1:9">
      <c r="A782" s="620">
        <f t="shared" si="12"/>
        <v>778</v>
      </c>
      <c r="B782" s="621" t="s">
        <v>6876</v>
      </c>
      <c r="C782" s="621" t="str">
        <f>"5069"</f>
        <v>5069</v>
      </c>
      <c r="D782" s="621" t="s">
        <v>13</v>
      </c>
      <c r="E782" s="621">
        <v>461</v>
      </c>
      <c r="F782" s="622">
        <v>39214</v>
      </c>
      <c r="G782" s="622">
        <v>43594</v>
      </c>
      <c r="H782" s="621" t="s">
        <v>29</v>
      </c>
      <c r="I782" s="621" t="s">
        <v>6858</v>
      </c>
    </row>
    <row r="783" spans="1:9">
      <c r="A783" s="617">
        <f t="shared" si="12"/>
        <v>779</v>
      </c>
      <c r="B783" s="618" t="s">
        <v>106</v>
      </c>
      <c r="C783" s="618" t="str">
        <f>"5073"</f>
        <v>5073</v>
      </c>
      <c r="D783" s="618" t="s">
        <v>13</v>
      </c>
      <c r="E783" s="618">
        <v>470</v>
      </c>
      <c r="F783" s="619">
        <v>41771</v>
      </c>
      <c r="G783" s="619">
        <v>47249</v>
      </c>
      <c r="H783" s="618" t="s">
        <v>29</v>
      </c>
      <c r="I783" s="618" t="s">
        <v>51</v>
      </c>
    </row>
    <row r="784" spans="1:9">
      <c r="A784" s="620">
        <f t="shared" si="12"/>
        <v>780</v>
      </c>
      <c r="B784" s="621" t="s">
        <v>107</v>
      </c>
      <c r="C784" s="621" t="str">
        <f>"5077"</f>
        <v>5077</v>
      </c>
      <c r="D784" s="621" t="s">
        <v>13</v>
      </c>
      <c r="E784" s="621">
        <v>471</v>
      </c>
      <c r="F784" s="622">
        <v>39214</v>
      </c>
      <c r="G784" s="622">
        <v>41770</v>
      </c>
      <c r="H784" s="621" t="s">
        <v>28</v>
      </c>
      <c r="I784" s="621" t="s">
        <v>6865</v>
      </c>
    </row>
    <row r="785" spans="1:9">
      <c r="A785" s="617">
        <f t="shared" si="12"/>
        <v>781</v>
      </c>
      <c r="B785" s="618" t="s">
        <v>108</v>
      </c>
      <c r="C785" s="618" t="str">
        <f>"5078"</f>
        <v>5078</v>
      </c>
      <c r="D785" s="618" t="s">
        <v>13</v>
      </c>
      <c r="E785" s="618">
        <v>417</v>
      </c>
      <c r="F785" s="619">
        <v>41792</v>
      </c>
      <c r="G785" s="619">
        <v>47270</v>
      </c>
      <c r="H785" s="618" t="s">
        <v>28</v>
      </c>
      <c r="I785" s="618" t="s">
        <v>51</v>
      </c>
    </row>
    <row r="786" spans="1:9">
      <c r="A786" s="620">
        <f t="shared" si="12"/>
        <v>782</v>
      </c>
      <c r="B786" s="621" t="s">
        <v>108</v>
      </c>
      <c r="C786" s="621" t="str">
        <f>"5079"</f>
        <v>5079</v>
      </c>
      <c r="D786" s="621" t="s">
        <v>13</v>
      </c>
      <c r="E786" s="621">
        <v>461</v>
      </c>
      <c r="F786" s="622">
        <v>42004</v>
      </c>
      <c r="G786" s="622">
        <v>47482</v>
      </c>
      <c r="H786" s="621" t="s">
        <v>28</v>
      </c>
      <c r="I786" s="621" t="s">
        <v>51</v>
      </c>
    </row>
    <row r="787" spans="1:9">
      <c r="A787" s="617">
        <f t="shared" si="12"/>
        <v>783</v>
      </c>
      <c r="B787" s="618" t="s">
        <v>108</v>
      </c>
      <c r="C787" s="618" t="str">
        <f>"5081"</f>
        <v>5081</v>
      </c>
      <c r="D787" s="618" t="s">
        <v>13</v>
      </c>
      <c r="E787" s="618">
        <v>385</v>
      </c>
      <c r="F787" s="619">
        <v>42004</v>
      </c>
      <c r="G787" s="619">
        <v>47482</v>
      </c>
      <c r="H787" s="618" t="s">
        <v>28</v>
      </c>
      <c r="I787" s="618" t="s">
        <v>51</v>
      </c>
    </row>
    <row r="788" spans="1:9">
      <c r="A788" s="620">
        <f t="shared" si="12"/>
        <v>784</v>
      </c>
      <c r="B788" s="621" t="s">
        <v>107</v>
      </c>
      <c r="C788" s="621" t="str">
        <f>"5082"</f>
        <v>5082</v>
      </c>
      <c r="D788" s="621" t="s">
        <v>13</v>
      </c>
      <c r="E788" s="621">
        <v>436</v>
      </c>
      <c r="F788" s="622">
        <v>39447</v>
      </c>
      <c r="G788" s="622">
        <v>42003</v>
      </c>
      <c r="H788" s="621" t="s">
        <v>28</v>
      </c>
      <c r="I788" s="621" t="s">
        <v>6865</v>
      </c>
    </row>
    <row r="789" spans="1:9">
      <c r="A789" s="617">
        <f t="shared" si="12"/>
        <v>785</v>
      </c>
      <c r="B789" s="618" t="s">
        <v>107</v>
      </c>
      <c r="C789" s="618" t="str">
        <f>"5086"</f>
        <v>5086</v>
      </c>
      <c r="D789" s="618" t="s">
        <v>13</v>
      </c>
      <c r="E789" s="618">
        <v>379</v>
      </c>
      <c r="F789" s="619">
        <v>39603</v>
      </c>
      <c r="G789" s="619">
        <v>42158</v>
      </c>
      <c r="H789" s="618" t="s">
        <v>29</v>
      </c>
      <c r="I789" s="618" t="s">
        <v>6865</v>
      </c>
    </row>
    <row r="790" spans="1:9">
      <c r="A790" s="620">
        <f t="shared" si="12"/>
        <v>786</v>
      </c>
      <c r="B790" s="621" t="s">
        <v>106</v>
      </c>
      <c r="C790" s="621" t="str">
        <f>"5088"</f>
        <v>5088</v>
      </c>
      <c r="D790" s="621" t="s">
        <v>13</v>
      </c>
      <c r="E790" s="621">
        <v>344</v>
      </c>
      <c r="F790" s="622">
        <v>42159</v>
      </c>
      <c r="G790" s="622">
        <v>47637</v>
      </c>
      <c r="H790" s="621" t="s">
        <v>29</v>
      </c>
      <c r="I790" s="621" t="s">
        <v>51</v>
      </c>
    </row>
    <row r="791" spans="1:9">
      <c r="A791" s="617">
        <f t="shared" si="12"/>
        <v>787</v>
      </c>
      <c r="B791" s="618" t="s">
        <v>442</v>
      </c>
      <c r="C791" s="618" t="str">
        <f>"5105"</f>
        <v>5105</v>
      </c>
      <c r="D791" s="618" t="s">
        <v>13</v>
      </c>
      <c r="E791" s="618">
        <v>462</v>
      </c>
      <c r="F791" s="619">
        <v>42004</v>
      </c>
      <c r="G791" s="619">
        <v>47482</v>
      </c>
      <c r="H791" s="618" t="s">
        <v>28</v>
      </c>
      <c r="I791" s="618" t="s">
        <v>6867</v>
      </c>
    </row>
    <row r="792" spans="1:9">
      <c r="A792" s="620">
        <f t="shared" si="12"/>
        <v>788</v>
      </c>
      <c r="B792" s="621" t="s">
        <v>442</v>
      </c>
      <c r="C792" s="621" t="str">
        <f>"5106"</f>
        <v>5106</v>
      </c>
      <c r="D792" s="621" t="s">
        <v>13</v>
      </c>
      <c r="E792" s="621">
        <v>217</v>
      </c>
      <c r="F792" s="622">
        <v>42585</v>
      </c>
      <c r="G792" s="622">
        <v>48062</v>
      </c>
      <c r="H792" s="621" t="s">
        <v>28</v>
      </c>
      <c r="I792" s="621" t="s">
        <v>6867</v>
      </c>
    </row>
    <row r="793" spans="1:9">
      <c r="A793" s="617">
        <f t="shared" si="12"/>
        <v>789</v>
      </c>
      <c r="B793" s="618" t="s">
        <v>442</v>
      </c>
      <c r="C793" s="618" t="str">
        <f>"5108"</f>
        <v>5108</v>
      </c>
      <c r="D793" s="618" t="s">
        <v>13</v>
      </c>
      <c r="E793" s="618">
        <v>471</v>
      </c>
      <c r="F793" s="619">
        <v>42004</v>
      </c>
      <c r="G793" s="619">
        <v>47482</v>
      </c>
      <c r="H793" s="618" t="s">
        <v>28</v>
      </c>
      <c r="I793" s="618" t="s">
        <v>6867</v>
      </c>
    </row>
    <row r="794" spans="1:9">
      <c r="A794" s="620">
        <f t="shared" si="12"/>
        <v>790</v>
      </c>
      <c r="B794" s="621" t="s">
        <v>107</v>
      </c>
      <c r="C794" s="621" t="str">
        <f>"5109"</f>
        <v>5109</v>
      </c>
      <c r="D794" s="621" t="s">
        <v>13</v>
      </c>
      <c r="E794" s="621">
        <v>9</v>
      </c>
      <c r="F794" s="622">
        <v>39447</v>
      </c>
      <c r="G794" s="622">
        <v>42003</v>
      </c>
      <c r="H794" s="621" t="s">
        <v>28</v>
      </c>
      <c r="I794" s="621" t="s">
        <v>6865</v>
      </c>
    </row>
    <row r="795" spans="1:9">
      <c r="A795" s="617">
        <f t="shared" si="12"/>
        <v>791</v>
      </c>
      <c r="B795" s="618" t="s">
        <v>107</v>
      </c>
      <c r="C795" s="618" t="str">
        <f>"5110"</f>
        <v>5110</v>
      </c>
      <c r="D795" s="618" t="s">
        <v>13</v>
      </c>
      <c r="E795" s="618">
        <v>133</v>
      </c>
      <c r="F795" s="619">
        <v>39447</v>
      </c>
      <c r="G795" s="619">
        <v>42003</v>
      </c>
      <c r="H795" s="618" t="s">
        <v>28</v>
      </c>
      <c r="I795" s="618" t="s">
        <v>6865</v>
      </c>
    </row>
    <row r="796" spans="1:9">
      <c r="A796" s="620">
        <f t="shared" si="12"/>
        <v>792</v>
      </c>
      <c r="B796" s="621" t="s">
        <v>107</v>
      </c>
      <c r="C796" s="621" t="str">
        <f>"5114"</f>
        <v>5114</v>
      </c>
      <c r="D796" s="621" t="s">
        <v>13</v>
      </c>
      <c r="E796" s="621">
        <v>471</v>
      </c>
      <c r="F796" s="622">
        <v>41771</v>
      </c>
      <c r="G796" s="622">
        <v>47249</v>
      </c>
      <c r="H796" s="621" t="s">
        <v>28</v>
      </c>
      <c r="I796" s="621" t="s">
        <v>6862</v>
      </c>
    </row>
    <row r="797" spans="1:9">
      <c r="A797" s="617">
        <f t="shared" si="12"/>
        <v>793</v>
      </c>
      <c r="B797" s="618" t="s">
        <v>442</v>
      </c>
      <c r="C797" s="618" t="str">
        <f>"5119"</f>
        <v>5119</v>
      </c>
      <c r="D797" s="618" t="s">
        <v>13</v>
      </c>
      <c r="E797" s="618">
        <v>263</v>
      </c>
      <c r="F797" s="619">
        <v>41771</v>
      </c>
      <c r="G797" s="619">
        <v>47249</v>
      </c>
      <c r="H797" s="618" t="s">
        <v>28</v>
      </c>
      <c r="I797" s="618" t="s">
        <v>6867</v>
      </c>
    </row>
    <row r="798" spans="1:9">
      <c r="A798" s="620">
        <f t="shared" si="12"/>
        <v>794</v>
      </c>
      <c r="B798" s="621" t="s">
        <v>442</v>
      </c>
      <c r="C798" s="621" t="str">
        <f>"5120"</f>
        <v>5120</v>
      </c>
      <c r="D798" s="621" t="s">
        <v>13</v>
      </c>
      <c r="E798" s="621">
        <v>471</v>
      </c>
      <c r="F798" s="622">
        <v>41771</v>
      </c>
      <c r="G798" s="622">
        <v>47249</v>
      </c>
      <c r="H798" s="621" t="s">
        <v>28</v>
      </c>
      <c r="I798" s="621" t="s">
        <v>6867</v>
      </c>
    </row>
    <row r="799" spans="1:9">
      <c r="A799" s="617">
        <f t="shared" si="12"/>
        <v>795</v>
      </c>
      <c r="B799" s="618" t="s">
        <v>107</v>
      </c>
      <c r="C799" s="618" t="str">
        <f>"5121"</f>
        <v>5121</v>
      </c>
      <c r="D799" s="618" t="s">
        <v>13</v>
      </c>
      <c r="E799" s="618">
        <v>46</v>
      </c>
      <c r="F799" s="619">
        <v>39214</v>
      </c>
      <c r="G799" s="619">
        <v>41770</v>
      </c>
      <c r="H799" s="618" t="s">
        <v>28</v>
      </c>
      <c r="I799" s="618" t="s">
        <v>6865</v>
      </c>
    </row>
    <row r="800" spans="1:9">
      <c r="A800" s="620">
        <f t="shared" si="12"/>
        <v>796</v>
      </c>
      <c r="B800" s="621" t="s">
        <v>107</v>
      </c>
      <c r="C800" s="621" t="str">
        <f>"5122"</f>
        <v>5122</v>
      </c>
      <c r="D800" s="621" t="s">
        <v>13</v>
      </c>
      <c r="E800" s="621">
        <v>103</v>
      </c>
      <c r="F800" s="622">
        <v>39214</v>
      </c>
      <c r="G800" s="622">
        <v>41770</v>
      </c>
      <c r="H800" s="621" t="s">
        <v>28</v>
      </c>
      <c r="I800" s="621" t="s">
        <v>6865</v>
      </c>
    </row>
    <row r="801" spans="1:9">
      <c r="A801" s="617">
        <f t="shared" si="12"/>
        <v>797</v>
      </c>
      <c r="B801" s="618" t="s">
        <v>107</v>
      </c>
      <c r="C801" s="618" t="str">
        <f>"5123"</f>
        <v>5123</v>
      </c>
      <c r="D801" s="618" t="s">
        <v>13</v>
      </c>
      <c r="E801" s="618">
        <v>393</v>
      </c>
      <c r="F801" s="619">
        <v>39214</v>
      </c>
      <c r="G801" s="619">
        <v>41770</v>
      </c>
      <c r="H801" s="618" t="s">
        <v>28</v>
      </c>
      <c r="I801" s="618" t="s">
        <v>6865</v>
      </c>
    </row>
    <row r="802" spans="1:9">
      <c r="A802" s="620">
        <f t="shared" si="12"/>
        <v>798</v>
      </c>
      <c r="B802" s="621" t="s">
        <v>1698</v>
      </c>
      <c r="C802" s="621" t="str">
        <f>"5143"</f>
        <v>5143</v>
      </c>
      <c r="D802" s="621" t="s">
        <v>13</v>
      </c>
      <c r="E802" s="621">
        <v>40</v>
      </c>
      <c r="F802" s="622">
        <v>40826</v>
      </c>
      <c r="G802" s="622">
        <v>51783</v>
      </c>
      <c r="H802" s="621" t="s">
        <v>14</v>
      </c>
      <c r="I802" s="621" t="s">
        <v>385</v>
      </c>
    </row>
    <row r="803" spans="1:9">
      <c r="A803" s="617">
        <f t="shared" si="12"/>
        <v>799</v>
      </c>
      <c r="B803" s="618" t="s">
        <v>1698</v>
      </c>
      <c r="C803" s="618" t="str">
        <f>"5144"</f>
        <v>5144</v>
      </c>
      <c r="D803" s="618" t="s">
        <v>13</v>
      </c>
      <c r="E803" s="618">
        <v>99</v>
      </c>
      <c r="F803" s="619">
        <v>40826</v>
      </c>
      <c r="G803" s="619">
        <v>51783</v>
      </c>
      <c r="H803" s="618" t="s">
        <v>14</v>
      </c>
      <c r="I803" s="618" t="s">
        <v>385</v>
      </c>
    </row>
    <row r="804" spans="1:9">
      <c r="A804" s="620">
        <f t="shared" si="12"/>
        <v>800</v>
      </c>
      <c r="B804" s="621" t="s">
        <v>1698</v>
      </c>
      <c r="C804" s="621" t="str">
        <f>"5145"</f>
        <v>5145</v>
      </c>
      <c r="D804" s="621" t="s">
        <v>13</v>
      </c>
      <c r="E804" s="621">
        <v>132</v>
      </c>
      <c r="F804" s="622">
        <v>40826</v>
      </c>
      <c r="G804" s="622">
        <v>51783</v>
      </c>
      <c r="H804" s="621" t="s">
        <v>14</v>
      </c>
      <c r="I804" s="621" t="s">
        <v>385</v>
      </c>
    </row>
    <row r="805" spans="1:9">
      <c r="A805" s="617">
        <f t="shared" si="12"/>
        <v>801</v>
      </c>
      <c r="B805" s="618" t="s">
        <v>1698</v>
      </c>
      <c r="C805" s="618" t="str">
        <f>"5146"</f>
        <v>5146</v>
      </c>
      <c r="D805" s="618" t="s">
        <v>13</v>
      </c>
      <c r="E805" s="618">
        <v>165</v>
      </c>
      <c r="F805" s="619">
        <v>40826</v>
      </c>
      <c r="G805" s="619">
        <v>51783</v>
      </c>
      <c r="H805" s="618" t="s">
        <v>14</v>
      </c>
      <c r="I805" s="618" t="s">
        <v>385</v>
      </c>
    </row>
    <row r="806" spans="1:9">
      <c r="A806" s="620">
        <f t="shared" si="12"/>
        <v>802</v>
      </c>
      <c r="B806" s="621" t="s">
        <v>1696</v>
      </c>
      <c r="C806" s="621" t="str">
        <f>"5147"</f>
        <v>5147</v>
      </c>
      <c r="D806" s="621" t="s">
        <v>27</v>
      </c>
      <c r="E806" s="621">
        <v>42</v>
      </c>
      <c r="F806" s="622">
        <v>43567</v>
      </c>
      <c r="G806" s="622">
        <v>45393</v>
      </c>
      <c r="H806" s="621" t="s">
        <v>14</v>
      </c>
      <c r="I806" s="621" t="s">
        <v>385</v>
      </c>
    </row>
    <row r="807" spans="1:9">
      <c r="A807" s="617">
        <f t="shared" si="12"/>
        <v>803</v>
      </c>
      <c r="B807" s="618" t="s">
        <v>109</v>
      </c>
      <c r="C807" s="618" t="str">
        <f>"5148"</f>
        <v>5148</v>
      </c>
      <c r="D807" s="618" t="s">
        <v>13</v>
      </c>
      <c r="E807" s="618">
        <v>3</v>
      </c>
      <c r="F807" s="619">
        <v>41663</v>
      </c>
      <c r="G807" s="619">
        <v>52619</v>
      </c>
      <c r="H807" s="618" t="s">
        <v>14</v>
      </c>
      <c r="I807" s="618" t="s">
        <v>51</v>
      </c>
    </row>
    <row r="808" spans="1:9">
      <c r="A808" s="620">
        <f t="shared" si="12"/>
        <v>804</v>
      </c>
      <c r="B808" s="621" t="s">
        <v>110</v>
      </c>
      <c r="C808" s="621" t="str">
        <f>"5152"</f>
        <v>5152</v>
      </c>
      <c r="D808" s="621" t="s">
        <v>13</v>
      </c>
      <c r="E808" s="621">
        <v>3</v>
      </c>
      <c r="F808" s="622">
        <v>41663</v>
      </c>
      <c r="G808" s="622">
        <v>52619</v>
      </c>
      <c r="H808" s="621" t="s">
        <v>14</v>
      </c>
      <c r="I808" s="621" t="s">
        <v>51</v>
      </c>
    </row>
    <row r="809" spans="1:9">
      <c r="A809" s="617">
        <f t="shared" si="12"/>
        <v>805</v>
      </c>
      <c r="B809" s="618" t="s">
        <v>111</v>
      </c>
      <c r="C809" s="618" t="str">
        <f>"5154"</f>
        <v>5154</v>
      </c>
      <c r="D809" s="618" t="s">
        <v>13</v>
      </c>
      <c r="E809" s="618">
        <v>222</v>
      </c>
      <c r="F809" s="619">
        <v>39855</v>
      </c>
      <c r="G809" s="619">
        <v>50811</v>
      </c>
      <c r="H809" s="618" t="s">
        <v>14</v>
      </c>
      <c r="I809" s="618" t="s">
        <v>51</v>
      </c>
    </row>
    <row r="810" spans="1:9">
      <c r="A810" s="620">
        <f t="shared" si="12"/>
        <v>806</v>
      </c>
      <c r="B810" s="621" t="s">
        <v>112</v>
      </c>
      <c r="C810" s="621" t="str">
        <f>"5160"</f>
        <v>5160</v>
      </c>
      <c r="D810" s="621" t="s">
        <v>27</v>
      </c>
      <c r="E810" s="621">
        <v>9</v>
      </c>
      <c r="F810" s="622">
        <v>43220</v>
      </c>
      <c r="G810" s="622">
        <v>45045</v>
      </c>
      <c r="H810" s="621" t="s">
        <v>14</v>
      </c>
      <c r="I810" s="621" t="s">
        <v>6864</v>
      </c>
    </row>
    <row r="811" spans="1:9">
      <c r="A811" s="617">
        <f t="shared" si="12"/>
        <v>807</v>
      </c>
      <c r="B811" s="618" t="s">
        <v>112</v>
      </c>
      <c r="C811" s="618" t="str">
        <f>"5162"</f>
        <v>5162</v>
      </c>
      <c r="D811" s="618" t="s">
        <v>27</v>
      </c>
      <c r="E811" s="618">
        <v>14</v>
      </c>
      <c r="F811" s="619">
        <v>43220</v>
      </c>
      <c r="G811" s="619">
        <v>45045</v>
      </c>
      <c r="H811" s="618" t="s">
        <v>14</v>
      </c>
      <c r="I811" s="618" t="s">
        <v>6864</v>
      </c>
    </row>
    <row r="812" spans="1:9">
      <c r="A812" s="620">
        <f t="shared" si="12"/>
        <v>808</v>
      </c>
      <c r="B812" s="621" t="s">
        <v>1699</v>
      </c>
      <c r="C812" s="621" t="str">
        <f>"5206"</f>
        <v>5206</v>
      </c>
      <c r="D812" s="621" t="s">
        <v>18</v>
      </c>
      <c r="E812" s="621">
        <v>55</v>
      </c>
      <c r="F812" s="622">
        <v>40734</v>
      </c>
      <c r="G812" s="622">
        <v>42560</v>
      </c>
      <c r="H812" s="621" t="s">
        <v>14</v>
      </c>
      <c r="I812" s="621" t="s">
        <v>385</v>
      </c>
    </row>
    <row r="813" spans="1:9">
      <c r="A813" s="617">
        <f t="shared" si="12"/>
        <v>809</v>
      </c>
      <c r="B813" s="618" t="s">
        <v>1700</v>
      </c>
      <c r="C813" s="618" t="str">
        <f>"5208"</f>
        <v>5208</v>
      </c>
      <c r="D813" s="618" t="s">
        <v>18</v>
      </c>
      <c r="E813" s="618">
        <v>18</v>
      </c>
      <c r="F813" s="619">
        <v>39789</v>
      </c>
      <c r="G813" s="619">
        <v>41614</v>
      </c>
      <c r="H813" s="618" t="s">
        <v>14</v>
      </c>
      <c r="I813" s="618" t="s">
        <v>385</v>
      </c>
    </row>
    <row r="814" spans="1:9">
      <c r="A814" s="620">
        <f t="shared" si="12"/>
        <v>810</v>
      </c>
      <c r="B814" s="621" t="s">
        <v>404</v>
      </c>
      <c r="C814" s="621" t="str">
        <f>"5210"</f>
        <v>5210</v>
      </c>
      <c r="D814" s="621" t="s">
        <v>18</v>
      </c>
      <c r="E814" s="621">
        <v>231</v>
      </c>
      <c r="F814" s="622">
        <v>42579</v>
      </c>
      <c r="G814" s="622">
        <v>45500</v>
      </c>
      <c r="H814" s="621" t="s">
        <v>43</v>
      </c>
      <c r="I814" s="621" t="s">
        <v>6863</v>
      </c>
    </row>
    <row r="815" spans="1:9">
      <c r="A815" s="617">
        <f t="shared" si="12"/>
        <v>811</v>
      </c>
      <c r="B815" s="618" t="s">
        <v>404</v>
      </c>
      <c r="C815" s="618" t="str">
        <f>"5213"</f>
        <v>5213</v>
      </c>
      <c r="D815" s="618" t="s">
        <v>18</v>
      </c>
      <c r="E815" s="618">
        <v>230</v>
      </c>
      <c r="F815" s="619">
        <v>42579</v>
      </c>
      <c r="G815" s="619">
        <v>45500</v>
      </c>
      <c r="H815" s="618" t="s">
        <v>43</v>
      </c>
      <c r="I815" s="618" t="s">
        <v>6863</v>
      </c>
    </row>
    <row r="816" spans="1:9">
      <c r="A816" s="620">
        <f t="shared" si="12"/>
        <v>812</v>
      </c>
      <c r="B816" s="621" t="s">
        <v>1701</v>
      </c>
      <c r="C816" s="621" t="str">
        <f>"5220"</f>
        <v>5220</v>
      </c>
      <c r="D816" s="621" t="s">
        <v>18</v>
      </c>
      <c r="E816" s="621">
        <v>23</v>
      </c>
      <c r="F816" s="622">
        <v>38940</v>
      </c>
      <c r="G816" s="622">
        <v>40765</v>
      </c>
      <c r="H816" s="621" t="s">
        <v>14</v>
      </c>
      <c r="I816" s="621" t="s">
        <v>385</v>
      </c>
    </row>
    <row r="817" spans="1:9">
      <c r="A817" s="617">
        <f t="shared" si="12"/>
        <v>813</v>
      </c>
      <c r="B817" s="618" t="s">
        <v>33</v>
      </c>
      <c r="C817" s="618" t="str">
        <f>"5222"</f>
        <v>5222</v>
      </c>
      <c r="D817" s="618" t="s">
        <v>27</v>
      </c>
      <c r="E817" s="618">
        <v>8</v>
      </c>
      <c r="F817" s="619">
        <v>40970</v>
      </c>
      <c r="G817" s="619">
        <v>44621</v>
      </c>
      <c r="H817" s="618" t="s">
        <v>14</v>
      </c>
      <c r="I817" s="618" t="s">
        <v>6871</v>
      </c>
    </row>
    <row r="818" spans="1:9">
      <c r="A818" s="620">
        <f t="shared" si="12"/>
        <v>814</v>
      </c>
      <c r="B818" s="621" t="s">
        <v>142</v>
      </c>
      <c r="C818" s="621" t="str">
        <f>"5227"</f>
        <v>5227</v>
      </c>
      <c r="D818" s="621" t="s">
        <v>18</v>
      </c>
      <c r="E818" s="621">
        <v>59</v>
      </c>
      <c r="F818" s="622">
        <v>38940</v>
      </c>
      <c r="G818" s="622">
        <v>40765</v>
      </c>
      <c r="H818" s="621" t="s">
        <v>45</v>
      </c>
      <c r="I818" s="621" t="s">
        <v>6872</v>
      </c>
    </row>
    <row r="819" spans="1:9">
      <c r="A819" s="617">
        <f t="shared" si="12"/>
        <v>815</v>
      </c>
      <c r="B819" s="618" t="s">
        <v>87</v>
      </c>
      <c r="C819" s="618" t="str">
        <f>"5236"</f>
        <v>5236</v>
      </c>
      <c r="D819" s="618" t="s">
        <v>13</v>
      </c>
      <c r="E819" s="618">
        <v>30</v>
      </c>
      <c r="F819" s="619">
        <v>41934</v>
      </c>
      <c r="G819" s="619">
        <v>52891</v>
      </c>
      <c r="H819" s="618" t="s">
        <v>14</v>
      </c>
      <c r="I819" s="618" t="s">
        <v>6861</v>
      </c>
    </row>
    <row r="820" spans="1:9">
      <c r="A820" s="620">
        <f t="shared" si="12"/>
        <v>816</v>
      </c>
      <c r="B820" s="621" t="s">
        <v>17</v>
      </c>
      <c r="C820" s="621" t="str">
        <f>"5266"</f>
        <v>5266</v>
      </c>
      <c r="D820" s="621" t="s">
        <v>18</v>
      </c>
      <c r="E820" s="621">
        <v>42</v>
      </c>
      <c r="F820" s="622">
        <v>41967</v>
      </c>
      <c r="G820" s="622">
        <v>43792</v>
      </c>
      <c r="H820" s="621" t="s">
        <v>19</v>
      </c>
      <c r="I820" s="621" t="s">
        <v>6858</v>
      </c>
    </row>
    <row r="821" spans="1:9">
      <c r="A821" s="617">
        <f t="shared" si="12"/>
        <v>817</v>
      </c>
      <c r="B821" s="618" t="s">
        <v>17</v>
      </c>
      <c r="C821" s="618" t="str">
        <f>"5267"</f>
        <v>5267</v>
      </c>
      <c r="D821" s="618" t="s">
        <v>18</v>
      </c>
      <c r="E821" s="618">
        <v>186</v>
      </c>
      <c r="F821" s="619">
        <v>40815</v>
      </c>
      <c r="G821" s="619">
        <v>43405</v>
      </c>
      <c r="H821" s="618" t="s">
        <v>19</v>
      </c>
      <c r="I821" s="618" t="s">
        <v>6858</v>
      </c>
    </row>
    <row r="822" spans="1:9">
      <c r="A822" s="620">
        <f t="shared" si="12"/>
        <v>818</v>
      </c>
      <c r="B822" s="621" t="s">
        <v>17</v>
      </c>
      <c r="C822" s="621" t="str">
        <f>"5270"</f>
        <v>5270</v>
      </c>
      <c r="D822" s="621" t="s">
        <v>18</v>
      </c>
      <c r="E822" s="621">
        <v>220</v>
      </c>
      <c r="F822" s="622">
        <v>40815</v>
      </c>
      <c r="G822" s="622">
        <v>43405</v>
      </c>
      <c r="H822" s="621" t="s">
        <v>19</v>
      </c>
      <c r="I822" s="621" t="s">
        <v>6871</v>
      </c>
    </row>
    <row r="823" spans="1:9">
      <c r="A823" s="617">
        <f t="shared" si="12"/>
        <v>819</v>
      </c>
      <c r="B823" s="618" t="s">
        <v>161</v>
      </c>
      <c r="C823" s="618" t="str">
        <f>"5271"</f>
        <v>5271</v>
      </c>
      <c r="D823" s="618" t="s">
        <v>18</v>
      </c>
      <c r="E823" s="618">
        <v>168</v>
      </c>
      <c r="F823" s="619">
        <v>42584</v>
      </c>
      <c r="G823" s="619">
        <v>46591</v>
      </c>
      <c r="H823" s="618" t="s">
        <v>56</v>
      </c>
      <c r="I823" s="618" t="s">
        <v>51</v>
      </c>
    </row>
    <row r="824" spans="1:9">
      <c r="A824" s="620">
        <f t="shared" si="12"/>
        <v>820</v>
      </c>
      <c r="B824" s="621" t="s">
        <v>161</v>
      </c>
      <c r="C824" s="621" t="str">
        <f>"5272"</f>
        <v>5272</v>
      </c>
      <c r="D824" s="621" t="s">
        <v>18</v>
      </c>
      <c r="E824" s="621">
        <v>187</v>
      </c>
      <c r="F824" s="622">
        <v>40818</v>
      </c>
      <c r="G824" s="622">
        <v>42583</v>
      </c>
      <c r="H824" s="621" t="s">
        <v>56</v>
      </c>
      <c r="I824" s="621" t="s">
        <v>6867</v>
      </c>
    </row>
    <row r="825" spans="1:9">
      <c r="A825" s="617">
        <f t="shared" si="12"/>
        <v>821</v>
      </c>
      <c r="B825" s="618" t="s">
        <v>112</v>
      </c>
      <c r="C825" s="618" t="str">
        <f>"5273"</f>
        <v>5273</v>
      </c>
      <c r="D825" s="618" t="s">
        <v>27</v>
      </c>
      <c r="E825" s="618">
        <v>35</v>
      </c>
      <c r="F825" s="619">
        <v>43220</v>
      </c>
      <c r="G825" s="619">
        <v>45045</v>
      </c>
      <c r="H825" s="618" t="s">
        <v>14</v>
      </c>
      <c r="I825" s="618" t="s">
        <v>6864</v>
      </c>
    </row>
    <row r="826" spans="1:9">
      <c r="A826" s="620">
        <f t="shared" si="12"/>
        <v>822</v>
      </c>
      <c r="B826" s="621" t="s">
        <v>113</v>
      </c>
      <c r="C826" s="621" t="str">
        <f>"5276"</f>
        <v>5276</v>
      </c>
      <c r="D826" s="621" t="s">
        <v>13</v>
      </c>
      <c r="E826" s="621">
        <v>129</v>
      </c>
      <c r="F826" s="622">
        <v>42167</v>
      </c>
      <c r="G826" s="622">
        <v>53124</v>
      </c>
      <c r="H826" s="621" t="s">
        <v>14</v>
      </c>
      <c r="I826" s="621" t="s">
        <v>51</v>
      </c>
    </row>
    <row r="827" spans="1:9">
      <c r="A827" s="617">
        <f t="shared" si="12"/>
        <v>823</v>
      </c>
      <c r="B827" s="618" t="s">
        <v>114</v>
      </c>
      <c r="C827" s="618" t="str">
        <f>"5278"</f>
        <v>5278</v>
      </c>
      <c r="D827" s="618" t="s">
        <v>13</v>
      </c>
      <c r="E827" s="618">
        <v>40</v>
      </c>
      <c r="F827" s="619">
        <v>43640</v>
      </c>
      <c r="G827" s="619">
        <v>52771</v>
      </c>
      <c r="H827" s="618" t="s">
        <v>14</v>
      </c>
      <c r="I827" s="618" t="s">
        <v>51</v>
      </c>
    </row>
    <row r="828" spans="1:9">
      <c r="A828" s="620">
        <f t="shared" si="12"/>
        <v>824</v>
      </c>
      <c r="B828" s="621" t="s">
        <v>404</v>
      </c>
      <c r="C828" s="621" t="str">
        <f>"5297"</f>
        <v>5297</v>
      </c>
      <c r="D828" s="621" t="s">
        <v>18</v>
      </c>
      <c r="E828" s="621">
        <v>41</v>
      </c>
      <c r="F828" s="622">
        <v>42654</v>
      </c>
      <c r="G828" s="622">
        <v>45575</v>
      </c>
      <c r="H828" s="621" t="s">
        <v>43</v>
      </c>
      <c r="I828" s="621" t="s">
        <v>6863</v>
      </c>
    </row>
    <row r="829" spans="1:9">
      <c r="A829" s="617">
        <f t="shared" si="12"/>
        <v>825</v>
      </c>
      <c r="B829" s="618" t="s">
        <v>404</v>
      </c>
      <c r="C829" s="618" t="str">
        <f>"5298"</f>
        <v>5298</v>
      </c>
      <c r="D829" s="618" t="s">
        <v>18</v>
      </c>
      <c r="E829" s="618">
        <v>40</v>
      </c>
      <c r="F829" s="619">
        <v>42654</v>
      </c>
      <c r="G829" s="619">
        <v>45575</v>
      </c>
      <c r="H829" s="618" t="s">
        <v>43</v>
      </c>
      <c r="I829" s="618" t="s">
        <v>6863</v>
      </c>
    </row>
    <row r="830" spans="1:9">
      <c r="A830" s="620">
        <f t="shared" si="12"/>
        <v>826</v>
      </c>
      <c r="B830" s="621" t="s">
        <v>414</v>
      </c>
      <c r="C830" s="621" t="str">
        <f>"5301"</f>
        <v>5301</v>
      </c>
      <c r="D830" s="621" t="s">
        <v>18</v>
      </c>
      <c r="E830" s="621">
        <v>161</v>
      </c>
      <c r="F830" s="622">
        <v>39001</v>
      </c>
      <c r="G830" s="622">
        <v>40826</v>
      </c>
      <c r="H830" s="621" t="s">
        <v>14</v>
      </c>
      <c r="I830" s="621" t="s">
        <v>6862</v>
      </c>
    </row>
    <row r="831" spans="1:9">
      <c r="A831" s="617">
        <f t="shared" si="12"/>
        <v>827</v>
      </c>
      <c r="B831" s="618" t="s">
        <v>1702</v>
      </c>
      <c r="C831" s="618" t="str">
        <f>"5320"</f>
        <v>5320</v>
      </c>
      <c r="D831" s="618" t="s">
        <v>13</v>
      </c>
      <c r="E831" s="618">
        <v>460</v>
      </c>
      <c r="F831" s="619">
        <v>42709</v>
      </c>
      <c r="G831" s="619">
        <v>53665</v>
      </c>
      <c r="H831" s="618" t="s">
        <v>41</v>
      </c>
      <c r="I831" s="618" t="s">
        <v>6859</v>
      </c>
    </row>
    <row r="832" spans="1:9">
      <c r="A832" s="620">
        <f t="shared" si="12"/>
        <v>828</v>
      </c>
      <c r="B832" s="621" t="s">
        <v>1702</v>
      </c>
      <c r="C832" s="621" t="str">
        <f>"5321"</f>
        <v>5321</v>
      </c>
      <c r="D832" s="621" t="s">
        <v>13</v>
      </c>
      <c r="E832" s="621">
        <v>349</v>
      </c>
      <c r="F832" s="622">
        <v>42709</v>
      </c>
      <c r="G832" s="622">
        <v>53665</v>
      </c>
      <c r="H832" s="621" t="s">
        <v>41</v>
      </c>
      <c r="I832" s="621" t="s">
        <v>385</v>
      </c>
    </row>
    <row r="833" spans="1:9">
      <c r="A833" s="617">
        <f t="shared" si="12"/>
        <v>829</v>
      </c>
      <c r="B833" s="618" t="s">
        <v>25</v>
      </c>
      <c r="C833" s="618" t="str">
        <f>"5338"</f>
        <v>5338</v>
      </c>
      <c r="D833" s="618" t="s">
        <v>13</v>
      </c>
      <c r="E833" s="618">
        <v>24</v>
      </c>
      <c r="F833" s="619">
        <v>41450</v>
      </c>
      <c r="G833" s="619">
        <v>52406</v>
      </c>
      <c r="H833" s="618" t="s">
        <v>14</v>
      </c>
      <c r="I833" s="618" t="s">
        <v>6871</v>
      </c>
    </row>
    <row r="834" spans="1:9">
      <c r="A834" s="620">
        <f t="shared" si="12"/>
        <v>830</v>
      </c>
      <c r="B834" s="621" t="s">
        <v>6877</v>
      </c>
      <c r="C834" s="621" t="str">
        <f>"5468"</f>
        <v>5468</v>
      </c>
      <c r="D834" s="621" t="s">
        <v>18</v>
      </c>
      <c r="E834" s="621">
        <v>179</v>
      </c>
      <c r="F834" s="622">
        <v>40913</v>
      </c>
      <c r="G834" s="622">
        <v>44199</v>
      </c>
      <c r="H834" s="621" t="s">
        <v>16</v>
      </c>
      <c r="I834" s="621" t="s">
        <v>385</v>
      </c>
    </row>
    <row r="835" spans="1:9">
      <c r="A835" s="617">
        <f t="shared" si="12"/>
        <v>831</v>
      </c>
      <c r="B835" s="618" t="s">
        <v>115</v>
      </c>
      <c r="C835" s="618" t="str">
        <f>"5480"</f>
        <v>5480</v>
      </c>
      <c r="D835" s="618" t="s">
        <v>13</v>
      </c>
      <c r="E835" s="618">
        <v>6</v>
      </c>
      <c r="F835" s="619">
        <v>41450</v>
      </c>
      <c r="G835" s="619">
        <v>52406</v>
      </c>
      <c r="H835" s="618" t="s">
        <v>14</v>
      </c>
      <c r="I835" s="618" t="s">
        <v>51</v>
      </c>
    </row>
    <row r="836" spans="1:9">
      <c r="A836" s="620">
        <f t="shared" si="12"/>
        <v>832</v>
      </c>
      <c r="B836" s="621" t="s">
        <v>1703</v>
      </c>
      <c r="C836" s="621" t="str">
        <f>"5542"</f>
        <v>5542</v>
      </c>
      <c r="D836" s="621" t="s">
        <v>18</v>
      </c>
      <c r="E836" s="621">
        <v>108</v>
      </c>
      <c r="F836" s="622">
        <v>40846</v>
      </c>
      <c r="G836" s="622">
        <v>42672</v>
      </c>
      <c r="H836" s="621" t="s">
        <v>43</v>
      </c>
      <c r="I836" s="621" t="s">
        <v>385</v>
      </c>
    </row>
    <row r="837" spans="1:9">
      <c r="A837" s="617">
        <f t="shared" si="12"/>
        <v>833</v>
      </c>
      <c r="B837" s="618" t="s">
        <v>1704</v>
      </c>
      <c r="C837" s="618" t="str">
        <f>"5543"</f>
        <v>5543</v>
      </c>
      <c r="D837" s="618" t="s">
        <v>18</v>
      </c>
      <c r="E837" s="618">
        <v>39</v>
      </c>
      <c r="F837" s="619">
        <v>40846</v>
      </c>
      <c r="G837" s="619">
        <v>42672</v>
      </c>
      <c r="H837" s="618" t="s">
        <v>14</v>
      </c>
      <c r="I837" s="618" t="s">
        <v>385</v>
      </c>
    </row>
    <row r="838" spans="1:9">
      <c r="A838" s="620">
        <f t="shared" si="12"/>
        <v>834</v>
      </c>
      <c r="B838" s="621" t="s">
        <v>116</v>
      </c>
      <c r="C838" s="621" t="str">
        <f>"5696"</f>
        <v>5696</v>
      </c>
      <c r="D838" s="621" t="s">
        <v>13</v>
      </c>
      <c r="E838" s="621">
        <v>126</v>
      </c>
      <c r="F838" s="622">
        <v>43725</v>
      </c>
      <c r="G838" s="622">
        <v>52856</v>
      </c>
      <c r="H838" s="621" t="s">
        <v>41</v>
      </c>
      <c r="I838" s="621" t="s">
        <v>51</v>
      </c>
    </row>
    <row r="839" spans="1:9">
      <c r="A839" s="617">
        <f t="shared" ref="A839:A902" si="13">+A838+1</f>
        <v>835</v>
      </c>
      <c r="B839" s="618" t="s">
        <v>116</v>
      </c>
      <c r="C839" s="618" t="str">
        <f>"5699"</f>
        <v>5699</v>
      </c>
      <c r="D839" s="618" t="s">
        <v>13</v>
      </c>
      <c r="E839" s="618">
        <v>192</v>
      </c>
      <c r="F839" s="619">
        <v>43725</v>
      </c>
      <c r="G839" s="619">
        <v>52856</v>
      </c>
      <c r="H839" s="618" t="s">
        <v>41</v>
      </c>
      <c r="I839" s="618" t="s">
        <v>51</v>
      </c>
    </row>
    <row r="840" spans="1:9">
      <c r="A840" s="620">
        <f t="shared" si="13"/>
        <v>836</v>
      </c>
      <c r="B840" s="621" t="s">
        <v>415</v>
      </c>
      <c r="C840" s="621" t="str">
        <f>"5725"</f>
        <v>5725</v>
      </c>
      <c r="D840" s="621" t="s">
        <v>18</v>
      </c>
      <c r="E840" s="621">
        <v>100</v>
      </c>
      <c r="F840" s="622">
        <v>42712</v>
      </c>
      <c r="G840" s="622">
        <v>44537</v>
      </c>
      <c r="H840" s="621" t="s">
        <v>45</v>
      </c>
      <c r="I840" s="621" t="s">
        <v>6868</v>
      </c>
    </row>
    <row r="841" spans="1:9">
      <c r="A841" s="617">
        <f t="shared" si="13"/>
        <v>837</v>
      </c>
      <c r="B841" s="618" t="s">
        <v>416</v>
      </c>
      <c r="C841" s="618" t="str">
        <f>"5744"</f>
        <v>5744</v>
      </c>
      <c r="D841" s="618" t="s">
        <v>18</v>
      </c>
      <c r="E841" s="618">
        <v>9</v>
      </c>
      <c r="F841" s="619">
        <v>39044</v>
      </c>
      <c r="G841" s="619">
        <v>40504</v>
      </c>
      <c r="H841" s="618" t="s">
        <v>23</v>
      </c>
      <c r="I841" s="618" t="s">
        <v>6862</v>
      </c>
    </row>
    <row r="842" spans="1:9">
      <c r="A842" s="620">
        <f t="shared" si="13"/>
        <v>838</v>
      </c>
      <c r="B842" s="621" t="s">
        <v>1705</v>
      </c>
      <c r="C842" s="621" t="str">
        <f>"5745"</f>
        <v>5745</v>
      </c>
      <c r="D842" s="621" t="s">
        <v>18</v>
      </c>
      <c r="E842" s="621">
        <v>28</v>
      </c>
      <c r="F842" s="622">
        <v>39044</v>
      </c>
      <c r="G842" s="622">
        <v>40504</v>
      </c>
      <c r="H842" s="621" t="s">
        <v>23</v>
      </c>
      <c r="I842" s="621" t="s">
        <v>385</v>
      </c>
    </row>
    <row r="843" spans="1:9">
      <c r="A843" s="617">
        <f t="shared" si="13"/>
        <v>839</v>
      </c>
      <c r="B843" s="618" t="s">
        <v>1706</v>
      </c>
      <c r="C843" s="618" t="str">
        <f>"5756"</f>
        <v>5756</v>
      </c>
      <c r="D843" s="618" t="s">
        <v>18</v>
      </c>
      <c r="E843" s="618">
        <v>55</v>
      </c>
      <c r="F843" s="619">
        <v>41789</v>
      </c>
      <c r="G843" s="619">
        <v>41911</v>
      </c>
      <c r="H843" s="618" t="s">
        <v>21</v>
      </c>
      <c r="I843" s="618" t="s">
        <v>385</v>
      </c>
    </row>
    <row r="844" spans="1:9">
      <c r="A844" s="620">
        <f t="shared" si="13"/>
        <v>840</v>
      </c>
      <c r="B844" s="621" t="s">
        <v>1707</v>
      </c>
      <c r="C844" s="621" t="str">
        <f>"5839"</f>
        <v>5839</v>
      </c>
      <c r="D844" s="621" t="s">
        <v>18</v>
      </c>
      <c r="E844" s="621">
        <v>19</v>
      </c>
      <c r="F844" s="622">
        <v>39062</v>
      </c>
      <c r="G844" s="622">
        <v>40887</v>
      </c>
      <c r="H844" s="621" t="s">
        <v>19</v>
      </c>
      <c r="I844" s="621" t="s">
        <v>385</v>
      </c>
    </row>
    <row r="845" spans="1:9">
      <c r="A845" s="617">
        <f t="shared" si="13"/>
        <v>841</v>
      </c>
      <c r="B845" s="618" t="s">
        <v>1707</v>
      </c>
      <c r="C845" s="618" t="str">
        <f>"5840"</f>
        <v>5840</v>
      </c>
      <c r="D845" s="618" t="s">
        <v>18</v>
      </c>
      <c r="E845" s="618">
        <v>35</v>
      </c>
      <c r="F845" s="619">
        <v>39062</v>
      </c>
      <c r="G845" s="619">
        <v>40887</v>
      </c>
      <c r="H845" s="618" t="s">
        <v>19</v>
      </c>
      <c r="I845" s="618" t="s">
        <v>385</v>
      </c>
    </row>
    <row r="846" spans="1:9">
      <c r="A846" s="620">
        <f t="shared" si="13"/>
        <v>842</v>
      </c>
      <c r="B846" s="621" t="s">
        <v>1708</v>
      </c>
      <c r="C846" s="621" t="str">
        <f>"6136"</f>
        <v>6136</v>
      </c>
      <c r="D846" s="621" t="s">
        <v>27</v>
      </c>
      <c r="E846" s="621">
        <v>30</v>
      </c>
      <c r="F846" s="622">
        <v>42368</v>
      </c>
      <c r="G846" s="622">
        <v>44194</v>
      </c>
      <c r="H846" s="621" t="s">
        <v>19</v>
      </c>
      <c r="I846" s="621" t="s">
        <v>6862</v>
      </c>
    </row>
    <row r="847" spans="1:9">
      <c r="A847" s="617">
        <f t="shared" si="13"/>
        <v>843</v>
      </c>
      <c r="B847" s="618" t="s">
        <v>1708</v>
      </c>
      <c r="C847" s="618" t="str">
        <f>"6137"</f>
        <v>6137</v>
      </c>
      <c r="D847" s="618" t="s">
        <v>27</v>
      </c>
      <c r="E847" s="618">
        <v>21</v>
      </c>
      <c r="F847" s="619">
        <v>42313</v>
      </c>
      <c r="G847" s="619">
        <v>44139</v>
      </c>
      <c r="H847" s="618" t="s">
        <v>41</v>
      </c>
      <c r="I847" s="618" t="s">
        <v>6862</v>
      </c>
    </row>
    <row r="848" spans="1:9">
      <c r="A848" s="620">
        <f t="shared" si="13"/>
        <v>844</v>
      </c>
      <c r="B848" s="621" t="s">
        <v>1708</v>
      </c>
      <c r="C848" s="621" t="str">
        <f>"6139"</f>
        <v>6139</v>
      </c>
      <c r="D848" s="621" t="s">
        <v>27</v>
      </c>
      <c r="E848" s="621">
        <v>35</v>
      </c>
      <c r="F848" s="622">
        <v>42368</v>
      </c>
      <c r="G848" s="622">
        <v>44194</v>
      </c>
      <c r="H848" s="621" t="s">
        <v>19</v>
      </c>
      <c r="I848" s="621" t="s">
        <v>6862</v>
      </c>
    </row>
    <row r="849" spans="1:9">
      <c r="A849" s="617">
        <f t="shared" si="13"/>
        <v>845</v>
      </c>
      <c r="B849" s="618" t="s">
        <v>1708</v>
      </c>
      <c r="C849" s="618" t="str">
        <f>"6140"</f>
        <v>6140</v>
      </c>
      <c r="D849" s="618" t="s">
        <v>27</v>
      </c>
      <c r="E849" s="618">
        <v>20</v>
      </c>
      <c r="F849" s="619">
        <v>42313</v>
      </c>
      <c r="G849" s="619">
        <v>44139</v>
      </c>
      <c r="H849" s="618" t="s">
        <v>41</v>
      </c>
      <c r="I849" s="618" t="s">
        <v>6862</v>
      </c>
    </row>
    <row r="850" spans="1:9">
      <c r="A850" s="620">
        <f t="shared" si="13"/>
        <v>846</v>
      </c>
      <c r="B850" s="621" t="s">
        <v>1708</v>
      </c>
      <c r="C850" s="621" t="str">
        <f>"6141"</f>
        <v>6141</v>
      </c>
      <c r="D850" s="621" t="s">
        <v>27</v>
      </c>
      <c r="E850" s="621">
        <v>15</v>
      </c>
      <c r="F850" s="622">
        <v>42313</v>
      </c>
      <c r="G850" s="622">
        <v>44139</v>
      </c>
      <c r="H850" s="621" t="s">
        <v>41</v>
      </c>
      <c r="I850" s="621" t="s">
        <v>6862</v>
      </c>
    </row>
    <row r="851" spans="1:9">
      <c r="A851" s="617">
        <f t="shared" si="13"/>
        <v>847</v>
      </c>
      <c r="B851" s="618" t="s">
        <v>1708</v>
      </c>
      <c r="C851" s="618" t="str">
        <f>"6142"</f>
        <v>6142</v>
      </c>
      <c r="D851" s="618" t="s">
        <v>27</v>
      </c>
      <c r="E851" s="618">
        <v>25</v>
      </c>
      <c r="F851" s="619">
        <v>42368</v>
      </c>
      <c r="G851" s="619">
        <v>44194</v>
      </c>
      <c r="H851" s="618" t="s">
        <v>19</v>
      </c>
      <c r="I851" s="618" t="s">
        <v>6862</v>
      </c>
    </row>
    <row r="852" spans="1:9">
      <c r="A852" s="620">
        <f t="shared" si="13"/>
        <v>848</v>
      </c>
      <c r="B852" s="621" t="s">
        <v>1708</v>
      </c>
      <c r="C852" s="621" t="str">
        <f>"6313"</f>
        <v>6313</v>
      </c>
      <c r="D852" s="621" t="s">
        <v>27</v>
      </c>
      <c r="E852" s="621">
        <v>27</v>
      </c>
      <c r="F852" s="622">
        <v>42313</v>
      </c>
      <c r="G852" s="622">
        <v>44139</v>
      </c>
      <c r="H852" s="621" t="s">
        <v>14</v>
      </c>
      <c r="I852" s="621" t="s">
        <v>6862</v>
      </c>
    </row>
    <row r="853" spans="1:9">
      <c r="A853" s="617">
        <f t="shared" si="13"/>
        <v>849</v>
      </c>
      <c r="B853" s="618" t="s">
        <v>114</v>
      </c>
      <c r="C853" s="618" t="str">
        <f>"6337"</f>
        <v>6337</v>
      </c>
      <c r="D853" s="618" t="s">
        <v>13</v>
      </c>
      <c r="E853" s="618">
        <v>148</v>
      </c>
      <c r="F853" s="619">
        <v>42159</v>
      </c>
      <c r="G853" s="619">
        <v>53116</v>
      </c>
      <c r="H853" s="618" t="s">
        <v>45</v>
      </c>
      <c r="I853" s="618" t="s">
        <v>385</v>
      </c>
    </row>
    <row r="854" spans="1:9">
      <c r="A854" s="620">
        <f t="shared" si="13"/>
        <v>850</v>
      </c>
      <c r="B854" s="621" t="s">
        <v>1709</v>
      </c>
      <c r="C854" s="621" t="str">
        <f>"6392"</f>
        <v>6392</v>
      </c>
      <c r="D854" s="621" t="s">
        <v>27</v>
      </c>
      <c r="E854" s="621">
        <v>10</v>
      </c>
      <c r="F854" s="622">
        <v>39118</v>
      </c>
      <c r="G854" s="622">
        <v>40943</v>
      </c>
      <c r="H854" s="621" t="s">
        <v>14</v>
      </c>
      <c r="I854" s="621" t="s">
        <v>385</v>
      </c>
    </row>
    <row r="855" spans="1:9">
      <c r="A855" s="617">
        <f t="shared" si="13"/>
        <v>851</v>
      </c>
      <c r="B855" s="618" t="s">
        <v>418</v>
      </c>
      <c r="C855" s="618" t="str">
        <f>"6445"</f>
        <v>6445</v>
      </c>
      <c r="D855" s="618" t="s">
        <v>13</v>
      </c>
      <c r="E855" s="618">
        <v>116</v>
      </c>
      <c r="F855" s="619">
        <v>40987</v>
      </c>
      <c r="G855" s="619">
        <v>42508</v>
      </c>
      <c r="H855" s="618" t="s">
        <v>45</v>
      </c>
      <c r="I855" s="618" t="s">
        <v>1710</v>
      </c>
    </row>
    <row r="856" spans="1:9">
      <c r="A856" s="620">
        <f t="shared" si="13"/>
        <v>852</v>
      </c>
      <c r="B856" s="621" t="s">
        <v>419</v>
      </c>
      <c r="C856" s="621" t="str">
        <f>"6483"</f>
        <v>6483</v>
      </c>
      <c r="D856" s="621" t="s">
        <v>18</v>
      </c>
      <c r="E856" s="621">
        <v>468</v>
      </c>
      <c r="F856" s="622">
        <v>40395</v>
      </c>
      <c r="G856" s="622">
        <v>42220</v>
      </c>
      <c r="H856" s="621" t="s">
        <v>43</v>
      </c>
      <c r="I856" s="621" t="s">
        <v>385</v>
      </c>
    </row>
    <row r="857" spans="1:9">
      <c r="A857" s="617">
        <f t="shared" si="13"/>
        <v>853</v>
      </c>
      <c r="B857" s="618" t="s">
        <v>419</v>
      </c>
      <c r="C857" s="618" t="str">
        <f>"6484"</f>
        <v>6484</v>
      </c>
      <c r="D857" s="618" t="s">
        <v>18</v>
      </c>
      <c r="E857" s="618">
        <v>230</v>
      </c>
      <c r="F857" s="619">
        <v>39588</v>
      </c>
      <c r="G857" s="619">
        <v>41413</v>
      </c>
      <c r="H857" s="618" t="s">
        <v>43</v>
      </c>
      <c r="I857" s="618" t="s">
        <v>385</v>
      </c>
    </row>
    <row r="858" spans="1:9">
      <c r="A858" s="620">
        <f t="shared" si="13"/>
        <v>854</v>
      </c>
      <c r="B858" s="621" t="s">
        <v>419</v>
      </c>
      <c r="C858" s="621" t="str">
        <f>"6487"</f>
        <v>6487</v>
      </c>
      <c r="D858" s="621" t="s">
        <v>18</v>
      </c>
      <c r="E858" s="621">
        <v>235</v>
      </c>
      <c r="F858" s="622">
        <v>39588</v>
      </c>
      <c r="G858" s="622">
        <v>41413</v>
      </c>
      <c r="H858" s="621" t="s">
        <v>43</v>
      </c>
      <c r="I858" s="621" t="s">
        <v>385</v>
      </c>
    </row>
    <row r="859" spans="1:9">
      <c r="A859" s="617">
        <f t="shared" si="13"/>
        <v>855</v>
      </c>
      <c r="B859" s="618" t="s">
        <v>419</v>
      </c>
      <c r="C859" s="618" t="str">
        <f>"6491"</f>
        <v>6491</v>
      </c>
      <c r="D859" s="618" t="s">
        <v>18</v>
      </c>
      <c r="E859" s="618">
        <v>386</v>
      </c>
      <c r="F859" s="619">
        <v>40395</v>
      </c>
      <c r="G859" s="619">
        <v>42220</v>
      </c>
      <c r="H859" s="618" t="s">
        <v>43</v>
      </c>
      <c r="I859" s="618" t="s">
        <v>385</v>
      </c>
    </row>
    <row r="860" spans="1:9">
      <c r="A860" s="620">
        <f t="shared" si="13"/>
        <v>856</v>
      </c>
      <c r="B860" s="621" t="s">
        <v>25</v>
      </c>
      <c r="C860" s="621" t="str">
        <f>"6533"</f>
        <v>6533</v>
      </c>
      <c r="D860" s="621" t="s">
        <v>18</v>
      </c>
      <c r="E860" s="621">
        <v>85</v>
      </c>
      <c r="F860" s="622">
        <v>41003</v>
      </c>
      <c r="G860" s="622">
        <v>42828</v>
      </c>
      <c r="H860" s="621" t="s">
        <v>14</v>
      </c>
      <c r="I860" s="621" t="s">
        <v>6871</v>
      </c>
    </row>
    <row r="861" spans="1:9">
      <c r="A861" s="617">
        <f t="shared" si="13"/>
        <v>857</v>
      </c>
      <c r="B861" s="618" t="s">
        <v>1641</v>
      </c>
      <c r="C861" s="618" t="str">
        <f>"6556"</f>
        <v>6556</v>
      </c>
      <c r="D861" s="618" t="s">
        <v>18</v>
      </c>
      <c r="E861" s="618">
        <v>400</v>
      </c>
      <c r="F861" s="619">
        <v>41036</v>
      </c>
      <c r="G861" s="619">
        <v>42680</v>
      </c>
      <c r="H861" s="618" t="s">
        <v>21</v>
      </c>
      <c r="I861" s="618" t="s">
        <v>385</v>
      </c>
    </row>
    <row r="862" spans="1:9">
      <c r="A862" s="620">
        <f t="shared" si="13"/>
        <v>858</v>
      </c>
      <c r="B862" s="621" t="s">
        <v>1641</v>
      </c>
      <c r="C862" s="621" t="str">
        <f>"6558"</f>
        <v>6558</v>
      </c>
      <c r="D862" s="621" t="s">
        <v>18</v>
      </c>
      <c r="E862" s="621">
        <v>460</v>
      </c>
      <c r="F862" s="622">
        <v>39209</v>
      </c>
      <c r="G862" s="622">
        <v>42314</v>
      </c>
      <c r="H862" s="621" t="s">
        <v>41</v>
      </c>
      <c r="I862" s="621" t="s">
        <v>385</v>
      </c>
    </row>
    <row r="863" spans="1:9">
      <c r="A863" s="617">
        <f t="shared" si="13"/>
        <v>859</v>
      </c>
      <c r="B863" s="618" t="s">
        <v>1641</v>
      </c>
      <c r="C863" s="618" t="str">
        <f>"6559"</f>
        <v>6559</v>
      </c>
      <c r="D863" s="618" t="s">
        <v>18</v>
      </c>
      <c r="E863" s="618">
        <v>400</v>
      </c>
      <c r="F863" s="619">
        <v>39209</v>
      </c>
      <c r="G863" s="619">
        <v>42314</v>
      </c>
      <c r="H863" s="618" t="s">
        <v>41</v>
      </c>
      <c r="I863" s="618" t="s">
        <v>385</v>
      </c>
    </row>
    <row r="864" spans="1:9">
      <c r="A864" s="620">
        <f t="shared" si="13"/>
        <v>860</v>
      </c>
      <c r="B864" s="621" t="s">
        <v>1641</v>
      </c>
      <c r="C864" s="621" t="str">
        <f>"6560"</f>
        <v>6560</v>
      </c>
      <c r="D864" s="621" t="s">
        <v>18</v>
      </c>
      <c r="E864" s="621">
        <v>126</v>
      </c>
      <c r="F864" s="622">
        <v>39209</v>
      </c>
      <c r="G864" s="622">
        <v>41035</v>
      </c>
      <c r="H864" s="621" t="s">
        <v>19</v>
      </c>
      <c r="I864" s="621" t="s">
        <v>385</v>
      </c>
    </row>
    <row r="865" spans="1:9">
      <c r="A865" s="617">
        <f t="shared" si="13"/>
        <v>861</v>
      </c>
      <c r="B865" s="618" t="s">
        <v>1641</v>
      </c>
      <c r="C865" s="618" t="str">
        <f>"6561"</f>
        <v>6561</v>
      </c>
      <c r="D865" s="618" t="s">
        <v>18</v>
      </c>
      <c r="E865" s="618">
        <v>255</v>
      </c>
      <c r="F865" s="619">
        <v>39209</v>
      </c>
      <c r="G865" s="619">
        <v>42314</v>
      </c>
      <c r="H865" s="618" t="s">
        <v>41</v>
      </c>
      <c r="I865" s="618" t="s">
        <v>385</v>
      </c>
    </row>
    <row r="866" spans="1:9">
      <c r="A866" s="620">
        <f t="shared" si="13"/>
        <v>862</v>
      </c>
      <c r="B866" s="621" t="s">
        <v>1641</v>
      </c>
      <c r="C866" s="621" t="str">
        <f>"6562"</f>
        <v>6562</v>
      </c>
      <c r="D866" s="621" t="s">
        <v>18</v>
      </c>
      <c r="E866" s="621">
        <v>400</v>
      </c>
      <c r="F866" s="622">
        <v>41036</v>
      </c>
      <c r="G866" s="622">
        <v>42680</v>
      </c>
      <c r="H866" s="621" t="s">
        <v>41</v>
      </c>
      <c r="I866" s="621" t="s">
        <v>385</v>
      </c>
    </row>
    <row r="867" spans="1:9">
      <c r="A867" s="617">
        <f t="shared" si="13"/>
        <v>863</v>
      </c>
      <c r="B867" s="618" t="s">
        <v>1641</v>
      </c>
      <c r="C867" s="618" t="str">
        <f>"6563"</f>
        <v>6563</v>
      </c>
      <c r="D867" s="618" t="s">
        <v>18</v>
      </c>
      <c r="E867" s="618">
        <v>460</v>
      </c>
      <c r="F867" s="619">
        <v>39209</v>
      </c>
      <c r="G867" s="619">
        <v>42314</v>
      </c>
      <c r="H867" s="618" t="s">
        <v>41</v>
      </c>
      <c r="I867" s="618" t="s">
        <v>385</v>
      </c>
    </row>
    <row r="868" spans="1:9">
      <c r="A868" s="620">
        <f t="shared" si="13"/>
        <v>864</v>
      </c>
      <c r="B868" s="621" t="s">
        <v>1641</v>
      </c>
      <c r="C868" s="621" t="str">
        <f>"6564"</f>
        <v>6564</v>
      </c>
      <c r="D868" s="621" t="s">
        <v>18</v>
      </c>
      <c r="E868" s="621">
        <v>240</v>
      </c>
      <c r="F868" s="622">
        <v>39209</v>
      </c>
      <c r="G868" s="622">
        <v>42314</v>
      </c>
      <c r="H868" s="621" t="s">
        <v>41</v>
      </c>
      <c r="I868" s="621" t="s">
        <v>385</v>
      </c>
    </row>
    <row r="869" spans="1:9">
      <c r="A869" s="617">
        <f t="shared" si="13"/>
        <v>865</v>
      </c>
      <c r="B869" s="618" t="s">
        <v>1712</v>
      </c>
      <c r="C869" s="618" t="str">
        <f>"6646"</f>
        <v>6646</v>
      </c>
      <c r="D869" s="618" t="s">
        <v>13</v>
      </c>
      <c r="E869" s="618">
        <v>471</v>
      </c>
      <c r="F869" s="619">
        <v>40082</v>
      </c>
      <c r="G869" s="619">
        <v>51038</v>
      </c>
      <c r="H869" s="618" t="s">
        <v>45</v>
      </c>
      <c r="I869" s="618" t="s">
        <v>385</v>
      </c>
    </row>
    <row r="870" spans="1:9">
      <c r="A870" s="620">
        <f t="shared" si="13"/>
        <v>866</v>
      </c>
      <c r="B870" s="621" t="s">
        <v>117</v>
      </c>
      <c r="C870" s="621" t="str">
        <f>"6968"</f>
        <v>6968</v>
      </c>
      <c r="D870" s="621" t="s">
        <v>13</v>
      </c>
      <c r="E870" s="621">
        <v>10</v>
      </c>
      <c r="F870" s="622">
        <v>42811</v>
      </c>
      <c r="G870" s="622">
        <v>53767</v>
      </c>
      <c r="H870" s="621" t="s">
        <v>56</v>
      </c>
      <c r="I870" s="621" t="s">
        <v>51</v>
      </c>
    </row>
    <row r="871" spans="1:9">
      <c r="A871" s="617">
        <f t="shared" si="13"/>
        <v>867</v>
      </c>
      <c r="B871" s="618" t="s">
        <v>117</v>
      </c>
      <c r="C871" s="618" t="str">
        <f>"6969"</f>
        <v>6969</v>
      </c>
      <c r="D871" s="618" t="s">
        <v>13</v>
      </c>
      <c r="E871" s="618">
        <v>20</v>
      </c>
      <c r="F871" s="619">
        <v>42811</v>
      </c>
      <c r="G871" s="619">
        <v>53767</v>
      </c>
      <c r="H871" s="618" t="s">
        <v>56</v>
      </c>
      <c r="I871" s="618" t="s">
        <v>51</v>
      </c>
    </row>
    <row r="872" spans="1:9">
      <c r="A872" s="620">
        <f t="shared" si="13"/>
        <v>868</v>
      </c>
      <c r="B872" s="621" t="s">
        <v>117</v>
      </c>
      <c r="C872" s="621" t="str">
        <f>"6970"</f>
        <v>6970</v>
      </c>
      <c r="D872" s="621" t="s">
        <v>13</v>
      </c>
      <c r="E872" s="621">
        <v>20</v>
      </c>
      <c r="F872" s="622">
        <v>42811</v>
      </c>
      <c r="G872" s="622">
        <v>53767</v>
      </c>
      <c r="H872" s="621" t="s">
        <v>56</v>
      </c>
      <c r="I872" s="621" t="s">
        <v>51</v>
      </c>
    </row>
    <row r="873" spans="1:9">
      <c r="A873" s="617">
        <f t="shared" si="13"/>
        <v>869</v>
      </c>
      <c r="B873" s="618" t="s">
        <v>1641</v>
      </c>
      <c r="C873" s="618" t="str">
        <f>"6994"</f>
        <v>6994</v>
      </c>
      <c r="D873" s="618" t="s">
        <v>18</v>
      </c>
      <c r="E873" s="618">
        <v>400</v>
      </c>
      <c r="F873" s="619">
        <v>40715</v>
      </c>
      <c r="G873" s="619">
        <v>42358</v>
      </c>
      <c r="H873" s="618" t="s">
        <v>41</v>
      </c>
      <c r="I873" s="618" t="s">
        <v>6874</v>
      </c>
    </row>
    <row r="874" spans="1:9">
      <c r="A874" s="620">
        <f t="shared" si="13"/>
        <v>870</v>
      </c>
      <c r="B874" s="621" t="s">
        <v>1641</v>
      </c>
      <c r="C874" s="621" t="str">
        <f>"6995"</f>
        <v>6995</v>
      </c>
      <c r="D874" s="621" t="s">
        <v>18</v>
      </c>
      <c r="E874" s="621">
        <v>400</v>
      </c>
      <c r="F874" s="622">
        <v>40715</v>
      </c>
      <c r="G874" s="622">
        <v>42358</v>
      </c>
      <c r="H874" s="621" t="s">
        <v>41</v>
      </c>
      <c r="I874" s="621" t="s">
        <v>6874</v>
      </c>
    </row>
    <row r="875" spans="1:9">
      <c r="A875" s="617">
        <f t="shared" si="13"/>
        <v>871</v>
      </c>
      <c r="B875" s="618" t="s">
        <v>1641</v>
      </c>
      <c r="C875" s="618" t="str">
        <f>"6996"</f>
        <v>6996</v>
      </c>
      <c r="D875" s="618" t="s">
        <v>18</v>
      </c>
      <c r="E875" s="618">
        <v>340</v>
      </c>
      <c r="F875" s="619">
        <v>39254</v>
      </c>
      <c r="G875" s="619">
        <v>42358</v>
      </c>
      <c r="H875" s="618" t="s">
        <v>41</v>
      </c>
      <c r="I875" s="618" t="s">
        <v>6874</v>
      </c>
    </row>
    <row r="876" spans="1:9">
      <c r="A876" s="620">
        <f t="shared" si="13"/>
        <v>872</v>
      </c>
      <c r="B876" s="621" t="s">
        <v>86</v>
      </c>
      <c r="C876" s="621" t="str">
        <f>"7039"</f>
        <v>7039</v>
      </c>
      <c r="D876" s="621" t="s">
        <v>18</v>
      </c>
      <c r="E876" s="621">
        <v>188</v>
      </c>
      <c r="F876" s="622">
        <v>39254</v>
      </c>
      <c r="G876" s="622">
        <v>41080</v>
      </c>
      <c r="H876" s="621" t="s">
        <v>43</v>
      </c>
      <c r="I876" s="621" t="s">
        <v>6867</v>
      </c>
    </row>
    <row r="877" spans="1:9">
      <c r="A877" s="617">
        <f t="shared" si="13"/>
        <v>873</v>
      </c>
      <c r="B877" s="618" t="s">
        <v>36</v>
      </c>
      <c r="C877" s="618" t="str">
        <f>"7044"</f>
        <v>7044</v>
      </c>
      <c r="D877" s="618" t="s">
        <v>13</v>
      </c>
      <c r="E877" s="618">
        <v>70</v>
      </c>
      <c r="F877" s="619">
        <v>39300</v>
      </c>
      <c r="G877" s="619">
        <v>44688</v>
      </c>
      <c r="H877" s="618" t="s">
        <v>16</v>
      </c>
      <c r="I877" s="618" t="s">
        <v>6858</v>
      </c>
    </row>
    <row r="878" spans="1:9">
      <c r="A878" s="620">
        <f t="shared" si="13"/>
        <v>874</v>
      </c>
      <c r="B878" s="621" t="s">
        <v>1713</v>
      </c>
      <c r="C878" s="621" t="str">
        <f>"7053"</f>
        <v>7053</v>
      </c>
      <c r="D878" s="621" t="s">
        <v>18</v>
      </c>
      <c r="E878" s="621">
        <v>272</v>
      </c>
      <c r="F878" s="622">
        <v>39172</v>
      </c>
      <c r="G878" s="622">
        <v>40632</v>
      </c>
      <c r="H878" s="621" t="s">
        <v>14</v>
      </c>
      <c r="I878" s="621" t="s">
        <v>385</v>
      </c>
    </row>
    <row r="879" spans="1:9">
      <c r="A879" s="617">
        <f t="shared" si="13"/>
        <v>875</v>
      </c>
      <c r="B879" s="618" t="s">
        <v>1714</v>
      </c>
      <c r="C879" s="618" t="str">
        <f>"7056"</f>
        <v>7056</v>
      </c>
      <c r="D879" s="618" t="s">
        <v>18</v>
      </c>
      <c r="E879" s="618">
        <v>6</v>
      </c>
      <c r="F879" s="619">
        <v>39169</v>
      </c>
      <c r="G879" s="619">
        <v>44153</v>
      </c>
      <c r="H879" s="618" t="s">
        <v>19</v>
      </c>
      <c r="I879" s="618" t="s">
        <v>6874</v>
      </c>
    </row>
    <row r="880" spans="1:9">
      <c r="A880" s="620">
        <f t="shared" si="13"/>
        <v>876</v>
      </c>
      <c r="B880" s="621" t="s">
        <v>421</v>
      </c>
      <c r="C880" s="621" t="str">
        <f>"7058"</f>
        <v>7058</v>
      </c>
      <c r="D880" s="621" t="s">
        <v>27</v>
      </c>
      <c r="E880" s="621">
        <v>21</v>
      </c>
      <c r="F880" s="622">
        <v>43000</v>
      </c>
      <c r="G880" s="622">
        <v>44825</v>
      </c>
      <c r="H880" s="621" t="s">
        <v>56</v>
      </c>
      <c r="I880" s="621" t="s">
        <v>385</v>
      </c>
    </row>
    <row r="881" spans="1:9">
      <c r="A881" s="617">
        <f t="shared" si="13"/>
        <v>877</v>
      </c>
      <c r="B881" s="618" t="s">
        <v>1715</v>
      </c>
      <c r="C881" s="618" t="str">
        <f>"7085"</f>
        <v>7085</v>
      </c>
      <c r="D881" s="618" t="s">
        <v>18</v>
      </c>
      <c r="E881" s="618">
        <v>2</v>
      </c>
      <c r="F881" s="619">
        <v>39249</v>
      </c>
      <c r="G881" s="619">
        <v>41075</v>
      </c>
      <c r="H881" s="618" t="s">
        <v>16</v>
      </c>
      <c r="I881" s="618" t="s">
        <v>6868</v>
      </c>
    </row>
    <row r="882" spans="1:9">
      <c r="A882" s="620">
        <f t="shared" si="13"/>
        <v>878</v>
      </c>
      <c r="B882" s="621" t="s">
        <v>1044</v>
      </c>
      <c r="C882" s="621" t="str">
        <f>"7113"</f>
        <v>7113</v>
      </c>
      <c r="D882" s="621" t="s">
        <v>13</v>
      </c>
      <c r="E882" s="621">
        <v>9</v>
      </c>
      <c r="F882" s="622">
        <v>40900</v>
      </c>
      <c r="G882" s="622">
        <v>51857</v>
      </c>
      <c r="H882" s="621" t="s">
        <v>14</v>
      </c>
      <c r="I882" s="621" t="s">
        <v>385</v>
      </c>
    </row>
    <row r="883" spans="1:9">
      <c r="A883" s="617">
        <f t="shared" si="13"/>
        <v>879</v>
      </c>
      <c r="B883" s="618" t="s">
        <v>86</v>
      </c>
      <c r="C883" s="618" t="str">
        <f>"7121"</f>
        <v>7121</v>
      </c>
      <c r="D883" s="618" t="s">
        <v>27</v>
      </c>
      <c r="E883" s="618">
        <v>190</v>
      </c>
      <c r="F883" s="619">
        <v>43510</v>
      </c>
      <c r="G883" s="619">
        <v>45342</v>
      </c>
      <c r="H883" s="618" t="s">
        <v>41</v>
      </c>
      <c r="I883" s="618" t="s">
        <v>51</v>
      </c>
    </row>
    <row r="884" spans="1:9">
      <c r="A884" s="620">
        <f t="shared" si="13"/>
        <v>880</v>
      </c>
      <c r="B884" s="621" t="s">
        <v>86</v>
      </c>
      <c r="C884" s="621" t="str">
        <f>"7122"</f>
        <v>7122</v>
      </c>
      <c r="D884" s="621" t="s">
        <v>18</v>
      </c>
      <c r="E884" s="621">
        <v>304</v>
      </c>
      <c r="F884" s="622">
        <v>39254</v>
      </c>
      <c r="G884" s="622">
        <v>41080</v>
      </c>
      <c r="H884" s="621" t="s">
        <v>56</v>
      </c>
      <c r="I884" s="621" t="s">
        <v>6867</v>
      </c>
    </row>
    <row r="885" spans="1:9">
      <c r="A885" s="617">
        <f t="shared" si="13"/>
        <v>881</v>
      </c>
      <c r="B885" s="618" t="s">
        <v>86</v>
      </c>
      <c r="C885" s="618" t="str">
        <f>"7123"</f>
        <v>7123</v>
      </c>
      <c r="D885" s="618" t="s">
        <v>18</v>
      </c>
      <c r="E885" s="618">
        <v>260</v>
      </c>
      <c r="F885" s="619">
        <v>39254</v>
      </c>
      <c r="G885" s="619">
        <v>41080</v>
      </c>
      <c r="H885" s="618" t="s">
        <v>56</v>
      </c>
      <c r="I885" s="618" t="s">
        <v>6867</v>
      </c>
    </row>
    <row r="886" spans="1:9">
      <c r="A886" s="620">
        <f t="shared" si="13"/>
        <v>882</v>
      </c>
      <c r="B886" s="621" t="s">
        <v>86</v>
      </c>
      <c r="C886" s="621" t="str">
        <f>"7124"</f>
        <v>7124</v>
      </c>
      <c r="D886" s="621" t="s">
        <v>18</v>
      </c>
      <c r="E886" s="621">
        <v>280</v>
      </c>
      <c r="F886" s="622">
        <v>39254</v>
      </c>
      <c r="G886" s="622">
        <v>41080</v>
      </c>
      <c r="H886" s="621" t="s">
        <v>56</v>
      </c>
      <c r="I886" s="621" t="s">
        <v>6867</v>
      </c>
    </row>
    <row r="887" spans="1:9">
      <c r="A887" s="617">
        <f t="shared" si="13"/>
        <v>883</v>
      </c>
      <c r="B887" s="618" t="s">
        <v>86</v>
      </c>
      <c r="C887" s="618" t="str">
        <f>"7125"</f>
        <v>7125</v>
      </c>
      <c r="D887" s="618" t="s">
        <v>27</v>
      </c>
      <c r="E887" s="618">
        <v>248</v>
      </c>
      <c r="F887" s="619">
        <v>41684</v>
      </c>
      <c r="G887" s="619">
        <v>43509</v>
      </c>
      <c r="H887" s="618" t="s">
        <v>56</v>
      </c>
      <c r="I887" s="618" t="s">
        <v>6867</v>
      </c>
    </row>
    <row r="888" spans="1:9">
      <c r="A888" s="620">
        <f t="shared" si="13"/>
        <v>884</v>
      </c>
      <c r="B888" s="621" t="s">
        <v>1716</v>
      </c>
      <c r="C888" s="621" t="str">
        <f>"7127"</f>
        <v>7127</v>
      </c>
      <c r="D888" s="621" t="s">
        <v>18</v>
      </c>
      <c r="E888" s="621">
        <v>403</v>
      </c>
      <c r="F888" s="622">
        <v>39176</v>
      </c>
      <c r="G888" s="622">
        <v>40636</v>
      </c>
      <c r="H888" s="621" t="s">
        <v>14</v>
      </c>
      <c r="I888" s="621" t="s">
        <v>385</v>
      </c>
    </row>
    <row r="889" spans="1:9">
      <c r="A889" s="617">
        <f t="shared" si="13"/>
        <v>885</v>
      </c>
      <c r="B889" s="618" t="s">
        <v>1716</v>
      </c>
      <c r="C889" s="618" t="str">
        <f>"7128"</f>
        <v>7128</v>
      </c>
      <c r="D889" s="618" t="s">
        <v>18</v>
      </c>
      <c r="E889" s="618">
        <v>291</v>
      </c>
      <c r="F889" s="619">
        <v>39176</v>
      </c>
      <c r="G889" s="619">
        <v>40636</v>
      </c>
      <c r="H889" s="618" t="s">
        <v>14</v>
      </c>
      <c r="I889" s="618" t="s">
        <v>385</v>
      </c>
    </row>
    <row r="890" spans="1:9">
      <c r="A890" s="620">
        <f t="shared" si="13"/>
        <v>886</v>
      </c>
      <c r="B890" s="621" t="s">
        <v>1717</v>
      </c>
      <c r="C890" s="621" t="str">
        <f>"7196"</f>
        <v>7196</v>
      </c>
      <c r="D890" s="621" t="s">
        <v>18</v>
      </c>
      <c r="E890" s="621">
        <v>12</v>
      </c>
      <c r="F890" s="622">
        <v>39254</v>
      </c>
      <c r="G890" s="622">
        <v>41080</v>
      </c>
      <c r="H890" s="621" t="s">
        <v>14</v>
      </c>
      <c r="I890" s="621" t="s">
        <v>385</v>
      </c>
    </row>
    <row r="891" spans="1:9">
      <c r="A891" s="617">
        <f t="shared" si="13"/>
        <v>887</v>
      </c>
      <c r="B891" s="618" t="s">
        <v>1707</v>
      </c>
      <c r="C891" s="618" t="str">
        <f>"7199"</f>
        <v>7199</v>
      </c>
      <c r="D891" s="618" t="s">
        <v>18</v>
      </c>
      <c r="E891" s="618">
        <v>4</v>
      </c>
      <c r="F891" s="619">
        <v>39254</v>
      </c>
      <c r="G891" s="619">
        <v>40714</v>
      </c>
      <c r="H891" s="618" t="s">
        <v>23</v>
      </c>
      <c r="I891" s="618" t="s">
        <v>6862</v>
      </c>
    </row>
    <row r="892" spans="1:9">
      <c r="A892" s="620">
        <f t="shared" si="13"/>
        <v>888</v>
      </c>
      <c r="B892" s="621" t="s">
        <v>1718</v>
      </c>
      <c r="C892" s="621" t="str">
        <f>"7235"</f>
        <v>7235</v>
      </c>
      <c r="D892" s="621" t="s">
        <v>18</v>
      </c>
      <c r="E892" s="621">
        <v>406</v>
      </c>
      <c r="F892" s="622">
        <v>40717</v>
      </c>
      <c r="G892" s="622">
        <v>42410</v>
      </c>
      <c r="H892" s="621" t="s">
        <v>56</v>
      </c>
      <c r="I892" s="621" t="s">
        <v>6862</v>
      </c>
    </row>
    <row r="893" spans="1:9">
      <c r="A893" s="617">
        <f t="shared" si="13"/>
        <v>889</v>
      </c>
      <c r="B893" s="618" t="s">
        <v>1711</v>
      </c>
      <c r="C893" s="618" t="str">
        <f>"7302"</f>
        <v>7302</v>
      </c>
      <c r="D893" s="618" t="s">
        <v>18</v>
      </c>
      <c r="E893" s="618">
        <v>49</v>
      </c>
      <c r="F893" s="619">
        <v>40242</v>
      </c>
      <c r="G893" s="619">
        <v>43162</v>
      </c>
      <c r="H893" s="618" t="s">
        <v>41</v>
      </c>
      <c r="I893" s="618" t="s">
        <v>6863</v>
      </c>
    </row>
    <row r="894" spans="1:9">
      <c r="A894" s="620">
        <f t="shared" si="13"/>
        <v>890</v>
      </c>
      <c r="B894" s="621" t="s">
        <v>1711</v>
      </c>
      <c r="C894" s="621" t="str">
        <f>"7305"</f>
        <v>7305</v>
      </c>
      <c r="D894" s="621" t="s">
        <v>18</v>
      </c>
      <c r="E894" s="621">
        <v>400</v>
      </c>
      <c r="F894" s="622">
        <v>40242</v>
      </c>
      <c r="G894" s="622">
        <v>43161</v>
      </c>
      <c r="H894" s="621" t="s">
        <v>56</v>
      </c>
      <c r="I894" s="621" t="s">
        <v>6863</v>
      </c>
    </row>
    <row r="895" spans="1:9">
      <c r="A895" s="617">
        <f t="shared" si="13"/>
        <v>891</v>
      </c>
      <c r="B895" s="618" t="s">
        <v>1711</v>
      </c>
      <c r="C895" s="618" t="str">
        <f>"7307"</f>
        <v>7307</v>
      </c>
      <c r="D895" s="618" t="s">
        <v>18</v>
      </c>
      <c r="E895" s="618">
        <v>313</v>
      </c>
      <c r="F895" s="619">
        <v>40242</v>
      </c>
      <c r="G895" s="619">
        <v>43161</v>
      </c>
      <c r="H895" s="618" t="s">
        <v>41</v>
      </c>
      <c r="I895" s="618" t="s">
        <v>6863</v>
      </c>
    </row>
    <row r="896" spans="1:9">
      <c r="A896" s="620">
        <f t="shared" si="13"/>
        <v>892</v>
      </c>
      <c r="B896" s="621" t="s">
        <v>1711</v>
      </c>
      <c r="C896" s="621" t="str">
        <f>"7321"</f>
        <v>7321</v>
      </c>
      <c r="D896" s="621" t="s">
        <v>18</v>
      </c>
      <c r="E896" s="621">
        <v>353</v>
      </c>
      <c r="F896" s="622">
        <v>40242</v>
      </c>
      <c r="G896" s="622">
        <v>43161</v>
      </c>
      <c r="H896" s="621" t="s">
        <v>41</v>
      </c>
      <c r="I896" s="621" t="s">
        <v>6863</v>
      </c>
    </row>
    <row r="897" spans="1:9">
      <c r="A897" s="617">
        <f t="shared" si="13"/>
        <v>893</v>
      </c>
      <c r="B897" s="618" t="s">
        <v>1711</v>
      </c>
      <c r="C897" s="618" t="str">
        <f>"7331"</f>
        <v>7331</v>
      </c>
      <c r="D897" s="618" t="s">
        <v>18</v>
      </c>
      <c r="E897" s="618">
        <v>306</v>
      </c>
      <c r="F897" s="619">
        <v>40242</v>
      </c>
      <c r="G897" s="619">
        <v>43161</v>
      </c>
      <c r="H897" s="618" t="s">
        <v>56</v>
      </c>
      <c r="I897" s="618" t="s">
        <v>6863</v>
      </c>
    </row>
    <row r="898" spans="1:9">
      <c r="A898" s="620">
        <f t="shared" si="13"/>
        <v>894</v>
      </c>
      <c r="B898" s="621" t="s">
        <v>118</v>
      </c>
      <c r="C898" s="621" t="str">
        <f>"7373"</f>
        <v>7373</v>
      </c>
      <c r="D898" s="621" t="s">
        <v>27</v>
      </c>
      <c r="E898" s="621">
        <v>15</v>
      </c>
      <c r="F898" s="622">
        <v>43634</v>
      </c>
      <c r="G898" s="622">
        <v>45460</v>
      </c>
      <c r="H898" s="621" t="s">
        <v>56</v>
      </c>
      <c r="I898" s="621" t="s">
        <v>51</v>
      </c>
    </row>
    <row r="899" spans="1:9">
      <c r="A899" s="617">
        <f t="shared" si="13"/>
        <v>895</v>
      </c>
      <c r="B899" s="618" t="s">
        <v>1719</v>
      </c>
      <c r="C899" s="618" t="str">
        <f>"7428"</f>
        <v>7428</v>
      </c>
      <c r="D899" s="618" t="s">
        <v>18</v>
      </c>
      <c r="E899" s="618">
        <v>50</v>
      </c>
      <c r="F899" s="619">
        <v>39258</v>
      </c>
      <c r="G899" s="619">
        <v>42026</v>
      </c>
      <c r="H899" s="618" t="s">
        <v>21</v>
      </c>
      <c r="I899" s="618" t="s">
        <v>385</v>
      </c>
    </row>
    <row r="900" spans="1:9">
      <c r="A900" s="620">
        <f t="shared" si="13"/>
        <v>896</v>
      </c>
      <c r="B900" s="621" t="s">
        <v>1716</v>
      </c>
      <c r="C900" s="621" t="str">
        <f>"7463"</f>
        <v>7463</v>
      </c>
      <c r="D900" s="621" t="s">
        <v>18</v>
      </c>
      <c r="E900" s="621">
        <v>128</v>
      </c>
      <c r="F900" s="622">
        <v>39330</v>
      </c>
      <c r="G900" s="622">
        <v>41156</v>
      </c>
      <c r="H900" s="621" t="s">
        <v>14</v>
      </c>
      <c r="I900" s="621" t="s">
        <v>385</v>
      </c>
    </row>
    <row r="901" spans="1:9">
      <c r="A901" s="617">
        <f t="shared" si="13"/>
        <v>897</v>
      </c>
      <c r="B901" s="618" t="s">
        <v>36</v>
      </c>
      <c r="C901" s="618" t="str">
        <f>"7571"</f>
        <v>7571</v>
      </c>
      <c r="D901" s="618" t="s">
        <v>13</v>
      </c>
      <c r="E901" s="618">
        <v>373</v>
      </c>
      <c r="F901" s="619">
        <v>40610</v>
      </c>
      <c r="G901" s="619">
        <v>51567</v>
      </c>
      <c r="H901" s="618" t="s">
        <v>14</v>
      </c>
      <c r="I901" s="618" t="s">
        <v>51</v>
      </c>
    </row>
    <row r="902" spans="1:9">
      <c r="A902" s="620">
        <f t="shared" si="13"/>
        <v>898</v>
      </c>
      <c r="B902" s="621" t="s">
        <v>1717</v>
      </c>
      <c r="C902" s="621" t="str">
        <f>"7608"</f>
        <v>7608</v>
      </c>
      <c r="D902" s="621" t="s">
        <v>18</v>
      </c>
      <c r="E902" s="621">
        <v>57</v>
      </c>
      <c r="F902" s="622">
        <v>39274</v>
      </c>
      <c r="G902" s="622">
        <v>41100</v>
      </c>
      <c r="H902" s="621" t="s">
        <v>14</v>
      </c>
      <c r="I902" s="621" t="s">
        <v>385</v>
      </c>
    </row>
    <row r="903" spans="1:9">
      <c r="A903" s="617">
        <f t="shared" ref="A903:A966" si="14">+A902+1</f>
        <v>899</v>
      </c>
      <c r="B903" s="618" t="s">
        <v>119</v>
      </c>
      <c r="C903" s="618" t="str">
        <f>"7626"</f>
        <v>7626</v>
      </c>
      <c r="D903" s="618" t="s">
        <v>13</v>
      </c>
      <c r="E903" s="618">
        <v>32</v>
      </c>
      <c r="F903" s="619">
        <v>40964</v>
      </c>
      <c r="G903" s="619">
        <v>51921</v>
      </c>
      <c r="H903" s="618" t="s">
        <v>21</v>
      </c>
      <c r="I903" s="618" t="s">
        <v>6862</v>
      </c>
    </row>
    <row r="904" spans="1:9">
      <c r="A904" s="620">
        <f t="shared" si="14"/>
        <v>900</v>
      </c>
      <c r="B904" s="621" t="s">
        <v>120</v>
      </c>
      <c r="C904" s="621" t="str">
        <f>"7651"</f>
        <v>7651</v>
      </c>
      <c r="D904" s="621" t="s">
        <v>13</v>
      </c>
      <c r="E904" s="621">
        <v>24</v>
      </c>
      <c r="F904" s="622">
        <v>44145</v>
      </c>
      <c r="G904" s="622">
        <v>53275</v>
      </c>
      <c r="H904" s="621" t="s">
        <v>28</v>
      </c>
      <c r="I904" s="621" t="s">
        <v>51</v>
      </c>
    </row>
    <row r="905" spans="1:9">
      <c r="A905" s="617">
        <f t="shared" si="14"/>
        <v>901</v>
      </c>
      <c r="B905" s="618" t="s">
        <v>120</v>
      </c>
      <c r="C905" s="618" t="str">
        <f>"7657"</f>
        <v>7657</v>
      </c>
      <c r="D905" s="618" t="s">
        <v>13</v>
      </c>
      <c r="E905" s="618">
        <v>27</v>
      </c>
      <c r="F905" s="619">
        <v>44145</v>
      </c>
      <c r="G905" s="619">
        <v>53275</v>
      </c>
      <c r="H905" s="618" t="s">
        <v>28</v>
      </c>
      <c r="I905" s="618" t="s">
        <v>51</v>
      </c>
    </row>
    <row r="906" spans="1:9">
      <c r="A906" s="620">
        <f t="shared" si="14"/>
        <v>902</v>
      </c>
      <c r="B906" s="621" t="s">
        <v>423</v>
      </c>
      <c r="C906" s="621" t="str">
        <f>"7709"</f>
        <v>7709</v>
      </c>
      <c r="D906" s="621" t="s">
        <v>18</v>
      </c>
      <c r="E906" s="621">
        <v>3</v>
      </c>
      <c r="F906" s="622">
        <v>41091</v>
      </c>
      <c r="G906" s="622">
        <v>41814</v>
      </c>
      <c r="H906" s="621" t="s">
        <v>14</v>
      </c>
      <c r="I906" s="621" t="s">
        <v>385</v>
      </c>
    </row>
    <row r="907" spans="1:9">
      <c r="A907" s="617">
        <f t="shared" si="14"/>
        <v>903</v>
      </c>
      <c r="B907" s="618" t="s">
        <v>1720</v>
      </c>
      <c r="C907" s="618" t="str">
        <f>"7757"</f>
        <v>7757</v>
      </c>
      <c r="D907" s="618" t="s">
        <v>13</v>
      </c>
      <c r="E907" s="618">
        <v>400</v>
      </c>
      <c r="F907" s="619">
        <v>43169</v>
      </c>
      <c r="G907" s="619">
        <v>54126</v>
      </c>
      <c r="H907" s="618" t="s">
        <v>22</v>
      </c>
      <c r="I907" s="618" t="s">
        <v>385</v>
      </c>
    </row>
    <row r="908" spans="1:9">
      <c r="A908" s="620">
        <f t="shared" si="14"/>
        <v>904</v>
      </c>
      <c r="B908" s="621" t="s">
        <v>1720</v>
      </c>
      <c r="C908" s="621" t="str">
        <f>"7758"</f>
        <v>7758</v>
      </c>
      <c r="D908" s="621" t="s">
        <v>13</v>
      </c>
      <c r="E908" s="621">
        <v>384</v>
      </c>
      <c r="F908" s="622">
        <v>43169</v>
      </c>
      <c r="G908" s="622">
        <v>54126</v>
      </c>
      <c r="H908" s="621" t="s">
        <v>22</v>
      </c>
      <c r="I908" s="621" t="s">
        <v>385</v>
      </c>
    </row>
    <row r="909" spans="1:9">
      <c r="A909" s="617">
        <f t="shared" si="14"/>
        <v>905</v>
      </c>
      <c r="B909" s="618" t="s">
        <v>424</v>
      </c>
      <c r="C909" s="618" t="str">
        <f>"7812"</f>
        <v>7812</v>
      </c>
      <c r="D909" s="618" t="s">
        <v>27</v>
      </c>
      <c r="E909" s="618">
        <v>36</v>
      </c>
      <c r="F909" s="619">
        <v>41670</v>
      </c>
      <c r="G909" s="619">
        <v>43495</v>
      </c>
      <c r="H909" s="618" t="s">
        <v>29</v>
      </c>
      <c r="I909" s="618" t="s">
        <v>6864</v>
      </c>
    </row>
    <row r="910" spans="1:9">
      <c r="A910" s="620">
        <f t="shared" si="14"/>
        <v>906</v>
      </c>
      <c r="B910" s="621" t="s">
        <v>1721</v>
      </c>
      <c r="C910" s="621" t="str">
        <f>"7938"</f>
        <v>7938</v>
      </c>
      <c r="D910" s="621" t="s">
        <v>18</v>
      </c>
      <c r="E910" s="621">
        <v>300</v>
      </c>
      <c r="F910" s="622">
        <v>39264</v>
      </c>
      <c r="G910" s="622">
        <v>40724</v>
      </c>
      <c r="H910" s="621" t="s">
        <v>1644</v>
      </c>
      <c r="I910" s="621" t="s">
        <v>385</v>
      </c>
    </row>
    <row r="911" spans="1:9">
      <c r="A911" s="617">
        <f t="shared" si="14"/>
        <v>907</v>
      </c>
      <c r="B911" s="618" t="s">
        <v>1713</v>
      </c>
      <c r="C911" s="618" t="str">
        <f>"7940"</f>
        <v>7940</v>
      </c>
      <c r="D911" s="618" t="s">
        <v>18</v>
      </c>
      <c r="E911" s="618">
        <v>300</v>
      </c>
      <c r="F911" s="619">
        <v>39264</v>
      </c>
      <c r="G911" s="619">
        <v>40724</v>
      </c>
      <c r="H911" s="618" t="s">
        <v>1644</v>
      </c>
      <c r="I911" s="618" t="s">
        <v>385</v>
      </c>
    </row>
    <row r="912" spans="1:9">
      <c r="A912" s="620">
        <f t="shared" si="14"/>
        <v>908</v>
      </c>
      <c r="B912" s="621" t="s">
        <v>1713</v>
      </c>
      <c r="C912" s="621" t="str">
        <f>"7941"</f>
        <v>7941</v>
      </c>
      <c r="D912" s="621" t="s">
        <v>18</v>
      </c>
      <c r="E912" s="621">
        <v>180</v>
      </c>
      <c r="F912" s="622">
        <v>39264</v>
      </c>
      <c r="G912" s="622">
        <v>40724</v>
      </c>
      <c r="H912" s="621" t="s">
        <v>1644</v>
      </c>
      <c r="I912" s="621" t="s">
        <v>385</v>
      </c>
    </row>
    <row r="913" spans="1:9">
      <c r="A913" s="617">
        <f t="shared" si="14"/>
        <v>909</v>
      </c>
      <c r="B913" s="618" t="s">
        <v>1713</v>
      </c>
      <c r="C913" s="618" t="str">
        <f>"7942"</f>
        <v>7942</v>
      </c>
      <c r="D913" s="618" t="s">
        <v>18</v>
      </c>
      <c r="E913" s="618">
        <v>300</v>
      </c>
      <c r="F913" s="619">
        <v>39264</v>
      </c>
      <c r="G913" s="619">
        <v>40724</v>
      </c>
      <c r="H913" s="618" t="s">
        <v>1644</v>
      </c>
      <c r="I913" s="618" t="s">
        <v>385</v>
      </c>
    </row>
    <row r="914" spans="1:9">
      <c r="A914" s="620">
        <f t="shared" si="14"/>
        <v>910</v>
      </c>
      <c r="B914" s="621" t="s">
        <v>1713</v>
      </c>
      <c r="C914" s="621" t="str">
        <f>"7943"</f>
        <v>7943</v>
      </c>
      <c r="D914" s="621" t="s">
        <v>18</v>
      </c>
      <c r="E914" s="621">
        <v>300</v>
      </c>
      <c r="F914" s="622">
        <v>39264</v>
      </c>
      <c r="G914" s="622">
        <v>40724</v>
      </c>
      <c r="H914" s="621" t="s">
        <v>1644</v>
      </c>
      <c r="I914" s="621" t="s">
        <v>385</v>
      </c>
    </row>
    <row r="915" spans="1:9">
      <c r="A915" s="617">
        <f t="shared" si="14"/>
        <v>911</v>
      </c>
      <c r="B915" s="618" t="s">
        <v>1722</v>
      </c>
      <c r="C915" s="618" t="str">
        <f>"7946"</f>
        <v>7946</v>
      </c>
      <c r="D915" s="618" t="s">
        <v>18</v>
      </c>
      <c r="E915" s="618">
        <v>300</v>
      </c>
      <c r="F915" s="619">
        <v>39264</v>
      </c>
      <c r="G915" s="619">
        <v>40724</v>
      </c>
      <c r="H915" s="618" t="s">
        <v>1644</v>
      </c>
      <c r="I915" s="618" t="s">
        <v>385</v>
      </c>
    </row>
    <row r="916" spans="1:9">
      <c r="A916" s="620">
        <f t="shared" si="14"/>
        <v>912</v>
      </c>
      <c r="B916" s="621" t="s">
        <v>1722</v>
      </c>
      <c r="C916" s="621" t="str">
        <f>"7947"</f>
        <v>7947</v>
      </c>
      <c r="D916" s="621" t="s">
        <v>18</v>
      </c>
      <c r="E916" s="621">
        <v>300</v>
      </c>
      <c r="F916" s="622">
        <v>39264</v>
      </c>
      <c r="G916" s="622">
        <v>40724</v>
      </c>
      <c r="H916" s="621" t="s">
        <v>1644</v>
      </c>
      <c r="I916" s="621" t="s">
        <v>385</v>
      </c>
    </row>
    <row r="917" spans="1:9">
      <c r="A917" s="617">
        <f t="shared" si="14"/>
        <v>913</v>
      </c>
      <c r="B917" s="618" t="s">
        <v>1716</v>
      </c>
      <c r="C917" s="618" t="str">
        <f>"7961"</f>
        <v>7961</v>
      </c>
      <c r="D917" s="618" t="s">
        <v>18</v>
      </c>
      <c r="E917" s="618">
        <v>254</v>
      </c>
      <c r="F917" s="619">
        <v>39265</v>
      </c>
      <c r="G917" s="619">
        <v>41091</v>
      </c>
      <c r="H917" s="618" t="s">
        <v>14</v>
      </c>
      <c r="I917" s="618" t="s">
        <v>6862</v>
      </c>
    </row>
    <row r="918" spans="1:9">
      <c r="A918" s="620">
        <f t="shared" si="14"/>
        <v>914</v>
      </c>
      <c r="B918" s="621" t="s">
        <v>1723</v>
      </c>
      <c r="C918" s="621" t="str">
        <f>"7971"</f>
        <v>7971</v>
      </c>
      <c r="D918" s="621" t="s">
        <v>18</v>
      </c>
      <c r="E918" s="621">
        <v>34</v>
      </c>
      <c r="F918" s="622">
        <v>39269</v>
      </c>
      <c r="G918" s="622">
        <v>41095</v>
      </c>
      <c r="H918" s="621" t="s">
        <v>41</v>
      </c>
      <c r="I918" s="621" t="s">
        <v>385</v>
      </c>
    </row>
    <row r="919" spans="1:9">
      <c r="A919" s="617">
        <f t="shared" si="14"/>
        <v>915</v>
      </c>
      <c r="B919" s="618" t="s">
        <v>1725</v>
      </c>
      <c r="C919" s="618" t="str">
        <f>"7975"</f>
        <v>7975</v>
      </c>
      <c r="D919" s="618" t="s">
        <v>18</v>
      </c>
      <c r="E919" s="618">
        <v>400</v>
      </c>
      <c r="F919" s="619">
        <v>39282</v>
      </c>
      <c r="G919" s="619">
        <v>41109</v>
      </c>
      <c r="H919" s="618" t="s">
        <v>20</v>
      </c>
      <c r="I919" s="618" t="s">
        <v>385</v>
      </c>
    </row>
    <row r="920" spans="1:9">
      <c r="A920" s="620">
        <f t="shared" si="14"/>
        <v>916</v>
      </c>
      <c r="B920" s="621" t="s">
        <v>90</v>
      </c>
      <c r="C920" s="621" t="str">
        <f>"8132"</f>
        <v>8132</v>
      </c>
      <c r="D920" s="621" t="s">
        <v>18</v>
      </c>
      <c r="E920" s="621">
        <v>78</v>
      </c>
      <c r="F920" s="622">
        <v>39289</v>
      </c>
      <c r="G920" s="622">
        <v>41115</v>
      </c>
      <c r="H920" s="621" t="s">
        <v>14</v>
      </c>
      <c r="I920" s="621" t="s">
        <v>385</v>
      </c>
    </row>
    <row r="921" spans="1:9">
      <c r="A921" s="617">
        <f t="shared" si="14"/>
        <v>917</v>
      </c>
      <c r="B921" s="618" t="s">
        <v>90</v>
      </c>
      <c r="C921" s="618" t="str">
        <f>"8134"</f>
        <v>8134</v>
      </c>
      <c r="D921" s="618" t="s">
        <v>18</v>
      </c>
      <c r="E921" s="618">
        <v>37</v>
      </c>
      <c r="F921" s="619">
        <v>39289</v>
      </c>
      <c r="G921" s="619">
        <v>41115</v>
      </c>
      <c r="H921" s="618" t="s">
        <v>14</v>
      </c>
      <c r="I921" s="618" t="s">
        <v>385</v>
      </c>
    </row>
    <row r="922" spans="1:9">
      <c r="A922" s="620">
        <f t="shared" si="14"/>
        <v>918</v>
      </c>
      <c r="B922" s="621" t="s">
        <v>90</v>
      </c>
      <c r="C922" s="621" t="str">
        <f>"8135"</f>
        <v>8135</v>
      </c>
      <c r="D922" s="621" t="s">
        <v>18</v>
      </c>
      <c r="E922" s="621">
        <v>58</v>
      </c>
      <c r="F922" s="622">
        <v>39289</v>
      </c>
      <c r="G922" s="622">
        <v>41115</v>
      </c>
      <c r="H922" s="621" t="s">
        <v>14</v>
      </c>
      <c r="I922" s="621" t="s">
        <v>385</v>
      </c>
    </row>
    <row r="923" spans="1:9">
      <c r="A923" s="617">
        <f t="shared" si="14"/>
        <v>919</v>
      </c>
      <c r="B923" s="618" t="s">
        <v>90</v>
      </c>
      <c r="C923" s="618" t="str">
        <f>"8136"</f>
        <v>8136</v>
      </c>
      <c r="D923" s="618" t="s">
        <v>18</v>
      </c>
      <c r="E923" s="618">
        <v>30</v>
      </c>
      <c r="F923" s="619">
        <v>39289</v>
      </c>
      <c r="G923" s="619">
        <v>41115</v>
      </c>
      <c r="H923" s="618" t="s">
        <v>14</v>
      </c>
      <c r="I923" s="618" t="s">
        <v>385</v>
      </c>
    </row>
    <row r="924" spans="1:9">
      <c r="A924" s="620">
        <f t="shared" si="14"/>
        <v>920</v>
      </c>
      <c r="B924" s="621" t="s">
        <v>90</v>
      </c>
      <c r="C924" s="621" t="str">
        <f>"8137"</f>
        <v>8137</v>
      </c>
      <c r="D924" s="621" t="s">
        <v>18</v>
      </c>
      <c r="E924" s="621">
        <v>85</v>
      </c>
      <c r="F924" s="622">
        <v>39289</v>
      </c>
      <c r="G924" s="622">
        <v>41115</v>
      </c>
      <c r="H924" s="621" t="s">
        <v>14</v>
      </c>
      <c r="I924" s="621" t="s">
        <v>385</v>
      </c>
    </row>
    <row r="925" spans="1:9">
      <c r="A925" s="617">
        <f t="shared" si="14"/>
        <v>921</v>
      </c>
      <c r="B925" s="618" t="s">
        <v>112</v>
      </c>
      <c r="C925" s="618" t="str">
        <f>"8139"</f>
        <v>8139</v>
      </c>
      <c r="D925" s="618" t="s">
        <v>27</v>
      </c>
      <c r="E925" s="618">
        <v>8</v>
      </c>
      <c r="F925" s="619">
        <v>43142</v>
      </c>
      <c r="G925" s="619">
        <v>44967</v>
      </c>
      <c r="H925" s="618" t="s">
        <v>14</v>
      </c>
      <c r="I925" s="618" t="s">
        <v>6864</v>
      </c>
    </row>
    <row r="926" spans="1:9">
      <c r="A926" s="620">
        <f t="shared" si="14"/>
        <v>922</v>
      </c>
      <c r="B926" s="621" t="s">
        <v>1712</v>
      </c>
      <c r="C926" s="621" t="str">
        <f>"8184"</f>
        <v>8184</v>
      </c>
      <c r="D926" s="621" t="s">
        <v>13</v>
      </c>
      <c r="E926" s="621">
        <v>5</v>
      </c>
      <c r="F926" s="622">
        <v>40082</v>
      </c>
      <c r="G926" s="622">
        <v>51038</v>
      </c>
      <c r="H926" s="621" t="s">
        <v>19</v>
      </c>
      <c r="I926" s="621" t="s">
        <v>385</v>
      </c>
    </row>
    <row r="927" spans="1:9">
      <c r="A927" s="617">
        <f t="shared" si="14"/>
        <v>923</v>
      </c>
      <c r="B927" s="618" t="s">
        <v>425</v>
      </c>
      <c r="C927" s="618" t="str">
        <f>"8205"</f>
        <v>8205</v>
      </c>
      <c r="D927" s="618" t="s">
        <v>18</v>
      </c>
      <c r="E927" s="618">
        <v>3</v>
      </c>
      <c r="F927" s="619">
        <v>39288</v>
      </c>
      <c r="G927" s="619">
        <v>40748</v>
      </c>
      <c r="H927" s="618" t="s">
        <v>14</v>
      </c>
      <c r="I927" s="618" t="s">
        <v>385</v>
      </c>
    </row>
    <row r="928" spans="1:9">
      <c r="A928" s="620">
        <f t="shared" si="14"/>
        <v>924</v>
      </c>
      <c r="B928" s="621" t="s">
        <v>425</v>
      </c>
      <c r="C928" s="621" t="str">
        <f>"8208"</f>
        <v>8208</v>
      </c>
      <c r="D928" s="621" t="s">
        <v>18</v>
      </c>
      <c r="E928" s="621">
        <v>4</v>
      </c>
      <c r="F928" s="622">
        <v>39288</v>
      </c>
      <c r="G928" s="622">
        <v>40748</v>
      </c>
      <c r="H928" s="621" t="s">
        <v>14</v>
      </c>
      <c r="I928" s="621" t="s">
        <v>385</v>
      </c>
    </row>
    <row r="929" spans="1:9">
      <c r="A929" s="617">
        <f t="shared" si="14"/>
        <v>925</v>
      </c>
      <c r="B929" s="618" t="s">
        <v>1030</v>
      </c>
      <c r="C929" s="618" t="str">
        <f>"8209"</f>
        <v>8209</v>
      </c>
      <c r="D929" s="618" t="s">
        <v>27</v>
      </c>
      <c r="E929" s="618">
        <v>48</v>
      </c>
      <c r="F929" s="619">
        <v>42202</v>
      </c>
      <c r="G929" s="619">
        <v>45854</v>
      </c>
      <c r="H929" s="618" t="s">
        <v>14</v>
      </c>
      <c r="I929" s="618" t="s">
        <v>51</v>
      </c>
    </row>
    <row r="930" spans="1:9">
      <c r="A930" s="620">
        <f t="shared" si="14"/>
        <v>926</v>
      </c>
      <c r="B930" s="621" t="s">
        <v>44</v>
      </c>
      <c r="C930" s="621" t="str">
        <f>"8210"</f>
        <v>8210</v>
      </c>
      <c r="D930" s="621" t="s">
        <v>27</v>
      </c>
      <c r="E930" s="621">
        <v>3</v>
      </c>
      <c r="F930" s="622">
        <v>42202</v>
      </c>
      <c r="G930" s="622">
        <v>45854</v>
      </c>
      <c r="H930" s="621" t="s">
        <v>14</v>
      </c>
      <c r="I930" s="621" t="s">
        <v>6858</v>
      </c>
    </row>
    <row r="931" spans="1:9">
      <c r="A931" s="617">
        <f t="shared" si="14"/>
        <v>927</v>
      </c>
      <c r="B931" s="618" t="s">
        <v>426</v>
      </c>
      <c r="C931" s="618" t="str">
        <f>"8217"</f>
        <v>8217</v>
      </c>
      <c r="D931" s="618" t="s">
        <v>18</v>
      </c>
      <c r="E931" s="618">
        <v>9</v>
      </c>
      <c r="F931" s="619">
        <v>42643</v>
      </c>
      <c r="G931" s="619">
        <v>44468</v>
      </c>
      <c r="H931" s="618" t="s">
        <v>16</v>
      </c>
      <c r="I931" s="618" t="s">
        <v>385</v>
      </c>
    </row>
    <row r="932" spans="1:9">
      <c r="A932" s="620">
        <f t="shared" si="14"/>
        <v>928</v>
      </c>
      <c r="B932" s="621" t="s">
        <v>1726</v>
      </c>
      <c r="C932" s="621" t="str">
        <f>"8251"</f>
        <v>8251</v>
      </c>
      <c r="D932" s="621" t="s">
        <v>13</v>
      </c>
      <c r="E932" s="621">
        <v>35</v>
      </c>
      <c r="F932" s="622">
        <v>42095</v>
      </c>
      <c r="G932" s="622">
        <v>53052</v>
      </c>
      <c r="H932" s="621" t="s">
        <v>43</v>
      </c>
      <c r="I932" s="621" t="s">
        <v>385</v>
      </c>
    </row>
    <row r="933" spans="1:9">
      <c r="A933" s="617">
        <f t="shared" si="14"/>
        <v>929</v>
      </c>
      <c r="B933" s="618" t="s">
        <v>1727</v>
      </c>
      <c r="C933" s="618" t="str">
        <f>"8252"</f>
        <v>8252</v>
      </c>
      <c r="D933" s="618" t="s">
        <v>27</v>
      </c>
      <c r="E933" s="618">
        <v>104</v>
      </c>
      <c r="F933" s="619">
        <v>41484</v>
      </c>
      <c r="G933" s="619">
        <v>43309</v>
      </c>
      <c r="H933" s="618" t="s">
        <v>43</v>
      </c>
      <c r="I933" s="618" t="s">
        <v>6863</v>
      </c>
    </row>
    <row r="934" spans="1:9">
      <c r="A934" s="620">
        <f t="shared" si="14"/>
        <v>930</v>
      </c>
      <c r="B934" s="621" t="s">
        <v>121</v>
      </c>
      <c r="C934" s="621" t="str">
        <f>"8348"</f>
        <v>8348</v>
      </c>
      <c r="D934" s="621" t="s">
        <v>27</v>
      </c>
      <c r="E934" s="621">
        <v>128</v>
      </c>
      <c r="F934" s="622">
        <v>43998</v>
      </c>
      <c r="G934" s="622">
        <v>45823</v>
      </c>
      <c r="H934" s="621" t="s">
        <v>28</v>
      </c>
      <c r="I934" s="621" t="s">
        <v>51</v>
      </c>
    </row>
    <row r="935" spans="1:9">
      <c r="A935" s="617">
        <f t="shared" si="14"/>
        <v>931</v>
      </c>
      <c r="B935" s="618" t="s">
        <v>425</v>
      </c>
      <c r="C935" s="618" t="str">
        <f>"8349"</f>
        <v>8349</v>
      </c>
      <c r="D935" s="618" t="s">
        <v>18</v>
      </c>
      <c r="E935" s="618">
        <v>85</v>
      </c>
      <c r="F935" s="619">
        <v>39304</v>
      </c>
      <c r="G935" s="619">
        <v>40764</v>
      </c>
      <c r="H935" s="618" t="s">
        <v>41</v>
      </c>
      <c r="I935" s="618" t="s">
        <v>385</v>
      </c>
    </row>
    <row r="936" spans="1:9">
      <c r="A936" s="620">
        <f t="shared" si="14"/>
        <v>932</v>
      </c>
      <c r="B936" s="621" t="s">
        <v>121</v>
      </c>
      <c r="C936" s="621" t="str">
        <f>"8350"</f>
        <v>8350</v>
      </c>
      <c r="D936" s="621" t="s">
        <v>27</v>
      </c>
      <c r="E936" s="621">
        <v>99</v>
      </c>
      <c r="F936" s="622">
        <v>43998</v>
      </c>
      <c r="G936" s="622">
        <v>45823</v>
      </c>
      <c r="H936" s="621" t="s">
        <v>28</v>
      </c>
      <c r="I936" s="621" t="s">
        <v>51</v>
      </c>
    </row>
    <row r="937" spans="1:9">
      <c r="A937" s="617">
        <f t="shared" si="14"/>
        <v>933</v>
      </c>
      <c r="B937" s="618" t="s">
        <v>425</v>
      </c>
      <c r="C937" s="618" t="str">
        <f>"8352"</f>
        <v>8352</v>
      </c>
      <c r="D937" s="618" t="s">
        <v>27</v>
      </c>
      <c r="E937" s="618">
        <v>349</v>
      </c>
      <c r="F937" s="619">
        <v>41227</v>
      </c>
      <c r="G937" s="619">
        <v>43052</v>
      </c>
      <c r="H937" s="618" t="s">
        <v>43</v>
      </c>
      <c r="I937" s="618" t="s">
        <v>6867</v>
      </c>
    </row>
    <row r="938" spans="1:9">
      <c r="A938" s="620">
        <f t="shared" si="14"/>
        <v>934</v>
      </c>
      <c r="B938" s="621" t="s">
        <v>425</v>
      </c>
      <c r="C938" s="621" t="str">
        <f>"8353"</f>
        <v>8353</v>
      </c>
      <c r="D938" s="621" t="s">
        <v>27</v>
      </c>
      <c r="E938" s="621">
        <v>133</v>
      </c>
      <c r="F938" s="622">
        <v>41227</v>
      </c>
      <c r="G938" s="622">
        <v>43052</v>
      </c>
      <c r="H938" s="621" t="s">
        <v>43</v>
      </c>
      <c r="I938" s="621" t="s">
        <v>6867</v>
      </c>
    </row>
    <row r="939" spans="1:9">
      <c r="A939" s="617">
        <f t="shared" si="14"/>
        <v>935</v>
      </c>
      <c r="B939" s="618" t="s">
        <v>1728</v>
      </c>
      <c r="C939" s="618" t="str">
        <f>"8386"</f>
        <v>8386</v>
      </c>
      <c r="D939" s="618" t="s">
        <v>27</v>
      </c>
      <c r="E939" s="618">
        <v>27</v>
      </c>
      <c r="F939" s="619">
        <v>40632</v>
      </c>
      <c r="G939" s="619">
        <v>44284</v>
      </c>
      <c r="H939" s="618" t="s">
        <v>56</v>
      </c>
      <c r="I939" s="618" t="s">
        <v>6863</v>
      </c>
    </row>
    <row r="940" spans="1:9">
      <c r="A940" s="620">
        <f t="shared" si="14"/>
        <v>936</v>
      </c>
      <c r="B940" s="621" t="s">
        <v>1728</v>
      </c>
      <c r="C940" s="621" t="str">
        <f>"8388"</f>
        <v>8388</v>
      </c>
      <c r="D940" s="621" t="s">
        <v>27</v>
      </c>
      <c r="E940" s="621">
        <v>56</v>
      </c>
      <c r="F940" s="622">
        <v>40632</v>
      </c>
      <c r="G940" s="622">
        <v>46079</v>
      </c>
      <c r="H940" s="621" t="s">
        <v>56</v>
      </c>
      <c r="I940" s="621" t="s">
        <v>6863</v>
      </c>
    </row>
    <row r="941" spans="1:9">
      <c r="A941" s="617">
        <f t="shared" si="14"/>
        <v>937</v>
      </c>
      <c r="B941" s="618" t="s">
        <v>1729</v>
      </c>
      <c r="C941" s="618" t="str">
        <f>"8413"</f>
        <v>8413</v>
      </c>
      <c r="D941" s="618" t="s">
        <v>18</v>
      </c>
      <c r="E941" s="618">
        <v>220</v>
      </c>
      <c r="F941" s="619">
        <v>39304</v>
      </c>
      <c r="G941" s="619">
        <v>41130</v>
      </c>
      <c r="H941" s="618" t="s">
        <v>45</v>
      </c>
      <c r="I941" s="618" t="s">
        <v>6862</v>
      </c>
    </row>
    <row r="942" spans="1:9">
      <c r="A942" s="620">
        <f t="shared" si="14"/>
        <v>938</v>
      </c>
      <c r="B942" s="621" t="s">
        <v>1729</v>
      </c>
      <c r="C942" s="621" t="str">
        <f>"8414"</f>
        <v>8414</v>
      </c>
      <c r="D942" s="621" t="s">
        <v>18</v>
      </c>
      <c r="E942" s="621">
        <v>200</v>
      </c>
      <c r="F942" s="622">
        <v>39304</v>
      </c>
      <c r="G942" s="622">
        <v>41130</v>
      </c>
      <c r="H942" s="621" t="s">
        <v>43</v>
      </c>
      <c r="I942" s="621" t="s">
        <v>6862</v>
      </c>
    </row>
    <row r="943" spans="1:9">
      <c r="A943" s="617">
        <f t="shared" si="14"/>
        <v>939</v>
      </c>
      <c r="B943" s="618" t="s">
        <v>1729</v>
      </c>
      <c r="C943" s="618" t="str">
        <f>"8416"</f>
        <v>8416</v>
      </c>
      <c r="D943" s="618" t="s">
        <v>18</v>
      </c>
      <c r="E943" s="618">
        <v>176</v>
      </c>
      <c r="F943" s="619">
        <v>39304</v>
      </c>
      <c r="G943" s="619">
        <v>41130</v>
      </c>
      <c r="H943" s="618" t="s">
        <v>45</v>
      </c>
      <c r="I943" s="618" t="s">
        <v>6862</v>
      </c>
    </row>
    <row r="944" spans="1:9">
      <c r="A944" s="620">
        <f t="shared" si="14"/>
        <v>940</v>
      </c>
      <c r="B944" s="621" t="s">
        <v>1730</v>
      </c>
      <c r="C944" s="621" t="str">
        <f>"8460"</f>
        <v>8460</v>
      </c>
      <c r="D944" s="621" t="s">
        <v>18</v>
      </c>
      <c r="E944" s="621">
        <v>77</v>
      </c>
      <c r="F944" s="622">
        <v>41131</v>
      </c>
      <c r="G944" s="622">
        <v>42956</v>
      </c>
      <c r="H944" s="621" t="s">
        <v>43</v>
      </c>
      <c r="I944" s="621" t="s">
        <v>385</v>
      </c>
    </row>
    <row r="945" spans="1:9">
      <c r="A945" s="617">
        <f t="shared" si="14"/>
        <v>941</v>
      </c>
      <c r="B945" s="618" t="s">
        <v>1724</v>
      </c>
      <c r="C945" s="618" t="str">
        <f>"8501"</f>
        <v>8501</v>
      </c>
      <c r="D945" s="618" t="s">
        <v>18</v>
      </c>
      <c r="E945" s="618">
        <v>7</v>
      </c>
      <c r="F945" s="619">
        <v>39312</v>
      </c>
      <c r="G945" s="619">
        <v>41138</v>
      </c>
      <c r="H945" s="618" t="s">
        <v>56</v>
      </c>
      <c r="I945" s="618" t="s">
        <v>6862</v>
      </c>
    </row>
    <row r="946" spans="1:9">
      <c r="A946" s="620">
        <f t="shared" si="14"/>
        <v>942</v>
      </c>
      <c r="B946" s="621" t="s">
        <v>142</v>
      </c>
      <c r="C946" s="621" t="str">
        <f>"8509"</f>
        <v>8509</v>
      </c>
      <c r="D946" s="621" t="s">
        <v>18</v>
      </c>
      <c r="E946" s="621">
        <v>58</v>
      </c>
      <c r="F946" s="622">
        <v>41139</v>
      </c>
      <c r="G946" s="622">
        <v>42964</v>
      </c>
      <c r="H946" s="621" t="s">
        <v>43</v>
      </c>
      <c r="I946" s="621" t="s">
        <v>385</v>
      </c>
    </row>
    <row r="947" spans="1:9">
      <c r="A947" s="617">
        <f t="shared" si="14"/>
        <v>943</v>
      </c>
      <c r="B947" s="618" t="s">
        <v>142</v>
      </c>
      <c r="C947" s="618" t="str">
        <f>"8510"</f>
        <v>8510</v>
      </c>
      <c r="D947" s="618" t="s">
        <v>18</v>
      </c>
      <c r="E947" s="618">
        <v>64</v>
      </c>
      <c r="F947" s="619">
        <v>39312</v>
      </c>
      <c r="G947" s="619">
        <v>41138</v>
      </c>
      <c r="H947" s="618" t="s">
        <v>43</v>
      </c>
      <c r="I947" s="618" t="s">
        <v>385</v>
      </c>
    </row>
    <row r="948" spans="1:9">
      <c r="A948" s="620">
        <f t="shared" si="14"/>
        <v>944</v>
      </c>
      <c r="B948" s="621" t="s">
        <v>142</v>
      </c>
      <c r="C948" s="621" t="str">
        <f>"8511"</f>
        <v>8511</v>
      </c>
      <c r="D948" s="621" t="s">
        <v>18</v>
      </c>
      <c r="E948" s="621">
        <v>75</v>
      </c>
      <c r="F948" s="622">
        <v>41229</v>
      </c>
      <c r="G948" s="622">
        <v>43054</v>
      </c>
      <c r="H948" s="621" t="s">
        <v>43</v>
      </c>
      <c r="I948" s="621" t="s">
        <v>385</v>
      </c>
    </row>
    <row r="949" spans="1:9">
      <c r="A949" s="617">
        <f t="shared" si="14"/>
        <v>945</v>
      </c>
      <c r="B949" s="618" t="s">
        <v>142</v>
      </c>
      <c r="C949" s="618" t="str">
        <f>"8512"</f>
        <v>8512</v>
      </c>
      <c r="D949" s="618" t="s">
        <v>18</v>
      </c>
      <c r="E949" s="618">
        <v>29</v>
      </c>
      <c r="F949" s="619">
        <v>41139</v>
      </c>
      <c r="G949" s="619">
        <v>42964</v>
      </c>
      <c r="H949" s="618" t="s">
        <v>43</v>
      </c>
      <c r="I949" s="618" t="s">
        <v>385</v>
      </c>
    </row>
    <row r="950" spans="1:9">
      <c r="A950" s="620">
        <f t="shared" si="14"/>
        <v>946</v>
      </c>
      <c r="B950" s="621" t="s">
        <v>142</v>
      </c>
      <c r="C950" s="621" t="str">
        <f>"8513"</f>
        <v>8513</v>
      </c>
      <c r="D950" s="621" t="s">
        <v>18</v>
      </c>
      <c r="E950" s="621">
        <v>21</v>
      </c>
      <c r="F950" s="622">
        <v>41141</v>
      </c>
      <c r="G950" s="622">
        <v>42966</v>
      </c>
      <c r="H950" s="621" t="s">
        <v>43</v>
      </c>
      <c r="I950" s="621" t="s">
        <v>385</v>
      </c>
    </row>
    <row r="951" spans="1:9">
      <c r="A951" s="617">
        <f t="shared" si="14"/>
        <v>947</v>
      </c>
      <c r="B951" s="618" t="s">
        <v>142</v>
      </c>
      <c r="C951" s="618" t="str">
        <f>"8514"</f>
        <v>8514</v>
      </c>
      <c r="D951" s="618" t="s">
        <v>18</v>
      </c>
      <c r="E951" s="618">
        <v>27</v>
      </c>
      <c r="F951" s="619">
        <v>41229</v>
      </c>
      <c r="G951" s="619">
        <v>43054</v>
      </c>
      <c r="H951" s="618" t="s">
        <v>43</v>
      </c>
      <c r="I951" s="618" t="s">
        <v>385</v>
      </c>
    </row>
    <row r="952" spans="1:9">
      <c r="A952" s="620">
        <f t="shared" si="14"/>
        <v>948</v>
      </c>
      <c r="B952" s="621" t="s">
        <v>142</v>
      </c>
      <c r="C952" s="621" t="str">
        <f>"8516"</f>
        <v>8516</v>
      </c>
      <c r="D952" s="621" t="s">
        <v>18</v>
      </c>
      <c r="E952" s="621">
        <v>26</v>
      </c>
      <c r="F952" s="622">
        <v>39312</v>
      </c>
      <c r="G952" s="622">
        <v>40772</v>
      </c>
      <c r="H952" s="621" t="s">
        <v>16</v>
      </c>
      <c r="I952" s="621" t="s">
        <v>385</v>
      </c>
    </row>
    <row r="953" spans="1:9">
      <c r="A953" s="617">
        <f t="shared" si="14"/>
        <v>949</v>
      </c>
      <c r="B953" s="618" t="s">
        <v>142</v>
      </c>
      <c r="C953" s="618" t="str">
        <f>"8565"</f>
        <v>8565</v>
      </c>
      <c r="D953" s="618" t="s">
        <v>18</v>
      </c>
      <c r="E953" s="618">
        <v>69</v>
      </c>
      <c r="F953" s="619">
        <v>41147</v>
      </c>
      <c r="G953" s="619">
        <v>42972</v>
      </c>
      <c r="H953" s="618" t="s">
        <v>43</v>
      </c>
      <c r="I953" s="618" t="s">
        <v>6868</v>
      </c>
    </row>
    <row r="954" spans="1:9">
      <c r="A954" s="620">
        <f t="shared" si="14"/>
        <v>950</v>
      </c>
      <c r="B954" s="621" t="s">
        <v>142</v>
      </c>
      <c r="C954" s="621" t="str">
        <f>"8566"</f>
        <v>8566</v>
      </c>
      <c r="D954" s="621" t="s">
        <v>18</v>
      </c>
      <c r="E954" s="621">
        <v>46</v>
      </c>
      <c r="F954" s="622">
        <v>39320</v>
      </c>
      <c r="G954" s="622">
        <v>41146</v>
      </c>
      <c r="H954" s="621" t="s">
        <v>43</v>
      </c>
      <c r="I954" s="621" t="s">
        <v>385</v>
      </c>
    </row>
    <row r="955" spans="1:9">
      <c r="A955" s="617">
        <f t="shared" si="14"/>
        <v>951</v>
      </c>
      <c r="B955" s="618" t="s">
        <v>142</v>
      </c>
      <c r="C955" s="618" t="str">
        <f>"8567"</f>
        <v>8567</v>
      </c>
      <c r="D955" s="618" t="s">
        <v>18</v>
      </c>
      <c r="E955" s="618">
        <v>38</v>
      </c>
      <c r="F955" s="619">
        <v>41163</v>
      </c>
      <c r="G955" s="619">
        <v>42988</v>
      </c>
      <c r="H955" s="618" t="s">
        <v>43</v>
      </c>
      <c r="I955" s="618" t="s">
        <v>6868</v>
      </c>
    </row>
    <row r="956" spans="1:9">
      <c r="A956" s="620">
        <f t="shared" si="14"/>
        <v>952</v>
      </c>
      <c r="B956" s="621" t="s">
        <v>1731</v>
      </c>
      <c r="C956" s="621" t="str">
        <f>"8572"</f>
        <v>8572</v>
      </c>
      <c r="D956" s="621" t="s">
        <v>27</v>
      </c>
      <c r="E956" s="621">
        <v>87</v>
      </c>
      <c r="F956" s="622">
        <v>42328</v>
      </c>
      <c r="G956" s="622">
        <v>44154</v>
      </c>
      <c r="H956" s="621" t="s">
        <v>43</v>
      </c>
      <c r="I956" s="621" t="s">
        <v>385</v>
      </c>
    </row>
    <row r="957" spans="1:9">
      <c r="A957" s="617">
        <f t="shared" si="14"/>
        <v>953</v>
      </c>
      <c r="B957" s="618" t="s">
        <v>1731</v>
      </c>
      <c r="C957" s="618" t="str">
        <f>"8573"</f>
        <v>8573</v>
      </c>
      <c r="D957" s="618" t="s">
        <v>27</v>
      </c>
      <c r="E957" s="618">
        <v>22</v>
      </c>
      <c r="F957" s="619">
        <v>42328</v>
      </c>
      <c r="G957" s="619">
        <v>44154</v>
      </c>
      <c r="H957" s="618" t="s">
        <v>43</v>
      </c>
      <c r="I957" s="618" t="s">
        <v>385</v>
      </c>
    </row>
    <row r="958" spans="1:9">
      <c r="A958" s="620">
        <f t="shared" si="14"/>
        <v>954</v>
      </c>
      <c r="B958" s="621" t="s">
        <v>427</v>
      </c>
      <c r="C958" s="621" t="str">
        <f>"8592"</f>
        <v>8592</v>
      </c>
      <c r="D958" s="621" t="s">
        <v>18</v>
      </c>
      <c r="E958" s="621">
        <v>20</v>
      </c>
      <c r="F958" s="622">
        <v>42624</v>
      </c>
      <c r="G958" s="622">
        <v>42865</v>
      </c>
      <c r="H958" s="621" t="s">
        <v>19</v>
      </c>
      <c r="I958" s="621" t="s">
        <v>6862</v>
      </c>
    </row>
    <row r="959" spans="1:9">
      <c r="A959" s="617">
        <f t="shared" si="14"/>
        <v>955</v>
      </c>
      <c r="B959" s="618" t="s">
        <v>1728</v>
      </c>
      <c r="C959" s="618" t="str">
        <f>"8599"</f>
        <v>8599</v>
      </c>
      <c r="D959" s="618" t="s">
        <v>27</v>
      </c>
      <c r="E959" s="618">
        <v>325</v>
      </c>
      <c r="F959" s="619">
        <v>40632</v>
      </c>
      <c r="G959" s="619">
        <v>44284</v>
      </c>
      <c r="H959" s="618" t="s">
        <v>56</v>
      </c>
      <c r="I959" s="618" t="s">
        <v>385</v>
      </c>
    </row>
    <row r="960" spans="1:9">
      <c r="A960" s="620">
        <f t="shared" si="14"/>
        <v>956</v>
      </c>
      <c r="B960" s="621" t="s">
        <v>428</v>
      </c>
      <c r="C960" s="621" t="str">
        <f>"8664"</f>
        <v>8664</v>
      </c>
      <c r="D960" s="621" t="s">
        <v>18</v>
      </c>
      <c r="E960" s="621">
        <v>183</v>
      </c>
      <c r="F960" s="622">
        <v>39377</v>
      </c>
      <c r="G960" s="622">
        <v>44106</v>
      </c>
      <c r="H960" s="621" t="s">
        <v>41</v>
      </c>
      <c r="I960" s="621" t="s">
        <v>6867</v>
      </c>
    </row>
    <row r="961" spans="1:9">
      <c r="A961" s="617">
        <f t="shared" si="14"/>
        <v>957</v>
      </c>
      <c r="B961" s="618" t="s">
        <v>428</v>
      </c>
      <c r="C961" s="618" t="str">
        <f>"8665"</f>
        <v>8665</v>
      </c>
      <c r="D961" s="618" t="s">
        <v>18</v>
      </c>
      <c r="E961" s="618">
        <v>137</v>
      </c>
      <c r="F961" s="619">
        <v>39378</v>
      </c>
      <c r="G961" s="619">
        <v>43863</v>
      </c>
      <c r="H961" s="618" t="s">
        <v>19</v>
      </c>
      <c r="I961" s="618" t="s">
        <v>6867</v>
      </c>
    </row>
    <row r="962" spans="1:9">
      <c r="A962" s="620">
        <f t="shared" si="14"/>
        <v>958</v>
      </c>
      <c r="B962" s="621" t="s">
        <v>428</v>
      </c>
      <c r="C962" s="621" t="str">
        <f>"8666"</f>
        <v>8666</v>
      </c>
      <c r="D962" s="621" t="s">
        <v>18</v>
      </c>
      <c r="E962" s="621">
        <v>187</v>
      </c>
      <c r="F962" s="622">
        <v>39378</v>
      </c>
      <c r="G962" s="622">
        <v>43863</v>
      </c>
      <c r="H962" s="621" t="s">
        <v>41</v>
      </c>
      <c r="I962" s="621" t="s">
        <v>6867</v>
      </c>
    </row>
    <row r="963" spans="1:9">
      <c r="A963" s="617">
        <f t="shared" si="14"/>
        <v>959</v>
      </c>
      <c r="B963" s="618" t="s">
        <v>5733</v>
      </c>
      <c r="C963" s="618" t="str">
        <f>"8667"</f>
        <v>8667</v>
      </c>
      <c r="D963" s="618" t="s">
        <v>18</v>
      </c>
      <c r="E963" s="618">
        <v>170</v>
      </c>
      <c r="F963" s="619">
        <v>41204</v>
      </c>
      <c r="G963" s="619">
        <v>45769</v>
      </c>
      <c r="H963" s="618" t="s">
        <v>19</v>
      </c>
      <c r="I963" s="618" t="s">
        <v>51</v>
      </c>
    </row>
    <row r="964" spans="1:9">
      <c r="A964" s="620">
        <f t="shared" si="14"/>
        <v>960</v>
      </c>
      <c r="B964" s="621" t="s">
        <v>1712</v>
      </c>
      <c r="C964" s="621" t="str">
        <f>"8713"</f>
        <v>8713</v>
      </c>
      <c r="D964" s="621" t="s">
        <v>18</v>
      </c>
      <c r="E964" s="621">
        <v>330</v>
      </c>
      <c r="F964" s="622">
        <v>39408</v>
      </c>
      <c r="G964" s="622">
        <v>41234</v>
      </c>
      <c r="H964" s="621" t="s">
        <v>19</v>
      </c>
      <c r="I964" s="621" t="s">
        <v>385</v>
      </c>
    </row>
    <row r="965" spans="1:9">
      <c r="A965" s="617">
        <f t="shared" si="14"/>
        <v>961</v>
      </c>
      <c r="B965" s="618" t="s">
        <v>1712</v>
      </c>
      <c r="C965" s="618" t="str">
        <f>"8715"</f>
        <v>8715</v>
      </c>
      <c r="D965" s="618" t="s">
        <v>18</v>
      </c>
      <c r="E965" s="618">
        <v>133</v>
      </c>
      <c r="F965" s="619">
        <v>39408</v>
      </c>
      <c r="G965" s="619">
        <v>41234</v>
      </c>
      <c r="H965" s="618" t="s">
        <v>56</v>
      </c>
      <c r="I965" s="618" t="s">
        <v>385</v>
      </c>
    </row>
    <row r="966" spans="1:9">
      <c r="A966" s="620">
        <f t="shared" si="14"/>
        <v>962</v>
      </c>
      <c r="B966" s="621" t="s">
        <v>36</v>
      </c>
      <c r="C966" s="621" t="str">
        <f>"8841"</f>
        <v>8841</v>
      </c>
      <c r="D966" s="621" t="s">
        <v>13</v>
      </c>
      <c r="E966" s="621">
        <v>113</v>
      </c>
      <c r="F966" s="622">
        <v>40102</v>
      </c>
      <c r="G966" s="622">
        <v>45385</v>
      </c>
      <c r="H966" s="621" t="s">
        <v>16</v>
      </c>
      <c r="I966" s="621" t="s">
        <v>6858</v>
      </c>
    </row>
    <row r="967" spans="1:9">
      <c r="A967" s="617">
        <f t="shared" ref="A967:A1030" si="15">+A966+1</f>
        <v>963</v>
      </c>
      <c r="B967" s="618" t="s">
        <v>1732</v>
      </c>
      <c r="C967" s="618" t="str">
        <f>"8913"</f>
        <v>8913</v>
      </c>
      <c r="D967" s="618" t="s">
        <v>18</v>
      </c>
      <c r="E967" s="618">
        <v>22</v>
      </c>
      <c r="F967" s="619">
        <v>41048</v>
      </c>
      <c r="G967" s="619">
        <v>41777</v>
      </c>
      <c r="H967" s="618" t="s">
        <v>22</v>
      </c>
      <c r="I967" s="618" t="s">
        <v>385</v>
      </c>
    </row>
    <row r="968" spans="1:9">
      <c r="A968" s="620">
        <f t="shared" si="15"/>
        <v>964</v>
      </c>
      <c r="B968" s="621" t="s">
        <v>1732</v>
      </c>
      <c r="C968" s="621" t="str">
        <f>"8915"</f>
        <v>8915</v>
      </c>
      <c r="D968" s="621" t="s">
        <v>18</v>
      </c>
      <c r="E968" s="621">
        <v>2</v>
      </c>
      <c r="F968" s="622">
        <v>41048</v>
      </c>
      <c r="G968" s="622">
        <v>41777</v>
      </c>
      <c r="H968" s="621" t="s">
        <v>22</v>
      </c>
      <c r="I968" s="621" t="s">
        <v>385</v>
      </c>
    </row>
    <row r="969" spans="1:9">
      <c r="A969" s="617">
        <f t="shared" si="15"/>
        <v>965</v>
      </c>
      <c r="B969" s="618" t="s">
        <v>1733</v>
      </c>
      <c r="C969" s="618" t="str">
        <f>"8994"</f>
        <v>8994</v>
      </c>
      <c r="D969" s="618" t="s">
        <v>18</v>
      </c>
      <c r="E969" s="618">
        <v>200</v>
      </c>
      <c r="F969" s="619">
        <v>39588</v>
      </c>
      <c r="G969" s="619">
        <v>41414</v>
      </c>
      <c r="H969" s="618" t="s">
        <v>43</v>
      </c>
      <c r="I969" s="618" t="s">
        <v>385</v>
      </c>
    </row>
    <row r="970" spans="1:9">
      <c r="A970" s="620">
        <f t="shared" si="15"/>
        <v>966</v>
      </c>
      <c r="B970" s="621" t="s">
        <v>1733</v>
      </c>
      <c r="C970" s="621" t="str">
        <f>"8995"</f>
        <v>8995</v>
      </c>
      <c r="D970" s="621" t="s">
        <v>18</v>
      </c>
      <c r="E970" s="621">
        <v>100</v>
      </c>
      <c r="F970" s="622">
        <v>39588</v>
      </c>
      <c r="G970" s="622">
        <v>41414</v>
      </c>
      <c r="H970" s="621" t="s">
        <v>43</v>
      </c>
      <c r="I970" s="621" t="s">
        <v>385</v>
      </c>
    </row>
    <row r="971" spans="1:9">
      <c r="A971" s="617">
        <f t="shared" si="15"/>
        <v>967</v>
      </c>
      <c r="B971" s="618" t="s">
        <v>1733</v>
      </c>
      <c r="C971" s="618" t="str">
        <f>"8996"</f>
        <v>8996</v>
      </c>
      <c r="D971" s="618" t="s">
        <v>18</v>
      </c>
      <c r="E971" s="618">
        <v>200</v>
      </c>
      <c r="F971" s="619">
        <v>39588</v>
      </c>
      <c r="G971" s="619">
        <v>41414</v>
      </c>
      <c r="H971" s="618" t="s">
        <v>43</v>
      </c>
      <c r="I971" s="618" t="s">
        <v>385</v>
      </c>
    </row>
    <row r="972" spans="1:9">
      <c r="A972" s="620">
        <f t="shared" si="15"/>
        <v>968</v>
      </c>
      <c r="B972" s="621" t="s">
        <v>429</v>
      </c>
      <c r="C972" s="621" t="str">
        <f>"9084"</f>
        <v>9084</v>
      </c>
      <c r="D972" s="621" t="s">
        <v>18</v>
      </c>
      <c r="E972" s="621">
        <v>471</v>
      </c>
      <c r="F972" s="622">
        <v>39425</v>
      </c>
      <c r="G972" s="622">
        <v>41252</v>
      </c>
      <c r="H972" s="621" t="s">
        <v>1644</v>
      </c>
      <c r="I972" s="621" t="s">
        <v>385</v>
      </c>
    </row>
    <row r="973" spans="1:9">
      <c r="A973" s="617">
        <f t="shared" si="15"/>
        <v>969</v>
      </c>
      <c r="B973" s="618" t="s">
        <v>429</v>
      </c>
      <c r="C973" s="618" t="str">
        <f>"9086"</f>
        <v>9086</v>
      </c>
      <c r="D973" s="618" t="s">
        <v>18</v>
      </c>
      <c r="E973" s="618">
        <v>471</v>
      </c>
      <c r="F973" s="619"/>
      <c r="G973" s="619"/>
      <c r="H973" s="618" t="s">
        <v>66</v>
      </c>
      <c r="I973" s="618" t="s">
        <v>385</v>
      </c>
    </row>
    <row r="974" spans="1:9">
      <c r="A974" s="620">
        <f t="shared" si="15"/>
        <v>970</v>
      </c>
      <c r="B974" s="621" t="s">
        <v>124</v>
      </c>
      <c r="C974" s="621" t="str">
        <f>"9090"</f>
        <v>9090</v>
      </c>
      <c r="D974" s="621" t="s">
        <v>13</v>
      </c>
      <c r="E974" s="621">
        <v>47</v>
      </c>
      <c r="F974" s="622">
        <v>42830</v>
      </c>
      <c r="G974" s="622">
        <v>53786</v>
      </c>
      <c r="H974" s="621" t="s">
        <v>16</v>
      </c>
      <c r="I974" s="621" t="s">
        <v>51</v>
      </c>
    </row>
    <row r="975" spans="1:9">
      <c r="A975" s="617">
        <f t="shared" si="15"/>
        <v>971</v>
      </c>
      <c r="B975" s="618" t="s">
        <v>122</v>
      </c>
      <c r="C975" s="618" t="str">
        <f>"9261"</f>
        <v>9261</v>
      </c>
      <c r="D975" s="618" t="s">
        <v>27</v>
      </c>
      <c r="E975" s="618">
        <v>309</v>
      </c>
      <c r="F975" s="619">
        <v>41584</v>
      </c>
      <c r="G975" s="619">
        <v>43409</v>
      </c>
      <c r="H975" s="618" t="s">
        <v>43</v>
      </c>
      <c r="I975" s="618" t="s">
        <v>6858</v>
      </c>
    </row>
    <row r="976" spans="1:9">
      <c r="A976" s="620">
        <f t="shared" si="15"/>
        <v>972</v>
      </c>
      <c r="B976" s="621" t="s">
        <v>122</v>
      </c>
      <c r="C976" s="621" t="str">
        <f>"9262"</f>
        <v>9262</v>
      </c>
      <c r="D976" s="621" t="s">
        <v>27</v>
      </c>
      <c r="E976" s="621">
        <v>400</v>
      </c>
      <c r="F976" s="622">
        <v>41584</v>
      </c>
      <c r="G976" s="622">
        <v>43409</v>
      </c>
      <c r="H976" s="621" t="s">
        <v>43</v>
      </c>
      <c r="I976" s="621" t="s">
        <v>6858</v>
      </c>
    </row>
    <row r="977" spans="1:9">
      <c r="A977" s="617">
        <f t="shared" si="15"/>
        <v>973</v>
      </c>
      <c r="B977" s="618" t="s">
        <v>122</v>
      </c>
      <c r="C977" s="618" t="str">
        <f>"9263"</f>
        <v>9263</v>
      </c>
      <c r="D977" s="618" t="s">
        <v>27</v>
      </c>
      <c r="E977" s="618">
        <v>220</v>
      </c>
      <c r="F977" s="619">
        <v>41584</v>
      </c>
      <c r="G977" s="619">
        <v>43409</v>
      </c>
      <c r="H977" s="618" t="s">
        <v>43</v>
      </c>
      <c r="I977" s="618" t="s">
        <v>6858</v>
      </c>
    </row>
    <row r="978" spans="1:9">
      <c r="A978" s="620">
        <f t="shared" si="15"/>
        <v>974</v>
      </c>
      <c r="B978" s="621" t="s">
        <v>1716</v>
      </c>
      <c r="C978" s="621" t="str">
        <f>"9330"</f>
        <v>9330</v>
      </c>
      <c r="D978" s="621" t="s">
        <v>18</v>
      </c>
      <c r="E978" s="621">
        <v>442</v>
      </c>
      <c r="F978" s="622">
        <v>39587</v>
      </c>
      <c r="G978" s="622">
        <v>41047</v>
      </c>
      <c r="H978" s="621" t="s">
        <v>1644</v>
      </c>
      <c r="I978" s="621" t="s">
        <v>385</v>
      </c>
    </row>
    <row r="979" spans="1:9">
      <c r="A979" s="617">
        <f t="shared" si="15"/>
        <v>975</v>
      </c>
      <c r="B979" s="618" t="s">
        <v>1716</v>
      </c>
      <c r="C979" s="618" t="str">
        <f>"9336"</f>
        <v>9336</v>
      </c>
      <c r="D979" s="618" t="s">
        <v>18</v>
      </c>
      <c r="E979" s="618">
        <v>432</v>
      </c>
      <c r="F979" s="619">
        <v>39587</v>
      </c>
      <c r="G979" s="619">
        <v>41047</v>
      </c>
      <c r="H979" s="618" t="s">
        <v>1644</v>
      </c>
      <c r="I979" s="618" t="s">
        <v>385</v>
      </c>
    </row>
    <row r="980" spans="1:9">
      <c r="A980" s="620">
        <f t="shared" si="15"/>
        <v>976</v>
      </c>
      <c r="B980" s="621" t="s">
        <v>1716</v>
      </c>
      <c r="C980" s="621" t="str">
        <f>"9337"</f>
        <v>9337</v>
      </c>
      <c r="D980" s="621" t="s">
        <v>18</v>
      </c>
      <c r="E980" s="621">
        <v>460</v>
      </c>
      <c r="F980" s="622">
        <v>39587</v>
      </c>
      <c r="G980" s="622">
        <v>41047</v>
      </c>
      <c r="H980" s="621" t="s">
        <v>431</v>
      </c>
      <c r="I980" s="621" t="s">
        <v>385</v>
      </c>
    </row>
    <row r="981" spans="1:9">
      <c r="A981" s="617">
        <f t="shared" si="15"/>
        <v>977</v>
      </c>
      <c r="B981" s="618" t="s">
        <v>1734</v>
      </c>
      <c r="C981" s="618" t="str">
        <f>"9456"</f>
        <v>9456</v>
      </c>
      <c r="D981" s="618" t="s">
        <v>18</v>
      </c>
      <c r="E981" s="618">
        <v>180</v>
      </c>
      <c r="F981" s="619">
        <v>42387</v>
      </c>
      <c r="G981" s="619">
        <v>44882</v>
      </c>
      <c r="H981" s="618" t="s">
        <v>180</v>
      </c>
      <c r="I981" s="618" t="s">
        <v>6863</v>
      </c>
    </row>
    <row r="982" spans="1:9">
      <c r="A982" s="620">
        <f t="shared" si="15"/>
        <v>978</v>
      </c>
      <c r="B982" s="621" t="s">
        <v>1734</v>
      </c>
      <c r="C982" s="621" t="str">
        <f>"9459"</f>
        <v>9459</v>
      </c>
      <c r="D982" s="621" t="s">
        <v>18</v>
      </c>
      <c r="E982" s="621">
        <v>340</v>
      </c>
      <c r="F982" s="622">
        <v>42387</v>
      </c>
      <c r="G982" s="622">
        <v>44882</v>
      </c>
      <c r="H982" s="621" t="s">
        <v>31</v>
      </c>
      <c r="I982" s="621" t="s">
        <v>6863</v>
      </c>
    </row>
    <row r="983" spans="1:9">
      <c r="A983" s="617">
        <f t="shared" si="15"/>
        <v>979</v>
      </c>
      <c r="B983" s="618" t="s">
        <v>1735</v>
      </c>
      <c r="C983" s="618" t="str">
        <f>"9460"</f>
        <v>9460</v>
      </c>
      <c r="D983" s="618" t="s">
        <v>18</v>
      </c>
      <c r="E983" s="618">
        <v>350</v>
      </c>
      <c r="F983" s="619">
        <v>42398</v>
      </c>
      <c r="G983" s="619">
        <v>44224</v>
      </c>
      <c r="H983" s="618" t="s">
        <v>43</v>
      </c>
      <c r="I983" s="618" t="s">
        <v>385</v>
      </c>
    </row>
    <row r="984" spans="1:9">
      <c r="A984" s="620">
        <f t="shared" si="15"/>
        <v>980</v>
      </c>
      <c r="B984" s="621" t="s">
        <v>1736</v>
      </c>
      <c r="C984" s="621" t="str">
        <f>"9461"</f>
        <v>9461</v>
      </c>
      <c r="D984" s="621" t="s">
        <v>18</v>
      </c>
      <c r="E984" s="621">
        <v>197</v>
      </c>
      <c r="F984" s="622">
        <v>42502</v>
      </c>
      <c r="G984" s="622">
        <v>44327</v>
      </c>
      <c r="H984" s="621" t="s">
        <v>45</v>
      </c>
      <c r="I984" s="621" t="s">
        <v>385</v>
      </c>
    </row>
    <row r="985" spans="1:9">
      <c r="A985" s="617">
        <f t="shared" si="15"/>
        <v>981</v>
      </c>
      <c r="B985" s="618" t="s">
        <v>1734</v>
      </c>
      <c r="C985" s="618" t="str">
        <f>"9465"</f>
        <v>9465</v>
      </c>
      <c r="D985" s="618" t="s">
        <v>18</v>
      </c>
      <c r="E985" s="618">
        <v>2</v>
      </c>
      <c r="F985" s="619">
        <v>42387</v>
      </c>
      <c r="G985" s="619">
        <v>44847</v>
      </c>
      <c r="H985" s="618" t="s">
        <v>31</v>
      </c>
      <c r="I985" s="618" t="s">
        <v>6863</v>
      </c>
    </row>
    <row r="986" spans="1:9">
      <c r="A986" s="620">
        <f t="shared" si="15"/>
        <v>982</v>
      </c>
      <c r="B986" s="621" t="s">
        <v>1734</v>
      </c>
      <c r="C986" s="621" t="str">
        <f>"9466"</f>
        <v>9466</v>
      </c>
      <c r="D986" s="621" t="s">
        <v>18</v>
      </c>
      <c r="E986" s="621">
        <v>152</v>
      </c>
      <c r="F986" s="622">
        <v>42387</v>
      </c>
      <c r="G986" s="622">
        <v>44846</v>
      </c>
      <c r="H986" s="621" t="s">
        <v>31</v>
      </c>
      <c r="I986" s="621" t="s">
        <v>6863</v>
      </c>
    </row>
    <row r="987" spans="1:9">
      <c r="A987" s="617">
        <f t="shared" si="15"/>
        <v>983</v>
      </c>
      <c r="B987" s="618" t="s">
        <v>126</v>
      </c>
      <c r="C987" s="618" t="str">
        <f>"9468"</f>
        <v>9468</v>
      </c>
      <c r="D987" s="618" t="s">
        <v>13</v>
      </c>
      <c r="E987" s="618">
        <v>4</v>
      </c>
      <c r="F987" s="619">
        <v>42688</v>
      </c>
      <c r="G987" s="619">
        <v>53644</v>
      </c>
      <c r="H987" s="618" t="s">
        <v>16</v>
      </c>
      <c r="I987" s="618" t="s">
        <v>51</v>
      </c>
    </row>
    <row r="988" spans="1:9">
      <c r="A988" s="620">
        <f t="shared" si="15"/>
        <v>984</v>
      </c>
      <c r="B988" s="621" t="s">
        <v>127</v>
      </c>
      <c r="C988" s="621" t="str">
        <f>"9469"</f>
        <v>9469</v>
      </c>
      <c r="D988" s="621" t="s">
        <v>13</v>
      </c>
      <c r="E988" s="621">
        <v>19</v>
      </c>
      <c r="F988" s="622">
        <v>42517</v>
      </c>
      <c r="G988" s="622">
        <v>53473</v>
      </c>
      <c r="H988" s="621" t="s">
        <v>14</v>
      </c>
      <c r="I988" s="621" t="s">
        <v>51</v>
      </c>
    </row>
    <row r="989" spans="1:9">
      <c r="A989" s="617">
        <f t="shared" si="15"/>
        <v>985</v>
      </c>
      <c r="B989" s="618" t="s">
        <v>1734</v>
      </c>
      <c r="C989" s="618" t="str">
        <f>"9470"</f>
        <v>9470</v>
      </c>
      <c r="D989" s="618" t="s">
        <v>18</v>
      </c>
      <c r="E989" s="618">
        <v>280</v>
      </c>
      <c r="F989" s="619">
        <v>42387</v>
      </c>
      <c r="G989" s="619">
        <v>44882</v>
      </c>
      <c r="H989" s="618" t="s">
        <v>66</v>
      </c>
      <c r="I989" s="618" t="s">
        <v>6863</v>
      </c>
    </row>
    <row r="990" spans="1:9">
      <c r="A990" s="620">
        <f t="shared" si="15"/>
        <v>986</v>
      </c>
      <c r="B990" s="621" t="s">
        <v>432</v>
      </c>
      <c r="C990" s="621" t="str">
        <f>"9471"</f>
        <v>9471</v>
      </c>
      <c r="D990" s="621" t="s">
        <v>18</v>
      </c>
      <c r="E990" s="621">
        <v>140</v>
      </c>
      <c r="F990" s="622">
        <v>39637</v>
      </c>
      <c r="G990" s="622">
        <v>44018</v>
      </c>
      <c r="H990" s="621" t="s">
        <v>41</v>
      </c>
      <c r="I990" s="621" t="s">
        <v>6863</v>
      </c>
    </row>
    <row r="991" spans="1:9">
      <c r="A991" s="617">
        <f t="shared" si="15"/>
        <v>987</v>
      </c>
      <c r="B991" s="618" t="s">
        <v>432</v>
      </c>
      <c r="C991" s="618" t="str">
        <f>"9473"</f>
        <v>9473</v>
      </c>
      <c r="D991" s="618" t="s">
        <v>18</v>
      </c>
      <c r="E991" s="618">
        <v>382</v>
      </c>
      <c r="F991" s="619">
        <v>39637</v>
      </c>
      <c r="G991" s="619">
        <v>44018</v>
      </c>
      <c r="H991" s="618" t="s">
        <v>28</v>
      </c>
      <c r="I991" s="618" t="s">
        <v>6863</v>
      </c>
    </row>
    <row r="992" spans="1:9">
      <c r="A992" s="620">
        <f t="shared" si="15"/>
        <v>988</v>
      </c>
      <c r="B992" s="621" t="s">
        <v>432</v>
      </c>
      <c r="C992" s="621" t="str">
        <f>"9477"</f>
        <v>9477</v>
      </c>
      <c r="D992" s="621" t="s">
        <v>18</v>
      </c>
      <c r="E992" s="621">
        <v>400</v>
      </c>
      <c r="F992" s="622">
        <v>39637</v>
      </c>
      <c r="G992" s="622">
        <v>44018</v>
      </c>
      <c r="H992" s="621" t="s">
        <v>28</v>
      </c>
      <c r="I992" s="621" t="s">
        <v>6863</v>
      </c>
    </row>
    <row r="993" spans="1:9">
      <c r="A993" s="617">
        <f t="shared" si="15"/>
        <v>989</v>
      </c>
      <c r="B993" s="618" t="s">
        <v>1737</v>
      </c>
      <c r="C993" s="618" t="str">
        <f>"9489"</f>
        <v>9489</v>
      </c>
      <c r="D993" s="618" t="s">
        <v>18</v>
      </c>
      <c r="E993" s="618">
        <v>200</v>
      </c>
      <c r="F993" s="619">
        <v>39638</v>
      </c>
      <c r="G993" s="619">
        <v>44385</v>
      </c>
      <c r="H993" s="618" t="s">
        <v>21</v>
      </c>
      <c r="I993" s="618" t="s">
        <v>6863</v>
      </c>
    </row>
    <row r="994" spans="1:9">
      <c r="A994" s="620">
        <f t="shared" si="15"/>
        <v>990</v>
      </c>
      <c r="B994" s="621" t="s">
        <v>1737</v>
      </c>
      <c r="C994" s="621" t="str">
        <f>"9490"</f>
        <v>9490</v>
      </c>
      <c r="D994" s="621" t="s">
        <v>18</v>
      </c>
      <c r="E994" s="621">
        <v>196</v>
      </c>
      <c r="F994" s="622">
        <v>39638</v>
      </c>
      <c r="G994" s="622">
        <v>44384</v>
      </c>
      <c r="H994" s="621" t="s">
        <v>41</v>
      </c>
      <c r="I994" s="621" t="s">
        <v>6863</v>
      </c>
    </row>
    <row r="995" spans="1:9">
      <c r="A995" s="617">
        <f t="shared" si="15"/>
        <v>991</v>
      </c>
      <c r="B995" s="618" t="s">
        <v>1737</v>
      </c>
      <c r="C995" s="618" t="str">
        <f>"9491"</f>
        <v>9491</v>
      </c>
      <c r="D995" s="618" t="s">
        <v>18</v>
      </c>
      <c r="E995" s="618">
        <v>400</v>
      </c>
      <c r="F995" s="619">
        <v>39638</v>
      </c>
      <c r="G995" s="619">
        <v>44385</v>
      </c>
      <c r="H995" s="618" t="s">
        <v>41</v>
      </c>
      <c r="I995" s="618" t="s">
        <v>6863</v>
      </c>
    </row>
    <row r="996" spans="1:9">
      <c r="A996" s="620">
        <f t="shared" si="15"/>
        <v>992</v>
      </c>
      <c r="B996" s="621" t="s">
        <v>433</v>
      </c>
      <c r="C996" s="621" t="str">
        <f>"9596"</f>
        <v>9596</v>
      </c>
      <c r="D996" s="621" t="s">
        <v>18</v>
      </c>
      <c r="E996" s="621">
        <v>437</v>
      </c>
      <c r="F996" s="622">
        <v>39583</v>
      </c>
      <c r="G996" s="622">
        <v>41408</v>
      </c>
      <c r="H996" s="621" t="s">
        <v>14</v>
      </c>
      <c r="I996" s="621" t="s">
        <v>385</v>
      </c>
    </row>
    <row r="997" spans="1:9">
      <c r="A997" s="617">
        <f t="shared" si="15"/>
        <v>993</v>
      </c>
      <c r="B997" s="618" t="s">
        <v>128</v>
      </c>
      <c r="C997" s="618" t="str">
        <f>"9681"</f>
        <v>9681</v>
      </c>
      <c r="D997" s="618" t="s">
        <v>13</v>
      </c>
      <c r="E997" s="618">
        <v>7</v>
      </c>
      <c r="F997" s="619">
        <v>39444</v>
      </c>
      <c r="G997" s="619">
        <v>45385</v>
      </c>
      <c r="H997" s="618" t="s">
        <v>16</v>
      </c>
      <c r="I997" s="618" t="s">
        <v>6858</v>
      </c>
    </row>
    <row r="998" spans="1:9">
      <c r="A998" s="620">
        <f t="shared" si="15"/>
        <v>994</v>
      </c>
      <c r="B998" s="621" t="s">
        <v>128</v>
      </c>
      <c r="C998" s="621" t="str">
        <f>"9682"</f>
        <v>9682</v>
      </c>
      <c r="D998" s="621" t="s">
        <v>13</v>
      </c>
      <c r="E998" s="621">
        <v>6</v>
      </c>
      <c r="F998" s="622">
        <v>39444</v>
      </c>
      <c r="G998" s="622">
        <v>45385</v>
      </c>
      <c r="H998" s="621" t="s">
        <v>16</v>
      </c>
      <c r="I998" s="621" t="s">
        <v>6858</v>
      </c>
    </row>
    <row r="999" spans="1:9">
      <c r="A999" s="617">
        <f t="shared" si="15"/>
        <v>995</v>
      </c>
      <c r="B999" s="618" t="s">
        <v>36</v>
      </c>
      <c r="C999" s="618" t="str">
        <f>"9683"</f>
        <v>9683</v>
      </c>
      <c r="D999" s="618" t="s">
        <v>37</v>
      </c>
      <c r="E999" s="618">
        <v>11</v>
      </c>
      <c r="F999" s="619">
        <v>43136</v>
      </c>
      <c r="G999" s="619">
        <v>44961</v>
      </c>
      <c r="H999" s="618" t="s">
        <v>16</v>
      </c>
      <c r="I999" s="618" t="s">
        <v>6858</v>
      </c>
    </row>
    <row r="1000" spans="1:9">
      <c r="A1000" s="620">
        <f t="shared" si="15"/>
        <v>996</v>
      </c>
      <c r="B1000" s="621" t="s">
        <v>36</v>
      </c>
      <c r="C1000" s="621" t="str">
        <f>"9684"</f>
        <v>9684</v>
      </c>
      <c r="D1000" s="621" t="s">
        <v>37</v>
      </c>
      <c r="E1000" s="621">
        <v>6</v>
      </c>
      <c r="F1000" s="622">
        <v>43624</v>
      </c>
      <c r="G1000" s="622">
        <v>45450</v>
      </c>
      <c r="H1000" s="621" t="s">
        <v>16</v>
      </c>
      <c r="I1000" s="621" t="s">
        <v>6858</v>
      </c>
    </row>
    <row r="1001" spans="1:9">
      <c r="A1001" s="617">
        <f t="shared" si="15"/>
        <v>997</v>
      </c>
      <c r="B1001" s="618" t="s">
        <v>36</v>
      </c>
      <c r="C1001" s="618" t="str">
        <f>"9685"</f>
        <v>9685</v>
      </c>
      <c r="D1001" s="618" t="s">
        <v>37</v>
      </c>
      <c r="E1001" s="618">
        <v>7</v>
      </c>
      <c r="F1001" s="619">
        <v>43136</v>
      </c>
      <c r="G1001" s="619">
        <v>44961</v>
      </c>
      <c r="H1001" s="618" t="s">
        <v>16</v>
      </c>
      <c r="I1001" s="618" t="s">
        <v>6858</v>
      </c>
    </row>
    <row r="1002" spans="1:9">
      <c r="A1002" s="620">
        <f t="shared" si="15"/>
        <v>998</v>
      </c>
      <c r="B1002" s="621" t="s">
        <v>36</v>
      </c>
      <c r="C1002" s="621" t="str">
        <f>"9687"</f>
        <v>9687</v>
      </c>
      <c r="D1002" s="621" t="s">
        <v>37</v>
      </c>
      <c r="E1002" s="621">
        <v>54</v>
      </c>
      <c r="F1002" s="622">
        <v>43624</v>
      </c>
      <c r="G1002" s="622">
        <v>45450</v>
      </c>
      <c r="H1002" s="621" t="s">
        <v>16</v>
      </c>
      <c r="I1002" s="621" t="s">
        <v>6858</v>
      </c>
    </row>
    <row r="1003" spans="1:9">
      <c r="A1003" s="617">
        <f t="shared" si="15"/>
        <v>999</v>
      </c>
      <c r="B1003" s="618" t="s">
        <v>129</v>
      </c>
      <c r="C1003" s="618" t="str">
        <f>"9691"</f>
        <v>9691</v>
      </c>
      <c r="D1003" s="618" t="s">
        <v>13</v>
      </c>
      <c r="E1003" s="618">
        <v>144</v>
      </c>
      <c r="F1003" s="619">
        <v>39867</v>
      </c>
      <c r="G1003" s="619">
        <v>50823</v>
      </c>
      <c r="H1003" s="618" t="s">
        <v>28</v>
      </c>
      <c r="I1003" s="618" t="s">
        <v>51</v>
      </c>
    </row>
    <row r="1004" spans="1:9">
      <c r="A1004" s="620">
        <f t="shared" si="15"/>
        <v>1000</v>
      </c>
      <c r="B1004" s="621" t="s">
        <v>129</v>
      </c>
      <c r="C1004" s="621" t="str">
        <f>"9692"</f>
        <v>9692</v>
      </c>
      <c r="D1004" s="621" t="s">
        <v>13</v>
      </c>
      <c r="E1004" s="621">
        <v>101</v>
      </c>
      <c r="F1004" s="622">
        <v>39867</v>
      </c>
      <c r="G1004" s="622">
        <v>50823</v>
      </c>
      <c r="H1004" s="621" t="s">
        <v>29</v>
      </c>
      <c r="I1004" s="621" t="s">
        <v>51</v>
      </c>
    </row>
    <row r="1005" spans="1:9">
      <c r="A1005" s="617">
        <f t="shared" si="15"/>
        <v>1001</v>
      </c>
      <c r="B1005" s="618" t="s">
        <v>1640</v>
      </c>
      <c r="C1005" s="618" t="str">
        <f>"9693"</f>
        <v>9693</v>
      </c>
      <c r="D1005" s="618" t="s">
        <v>13</v>
      </c>
      <c r="E1005" s="618">
        <v>144</v>
      </c>
      <c r="F1005" s="619">
        <v>39867</v>
      </c>
      <c r="G1005" s="619">
        <v>50823</v>
      </c>
      <c r="H1005" s="618" t="s">
        <v>28</v>
      </c>
      <c r="I1005" s="618" t="s">
        <v>385</v>
      </c>
    </row>
    <row r="1006" spans="1:9">
      <c r="A1006" s="620">
        <f t="shared" si="15"/>
        <v>1002</v>
      </c>
      <c r="B1006" s="621" t="s">
        <v>1640</v>
      </c>
      <c r="C1006" s="621" t="str">
        <f>"9694"</f>
        <v>9694</v>
      </c>
      <c r="D1006" s="621" t="s">
        <v>13</v>
      </c>
      <c r="E1006" s="621">
        <v>144</v>
      </c>
      <c r="F1006" s="622">
        <v>39867</v>
      </c>
      <c r="G1006" s="622">
        <v>50823</v>
      </c>
      <c r="H1006" s="621" t="s">
        <v>29</v>
      </c>
      <c r="I1006" s="621" t="s">
        <v>385</v>
      </c>
    </row>
    <row r="1007" spans="1:9">
      <c r="A1007" s="617">
        <f t="shared" si="15"/>
        <v>1003</v>
      </c>
      <c r="B1007" s="618" t="s">
        <v>129</v>
      </c>
      <c r="C1007" s="618" t="str">
        <f>"9695"</f>
        <v>9695</v>
      </c>
      <c r="D1007" s="618" t="s">
        <v>13</v>
      </c>
      <c r="E1007" s="618">
        <v>72</v>
      </c>
      <c r="F1007" s="619">
        <v>39867</v>
      </c>
      <c r="G1007" s="619">
        <v>50823</v>
      </c>
      <c r="H1007" s="618" t="s">
        <v>28</v>
      </c>
      <c r="I1007" s="618" t="s">
        <v>51</v>
      </c>
    </row>
    <row r="1008" spans="1:9">
      <c r="A1008" s="620">
        <f t="shared" si="15"/>
        <v>1004</v>
      </c>
      <c r="B1008" s="621" t="s">
        <v>59</v>
      </c>
      <c r="C1008" s="621" t="str">
        <f>"9707"</f>
        <v>9707</v>
      </c>
      <c r="D1008" s="621" t="s">
        <v>13</v>
      </c>
      <c r="E1008" s="621">
        <v>405</v>
      </c>
      <c r="F1008" s="622">
        <v>44091</v>
      </c>
      <c r="G1008" s="622">
        <v>49568</v>
      </c>
      <c r="H1008" s="621" t="s">
        <v>16</v>
      </c>
      <c r="I1008" s="621" t="s">
        <v>51</v>
      </c>
    </row>
    <row r="1009" spans="1:9">
      <c r="A1009" s="617">
        <f t="shared" si="15"/>
        <v>1005</v>
      </c>
      <c r="B1009" s="618" t="s">
        <v>59</v>
      </c>
      <c r="C1009" s="618" t="str">
        <f>"9708"</f>
        <v>9708</v>
      </c>
      <c r="D1009" s="618" t="s">
        <v>13</v>
      </c>
      <c r="E1009" s="618">
        <v>134</v>
      </c>
      <c r="F1009" s="619">
        <v>44091</v>
      </c>
      <c r="G1009" s="619">
        <v>49568</v>
      </c>
      <c r="H1009" s="618" t="s">
        <v>16</v>
      </c>
      <c r="I1009" s="618" t="s">
        <v>51</v>
      </c>
    </row>
    <row r="1010" spans="1:9">
      <c r="A1010" s="620">
        <f t="shared" si="15"/>
        <v>1006</v>
      </c>
      <c r="B1010" s="621" t="s">
        <v>1650</v>
      </c>
      <c r="C1010" s="621" t="str">
        <f>"9709"</f>
        <v>9709</v>
      </c>
      <c r="D1010" s="621" t="s">
        <v>27</v>
      </c>
      <c r="E1010" s="621">
        <v>34</v>
      </c>
      <c r="F1010" s="622">
        <v>40170</v>
      </c>
      <c r="G1010" s="622">
        <v>43821</v>
      </c>
      <c r="H1010" s="621" t="s">
        <v>23</v>
      </c>
      <c r="I1010" s="621" t="s">
        <v>385</v>
      </c>
    </row>
    <row r="1011" spans="1:9">
      <c r="A1011" s="617">
        <f t="shared" si="15"/>
        <v>1007</v>
      </c>
      <c r="B1011" s="618" t="s">
        <v>130</v>
      </c>
      <c r="C1011" s="618" t="str">
        <f>"9714"</f>
        <v>9714</v>
      </c>
      <c r="D1011" s="618" t="s">
        <v>37</v>
      </c>
      <c r="E1011" s="618">
        <v>6</v>
      </c>
      <c r="F1011" s="619">
        <v>43474</v>
      </c>
      <c r="G1011" s="619">
        <v>45299</v>
      </c>
      <c r="H1011" s="618" t="s">
        <v>14</v>
      </c>
      <c r="I1011" s="618" t="s">
        <v>6861</v>
      </c>
    </row>
    <row r="1012" spans="1:9">
      <c r="A1012" s="620">
        <f t="shared" si="15"/>
        <v>1008</v>
      </c>
      <c r="B1012" s="621" t="s">
        <v>130</v>
      </c>
      <c r="C1012" s="621" t="str">
        <f>"9715"</f>
        <v>9715</v>
      </c>
      <c r="D1012" s="621" t="s">
        <v>37</v>
      </c>
      <c r="E1012" s="621">
        <v>5</v>
      </c>
      <c r="F1012" s="622">
        <v>43474</v>
      </c>
      <c r="G1012" s="622">
        <v>45299</v>
      </c>
      <c r="H1012" s="621" t="s">
        <v>14</v>
      </c>
      <c r="I1012" s="621" t="s">
        <v>6861</v>
      </c>
    </row>
    <row r="1013" spans="1:9">
      <c r="A1013" s="617">
        <f t="shared" si="15"/>
        <v>1009</v>
      </c>
      <c r="B1013" s="618" t="s">
        <v>1738</v>
      </c>
      <c r="C1013" s="618" t="str">
        <f>"9781"</f>
        <v>9781</v>
      </c>
      <c r="D1013" s="618" t="s">
        <v>13</v>
      </c>
      <c r="E1013" s="618">
        <v>120</v>
      </c>
      <c r="F1013" s="619">
        <v>41767</v>
      </c>
      <c r="G1013" s="619">
        <v>52724</v>
      </c>
      <c r="H1013" s="618" t="s">
        <v>43</v>
      </c>
      <c r="I1013" s="618" t="s">
        <v>385</v>
      </c>
    </row>
    <row r="1014" spans="1:9">
      <c r="A1014" s="620">
        <f t="shared" si="15"/>
        <v>1010</v>
      </c>
      <c r="B1014" s="621" t="s">
        <v>1738</v>
      </c>
      <c r="C1014" s="621" t="str">
        <f>"9783"</f>
        <v>9783</v>
      </c>
      <c r="D1014" s="621" t="s">
        <v>13</v>
      </c>
      <c r="E1014" s="621">
        <v>140</v>
      </c>
      <c r="F1014" s="622">
        <v>41767</v>
      </c>
      <c r="G1014" s="622">
        <v>52724</v>
      </c>
      <c r="H1014" s="621" t="s">
        <v>43</v>
      </c>
      <c r="I1014" s="621" t="s">
        <v>385</v>
      </c>
    </row>
    <row r="1015" spans="1:9">
      <c r="A1015" s="617">
        <f t="shared" si="15"/>
        <v>1011</v>
      </c>
      <c r="B1015" s="618" t="s">
        <v>131</v>
      </c>
      <c r="C1015" s="618" t="str">
        <f>"9827"</f>
        <v>9827</v>
      </c>
      <c r="D1015" s="618" t="s">
        <v>13</v>
      </c>
      <c r="E1015" s="618">
        <v>7</v>
      </c>
      <c r="F1015" s="619">
        <v>40536</v>
      </c>
      <c r="G1015" s="619">
        <v>51493</v>
      </c>
      <c r="H1015" s="618" t="s">
        <v>14</v>
      </c>
      <c r="I1015" s="618" t="s">
        <v>51</v>
      </c>
    </row>
    <row r="1016" spans="1:9">
      <c r="A1016" s="620">
        <f t="shared" si="15"/>
        <v>1012</v>
      </c>
      <c r="B1016" s="621" t="s">
        <v>1739</v>
      </c>
      <c r="C1016" s="621" t="str">
        <f>"9842"</f>
        <v>9842</v>
      </c>
      <c r="D1016" s="621" t="s">
        <v>18</v>
      </c>
      <c r="E1016" s="621">
        <v>4</v>
      </c>
      <c r="F1016" s="622">
        <v>39750</v>
      </c>
      <c r="G1016" s="622">
        <v>41575</v>
      </c>
      <c r="H1016" s="621" t="s">
        <v>14</v>
      </c>
      <c r="I1016" s="621" t="s">
        <v>385</v>
      </c>
    </row>
    <row r="1017" spans="1:9">
      <c r="A1017" s="617">
        <f t="shared" si="15"/>
        <v>1013</v>
      </c>
      <c r="B1017" s="618" t="s">
        <v>1740</v>
      </c>
      <c r="C1017" s="618" t="str">
        <f>"9886"</f>
        <v>9886</v>
      </c>
      <c r="D1017" s="618" t="s">
        <v>18</v>
      </c>
      <c r="E1017" s="618">
        <v>10</v>
      </c>
      <c r="F1017" s="619">
        <v>39890</v>
      </c>
      <c r="G1017" s="619">
        <v>41715</v>
      </c>
      <c r="H1017" s="618" t="s">
        <v>56</v>
      </c>
      <c r="I1017" s="618" t="s">
        <v>6863</v>
      </c>
    </row>
    <row r="1018" spans="1:9">
      <c r="A1018" s="620">
        <f t="shared" si="15"/>
        <v>1014</v>
      </c>
      <c r="B1018" s="621" t="s">
        <v>154</v>
      </c>
      <c r="C1018" s="621" t="str">
        <f>"9898"</f>
        <v>9898</v>
      </c>
      <c r="D1018" s="621" t="s">
        <v>27</v>
      </c>
      <c r="E1018" s="621">
        <v>4</v>
      </c>
      <c r="F1018" s="622">
        <v>41809</v>
      </c>
      <c r="G1018" s="622">
        <v>43634</v>
      </c>
      <c r="H1018" s="621" t="s">
        <v>14</v>
      </c>
      <c r="I1018" s="621" t="s">
        <v>6864</v>
      </c>
    </row>
    <row r="1019" spans="1:9">
      <c r="A1019" s="617">
        <f t="shared" si="15"/>
        <v>1015</v>
      </c>
      <c r="B1019" s="618" t="s">
        <v>1741</v>
      </c>
      <c r="C1019" s="618" t="str">
        <f>"9927"</f>
        <v>9927</v>
      </c>
      <c r="D1019" s="618" t="s">
        <v>18</v>
      </c>
      <c r="E1019" s="618">
        <v>124</v>
      </c>
      <c r="F1019" s="619">
        <v>39832</v>
      </c>
      <c r="G1019" s="619">
        <v>41292</v>
      </c>
      <c r="H1019" s="618" t="s">
        <v>28</v>
      </c>
      <c r="I1019" s="618" t="s">
        <v>385</v>
      </c>
    </row>
    <row r="1020" spans="1:9">
      <c r="A1020" s="620">
        <f t="shared" si="15"/>
        <v>1016</v>
      </c>
      <c r="B1020" s="621" t="s">
        <v>1728</v>
      </c>
      <c r="C1020" s="621" t="str">
        <f>"9945"</f>
        <v>9945</v>
      </c>
      <c r="D1020" s="621" t="s">
        <v>18</v>
      </c>
      <c r="E1020" s="621">
        <v>12</v>
      </c>
      <c r="F1020" s="622">
        <v>42219</v>
      </c>
      <c r="G1020" s="622">
        <v>44045</v>
      </c>
      <c r="H1020" s="621" t="s">
        <v>43</v>
      </c>
      <c r="I1020" s="621" t="s">
        <v>385</v>
      </c>
    </row>
    <row r="1021" spans="1:9">
      <c r="A1021" s="617">
        <f t="shared" si="15"/>
        <v>1017</v>
      </c>
      <c r="B1021" s="618" t="s">
        <v>142</v>
      </c>
      <c r="C1021" s="618" t="str">
        <f>"10196"</f>
        <v>10196</v>
      </c>
      <c r="D1021" s="618" t="s">
        <v>18</v>
      </c>
      <c r="E1021" s="618">
        <v>157</v>
      </c>
      <c r="F1021" s="619">
        <v>39784</v>
      </c>
      <c r="G1021" s="619">
        <v>42795</v>
      </c>
      <c r="H1021" s="618" t="s">
        <v>43</v>
      </c>
      <c r="I1021" s="618" t="s">
        <v>6863</v>
      </c>
    </row>
    <row r="1022" spans="1:9">
      <c r="A1022" s="620">
        <f t="shared" si="15"/>
        <v>1018</v>
      </c>
      <c r="B1022" s="621" t="s">
        <v>1742</v>
      </c>
      <c r="C1022" s="621" t="str">
        <f>"10242"</f>
        <v>10242</v>
      </c>
      <c r="D1022" s="621" t="s">
        <v>27</v>
      </c>
      <c r="E1022" s="621">
        <v>260</v>
      </c>
      <c r="F1022" s="622">
        <v>40116</v>
      </c>
      <c r="G1022" s="622">
        <v>43767</v>
      </c>
      <c r="H1022" s="621" t="s">
        <v>45</v>
      </c>
      <c r="I1022" s="621" t="s">
        <v>6859</v>
      </c>
    </row>
    <row r="1023" spans="1:9">
      <c r="A1023" s="617">
        <f t="shared" si="15"/>
        <v>1019</v>
      </c>
      <c r="B1023" s="618" t="s">
        <v>17</v>
      </c>
      <c r="C1023" s="618" t="str">
        <f>"10346"</f>
        <v>10346</v>
      </c>
      <c r="D1023" s="618" t="s">
        <v>18</v>
      </c>
      <c r="E1023" s="618">
        <v>77</v>
      </c>
      <c r="F1023" s="619">
        <v>41822</v>
      </c>
      <c r="G1023" s="619">
        <v>43647</v>
      </c>
      <c r="H1023" s="618" t="s">
        <v>19</v>
      </c>
      <c r="I1023" s="618" t="s">
        <v>6867</v>
      </c>
    </row>
    <row r="1024" spans="1:9">
      <c r="A1024" s="620">
        <f t="shared" si="15"/>
        <v>1020</v>
      </c>
      <c r="B1024" s="621" t="s">
        <v>36</v>
      </c>
      <c r="C1024" s="621" t="str">
        <f>"10384"</f>
        <v>10384</v>
      </c>
      <c r="D1024" s="621" t="s">
        <v>13</v>
      </c>
      <c r="E1024" s="621">
        <v>8</v>
      </c>
      <c r="F1024" s="622">
        <v>40393</v>
      </c>
      <c r="G1024" s="622">
        <v>51350</v>
      </c>
      <c r="H1024" s="621" t="s">
        <v>16</v>
      </c>
      <c r="I1024" s="621" t="s">
        <v>51</v>
      </c>
    </row>
    <row r="1025" spans="1:9">
      <c r="A1025" s="617">
        <f t="shared" si="15"/>
        <v>1021</v>
      </c>
      <c r="B1025" s="618" t="s">
        <v>133</v>
      </c>
      <c r="C1025" s="618" t="str">
        <f>"10385"</f>
        <v>10385</v>
      </c>
      <c r="D1025" s="618" t="s">
        <v>13</v>
      </c>
      <c r="E1025" s="618">
        <v>4</v>
      </c>
      <c r="F1025" s="619">
        <v>40393</v>
      </c>
      <c r="G1025" s="619">
        <v>51350</v>
      </c>
      <c r="H1025" s="618" t="s">
        <v>14</v>
      </c>
      <c r="I1025" s="618" t="s">
        <v>51</v>
      </c>
    </row>
    <row r="1026" spans="1:9">
      <c r="A1026" s="620">
        <f t="shared" si="15"/>
        <v>1022</v>
      </c>
      <c r="B1026" s="621" t="s">
        <v>36</v>
      </c>
      <c r="C1026" s="621" t="str">
        <f>"10387"</f>
        <v>10387</v>
      </c>
      <c r="D1026" s="621" t="s">
        <v>13</v>
      </c>
      <c r="E1026" s="621">
        <v>3</v>
      </c>
      <c r="F1026" s="622">
        <v>40396</v>
      </c>
      <c r="G1026" s="622">
        <v>51353</v>
      </c>
      <c r="H1026" s="621" t="s">
        <v>14</v>
      </c>
      <c r="I1026" s="621" t="s">
        <v>51</v>
      </c>
    </row>
    <row r="1027" spans="1:9">
      <c r="A1027" s="617">
        <f t="shared" si="15"/>
        <v>1023</v>
      </c>
      <c r="B1027" s="618" t="s">
        <v>36</v>
      </c>
      <c r="C1027" s="618" t="str">
        <f>"10388"</f>
        <v>10388</v>
      </c>
      <c r="D1027" s="618" t="s">
        <v>13</v>
      </c>
      <c r="E1027" s="618">
        <v>3</v>
      </c>
      <c r="F1027" s="619">
        <v>40393</v>
      </c>
      <c r="G1027" s="619">
        <v>51350</v>
      </c>
      <c r="H1027" s="618" t="s">
        <v>14</v>
      </c>
      <c r="I1027" s="618" t="s">
        <v>51</v>
      </c>
    </row>
    <row r="1028" spans="1:9">
      <c r="A1028" s="620">
        <f t="shared" si="15"/>
        <v>1024</v>
      </c>
      <c r="B1028" s="621" t="s">
        <v>36</v>
      </c>
      <c r="C1028" s="621" t="str">
        <f>"10389"</f>
        <v>10389</v>
      </c>
      <c r="D1028" s="621" t="s">
        <v>13</v>
      </c>
      <c r="E1028" s="621">
        <v>6</v>
      </c>
      <c r="F1028" s="622">
        <v>40396</v>
      </c>
      <c r="G1028" s="622">
        <v>51353</v>
      </c>
      <c r="H1028" s="621" t="s">
        <v>14</v>
      </c>
      <c r="I1028" s="621" t="s">
        <v>51</v>
      </c>
    </row>
    <row r="1029" spans="1:9">
      <c r="A1029" s="617">
        <f t="shared" si="15"/>
        <v>1025</v>
      </c>
      <c r="B1029" s="618" t="s">
        <v>1743</v>
      </c>
      <c r="C1029" s="618" t="str">
        <f>"10430"</f>
        <v>10430</v>
      </c>
      <c r="D1029" s="618" t="s">
        <v>18</v>
      </c>
      <c r="E1029" s="618">
        <v>224</v>
      </c>
      <c r="F1029" s="619">
        <v>39896</v>
      </c>
      <c r="G1029" s="619">
        <v>41940</v>
      </c>
      <c r="H1029" s="618" t="s">
        <v>45</v>
      </c>
      <c r="I1029" s="618" t="s">
        <v>385</v>
      </c>
    </row>
    <row r="1030" spans="1:9">
      <c r="A1030" s="620">
        <f t="shared" si="15"/>
        <v>1026</v>
      </c>
      <c r="B1030" s="621" t="s">
        <v>1744</v>
      </c>
      <c r="C1030" s="621" t="str">
        <f>"10434"</f>
        <v>10434</v>
      </c>
      <c r="D1030" s="621" t="s">
        <v>18</v>
      </c>
      <c r="E1030" s="621">
        <v>220</v>
      </c>
      <c r="F1030" s="622">
        <v>42087</v>
      </c>
      <c r="G1030" s="622">
        <v>43182</v>
      </c>
      <c r="H1030" s="621" t="s">
        <v>45</v>
      </c>
      <c r="I1030" s="621" t="s">
        <v>385</v>
      </c>
    </row>
    <row r="1031" spans="1:9">
      <c r="A1031" s="617">
        <f t="shared" ref="A1031:A1094" si="16">+A1030+1</f>
        <v>1027</v>
      </c>
      <c r="B1031" s="618" t="s">
        <v>1738</v>
      </c>
      <c r="C1031" s="618" t="str">
        <f>"10682"</f>
        <v>10682</v>
      </c>
      <c r="D1031" s="618" t="s">
        <v>13</v>
      </c>
      <c r="E1031" s="618">
        <v>60</v>
      </c>
      <c r="F1031" s="619">
        <v>41767</v>
      </c>
      <c r="G1031" s="619">
        <v>52724</v>
      </c>
      <c r="H1031" s="618" t="s">
        <v>43</v>
      </c>
      <c r="I1031" s="618" t="s">
        <v>385</v>
      </c>
    </row>
    <row r="1032" spans="1:9">
      <c r="A1032" s="620">
        <f t="shared" si="16"/>
        <v>1028</v>
      </c>
      <c r="B1032" s="621" t="s">
        <v>134</v>
      </c>
      <c r="C1032" s="621" t="str">
        <f>"10715"</f>
        <v>10715</v>
      </c>
      <c r="D1032" s="621" t="s">
        <v>18</v>
      </c>
      <c r="E1032" s="621">
        <v>8</v>
      </c>
      <c r="F1032" s="622">
        <v>43531</v>
      </c>
      <c r="G1032" s="622">
        <v>45357</v>
      </c>
      <c r="H1032" s="621" t="s">
        <v>14</v>
      </c>
      <c r="I1032" s="621" t="s">
        <v>51</v>
      </c>
    </row>
    <row r="1033" spans="1:9">
      <c r="A1033" s="617">
        <f t="shared" si="16"/>
        <v>1029</v>
      </c>
      <c r="B1033" s="618" t="s">
        <v>1745</v>
      </c>
      <c r="C1033" s="618" t="str">
        <f>"10770"</f>
        <v>10770</v>
      </c>
      <c r="D1033" s="618" t="s">
        <v>13</v>
      </c>
      <c r="E1033" s="618">
        <v>142</v>
      </c>
      <c r="F1033" s="619">
        <v>41953</v>
      </c>
      <c r="G1033" s="619">
        <v>52910</v>
      </c>
      <c r="H1033" s="618" t="s">
        <v>16</v>
      </c>
      <c r="I1033" s="618" t="s">
        <v>385</v>
      </c>
    </row>
    <row r="1034" spans="1:9">
      <c r="A1034" s="620">
        <f t="shared" si="16"/>
        <v>1030</v>
      </c>
      <c r="B1034" s="621" t="s">
        <v>342</v>
      </c>
      <c r="C1034" s="621" t="str">
        <f>"10862"</f>
        <v>10862</v>
      </c>
      <c r="D1034" s="621" t="s">
        <v>18</v>
      </c>
      <c r="E1034" s="621">
        <v>70</v>
      </c>
      <c r="F1034" s="622">
        <v>42643</v>
      </c>
      <c r="G1034" s="622">
        <v>44468</v>
      </c>
      <c r="H1034" s="621" t="s">
        <v>14</v>
      </c>
      <c r="I1034" s="621" t="s">
        <v>6868</v>
      </c>
    </row>
    <row r="1035" spans="1:9">
      <c r="A1035" s="617">
        <f t="shared" si="16"/>
        <v>1031</v>
      </c>
      <c r="B1035" s="618" t="s">
        <v>342</v>
      </c>
      <c r="C1035" s="618" t="str">
        <f>"10864"</f>
        <v>10864</v>
      </c>
      <c r="D1035" s="618" t="s">
        <v>18</v>
      </c>
      <c r="E1035" s="618">
        <v>49</v>
      </c>
      <c r="F1035" s="619">
        <v>42643</v>
      </c>
      <c r="G1035" s="619">
        <v>44468</v>
      </c>
      <c r="H1035" s="618" t="s">
        <v>16</v>
      </c>
      <c r="I1035" s="618" t="s">
        <v>6868</v>
      </c>
    </row>
    <row r="1036" spans="1:9">
      <c r="A1036" s="620">
        <f t="shared" si="16"/>
        <v>1032</v>
      </c>
      <c r="B1036" s="621" t="s">
        <v>342</v>
      </c>
      <c r="C1036" s="621" t="str">
        <f>"10867"</f>
        <v>10867</v>
      </c>
      <c r="D1036" s="621" t="s">
        <v>18</v>
      </c>
      <c r="E1036" s="621">
        <v>65</v>
      </c>
      <c r="F1036" s="622">
        <v>42643</v>
      </c>
      <c r="G1036" s="622">
        <v>44468</v>
      </c>
      <c r="H1036" s="621" t="s">
        <v>16</v>
      </c>
      <c r="I1036" s="621" t="s">
        <v>6868</v>
      </c>
    </row>
    <row r="1037" spans="1:9">
      <c r="A1037" s="617">
        <f t="shared" si="16"/>
        <v>1033</v>
      </c>
      <c r="B1037" s="618" t="s">
        <v>421</v>
      </c>
      <c r="C1037" s="618" t="str">
        <f>"10882"</f>
        <v>10882</v>
      </c>
      <c r="D1037" s="618" t="s">
        <v>27</v>
      </c>
      <c r="E1037" s="618">
        <v>8</v>
      </c>
      <c r="F1037" s="619">
        <v>42431</v>
      </c>
      <c r="G1037" s="619">
        <v>46798</v>
      </c>
      <c r="H1037" s="618" t="s">
        <v>56</v>
      </c>
      <c r="I1037" s="618" t="s">
        <v>6863</v>
      </c>
    </row>
    <row r="1038" spans="1:9">
      <c r="A1038" s="620">
        <f t="shared" si="16"/>
        <v>1034</v>
      </c>
      <c r="B1038" s="621" t="s">
        <v>1746</v>
      </c>
      <c r="C1038" s="621" t="str">
        <f>"10961"</f>
        <v>10961</v>
      </c>
      <c r="D1038" s="621" t="s">
        <v>18</v>
      </c>
      <c r="E1038" s="621">
        <v>161</v>
      </c>
      <c r="F1038" s="622">
        <v>39911</v>
      </c>
      <c r="G1038" s="622">
        <v>41736</v>
      </c>
      <c r="H1038" s="621" t="s">
        <v>41</v>
      </c>
      <c r="I1038" s="621" t="s">
        <v>385</v>
      </c>
    </row>
    <row r="1039" spans="1:9">
      <c r="A1039" s="617">
        <f t="shared" si="16"/>
        <v>1035</v>
      </c>
      <c r="B1039" s="618" t="s">
        <v>1746</v>
      </c>
      <c r="C1039" s="618" t="str">
        <f>"10962"</f>
        <v>10962</v>
      </c>
      <c r="D1039" s="618" t="s">
        <v>18</v>
      </c>
      <c r="E1039" s="618">
        <v>140</v>
      </c>
      <c r="F1039" s="619">
        <v>39911</v>
      </c>
      <c r="G1039" s="619">
        <v>41736</v>
      </c>
      <c r="H1039" s="618" t="s">
        <v>41</v>
      </c>
      <c r="I1039" s="618" t="s">
        <v>385</v>
      </c>
    </row>
    <row r="1040" spans="1:9">
      <c r="A1040" s="620">
        <f t="shared" si="16"/>
        <v>1036</v>
      </c>
      <c r="B1040" s="621" t="s">
        <v>1746</v>
      </c>
      <c r="C1040" s="621" t="str">
        <f>"10963"</f>
        <v>10963</v>
      </c>
      <c r="D1040" s="621" t="s">
        <v>18</v>
      </c>
      <c r="E1040" s="621">
        <v>334</v>
      </c>
      <c r="F1040" s="622">
        <v>39911</v>
      </c>
      <c r="G1040" s="622">
        <v>41736</v>
      </c>
      <c r="H1040" s="621" t="s">
        <v>41</v>
      </c>
      <c r="I1040" s="621" t="s">
        <v>385</v>
      </c>
    </row>
    <row r="1041" spans="1:9">
      <c r="A1041" s="617">
        <f t="shared" si="16"/>
        <v>1037</v>
      </c>
      <c r="B1041" s="618" t="s">
        <v>1746</v>
      </c>
      <c r="C1041" s="618" t="str">
        <f>"10965"</f>
        <v>10965</v>
      </c>
      <c r="D1041" s="618" t="s">
        <v>18</v>
      </c>
      <c r="E1041" s="618">
        <v>265</v>
      </c>
      <c r="F1041" s="619">
        <v>39911</v>
      </c>
      <c r="G1041" s="619">
        <v>41736</v>
      </c>
      <c r="H1041" s="618" t="s">
        <v>41</v>
      </c>
      <c r="I1041" s="618" t="s">
        <v>385</v>
      </c>
    </row>
    <row r="1042" spans="1:9">
      <c r="A1042" s="620">
        <f t="shared" si="16"/>
        <v>1038</v>
      </c>
      <c r="B1042" s="621" t="s">
        <v>1746</v>
      </c>
      <c r="C1042" s="621" t="str">
        <f>"10966"</f>
        <v>10966</v>
      </c>
      <c r="D1042" s="621" t="s">
        <v>18</v>
      </c>
      <c r="E1042" s="621">
        <v>208</v>
      </c>
      <c r="F1042" s="622">
        <v>39911</v>
      </c>
      <c r="G1042" s="622">
        <v>41736</v>
      </c>
      <c r="H1042" s="621" t="s">
        <v>41</v>
      </c>
      <c r="I1042" s="621" t="s">
        <v>385</v>
      </c>
    </row>
    <row r="1043" spans="1:9">
      <c r="A1043" s="617">
        <f t="shared" si="16"/>
        <v>1039</v>
      </c>
      <c r="B1043" s="618" t="s">
        <v>1746</v>
      </c>
      <c r="C1043" s="618" t="str">
        <f>"10967"</f>
        <v>10967</v>
      </c>
      <c r="D1043" s="618" t="s">
        <v>18</v>
      </c>
      <c r="E1043" s="618">
        <v>65</v>
      </c>
      <c r="F1043" s="619">
        <v>39911</v>
      </c>
      <c r="G1043" s="619">
        <v>41736</v>
      </c>
      <c r="H1043" s="618" t="s">
        <v>41</v>
      </c>
      <c r="I1043" s="618" t="s">
        <v>385</v>
      </c>
    </row>
    <row r="1044" spans="1:9">
      <c r="A1044" s="620">
        <f t="shared" si="16"/>
        <v>1040</v>
      </c>
      <c r="B1044" s="621" t="s">
        <v>1746</v>
      </c>
      <c r="C1044" s="621" t="str">
        <f>"10970"</f>
        <v>10970</v>
      </c>
      <c r="D1044" s="621" t="s">
        <v>18</v>
      </c>
      <c r="E1044" s="621">
        <v>400</v>
      </c>
      <c r="F1044" s="622">
        <v>39911</v>
      </c>
      <c r="G1044" s="622">
        <v>41736</v>
      </c>
      <c r="H1044" s="621" t="s">
        <v>41</v>
      </c>
      <c r="I1044" s="621" t="s">
        <v>385</v>
      </c>
    </row>
    <row r="1045" spans="1:9">
      <c r="A1045" s="617">
        <f t="shared" si="16"/>
        <v>1041</v>
      </c>
      <c r="B1045" s="618" t="s">
        <v>438</v>
      </c>
      <c r="C1045" s="618" t="str">
        <f>"11061"</f>
        <v>11061</v>
      </c>
      <c r="D1045" s="618" t="s">
        <v>18</v>
      </c>
      <c r="E1045" s="618">
        <v>6</v>
      </c>
      <c r="F1045" s="619">
        <v>39995</v>
      </c>
      <c r="G1045" s="619">
        <v>41455</v>
      </c>
      <c r="H1045" s="618" t="s">
        <v>22</v>
      </c>
      <c r="I1045" s="618" t="s">
        <v>6868</v>
      </c>
    </row>
    <row r="1046" spans="1:9">
      <c r="A1046" s="620">
        <f t="shared" si="16"/>
        <v>1042</v>
      </c>
      <c r="B1046" s="621" t="s">
        <v>439</v>
      </c>
      <c r="C1046" s="621" t="str">
        <f>"11159"</f>
        <v>11159</v>
      </c>
      <c r="D1046" s="621" t="s">
        <v>18</v>
      </c>
      <c r="E1046" s="621">
        <v>46</v>
      </c>
      <c r="F1046" s="622">
        <v>39890</v>
      </c>
      <c r="G1046" s="622">
        <v>44272</v>
      </c>
      <c r="H1046" s="621" t="s">
        <v>21</v>
      </c>
      <c r="I1046" s="621" t="s">
        <v>6862</v>
      </c>
    </row>
    <row r="1047" spans="1:9">
      <c r="A1047" s="617">
        <f t="shared" si="16"/>
        <v>1043</v>
      </c>
      <c r="B1047" s="618" t="s">
        <v>86</v>
      </c>
      <c r="C1047" s="618" t="str">
        <f>"11180"</f>
        <v>11180</v>
      </c>
      <c r="D1047" s="618" t="s">
        <v>27</v>
      </c>
      <c r="E1047" s="618">
        <v>99</v>
      </c>
      <c r="F1047" s="619">
        <v>41970</v>
      </c>
      <c r="G1047" s="619">
        <v>45022</v>
      </c>
      <c r="H1047" s="618" t="s">
        <v>14</v>
      </c>
      <c r="I1047" s="618" t="s">
        <v>6864</v>
      </c>
    </row>
    <row r="1048" spans="1:9">
      <c r="A1048" s="620">
        <f t="shared" si="16"/>
        <v>1044</v>
      </c>
      <c r="B1048" s="621" t="s">
        <v>36</v>
      </c>
      <c r="C1048" s="621" t="str">
        <f>"11229"</f>
        <v>11229</v>
      </c>
      <c r="D1048" s="621" t="s">
        <v>13</v>
      </c>
      <c r="E1048" s="621">
        <v>21</v>
      </c>
      <c r="F1048" s="622">
        <v>39808</v>
      </c>
      <c r="G1048" s="622">
        <v>45385</v>
      </c>
      <c r="H1048" s="621" t="s">
        <v>16</v>
      </c>
      <c r="I1048" s="621" t="s">
        <v>6858</v>
      </c>
    </row>
    <row r="1049" spans="1:9">
      <c r="A1049" s="617">
        <f t="shared" si="16"/>
        <v>1045</v>
      </c>
      <c r="B1049" s="618" t="s">
        <v>70</v>
      </c>
      <c r="C1049" s="618" t="str">
        <f>"11367"</f>
        <v>11367</v>
      </c>
      <c r="D1049" s="618" t="s">
        <v>13</v>
      </c>
      <c r="E1049" s="618">
        <v>10</v>
      </c>
      <c r="F1049" s="619">
        <v>40709</v>
      </c>
      <c r="G1049" s="619">
        <v>51666</v>
      </c>
      <c r="H1049" s="618" t="s">
        <v>14</v>
      </c>
      <c r="I1049" s="618" t="s">
        <v>51</v>
      </c>
    </row>
    <row r="1050" spans="1:9">
      <c r="A1050" s="620">
        <f t="shared" si="16"/>
        <v>1046</v>
      </c>
      <c r="B1050" s="621" t="s">
        <v>1747</v>
      </c>
      <c r="C1050" s="621" t="str">
        <f>"11373"</f>
        <v>11373</v>
      </c>
      <c r="D1050" s="621" t="s">
        <v>27</v>
      </c>
      <c r="E1050" s="621">
        <v>10</v>
      </c>
      <c r="F1050" s="622">
        <v>42530</v>
      </c>
      <c r="G1050" s="622">
        <v>44355</v>
      </c>
      <c r="H1050" s="621" t="s">
        <v>16</v>
      </c>
      <c r="I1050" s="621" t="s">
        <v>385</v>
      </c>
    </row>
    <row r="1051" spans="1:9">
      <c r="A1051" s="617">
        <f t="shared" si="16"/>
        <v>1047</v>
      </c>
      <c r="B1051" s="618" t="s">
        <v>36</v>
      </c>
      <c r="C1051" s="618" t="str">
        <f>"11382"</f>
        <v>11382</v>
      </c>
      <c r="D1051" s="618" t="s">
        <v>13</v>
      </c>
      <c r="E1051" s="618">
        <v>2</v>
      </c>
      <c r="F1051" s="619">
        <v>41552</v>
      </c>
      <c r="G1051" s="619">
        <v>52508</v>
      </c>
      <c r="H1051" s="618" t="s">
        <v>14</v>
      </c>
      <c r="I1051" s="618" t="s">
        <v>51</v>
      </c>
    </row>
    <row r="1052" spans="1:9">
      <c r="A1052" s="620">
        <f t="shared" si="16"/>
        <v>1048</v>
      </c>
      <c r="B1052" s="621" t="s">
        <v>72</v>
      </c>
      <c r="C1052" s="621" t="str">
        <f>"11383"</f>
        <v>11383</v>
      </c>
      <c r="D1052" s="621" t="s">
        <v>13</v>
      </c>
      <c r="E1052" s="621">
        <v>2</v>
      </c>
      <c r="F1052" s="622">
        <v>40246</v>
      </c>
      <c r="G1052" s="622">
        <v>51203</v>
      </c>
      <c r="H1052" s="621" t="s">
        <v>14</v>
      </c>
      <c r="I1052" s="621" t="s">
        <v>51</v>
      </c>
    </row>
    <row r="1053" spans="1:9">
      <c r="A1053" s="617">
        <f t="shared" si="16"/>
        <v>1049</v>
      </c>
      <c r="B1053" s="618" t="s">
        <v>72</v>
      </c>
      <c r="C1053" s="618" t="str">
        <f>"11384"</f>
        <v>11384</v>
      </c>
      <c r="D1053" s="618" t="s">
        <v>13</v>
      </c>
      <c r="E1053" s="618">
        <v>9</v>
      </c>
      <c r="F1053" s="619">
        <v>40246</v>
      </c>
      <c r="G1053" s="619">
        <v>51203</v>
      </c>
      <c r="H1053" s="618" t="s">
        <v>14</v>
      </c>
      <c r="I1053" s="618" t="s">
        <v>51</v>
      </c>
    </row>
    <row r="1054" spans="1:9">
      <c r="A1054" s="620">
        <f t="shared" si="16"/>
        <v>1050</v>
      </c>
      <c r="B1054" s="621" t="s">
        <v>72</v>
      </c>
      <c r="C1054" s="621" t="str">
        <f>"11385"</f>
        <v>11385</v>
      </c>
      <c r="D1054" s="621" t="s">
        <v>13</v>
      </c>
      <c r="E1054" s="621">
        <v>28</v>
      </c>
      <c r="F1054" s="622">
        <v>40246</v>
      </c>
      <c r="G1054" s="622">
        <v>51203</v>
      </c>
      <c r="H1054" s="621" t="s">
        <v>14</v>
      </c>
      <c r="I1054" s="621" t="s">
        <v>51</v>
      </c>
    </row>
    <row r="1055" spans="1:9">
      <c r="A1055" s="617">
        <f t="shared" si="16"/>
        <v>1051</v>
      </c>
      <c r="B1055" s="618" t="s">
        <v>72</v>
      </c>
      <c r="C1055" s="618" t="str">
        <f>"11386"</f>
        <v>11386</v>
      </c>
      <c r="D1055" s="618" t="s">
        <v>13</v>
      </c>
      <c r="E1055" s="618">
        <v>1</v>
      </c>
      <c r="F1055" s="619">
        <v>40246</v>
      </c>
      <c r="G1055" s="619">
        <v>51203</v>
      </c>
      <c r="H1055" s="618" t="s">
        <v>14</v>
      </c>
      <c r="I1055" s="618" t="s">
        <v>51</v>
      </c>
    </row>
    <row r="1056" spans="1:9">
      <c r="A1056" s="620">
        <f t="shared" si="16"/>
        <v>1052</v>
      </c>
      <c r="B1056" s="621" t="s">
        <v>72</v>
      </c>
      <c r="C1056" s="621" t="str">
        <f>"11387"</f>
        <v>11387</v>
      </c>
      <c r="D1056" s="621" t="s">
        <v>13</v>
      </c>
      <c r="E1056" s="621">
        <v>2</v>
      </c>
      <c r="F1056" s="622">
        <v>40246</v>
      </c>
      <c r="G1056" s="622">
        <v>51203</v>
      </c>
      <c r="H1056" s="621" t="s">
        <v>14</v>
      </c>
      <c r="I1056" s="621" t="s">
        <v>51</v>
      </c>
    </row>
    <row r="1057" spans="1:9">
      <c r="A1057" s="617">
        <f t="shared" si="16"/>
        <v>1053</v>
      </c>
      <c r="B1057" s="618" t="s">
        <v>1748</v>
      </c>
      <c r="C1057" s="618" t="str">
        <f>"11398"</f>
        <v>11398</v>
      </c>
      <c r="D1057" s="618" t="s">
        <v>27</v>
      </c>
      <c r="E1057" s="618">
        <v>9</v>
      </c>
      <c r="F1057" s="619">
        <v>43377</v>
      </c>
      <c r="G1057" s="619">
        <v>45202</v>
      </c>
      <c r="H1057" s="618" t="s">
        <v>45</v>
      </c>
      <c r="I1057" s="618" t="s">
        <v>385</v>
      </c>
    </row>
    <row r="1058" spans="1:9">
      <c r="A1058" s="620">
        <f t="shared" si="16"/>
        <v>1054</v>
      </c>
      <c r="B1058" s="621" t="s">
        <v>1748</v>
      </c>
      <c r="C1058" s="621" t="str">
        <f>"11400"</f>
        <v>11400</v>
      </c>
      <c r="D1058" s="621" t="s">
        <v>27</v>
      </c>
      <c r="E1058" s="621">
        <v>65</v>
      </c>
      <c r="F1058" s="622">
        <v>43389</v>
      </c>
      <c r="G1058" s="622">
        <v>45214</v>
      </c>
      <c r="H1058" s="621" t="s">
        <v>180</v>
      </c>
      <c r="I1058" s="621" t="s">
        <v>385</v>
      </c>
    </row>
    <row r="1059" spans="1:9">
      <c r="A1059" s="617">
        <f t="shared" si="16"/>
        <v>1055</v>
      </c>
      <c r="B1059" s="618" t="s">
        <v>106</v>
      </c>
      <c r="C1059" s="618" t="str">
        <f>"11447"</f>
        <v>11447</v>
      </c>
      <c r="D1059" s="618" t="s">
        <v>13</v>
      </c>
      <c r="E1059" s="618">
        <v>267</v>
      </c>
      <c r="F1059" s="619">
        <v>41771</v>
      </c>
      <c r="G1059" s="619">
        <v>47249</v>
      </c>
      <c r="H1059" s="618" t="s">
        <v>29</v>
      </c>
      <c r="I1059" s="618" t="s">
        <v>51</v>
      </c>
    </row>
    <row r="1060" spans="1:9">
      <c r="A1060" s="620">
        <f t="shared" si="16"/>
        <v>1056</v>
      </c>
      <c r="B1060" s="621" t="s">
        <v>106</v>
      </c>
      <c r="C1060" s="621" t="str">
        <f>"11467"</f>
        <v>11467</v>
      </c>
      <c r="D1060" s="621" t="s">
        <v>13</v>
      </c>
      <c r="E1060" s="621">
        <v>281</v>
      </c>
      <c r="F1060" s="622">
        <v>41771</v>
      </c>
      <c r="G1060" s="622">
        <v>47249</v>
      </c>
      <c r="H1060" s="621" t="s">
        <v>29</v>
      </c>
      <c r="I1060" s="621" t="s">
        <v>51</v>
      </c>
    </row>
    <row r="1061" spans="1:9">
      <c r="A1061" s="617">
        <f t="shared" si="16"/>
        <v>1057</v>
      </c>
      <c r="B1061" s="618" t="s">
        <v>106</v>
      </c>
      <c r="C1061" s="618" t="str">
        <f>"11468"</f>
        <v>11468</v>
      </c>
      <c r="D1061" s="618" t="s">
        <v>13</v>
      </c>
      <c r="E1061" s="618">
        <v>54</v>
      </c>
      <c r="F1061" s="619">
        <v>41771</v>
      </c>
      <c r="G1061" s="619">
        <v>47249</v>
      </c>
      <c r="H1061" s="618" t="s">
        <v>29</v>
      </c>
      <c r="I1061" s="618" t="s">
        <v>51</v>
      </c>
    </row>
    <row r="1062" spans="1:9">
      <c r="A1062" s="620">
        <f t="shared" si="16"/>
        <v>1058</v>
      </c>
      <c r="B1062" s="621" t="s">
        <v>106</v>
      </c>
      <c r="C1062" s="621" t="str">
        <f>"11469"</f>
        <v>11469</v>
      </c>
      <c r="D1062" s="621" t="s">
        <v>13</v>
      </c>
      <c r="E1062" s="621">
        <v>108</v>
      </c>
      <c r="F1062" s="622">
        <v>41771</v>
      </c>
      <c r="G1062" s="622">
        <v>47249</v>
      </c>
      <c r="H1062" s="621" t="s">
        <v>29</v>
      </c>
      <c r="I1062" s="621" t="s">
        <v>51</v>
      </c>
    </row>
    <row r="1063" spans="1:9">
      <c r="A1063" s="617">
        <f t="shared" si="16"/>
        <v>1059</v>
      </c>
      <c r="B1063" s="618" t="s">
        <v>106</v>
      </c>
      <c r="C1063" s="618" t="str">
        <f>"11470"</f>
        <v>11470</v>
      </c>
      <c r="D1063" s="618" t="s">
        <v>13</v>
      </c>
      <c r="E1063" s="618">
        <v>36</v>
      </c>
      <c r="F1063" s="619">
        <v>42159</v>
      </c>
      <c r="G1063" s="619">
        <v>47637</v>
      </c>
      <c r="H1063" s="618" t="s">
        <v>29</v>
      </c>
      <c r="I1063" s="618" t="s">
        <v>51</v>
      </c>
    </row>
    <row r="1064" spans="1:9">
      <c r="A1064" s="620">
        <f t="shared" si="16"/>
        <v>1060</v>
      </c>
      <c r="B1064" s="621" t="s">
        <v>106</v>
      </c>
      <c r="C1064" s="621" t="str">
        <f>"11471"</f>
        <v>11471</v>
      </c>
      <c r="D1064" s="621" t="s">
        <v>13</v>
      </c>
      <c r="E1064" s="621">
        <v>133</v>
      </c>
      <c r="F1064" s="622">
        <v>41771</v>
      </c>
      <c r="G1064" s="622">
        <v>47249</v>
      </c>
      <c r="H1064" s="621" t="s">
        <v>29</v>
      </c>
      <c r="I1064" s="621" t="s">
        <v>51</v>
      </c>
    </row>
    <row r="1065" spans="1:9">
      <c r="A1065" s="617">
        <f t="shared" si="16"/>
        <v>1061</v>
      </c>
      <c r="B1065" s="618" t="s">
        <v>106</v>
      </c>
      <c r="C1065" s="618" t="str">
        <f>"11472"</f>
        <v>11472</v>
      </c>
      <c r="D1065" s="618" t="s">
        <v>13</v>
      </c>
      <c r="E1065" s="618">
        <v>100</v>
      </c>
      <c r="F1065" s="619">
        <v>42159</v>
      </c>
      <c r="G1065" s="619">
        <v>47637</v>
      </c>
      <c r="H1065" s="618" t="s">
        <v>29</v>
      </c>
      <c r="I1065" s="618" t="s">
        <v>51</v>
      </c>
    </row>
    <row r="1066" spans="1:9">
      <c r="A1066" s="620">
        <f t="shared" si="16"/>
        <v>1062</v>
      </c>
      <c r="B1066" s="621" t="s">
        <v>1006</v>
      </c>
      <c r="C1066" s="621" t="str">
        <f>"11498"</f>
        <v>11498</v>
      </c>
      <c r="D1066" s="621" t="s">
        <v>18</v>
      </c>
      <c r="E1066" s="621">
        <v>400</v>
      </c>
      <c r="F1066" s="622">
        <v>41908</v>
      </c>
      <c r="G1066" s="622">
        <v>45290</v>
      </c>
      <c r="H1066" s="621" t="s">
        <v>43</v>
      </c>
      <c r="I1066" s="621" t="s">
        <v>6863</v>
      </c>
    </row>
    <row r="1067" spans="1:9">
      <c r="A1067" s="617">
        <f t="shared" si="16"/>
        <v>1063</v>
      </c>
      <c r="B1067" s="618" t="s">
        <v>1006</v>
      </c>
      <c r="C1067" s="618" t="str">
        <f>"11501"</f>
        <v>11501</v>
      </c>
      <c r="D1067" s="618" t="s">
        <v>18</v>
      </c>
      <c r="E1067" s="618">
        <v>400</v>
      </c>
      <c r="F1067" s="619">
        <v>41908</v>
      </c>
      <c r="G1067" s="619">
        <v>44984</v>
      </c>
      <c r="H1067" s="618" t="s">
        <v>43</v>
      </c>
      <c r="I1067" s="618" t="s">
        <v>6863</v>
      </c>
    </row>
    <row r="1068" spans="1:9">
      <c r="A1068" s="620">
        <f t="shared" si="16"/>
        <v>1064</v>
      </c>
      <c r="B1068" s="621" t="s">
        <v>5684</v>
      </c>
      <c r="C1068" s="621" t="str">
        <f>"11516"</f>
        <v>11516</v>
      </c>
      <c r="D1068" s="621" t="s">
        <v>13</v>
      </c>
      <c r="E1068" s="621">
        <v>4</v>
      </c>
      <c r="F1068" s="622">
        <v>44819</v>
      </c>
      <c r="G1068" s="622">
        <v>50297</v>
      </c>
      <c r="H1068" s="621" t="s">
        <v>14</v>
      </c>
      <c r="I1068" s="621" t="s">
        <v>51</v>
      </c>
    </row>
    <row r="1069" spans="1:9">
      <c r="A1069" s="617">
        <f t="shared" si="16"/>
        <v>1065</v>
      </c>
      <c r="B1069" s="618" t="s">
        <v>5684</v>
      </c>
      <c r="C1069" s="618" t="str">
        <f>"11517"</f>
        <v>11517</v>
      </c>
      <c r="D1069" s="618" t="s">
        <v>13</v>
      </c>
      <c r="E1069" s="618">
        <v>11</v>
      </c>
      <c r="F1069" s="619">
        <v>44819</v>
      </c>
      <c r="G1069" s="619">
        <v>50297</v>
      </c>
      <c r="H1069" s="618" t="s">
        <v>14</v>
      </c>
      <c r="I1069" s="618" t="s">
        <v>51</v>
      </c>
    </row>
    <row r="1070" spans="1:9">
      <c r="A1070" s="620">
        <f t="shared" si="16"/>
        <v>1066</v>
      </c>
      <c r="B1070" s="621" t="s">
        <v>36</v>
      </c>
      <c r="C1070" s="621" t="str">
        <f>"11522"</f>
        <v>11522</v>
      </c>
      <c r="D1070" s="621" t="s">
        <v>13</v>
      </c>
      <c r="E1070" s="621">
        <v>3</v>
      </c>
      <c r="F1070" s="622">
        <v>40102</v>
      </c>
      <c r="G1070" s="622">
        <v>45384</v>
      </c>
      <c r="H1070" s="621" t="s">
        <v>16</v>
      </c>
      <c r="I1070" s="621" t="s">
        <v>6858</v>
      </c>
    </row>
    <row r="1071" spans="1:9">
      <c r="A1071" s="617">
        <f t="shared" si="16"/>
        <v>1067</v>
      </c>
      <c r="B1071" s="618" t="s">
        <v>15</v>
      </c>
      <c r="C1071" s="618" t="str">
        <f>"11557"</f>
        <v>11557</v>
      </c>
      <c r="D1071" s="618" t="s">
        <v>13</v>
      </c>
      <c r="E1071" s="618">
        <v>28</v>
      </c>
      <c r="F1071" s="619">
        <v>44973</v>
      </c>
      <c r="G1071" s="619">
        <v>51013</v>
      </c>
      <c r="H1071" s="618" t="s">
        <v>16</v>
      </c>
      <c r="I1071" s="618" t="s">
        <v>51</v>
      </c>
    </row>
    <row r="1072" spans="1:9">
      <c r="A1072" s="620">
        <f t="shared" si="16"/>
        <v>1068</v>
      </c>
      <c r="B1072" s="621" t="s">
        <v>36</v>
      </c>
      <c r="C1072" s="621" t="str">
        <f>"11599"</f>
        <v>11599</v>
      </c>
      <c r="D1072" s="621" t="s">
        <v>13</v>
      </c>
      <c r="E1072" s="621">
        <v>26</v>
      </c>
      <c r="F1072" s="622">
        <v>40102</v>
      </c>
      <c r="G1072" s="622">
        <v>45385</v>
      </c>
      <c r="H1072" s="621" t="s">
        <v>16</v>
      </c>
      <c r="I1072" s="621" t="s">
        <v>6858</v>
      </c>
    </row>
    <row r="1073" spans="1:9">
      <c r="A1073" s="617">
        <f t="shared" si="16"/>
        <v>1069</v>
      </c>
      <c r="B1073" s="618" t="s">
        <v>36</v>
      </c>
      <c r="C1073" s="618" t="str">
        <f>"11600"</f>
        <v>11600</v>
      </c>
      <c r="D1073" s="618" t="s">
        <v>13</v>
      </c>
      <c r="E1073" s="618">
        <v>8</v>
      </c>
      <c r="F1073" s="619">
        <v>40102</v>
      </c>
      <c r="G1073" s="619">
        <v>45385</v>
      </c>
      <c r="H1073" s="618" t="s">
        <v>16</v>
      </c>
      <c r="I1073" s="618" t="s">
        <v>6858</v>
      </c>
    </row>
    <row r="1074" spans="1:9">
      <c r="A1074" s="620">
        <f t="shared" si="16"/>
        <v>1070</v>
      </c>
      <c r="B1074" s="621" t="s">
        <v>69</v>
      </c>
      <c r="C1074" s="621" t="str">
        <f>"11602"</f>
        <v>11602</v>
      </c>
      <c r="D1074" s="621" t="s">
        <v>13</v>
      </c>
      <c r="E1074" s="621">
        <v>2</v>
      </c>
      <c r="F1074" s="622">
        <v>40102</v>
      </c>
      <c r="G1074" s="622">
        <v>45385</v>
      </c>
      <c r="H1074" s="621" t="s">
        <v>16</v>
      </c>
      <c r="I1074" s="621" t="s">
        <v>6858</v>
      </c>
    </row>
    <row r="1075" spans="1:9">
      <c r="A1075" s="617">
        <f t="shared" si="16"/>
        <v>1071</v>
      </c>
      <c r="B1075" s="618" t="s">
        <v>1749</v>
      </c>
      <c r="C1075" s="618" t="str">
        <f>"11630"</f>
        <v>11630</v>
      </c>
      <c r="D1075" s="618" t="s">
        <v>18</v>
      </c>
      <c r="E1075" s="618">
        <v>3</v>
      </c>
      <c r="F1075" s="619">
        <v>40145</v>
      </c>
      <c r="G1075" s="619">
        <v>41605</v>
      </c>
      <c r="H1075" s="618" t="s">
        <v>23</v>
      </c>
      <c r="I1075" s="618" t="s">
        <v>385</v>
      </c>
    </row>
    <row r="1076" spans="1:9">
      <c r="A1076" s="620">
        <f t="shared" si="16"/>
        <v>1072</v>
      </c>
      <c r="B1076" s="621" t="s">
        <v>1749</v>
      </c>
      <c r="C1076" s="621" t="str">
        <f>"11631"</f>
        <v>11631</v>
      </c>
      <c r="D1076" s="621" t="s">
        <v>18</v>
      </c>
      <c r="E1076" s="621">
        <v>36</v>
      </c>
      <c r="F1076" s="622">
        <v>40323</v>
      </c>
      <c r="G1076" s="622">
        <v>41783</v>
      </c>
      <c r="H1076" s="621" t="s">
        <v>56</v>
      </c>
      <c r="I1076" s="621" t="s">
        <v>385</v>
      </c>
    </row>
    <row r="1077" spans="1:9">
      <c r="A1077" s="617">
        <f t="shared" si="16"/>
        <v>1073</v>
      </c>
      <c r="B1077" s="618" t="s">
        <v>1749</v>
      </c>
      <c r="C1077" s="618" t="str">
        <f>"11632"</f>
        <v>11632</v>
      </c>
      <c r="D1077" s="618" t="s">
        <v>18</v>
      </c>
      <c r="E1077" s="618">
        <v>47</v>
      </c>
      <c r="F1077" s="619">
        <v>40145</v>
      </c>
      <c r="G1077" s="619">
        <v>41605</v>
      </c>
      <c r="H1077" s="618" t="s">
        <v>56</v>
      </c>
      <c r="I1077" s="618" t="s">
        <v>6859</v>
      </c>
    </row>
    <row r="1078" spans="1:9">
      <c r="A1078" s="620">
        <f t="shared" si="16"/>
        <v>1074</v>
      </c>
      <c r="B1078" s="621" t="s">
        <v>1749</v>
      </c>
      <c r="C1078" s="621" t="str">
        <f>"11633"</f>
        <v>11633</v>
      </c>
      <c r="D1078" s="621" t="s">
        <v>18</v>
      </c>
      <c r="E1078" s="621">
        <v>40</v>
      </c>
      <c r="F1078" s="622">
        <v>40134</v>
      </c>
      <c r="G1078" s="622">
        <v>41594</v>
      </c>
      <c r="H1078" s="621" t="s">
        <v>21</v>
      </c>
      <c r="I1078" s="621" t="s">
        <v>385</v>
      </c>
    </row>
    <row r="1079" spans="1:9">
      <c r="A1079" s="617">
        <f t="shared" si="16"/>
        <v>1075</v>
      </c>
      <c r="B1079" s="618" t="s">
        <v>1749</v>
      </c>
      <c r="C1079" s="618" t="str">
        <f>"11634"</f>
        <v>11634</v>
      </c>
      <c r="D1079" s="618" t="s">
        <v>18</v>
      </c>
      <c r="E1079" s="618">
        <v>30</v>
      </c>
      <c r="F1079" s="619">
        <v>40134</v>
      </c>
      <c r="G1079" s="619">
        <v>41594</v>
      </c>
      <c r="H1079" s="618" t="s">
        <v>180</v>
      </c>
      <c r="I1079" s="618" t="s">
        <v>385</v>
      </c>
    </row>
    <row r="1080" spans="1:9">
      <c r="A1080" s="620">
        <f t="shared" si="16"/>
        <v>1076</v>
      </c>
      <c r="B1080" s="621" t="s">
        <v>1747</v>
      </c>
      <c r="C1080" s="621" t="str">
        <f>"11648"</f>
        <v>11648</v>
      </c>
      <c r="D1080" s="621" t="s">
        <v>27</v>
      </c>
      <c r="E1080" s="621">
        <v>17</v>
      </c>
      <c r="F1080" s="622">
        <v>42530</v>
      </c>
      <c r="G1080" s="622">
        <v>44355</v>
      </c>
      <c r="H1080" s="621" t="s">
        <v>16</v>
      </c>
      <c r="I1080" s="621" t="s">
        <v>385</v>
      </c>
    </row>
    <row r="1081" spans="1:9">
      <c r="A1081" s="617">
        <f t="shared" si="16"/>
        <v>1077</v>
      </c>
      <c r="B1081" s="618" t="s">
        <v>438</v>
      </c>
      <c r="C1081" s="618" t="str">
        <f>"11655"</f>
        <v>11655</v>
      </c>
      <c r="D1081" s="618" t="s">
        <v>18</v>
      </c>
      <c r="E1081" s="618">
        <v>13</v>
      </c>
      <c r="F1081" s="619">
        <v>40184</v>
      </c>
      <c r="G1081" s="619">
        <v>42009</v>
      </c>
      <c r="H1081" s="618" t="s">
        <v>22</v>
      </c>
      <c r="I1081" s="618" t="s">
        <v>6874</v>
      </c>
    </row>
    <row r="1082" spans="1:9">
      <c r="A1082" s="620">
        <f t="shared" si="16"/>
        <v>1078</v>
      </c>
      <c r="B1082" s="621" t="s">
        <v>438</v>
      </c>
      <c r="C1082" s="621" t="str">
        <f>"11656"</f>
        <v>11656</v>
      </c>
      <c r="D1082" s="621" t="s">
        <v>18</v>
      </c>
      <c r="E1082" s="621">
        <v>3</v>
      </c>
      <c r="F1082" s="622">
        <v>40184</v>
      </c>
      <c r="G1082" s="622">
        <v>42009</v>
      </c>
      <c r="H1082" s="621" t="s">
        <v>14</v>
      </c>
      <c r="I1082" s="621" t="s">
        <v>6874</v>
      </c>
    </row>
    <row r="1083" spans="1:9">
      <c r="A1083" s="617">
        <f t="shared" si="16"/>
        <v>1079</v>
      </c>
      <c r="B1083" s="618" t="s">
        <v>438</v>
      </c>
      <c r="C1083" s="618" t="str">
        <f>"11657"</f>
        <v>11657</v>
      </c>
      <c r="D1083" s="618" t="s">
        <v>18</v>
      </c>
      <c r="E1083" s="618">
        <v>4</v>
      </c>
      <c r="F1083" s="619">
        <v>40184</v>
      </c>
      <c r="G1083" s="619">
        <v>42009</v>
      </c>
      <c r="H1083" s="618" t="s">
        <v>22</v>
      </c>
      <c r="I1083" s="618" t="s">
        <v>6874</v>
      </c>
    </row>
    <row r="1084" spans="1:9">
      <c r="A1084" s="620">
        <f t="shared" si="16"/>
        <v>1080</v>
      </c>
      <c r="B1084" s="621" t="s">
        <v>438</v>
      </c>
      <c r="C1084" s="621" t="str">
        <f>"11658"</f>
        <v>11658</v>
      </c>
      <c r="D1084" s="621" t="s">
        <v>18</v>
      </c>
      <c r="E1084" s="621">
        <v>2</v>
      </c>
      <c r="F1084" s="622">
        <v>40184</v>
      </c>
      <c r="G1084" s="622">
        <v>42009</v>
      </c>
      <c r="H1084" s="621" t="s">
        <v>14</v>
      </c>
      <c r="I1084" s="621" t="s">
        <v>6874</v>
      </c>
    </row>
    <row r="1085" spans="1:9">
      <c r="A1085" s="617">
        <f t="shared" si="16"/>
        <v>1081</v>
      </c>
      <c r="B1085" s="618" t="s">
        <v>441</v>
      </c>
      <c r="C1085" s="618" t="str">
        <f>"11664"</f>
        <v>11664</v>
      </c>
      <c r="D1085" s="618" t="s">
        <v>27</v>
      </c>
      <c r="E1085" s="618">
        <v>58</v>
      </c>
      <c r="F1085" s="619">
        <v>41928</v>
      </c>
      <c r="G1085" s="619">
        <v>43753</v>
      </c>
      <c r="H1085" s="618" t="s">
        <v>21</v>
      </c>
      <c r="I1085" s="618" t="s">
        <v>6867</v>
      </c>
    </row>
    <row r="1086" spans="1:9">
      <c r="A1086" s="620">
        <f t="shared" si="16"/>
        <v>1082</v>
      </c>
      <c r="B1086" s="621" t="s">
        <v>1750</v>
      </c>
      <c r="C1086" s="621" t="str">
        <f>"11718"</f>
        <v>11718</v>
      </c>
      <c r="D1086" s="621" t="s">
        <v>18</v>
      </c>
      <c r="E1086" s="621">
        <v>160</v>
      </c>
      <c r="F1086" s="622">
        <v>40397</v>
      </c>
      <c r="G1086" s="622">
        <v>42222</v>
      </c>
      <c r="H1086" s="621" t="s">
        <v>56</v>
      </c>
      <c r="I1086" s="621" t="s">
        <v>385</v>
      </c>
    </row>
    <row r="1087" spans="1:9">
      <c r="A1087" s="617">
        <f t="shared" si="16"/>
        <v>1083</v>
      </c>
      <c r="B1087" s="618" t="s">
        <v>74</v>
      </c>
      <c r="C1087" s="618" t="str">
        <f>"11751"</f>
        <v>11751</v>
      </c>
      <c r="D1087" s="618" t="s">
        <v>13</v>
      </c>
      <c r="E1087" s="618">
        <v>5</v>
      </c>
      <c r="F1087" s="619">
        <v>40158</v>
      </c>
      <c r="G1087" s="619">
        <v>51114</v>
      </c>
      <c r="H1087" s="618" t="s">
        <v>14</v>
      </c>
      <c r="I1087" s="618" t="s">
        <v>51</v>
      </c>
    </row>
    <row r="1088" spans="1:9">
      <c r="A1088" s="620">
        <f t="shared" si="16"/>
        <v>1084</v>
      </c>
      <c r="B1088" s="621" t="s">
        <v>107</v>
      </c>
      <c r="C1088" s="621" t="str">
        <f>"11793"</f>
        <v>11793</v>
      </c>
      <c r="D1088" s="621" t="s">
        <v>18</v>
      </c>
      <c r="E1088" s="621">
        <v>168</v>
      </c>
      <c r="F1088" s="622">
        <v>41866</v>
      </c>
      <c r="G1088" s="622">
        <v>43326</v>
      </c>
      <c r="H1088" s="621" t="s">
        <v>29</v>
      </c>
      <c r="I1088" s="621" t="s">
        <v>6865</v>
      </c>
    </row>
    <row r="1089" spans="1:9">
      <c r="A1089" s="617">
        <f t="shared" si="16"/>
        <v>1085</v>
      </c>
      <c r="B1089" s="618" t="s">
        <v>107</v>
      </c>
      <c r="C1089" s="618" t="str">
        <f>"11796"</f>
        <v>11796</v>
      </c>
      <c r="D1089" s="618" t="s">
        <v>18</v>
      </c>
      <c r="E1089" s="618">
        <v>280</v>
      </c>
      <c r="F1089" s="619">
        <v>40312</v>
      </c>
      <c r="G1089" s="619">
        <v>41772</v>
      </c>
      <c r="H1089" s="618" t="s">
        <v>29</v>
      </c>
      <c r="I1089" s="618" t="s">
        <v>6865</v>
      </c>
    </row>
    <row r="1090" spans="1:9">
      <c r="A1090" s="620">
        <f t="shared" si="16"/>
        <v>1086</v>
      </c>
      <c r="B1090" s="621" t="s">
        <v>107</v>
      </c>
      <c r="C1090" s="621" t="str">
        <f>"11797"</f>
        <v>11797</v>
      </c>
      <c r="D1090" s="621" t="s">
        <v>18</v>
      </c>
      <c r="E1090" s="621">
        <v>436</v>
      </c>
      <c r="F1090" s="622">
        <v>40312</v>
      </c>
      <c r="G1090" s="622">
        <v>41772</v>
      </c>
      <c r="H1090" s="621" t="s">
        <v>29</v>
      </c>
      <c r="I1090" s="621" t="s">
        <v>6865</v>
      </c>
    </row>
    <row r="1091" spans="1:9">
      <c r="A1091" s="617">
        <f t="shared" si="16"/>
        <v>1087</v>
      </c>
      <c r="B1091" s="618" t="s">
        <v>107</v>
      </c>
      <c r="C1091" s="618" t="str">
        <f>"11798"</f>
        <v>11798</v>
      </c>
      <c r="D1091" s="618" t="s">
        <v>18</v>
      </c>
      <c r="E1091" s="618">
        <v>348</v>
      </c>
      <c r="F1091" s="619">
        <v>40312</v>
      </c>
      <c r="G1091" s="619">
        <v>41772</v>
      </c>
      <c r="H1091" s="618" t="s">
        <v>29</v>
      </c>
      <c r="I1091" s="618" t="s">
        <v>6865</v>
      </c>
    </row>
    <row r="1092" spans="1:9">
      <c r="A1092" s="620">
        <f t="shared" si="16"/>
        <v>1088</v>
      </c>
      <c r="B1092" s="621" t="s">
        <v>107</v>
      </c>
      <c r="C1092" s="621" t="str">
        <f>"11800"</f>
        <v>11800</v>
      </c>
      <c r="D1092" s="621" t="s">
        <v>18</v>
      </c>
      <c r="E1092" s="621">
        <v>252</v>
      </c>
      <c r="F1092" s="622">
        <v>40312</v>
      </c>
      <c r="G1092" s="622">
        <v>41772</v>
      </c>
      <c r="H1092" s="621" t="s">
        <v>29</v>
      </c>
      <c r="I1092" s="621" t="s">
        <v>6865</v>
      </c>
    </row>
    <row r="1093" spans="1:9">
      <c r="A1093" s="617">
        <f t="shared" si="16"/>
        <v>1089</v>
      </c>
      <c r="B1093" s="618" t="s">
        <v>107</v>
      </c>
      <c r="C1093" s="618" t="str">
        <f>"11811"</f>
        <v>11811</v>
      </c>
      <c r="D1093" s="618" t="s">
        <v>18</v>
      </c>
      <c r="E1093" s="618">
        <v>108</v>
      </c>
      <c r="F1093" s="619">
        <v>41866</v>
      </c>
      <c r="G1093" s="619">
        <v>43326</v>
      </c>
      <c r="H1093" s="618" t="s">
        <v>29</v>
      </c>
      <c r="I1093" s="618" t="s">
        <v>6865</v>
      </c>
    </row>
    <row r="1094" spans="1:9">
      <c r="A1094" s="620">
        <f t="shared" si="16"/>
        <v>1090</v>
      </c>
      <c r="B1094" s="621" t="s">
        <v>107</v>
      </c>
      <c r="C1094" s="621" t="str">
        <f>"11814"</f>
        <v>11814</v>
      </c>
      <c r="D1094" s="621" t="s">
        <v>18</v>
      </c>
      <c r="E1094" s="621">
        <v>457</v>
      </c>
      <c r="F1094" s="622">
        <v>41866</v>
      </c>
      <c r="G1094" s="622">
        <v>43326</v>
      </c>
      <c r="H1094" s="621" t="s">
        <v>29</v>
      </c>
      <c r="I1094" s="621" t="s">
        <v>6865</v>
      </c>
    </row>
    <row r="1095" spans="1:9">
      <c r="A1095" s="617">
        <f t="shared" ref="A1095:A1158" si="17">+A1094+1</f>
        <v>1091</v>
      </c>
      <c r="B1095" s="618" t="s">
        <v>107</v>
      </c>
      <c r="C1095" s="618" t="str">
        <f>"11816"</f>
        <v>11816</v>
      </c>
      <c r="D1095" s="618" t="s">
        <v>18</v>
      </c>
      <c r="E1095" s="618">
        <v>460</v>
      </c>
      <c r="F1095" s="619">
        <v>40312</v>
      </c>
      <c r="G1095" s="619">
        <v>41772</v>
      </c>
      <c r="H1095" s="618" t="s">
        <v>29</v>
      </c>
      <c r="I1095" s="618" t="s">
        <v>6865</v>
      </c>
    </row>
    <row r="1096" spans="1:9">
      <c r="A1096" s="620">
        <f t="shared" si="17"/>
        <v>1092</v>
      </c>
      <c r="B1096" s="621" t="s">
        <v>107</v>
      </c>
      <c r="C1096" s="621" t="str">
        <f>"11817"</f>
        <v>11817</v>
      </c>
      <c r="D1096" s="621" t="s">
        <v>18</v>
      </c>
      <c r="E1096" s="621">
        <v>370</v>
      </c>
      <c r="F1096" s="622">
        <v>40312</v>
      </c>
      <c r="G1096" s="622">
        <v>41772</v>
      </c>
      <c r="H1096" s="621" t="s">
        <v>29</v>
      </c>
      <c r="I1096" s="621" t="s">
        <v>6865</v>
      </c>
    </row>
    <row r="1097" spans="1:9">
      <c r="A1097" s="617">
        <f t="shared" si="17"/>
        <v>1093</v>
      </c>
      <c r="B1097" s="618" t="s">
        <v>107</v>
      </c>
      <c r="C1097" s="618" t="str">
        <f>"11823"</f>
        <v>11823</v>
      </c>
      <c r="D1097" s="618" t="s">
        <v>18</v>
      </c>
      <c r="E1097" s="618">
        <v>460</v>
      </c>
      <c r="F1097" s="619">
        <v>40312</v>
      </c>
      <c r="G1097" s="619">
        <v>41772</v>
      </c>
      <c r="H1097" s="618" t="s">
        <v>28</v>
      </c>
      <c r="I1097" s="618" t="s">
        <v>6865</v>
      </c>
    </row>
    <row r="1098" spans="1:9">
      <c r="A1098" s="620">
        <f t="shared" si="17"/>
        <v>1094</v>
      </c>
      <c r="B1098" s="621" t="s">
        <v>107</v>
      </c>
      <c r="C1098" s="621" t="str">
        <f>"11827"</f>
        <v>11827</v>
      </c>
      <c r="D1098" s="621" t="s">
        <v>18</v>
      </c>
      <c r="E1098" s="621">
        <v>442</v>
      </c>
      <c r="F1098" s="622">
        <v>41866</v>
      </c>
      <c r="G1098" s="622">
        <v>43326</v>
      </c>
      <c r="H1098" s="621" t="s">
        <v>29</v>
      </c>
      <c r="I1098" s="621" t="s">
        <v>6865</v>
      </c>
    </row>
    <row r="1099" spans="1:9">
      <c r="A1099" s="617">
        <f t="shared" si="17"/>
        <v>1095</v>
      </c>
      <c r="B1099" s="618" t="s">
        <v>107</v>
      </c>
      <c r="C1099" s="618" t="str">
        <f>"11832"</f>
        <v>11832</v>
      </c>
      <c r="D1099" s="618" t="s">
        <v>18</v>
      </c>
      <c r="E1099" s="618">
        <v>306</v>
      </c>
      <c r="F1099" s="619">
        <v>40312</v>
      </c>
      <c r="G1099" s="619">
        <v>41772</v>
      </c>
      <c r="H1099" s="618" t="s">
        <v>29</v>
      </c>
      <c r="I1099" s="618" t="s">
        <v>6865</v>
      </c>
    </row>
    <row r="1100" spans="1:9">
      <c r="A1100" s="620">
        <f t="shared" si="17"/>
        <v>1096</v>
      </c>
      <c r="B1100" s="621" t="s">
        <v>5722</v>
      </c>
      <c r="C1100" s="621" t="str">
        <f>"11858"</f>
        <v>11858</v>
      </c>
      <c r="D1100" s="621" t="s">
        <v>18</v>
      </c>
      <c r="E1100" s="621">
        <v>233</v>
      </c>
      <c r="F1100" s="622">
        <v>40325</v>
      </c>
      <c r="G1100" s="622">
        <v>42150</v>
      </c>
      <c r="H1100" s="621" t="s">
        <v>31</v>
      </c>
      <c r="I1100" s="621" t="s">
        <v>6865</v>
      </c>
    </row>
    <row r="1101" spans="1:9">
      <c r="A1101" s="617">
        <f t="shared" si="17"/>
        <v>1097</v>
      </c>
      <c r="B1101" s="618" t="s">
        <v>5722</v>
      </c>
      <c r="C1101" s="618" t="str">
        <f>"11859"</f>
        <v>11859</v>
      </c>
      <c r="D1101" s="618" t="s">
        <v>18</v>
      </c>
      <c r="E1101" s="618">
        <v>303</v>
      </c>
      <c r="F1101" s="619">
        <v>40326</v>
      </c>
      <c r="G1101" s="619">
        <v>42151</v>
      </c>
      <c r="H1101" s="618" t="s">
        <v>47</v>
      </c>
      <c r="I1101" s="618" t="s">
        <v>6858</v>
      </c>
    </row>
    <row r="1102" spans="1:9">
      <c r="A1102" s="620">
        <f t="shared" si="17"/>
        <v>1098</v>
      </c>
      <c r="B1102" s="621" t="s">
        <v>5722</v>
      </c>
      <c r="C1102" s="621" t="str">
        <f>"11860"</f>
        <v>11860</v>
      </c>
      <c r="D1102" s="621" t="s">
        <v>18</v>
      </c>
      <c r="E1102" s="621">
        <v>234</v>
      </c>
      <c r="F1102" s="622">
        <v>40389</v>
      </c>
      <c r="G1102" s="622">
        <v>41849</v>
      </c>
      <c r="H1102" s="621" t="s">
        <v>31</v>
      </c>
      <c r="I1102" s="621" t="s">
        <v>6865</v>
      </c>
    </row>
    <row r="1103" spans="1:9">
      <c r="A1103" s="617">
        <f t="shared" si="17"/>
        <v>1099</v>
      </c>
      <c r="B1103" s="618" t="s">
        <v>5722</v>
      </c>
      <c r="C1103" s="618" t="str">
        <f>"11861"</f>
        <v>11861</v>
      </c>
      <c r="D1103" s="618" t="s">
        <v>13</v>
      </c>
      <c r="E1103" s="618">
        <v>174</v>
      </c>
      <c r="F1103" s="619">
        <v>41793</v>
      </c>
      <c r="G1103" s="619">
        <v>52750</v>
      </c>
      <c r="H1103" s="618" t="s">
        <v>31</v>
      </c>
      <c r="I1103" s="618" t="s">
        <v>51</v>
      </c>
    </row>
    <row r="1104" spans="1:9">
      <c r="A1104" s="620">
        <f t="shared" si="17"/>
        <v>1100</v>
      </c>
      <c r="B1104" s="621" t="s">
        <v>5722</v>
      </c>
      <c r="C1104" s="621" t="str">
        <f>"11862"</f>
        <v>11862</v>
      </c>
      <c r="D1104" s="621" t="s">
        <v>18</v>
      </c>
      <c r="E1104" s="621">
        <v>235</v>
      </c>
      <c r="F1104" s="622">
        <v>40326</v>
      </c>
      <c r="G1104" s="622">
        <v>41786</v>
      </c>
      <c r="H1104" s="621" t="s">
        <v>31</v>
      </c>
      <c r="I1104" s="621" t="s">
        <v>6865</v>
      </c>
    </row>
    <row r="1105" spans="1:9">
      <c r="A1105" s="617">
        <f t="shared" si="17"/>
        <v>1101</v>
      </c>
      <c r="B1105" s="618" t="s">
        <v>5722</v>
      </c>
      <c r="C1105" s="618" t="str">
        <f>"11863"</f>
        <v>11863</v>
      </c>
      <c r="D1105" s="618" t="s">
        <v>18</v>
      </c>
      <c r="E1105" s="618">
        <v>30</v>
      </c>
      <c r="F1105" s="619">
        <v>40327</v>
      </c>
      <c r="G1105" s="619">
        <v>41787</v>
      </c>
      <c r="H1105" s="618" t="s">
        <v>31</v>
      </c>
      <c r="I1105" s="618" t="s">
        <v>6865</v>
      </c>
    </row>
    <row r="1106" spans="1:9">
      <c r="A1106" s="620">
        <f t="shared" si="17"/>
        <v>1102</v>
      </c>
      <c r="B1106" s="621" t="s">
        <v>5722</v>
      </c>
      <c r="C1106" s="621" t="str">
        <f>"11864"</f>
        <v>11864</v>
      </c>
      <c r="D1106" s="621" t="s">
        <v>18</v>
      </c>
      <c r="E1106" s="621">
        <v>140</v>
      </c>
      <c r="F1106" s="622">
        <v>40425</v>
      </c>
      <c r="G1106" s="622">
        <v>41885</v>
      </c>
      <c r="H1106" s="621" t="s">
        <v>31</v>
      </c>
      <c r="I1106" s="621" t="s">
        <v>6865</v>
      </c>
    </row>
    <row r="1107" spans="1:9">
      <c r="A1107" s="617">
        <f t="shared" si="17"/>
        <v>1103</v>
      </c>
      <c r="B1107" s="618" t="s">
        <v>5722</v>
      </c>
      <c r="C1107" s="618" t="str">
        <f>"11865"</f>
        <v>11865</v>
      </c>
      <c r="D1107" s="618" t="s">
        <v>18</v>
      </c>
      <c r="E1107" s="618">
        <v>232</v>
      </c>
      <c r="F1107" s="619">
        <v>40327</v>
      </c>
      <c r="G1107" s="619">
        <v>41787</v>
      </c>
      <c r="H1107" s="618" t="s">
        <v>31</v>
      </c>
      <c r="I1107" s="618" t="s">
        <v>6865</v>
      </c>
    </row>
    <row r="1108" spans="1:9">
      <c r="A1108" s="620">
        <f t="shared" si="17"/>
        <v>1104</v>
      </c>
      <c r="B1108" s="621" t="s">
        <v>5722</v>
      </c>
      <c r="C1108" s="621" t="str">
        <f>"11866"</f>
        <v>11866</v>
      </c>
      <c r="D1108" s="621" t="s">
        <v>18</v>
      </c>
      <c r="E1108" s="621">
        <v>235</v>
      </c>
      <c r="F1108" s="622">
        <v>40389</v>
      </c>
      <c r="G1108" s="622">
        <v>41849</v>
      </c>
      <c r="H1108" s="621" t="s">
        <v>31</v>
      </c>
      <c r="I1108" s="621" t="s">
        <v>6858</v>
      </c>
    </row>
    <row r="1109" spans="1:9">
      <c r="A1109" s="617">
        <f t="shared" si="17"/>
        <v>1105</v>
      </c>
      <c r="B1109" s="618" t="s">
        <v>5722</v>
      </c>
      <c r="C1109" s="618" t="str">
        <f>"11867"</f>
        <v>11867</v>
      </c>
      <c r="D1109" s="618" t="s">
        <v>18</v>
      </c>
      <c r="E1109" s="618">
        <v>235</v>
      </c>
      <c r="F1109" s="619">
        <v>40389</v>
      </c>
      <c r="G1109" s="619">
        <v>41849</v>
      </c>
      <c r="H1109" s="618" t="s">
        <v>31</v>
      </c>
      <c r="I1109" s="618" t="s">
        <v>6858</v>
      </c>
    </row>
    <row r="1110" spans="1:9">
      <c r="A1110" s="620">
        <f t="shared" si="17"/>
        <v>1106</v>
      </c>
      <c r="B1110" s="621" t="s">
        <v>5722</v>
      </c>
      <c r="C1110" s="621" t="str">
        <f>"11868"</f>
        <v>11868</v>
      </c>
      <c r="D1110" s="621" t="s">
        <v>18</v>
      </c>
      <c r="E1110" s="621">
        <v>231</v>
      </c>
      <c r="F1110" s="622">
        <v>40396</v>
      </c>
      <c r="G1110" s="622">
        <v>43681</v>
      </c>
      <c r="H1110" s="621" t="s">
        <v>23</v>
      </c>
      <c r="I1110" s="621" t="s">
        <v>6865</v>
      </c>
    </row>
    <row r="1111" spans="1:9">
      <c r="A1111" s="617">
        <f t="shared" si="17"/>
        <v>1107</v>
      </c>
      <c r="B1111" s="618" t="s">
        <v>5722</v>
      </c>
      <c r="C1111" s="618" t="str">
        <f>"11869"</f>
        <v>11869</v>
      </c>
      <c r="D1111" s="618" t="s">
        <v>18</v>
      </c>
      <c r="E1111" s="618">
        <v>5</v>
      </c>
      <c r="F1111" s="619">
        <v>40327</v>
      </c>
      <c r="G1111" s="619">
        <v>41787</v>
      </c>
      <c r="H1111" s="618" t="s">
        <v>23</v>
      </c>
      <c r="I1111" s="618" t="s">
        <v>6865</v>
      </c>
    </row>
    <row r="1112" spans="1:9">
      <c r="A1112" s="620">
        <f t="shared" si="17"/>
        <v>1108</v>
      </c>
      <c r="B1112" s="621" t="s">
        <v>5722</v>
      </c>
      <c r="C1112" s="621" t="str">
        <f>"11870"</f>
        <v>11870</v>
      </c>
      <c r="D1112" s="621" t="s">
        <v>18</v>
      </c>
      <c r="E1112" s="621">
        <v>29</v>
      </c>
      <c r="F1112" s="622">
        <v>40326</v>
      </c>
      <c r="G1112" s="622">
        <v>43611</v>
      </c>
      <c r="H1112" s="621" t="s">
        <v>23</v>
      </c>
      <c r="I1112" s="621" t="s">
        <v>6865</v>
      </c>
    </row>
    <row r="1113" spans="1:9">
      <c r="A1113" s="617">
        <f t="shared" si="17"/>
        <v>1109</v>
      </c>
      <c r="B1113" s="618" t="s">
        <v>5722</v>
      </c>
      <c r="C1113" s="618" t="str">
        <f>"11871"</f>
        <v>11871</v>
      </c>
      <c r="D1113" s="618" t="s">
        <v>18</v>
      </c>
      <c r="E1113" s="618">
        <v>17</v>
      </c>
      <c r="F1113" s="619">
        <v>43083</v>
      </c>
      <c r="G1113" s="619">
        <v>44543</v>
      </c>
      <c r="H1113" s="618" t="s">
        <v>47</v>
      </c>
      <c r="I1113" s="618" t="s">
        <v>6865</v>
      </c>
    </row>
    <row r="1114" spans="1:9">
      <c r="A1114" s="620">
        <f t="shared" si="17"/>
        <v>1110</v>
      </c>
      <c r="B1114" s="621" t="s">
        <v>5722</v>
      </c>
      <c r="C1114" s="621" t="str">
        <f>"11872"</f>
        <v>11872</v>
      </c>
      <c r="D1114" s="621" t="s">
        <v>18</v>
      </c>
      <c r="E1114" s="621">
        <v>4</v>
      </c>
      <c r="F1114" s="622">
        <v>40327</v>
      </c>
      <c r="G1114" s="622">
        <v>43612</v>
      </c>
      <c r="H1114" s="621" t="s">
        <v>47</v>
      </c>
      <c r="I1114" s="621" t="s">
        <v>6865</v>
      </c>
    </row>
    <row r="1115" spans="1:9">
      <c r="A1115" s="617">
        <f t="shared" si="17"/>
        <v>1111</v>
      </c>
      <c r="B1115" s="618" t="s">
        <v>5722</v>
      </c>
      <c r="C1115" s="618" t="str">
        <f>"11873"</f>
        <v>11873</v>
      </c>
      <c r="D1115" s="618" t="s">
        <v>18</v>
      </c>
      <c r="E1115" s="618">
        <v>65</v>
      </c>
      <c r="F1115" s="619">
        <v>40326</v>
      </c>
      <c r="G1115" s="619">
        <v>43611</v>
      </c>
      <c r="H1115" s="618" t="s">
        <v>47</v>
      </c>
      <c r="I1115" s="618" t="s">
        <v>6865</v>
      </c>
    </row>
    <row r="1116" spans="1:9">
      <c r="A1116" s="620">
        <f t="shared" si="17"/>
        <v>1112</v>
      </c>
      <c r="B1116" s="621" t="s">
        <v>5722</v>
      </c>
      <c r="C1116" s="621" t="str">
        <f>"11874"</f>
        <v>11874</v>
      </c>
      <c r="D1116" s="621" t="s">
        <v>18</v>
      </c>
      <c r="E1116" s="621">
        <v>41</v>
      </c>
      <c r="F1116" s="622">
        <v>40394</v>
      </c>
      <c r="G1116" s="622">
        <v>41854</v>
      </c>
      <c r="H1116" s="621" t="s">
        <v>47</v>
      </c>
      <c r="I1116" s="621" t="s">
        <v>6865</v>
      </c>
    </row>
    <row r="1117" spans="1:9">
      <c r="A1117" s="617">
        <f t="shared" si="17"/>
        <v>1113</v>
      </c>
      <c r="B1117" s="618" t="s">
        <v>5722</v>
      </c>
      <c r="C1117" s="618" t="str">
        <f>"11875"</f>
        <v>11875</v>
      </c>
      <c r="D1117" s="618" t="s">
        <v>18</v>
      </c>
      <c r="E1117" s="618">
        <v>10</v>
      </c>
      <c r="F1117" s="619">
        <v>40325</v>
      </c>
      <c r="G1117" s="619">
        <v>41785</v>
      </c>
      <c r="H1117" s="618" t="s">
        <v>47</v>
      </c>
      <c r="I1117" s="618" t="s">
        <v>6865</v>
      </c>
    </row>
    <row r="1118" spans="1:9">
      <c r="A1118" s="620">
        <f t="shared" si="17"/>
        <v>1114</v>
      </c>
      <c r="B1118" s="621" t="s">
        <v>5722</v>
      </c>
      <c r="C1118" s="621" t="str">
        <f>"11876"</f>
        <v>11876</v>
      </c>
      <c r="D1118" s="621" t="s">
        <v>18</v>
      </c>
      <c r="E1118" s="621">
        <v>230</v>
      </c>
      <c r="F1118" s="622">
        <v>43502</v>
      </c>
      <c r="G1118" s="622">
        <v>45327</v>
      </c>
      <c r="H1118" s="621" t="s">
        <v>47</v>
      </c>
      <c r="I1118" s="621" t="s">
        <v>6859</v>
      </c>
    </row>
    <row r="1119" spans="1:9">
      <c r="A1119" s="617">
        <f t="shared" si="17"/>
        <v>1115</v>
      </c>
      <c r="B1119" s="618" t="s">
        <v>5722</v>
      </c>
      <c r="C1119" s="618" t="str">
        <f>"11877"</f>
        <v>11877</v>
      </c>
      <c r="D1119" s="618" t="s">
        <v>18</v>
      </c>
      <c r="E1119" s="618">
        <v>220</v>
      </c>
      <c r="F1119" s="619">
        <v>43496</v>
      </c>
      <c r="G1119" s="619">
        <v>45321</v>
      </c>
      <c r="H1119" s="618" t="s">
        <v>47</v>
      </c>
      <c r="I1119" s="618" t="s">
        <v>51</v>
      </c>
    </row>
    <row r="1120" spans="1:9">
      <c r="A1120" s="620">
        <f t="shared" si="17"/>
        <v>1116</v>
      </c>
      <c r="B1120" s="621" t="s">
        <v>5722</v>
      </c>
      <c r="C1120" s="621" t="str">
        <f>"11878"</f>
        <v>11878</v>
      </c>
      <c r="D1120" s="621" t="s">
        <v>18</v>
      </c>
      <c r="E1120" s="621">
        <v>220</v>
      </c>
      <c r="F1120" s="622">
        <v>43496</v>
      </c>
      <c r="G1120" s="622">
        <v>45321</v>
      </c>
      <c r="H1120" s="621" t="s">
        <v>47</v>
      </c>
      <c r="I1120" s="621" t="s">
        <v>51</v>
      </c>
    </row>
    <row r="1121" spans="1:9">
      <c r="A1121" s="617">
        <f t="shared" si="17"/>
        <v>1117</v>
      </c>
      <c r="B1121" s="618" t="s">
        <v>5722</v>
      </c>
      <c r="C1121" s="618" t="str">
        <f>"11879"</f>
        <v>11879</v>
      </c>
      <c r="D1121" s="618" t="s">
        <v>18</v>
      </c>
      <c r="E1121" s="618">
        <v>232</v>
      </c>
      <c r="F1121" s="619">
        <v>43496</v>
      </c>
      <c r="G1121" s="619">
        <v>45321</v>
      </c>
      <c r="H1121" s="618" t="s">
        <v>47</v>
      </c>
      <c r="I1121" s="618" t="s">
        <v>51</v>
      </c>
    </row>
    <row r="1122" spans="1:9">
      <c r="A1122" s="620">
        <f t="shared" si="17"/>
        <v>1118</v>
      </c>
      <c r="B1122" s="621" t="s">
        <v>5722</v>
      </c>
      <c r="C1122" s="621" t="str">
        <f>"11880"</f>
        <v>11880</v>
      </c>
      <c r="D1122" s="621" t="s">
        <v>18</v>
      </c>
      <c r="E1122" s="621">
        <v>230</v>
      </c>
      <c r="F1122" s="622">
        <v>44910</v>
      </c>
      <c r="G1122" s="622">
        <v>46735</v>
      </c>
      <c r="H1122" s="621" t="s">
        <v>47</v>
      </c>
      <c r="I1122" s="621" t="s">
        <v>51</v>
      </c>
    </row>
    <row r="1123" spans="1:9">
      <c r="A1123" s="617">
        <f t="shared" si="17"/>
        <v>1119</v>
      </c>
      <c r="B1123" s="618" t="s">
        <v>5722</v>
      </c>
      <c r="C1123" s="618" t="str">
        <f>"11881"</f>
        <v>11881</v>
      </c>
      <c r="D1123" s="618" t="s">
        <v>18</v>
      </c>
      <c r="E1123" s="618">
        <v>92</v>
      </c>
      <c r="F1123" s="619">
        <v>43414</v>
      </c>
      <c r="G1123" s="619">
        <v>45239</v>
      </c>
      <c r="H1123" s="618" t="s">
        <v>47</v>
      </c>
      <c r="I1123" s="618" t="s">
        <v>51</v>
      </c>
    </row>
    <row r="1124" spans="1:9">
      <c r="A1124" s="620">
        <f t="shared" si="17"/>
        <v>1120</v>
      </c>
      <c r="B1124" s="621" t="s">
        <v>5722</v>
      </c>
      <c r="C1124" s="621" t="str">
        <f>"11882"</f>
        <v>11882</v>
      </c>
      <c r="D1124" s="621" t="s">
        <v>18</v>
      </c>
      <c r="E1124" s="621">
        <v>205</v>
      </c>
      <c r="F1124" s="622">
        <v>40325</v>
      </c>
      <c r="G1124" s="622">
        <v>42150</v>
      </c>
      <c r="H1124" s="621" t="s">
        <v>47</v>
      </c>
      <c r="I1124" s="621" t="s">
        <v>6865</v>
      </c>
    </row>
    <row r="1125" spans="1:9">
      <c r="A1125" s="617">
        <f t="shared" si="17"/>
        <v>1121</v>
      </c>
      <c r="B1125" s="618" t="s">
        <v>5722</v>
      </c>
      <c r="C1125" s="618" t="str">
        <f>"11883"</f>
        <v>11883</v>
      </c>
      <c r="D1125" s="618" t="s">
        <v>18</v>
      </c>
      <c r="E1125" s="618">
        <v>232</v>
      </c>
      <c r="F1125" s="619">
        <v>40326</v>
      </c>
      <c r="G1125" s="619">
        <v>42151</v>
      </c>
      <c r="H1125" s="618" t="s">
        <v>47</v>
      </c>
      <c r="I1125" s="618" t="s">
        <v>6865</v>
      </c>
    </row>
    <row r="1126" spans="1:9">
      <c r="A1126" s="620">
        <f t="shared" si="17"/>
        <v>1122</v>
      </c>
      <c r="B1126" s="621" t="s">
        <v>5722</v>
      </c>
      <c r="C1126" s="621" t="str">
        <f>"11884"</f>
        <v>11884</v>
      </c>
      <c r="D1126" s="621" t="s">
        <v>18</v>
      </c>
      <c r="E1126" s="621">
        <v>221</v>
      </c>
      <c r="F1126" s="622">
        <v>40326</v>
      </c>
      <c r="G1126" s="622">
        <v>42151</v>
      </c>
      <c r="H1126" s="621" t="s">
        <v>47</v>
      </c>
      <c r="I1126" s="621" t="s">
        <v>6865</v>
      </c>
    </row>
    <row r="1127" spans="1:9">
      <c r="A1127" s="617">
        <f t="shared" si="17"/>
        <v>1123</v>
      </c>
      <c r="B1127" s="618" t="s">
        <v>5722</v>
      </c>
      <c r="C1127" s="618" t="str">
        <f>"11885"</f>
        <v>11885</v>
      </c>
      <c r="D1127" s="618" t="s">
        <v>18</v>
      </c>
      <c r="E1127" s="618">
        <v>196</v>
      </c>
      <c r="F1127" s="619">
        <v>40326</v>
      </c>
      <c r="G1127" s="619">
        <v>42151</v>
      </c>
      <c r="H1127" s="618" t="s">
        <v>16</v>
      </c>
      <c r="I1127" s="618" t="s">
        <v>6865</v>
      </c>
    </row>
    <row r="1128" spans="1:9">
      <c r="A1128" s="620">
        <f t="shared" si="17"/>
        <v>1124</v>
      </c>
      <c r="B1128" s="621" t="s">
        <v>5722</v>
      </c>
      <c r="C1128" s="621" t="str">
        <f>"11886"</f>
        <v>11886</v>
      </c>
      <c r="D1128" s="621" t="s">
        <v>18</v>
      </c>
      <c r="E1128" s="621">
        <v>230</v>
      </c>
      <c r="F1128" s="622">
        <v>40326</v>
      </c>
      <c r="G1128" s="622">
        <v>42151</v>
      </c>
      <c r="H1128" s="621" t="s">
        <v>47</v>
      </c>
      <c r="I1128" s="621" t="s">
        <v>6865</v>
      </c>
    </row>
    <row r="1129" spans="1:9">
      <c r="A1129" s="617">
        <f t="shared" si="17"/>
        <v>1125</v>
      </c>
      <c r="B1129" s="618" t="s">
        <v>5722</v>
      </c>
      <c r="C1129" s="618" t="str">
        <f>"11887"</f>
        <v>11887</v>
      </c>
      <c r="D1129" s="618" t="s">
        <v>18</v>
      </c>
      <c r="E1129" s="618">
        <v>230</v>
      </c>
      <c r="F1129" s="619">
        <v>40326</v>
      </c>
      <c r="G1129" s="619">
        <v>42151</v>
      </c>
      <c r="H1129" s="618" t="s">
        <v>47</v>
      </c>
      <c r="I1129" s="618" t="s">
        <v>6865</v>
      </c>
    </row>
    <row r="1130" spans="1:9">
      <c r="A1130" s="620">
        <f t="shared" si="17"/>
        <v>1126</v>
      </c>
      <c r="B1130" s="621" t="s">
        <v>5722</v>
      </c>
      <c r="C1130" s="621" t="str">
        <f>"11888"</f>
        <v>11888</v>
      </c>
      <c r="D1130" s="621" t="s">
        <v>18</v>
      </c>
      <c r="E1130" s="621">
        <v>230</v>
      </c>
      <c r="F1130" s="622">
        <v>40368</v>
      </c>
      <c r="G1130" s="622">
        <v>42193</v>
      </c>
      <c r="H1130" s="621" t="s">
        <v>47</v>
      </c>
      <c r="I1130" s="621" t="s">
        <v>6865</v>
      </c>
    </row>
    <row r="1131" spans="1:9">
      <c r="A1131" s="617">
        <f t="shared" si="17"/>
        <v>1127</v>
      </c>
      <c r="B1131" s="618" t="s">
        <v>5722</v>
      </c>
      <c r="C1131" s="618" t="str">
        <f>"11889"</f>
        <v>11889</v>
      </c>
      <c r="D1131" s="618" t="s">
        <v>18</v>
      </c>
      <c r="E1131" s="618">
        <v>230</v>
      </c>
      <c r="F1131" s="619">
        <v>40326</v>
      </c>
      <c r="G1131" s="619">
        <v>42151</v>
      </c>
      <c r="H1131" s="618" t="s">
        <v>47</v>
      </c>
      <c r="I1131" s="618" t="s">
        <v>6865</v>
      </c>
    </row>
    <row r="1132" spans="1:9">
      <c r="A1132" s="620">
        <f t="shared" si="17"/>
        <v>1128</v>
      </c>
      <c r="B1132" s="621" t="s">
        <v>5722</v>
      </c>
      <c r="C1132" s="621" t="str">
        <f>"11890"</f>
        <v>11890</v>
      </c>
      <c r="D1132" s="621" t="s">
        <v>18</v>
      </c>
      <c r="E1132" s="621">
        <v>466</v>
      </c>
      <c r="F1132" s="622">
        <v>41866</v>
      </c>
      <c r="G1132" s="622">
        <v>43691</v>
      </c>
      <c r="H1132" s="621" t="s">
        <v>47</v>
      </c>
      <c r="I1132" s="621" t="s">
        <v>6865</v>
      </c>
    </row>
    <row r="1133" spans="1:9">
      <c r="A1133" s="617">
        <f t="shared" si="17"/>
        <v>1129</v>
      </c>
      <c r="B1133" s="618" t="s">
        <v>5722</v>
      </c>
      <c r="C1133" s="618" t="str">
        <f>"11891"</f>
        <v>11891</v>
      </c>
      <c r="D1133" s="618" t="s">
        <v>18</v>
      </c>
      <c r="E1133" s="618">
        <v>196</v>
      </c>
      <c r="F1133" s="619">
        <v>40325</v>
      </c>
      <c r="G1133" s="619">
        <v>42150</v>
      </c>
      <c r="H1133" s="618" t="s">
        <v>47</v>
      </c>
      <c r="I1133" s="618" t="s">
        <v>6865</v>
      </c>
    </row>
    <row r="1134" spans="1:9">
      <c r="A1134" s="620">
        <f t="shared" si="17"/>
        <v>1130</v>
      </c>
      <c r="B1134" s="621" t="s">
        <v>5722</v>
      </c>
      <c r="C1134" s="621" t="str">
        <f>"11892"</f>
        <v>11892</v>
      </c>
      <c r="D1134" s="621" t="s">
        <v>18</v>
      </c>
      <c r="E1134" s="621">
        <v>230</v>
      </c>
      <c r="F1134" s="622">
        <v>40326</v>
      </c>
      <c r="G1134" s="622">
        <v>42151</v>
      </c>
      <c r="H1134" s="621" t="s">
        <v>47</v>
      </c>
      <c r="I1134" s="621" t="s">
        <v>6865</v>
      </c>
    </row>
    <row r="1135" spans="1:9">
      <c r="A1135" s="617">
        <f t="shared" si="17"/>
        <v>1131</v>
      </c>
      <c r="B1135" s="618" t="s">
        <v>5722</v>
      </c>
      <c r="C1135" s="618" t="str">
        <f>"11893"</f>
        <v>11893</v>
      </c>
      <c r="D1135" s="618" t="s">
        <v>18</v>
      </c>
      <c r="E1135" s="618">
        <v>230</v>
      </c>
      <c r="F1135" s="619">
        <v>40326</v>
      </c>
      <c r="G1135" s="619">
        <v>42151</v>
      </c>
      <c r="H1135" s="618" t="s">
        <v>47</v>
      </c>
      <c r="I1135" s="618" t="s">
        <v>6865</v>
      </c>
    </row>
    <row r="1136" spans="1:9">
      <c r="A1136" s="620">
        <f t="shared" si="17"/>
        <v>1132</v>
      </c>
      <c r="B1136" s="621" t="s">
        <v>5722</v>
      </c>
      <c r="C1136" s="621" t="str">
        <f>"11894"</f>
        <v>11894</v>
      </c>
      <c r="D1136" s="621" t="s">
        <v>18</v>
      </c>
      <c r="E1136" s="621">
        <v>230</v>
      </c>
      <c r="F1136" s="622">
        <v>40326</v>
      </c>
      <c r="G1136" s="622">
        <v>42151</v>
      </c>
      <c r="H1136" s="621" t="s">
        <v>47</v>
      </c>
      <c r="I1136" s="621" t="s">
        <v>6865</v>
      </c>
    </row>
    <row r="1137" spans="1:9">
      <c r="A1137" s="617">
        <f t="shared" si="17"/>
        <v>1133</v>
      </c>
      <c r="B1137" s="618" t="s">
        <v>5722</v>
      </c>
      <c r="C1137" s="618" t="str">
        <f>"11895"</f>
        <v>11895</v>
      </c>
      <c r="D1137" s="618" t="s">
        <v>18</v>
      </c>
      <c r="E1137" s="618">
        <v>234</v>
      </c>
      <c r="F1137" s="619">
        <v>40325</v>
      </c>
      <c r="G1137" s="619">
        <v>42150</v>
      </c>
      <c r="H1137" s="618" t="s">
        <v>47</v>
      </c>
      <c r="I1137" s="618" t="s">
        <v>6865</v>
      </c>
    </row>
    <row r="1138" spans="1:9">
      <c r="A1138" s="620">
        <f t="shared" si="17"/>
        <v>1134</v>
      </c>
      <c r="B1138" s="621" t="s">
        <v>5722</v>
      </c>
      <c r="C1138" s="621" t="str">
        <f>"11896"</f>
        <v>11896</v>
      </c>
      <c r="D1138" s="621" t="s">
        <v>18</v>
      </c>
      <c r="E1138" s="621">
        <v>235</v>
      </c>
      <c r="F1138" s="622">
        <v>40326</v>
      </c>
      <c r="G1138" s="622">
        <v>42151</v>
      </c>
      <c r="H1138" s="621" t="s">
        <v>47</v>
      </c>
      <c r="I1138" s="621" t="s">
        <v>6865</v>
      </c>
    </row>
    <row r="1139" spans="1:9">
      <c r="A1139" s="617">
        <f t="shared" si="17"/>
        <v>1135</v>
      </c>
      <c r="B1139" s="618" t="s">
        <v>5722</v>
      </c>
      <c r="C1139" s="618" t="str">
        <f>"11897"</f>
        <v>11897</v>
      </c>
      <c r="D1139" s="618" t="s">
        <v>18</v>
      </c>
      <c r="E1139" s="618">
        <v>230</v>
      </c>
      <c r="F1139" s="619">
        <v>40327</v>
      </c>
      <c r="G1139" s="619">
        <v>42152</v>
      </c>
      <c r="H1139" s="618" t="s">
        <v>47</v>
      </c>
      <c r="I1139" s="618" t="s">
        <v>6865</v>
      </c>
    </row>
    <row r="1140" spans="1:9">
      <c r="A1140" s="620">
        <f t="shared" si="17"/>
        <v>1136</v>
      </c>
      <c r="B1140" s="621" t="s">
        <v>5722</v>
      </c>
      <c r="C1140" s="621" t="str">
        <f>"11898"</f>
        <v>11898</v>
      </c>
      <c r="D1140" s="621" t="s">
        <v>18</v>
      </c>
      <c r="E1140" s="621">
        <v>230</v>
      </c>
      <c r="F1140" s="622">
        <v>40326</v>
      </c>
      <c r="G1140" s="622">
        <v>42151</v>
      </c>
      <c r="H1140" s="621" t="s">
        <v>47</v>
      </c>
      <c r="I1140" s="621" t="s">
        <v>6865</v>
      </c>
    </row>
    <row r="1141" spans="1:9">
      <c r="A1141" s="617">
        <f t="shared" si="17"/>
        <v>1137</v>
      </c>
      <c r="B1141" s="618" t="s">
        <v>5722</v>
      </c>
      <c r="C1141" s="618" t="str">
        <f>"11899"</f>
        <v>11899</v>
      </c>
      <c r="D1141" s="618" t="s">
        <v>18</v>
      </c>
      <c r="E1141" s="618">
        <v>213</v>
      </c>
      <c r="F1141" s="619">
        <v>40325</v>
      </c>
      <c r="G1141" s="619">
        <v>42150</v>
      </c>
      <c r="H1141" s="618" t="s">
        <v>47</v>
      </c>
      <c r="I1141" s="618" t="s">
        <v>6865</v>
      </c>
    </row>
    <row r="1142" spans="1:9">
      <c r="A1142" s="620">
        <f t="shared" si="17"/>
        <v>1138</v>
      </c>
      <c r="B1142" s="621" t="s">
        <v>5722</v>
      </c>
      <c r="C1142" s="621" t="str">
        <f>"11900"</f>
        <v>11900</v>
      </c>
      <c r="D1142" s="621" t="s">
        <v>18</v>
      </c>
      <c r="E1142" s="621">
        <v>219</v>
      </c>
      <c r="F1142" s="622">
        <v>40326</v>
      </c>
      <c r="G1142" s="622">
        <v>42151</v>
      </c>
      <c r="H1142" s="621" t="s">
        <v>47</v>
      </c>
      <c r="I1142" s="621" t="s">
        <v>6865</v>
      </c>
    </row>
    <row r="1143" spans="1:9">
      <c r="A1143" s="617">
        <f t="shared" si="17"/>
        <v>1139</v>
      </c>
      <c r="B1143" s="618" t="s">
        <v>30</v>
      </c>
      <c r="C1143" s="618" t="str">
        <f>"11923"</f>
        <v>11923</v>
      </c>
      <c r="D1143" s="618" t="s">
        <v>13</v>
      </c>
      <c r="E1143" s="618">
        <v>462</v>
      </c>
      <c r="F1143" s="619">
        <v>41624</v>
      </c>
      <c r="G1143" s="619">
        <v>52580</v>
      </c>
      <c r="H1143" s="618" t="s">
        <v>31</v>
      </c>
      <c r="I1143" s="618" t="s">
        <v>51</v>
      </c>
    </row>
    <row r="1144" spans="1:9">
      <c r="A1144" s="620">
        <f t="shared" si="17"/>
        <v>1140</v>
      </c>
      <c r="B1144" s="621" t="s">
        <v>30</v>
      </c>
      <c r="C1144" s="621" t="str">
        <f>"11924"</f>
        <v>11924</v>
      </c>
      <c r="D1144" s="621" t="s">
        <v>13</v>
      </c>
      <c r="E1144" s="621">
        <v>232</v>
      </c>
      <c r="F1144" s="622">
        <v>41624</v>
      </c>
      <c r="G1144" s="622">
        <v>52580</v>
      </c>
      <c r="H1144" s="621" t="s">
        <v>31</v>
      </c>
      <c r="I1144" s="621" t="s">
        <v>51</v>
      </c>
    </row>
    <row r="1145" spans="1:9">
      <c r="A1145" s="617">
        <f t="shared" si="17"/>
        <v>1141</v>
      </c>
      <c r="B1145" s="618" t="s">
        <v>442</v>
      </c>
      <c r="C1145" s="618" t="str">
        <f>"12022"</f>
        <v>12022</v>
      </c>
      <c r="D1145" s="618" t="s">
        <v>13</v>
      </c>
      <c r="E1145" s="618">
        <v>42</v>
      </c>
      <c r="F1145" s="619">
        <v>40292</v>
      </c>
      <c r="G1145" s="619">
        <v>42584</v>
      </c>
      <c r="H1145" s="618" t="s">
        <v>28</v>
      </c>
      <c r="I1145" s="618" t="s">
        <v>385</v>
      </c>
    </row>
    <row r="1146" spans="1:9">
      <c r="A1146" s="620">
        <f t="shared" si="17"/>
        <v>1142</v>
      </c>
      <c r="B1146" s="621" t="s">
        <v>442</v>
      </c>
      <c r="C1146" s="621" t="str">
        <f>"12023"</f>
        <v>12023</v>
      </c>
      <c r="D1146" s="621" t="s">
        <v>13</v>
      </c>
      <c r="E1146" s="621">
        <v>462</v>
      </c>
      <c r="F1146" s="622">
        <v>40292</v>
      </c>
      <c r="G1146" s="622">
        <v>42003</v>
      </c>
      <c r="H1146" s="621" t="s">
        <v>28</v>
      </c>
      <c r="I1146" s="621" t="s">
        <v>6867</v>
      </c>
    </row>
    <row r="1147" spans="1:9">
      <c r="A1147" s="617">
        <f t="shared" si="17"/>
        <v>1143</v>
      </c>
      <c r="B1147" s="618" t="s">
        <v>442</v>
      </c>
      <c r="C1147" s="618" t="str">
        <f>"12024"</f>
        <v>12024</v>
      </c>
      <c r="D1147" s="618" t="s">
        <v>13</v>
      </c>
      <c r="E1147" s="618">
        <v>296</v>
      </c>
      <c r="F1147" s="619">
        <v>42004</v>
      </c>
      <c r="G1147" s="619">
        <v>47482</v>
      </c>
      <c r="H1147" s="618" t="s">
        <v>28</v>
      </c>
      <c r="I1147" s="618" t="s">
        <v>6867</v>
      </c>
    </row>
    <row r="1148" spans="1:9">
      <c r="A1148" s="620">
        <f t="shared" si="17"/>
        <v>1144</v>
      </c>
      <c r="B1148" s="621" t="s">
        <v>442</v>
      </c>
      <c r="C1148" s="621" t="str">
        <f>"12025"</f>
        <v>12025</v>
      </c>
      <c r="D1148" s="621" t="s">
        <v>13</v>
      </c>
      <c r="E1148" s="621">
        <v>204</v>
      </c>
      <c r="F1148" s="622">
        <v>42004</v>
      </c>
      <c r="G1148" s="622">
        <v>47482</v>
      </c>
      <c r="H1148" s="621" t="s">
        <v>28</v>
      </c>
      <c r="I1148" s="621" t="s">
        <v>6867</v>
      </c>
    </row>
    <row r="1149" spans="1:9">
      <c r="A1149" s="617">
        <f t="shared" si="17"/>
        <v>1145</v>
      </c>
      <c r="B1149" s="618" t="s">
        <v>107</v>
      </c>
      <c r="C1149" s="618" t="str">
        <f>"12026"</f>
        <v>12026</v>
      </c>
      <c r="D1149" s="618" t="s">
        <v>13</v>
      </c>
      <c r="E1149" s="618">
        <v>278</v>
      </c>
      <c r="F1149" s="619">
        <v>42004</v>
      </c>
      <c r="G1149" s="619">
        <v>47482</v>
      </c>
      <c r="H1149" s="618" t="s">
        <v>28</v>
      </c>
      <c r="I1149" s="618" t="s">
        <v>6862</v>
      </c>
    </row>
    <row r="1150" spans="1:9">
      <c r="A1150" s="620">
        <f t="shared" si="17"/>
        <v>1146</v>
      </c>
      <c r="B1150" s="621" t="s">
        <v>442</v>
      </c>
      <c r="C1150" s="621" t="str">
        <f>"12027"</f>
        <v>12027</v>
      </c>
      <c r="D1150" s="621" t="s">
        <v>13</v>
      </c>
      <c r="E1150" s="621">
        <v>101</v>
      </c>
      <c r="F1150" s="622">
        <v>42004</v>
      </c>
      <c r="G1150" s="622">
        <v>47482</v>
      </c>
      <c r="H1150" s="621" t="s">
        <v>28</v>
      </c>
      <c r="I1150" s="621" t="s">
        <v>6867</v>
      </c>
    </row>
    <row r="1151" spans="1:9">
      <c r="A1151" s="617">
        <f t="shared" si="17"/>
        <v>1147</v>
      </c>
      <c r="B1151" s="618" t="s">
        <v>107</v>
      </c>
      <c r="C1151" s="618" t="str">
        <f>"12028"</f>
        <v>12028</v>
      </c>
      <c r="D1151" s="618" t="s">
        <v>13</v>
      </c>
      <c r="E1151" s="618">
        <v>317</v>
      </c>
      <c r="F1151" s="619">
        <v>41949</v>
      </c>
      <c r="G1151" s="619">
        <v>47427</v>
      </c>
      <c r="H1151" s="618" t="s">
        <v>28</v>
      </c>
      <c r="I1151" s="618" t="s">
        <v>6862</v>
      </c>
    </row>
    <row r="1152" spans="1:9">
      <c r="A1152" s="620">
        <f t="shared" si="17"/>
        <v>1148</v>
      </c>
      <c r="B1152" s="621" t="s">
        <v>107</v>
      </c>
      <c r="C1152" s="621" t="str">
        <f>"12029"</f>
        <v>12029</v>
      </c>
      <c r="D1152" s="621" t="s">
        <v>13</v>
      </c>
      <c r="E1152" s="621">
        <v>351</v>
      </c>
      <c r="F1152" s="622">
        <v>41771</v>
      </c>
      <c r="G1152" s="622">
        <v>47249</v>
      </c>
      <c r="H1152" s="621" t="s">
        <v>28</v>
      </c>
      <c r="I1152" s="621" t="s">
        <v>6862</v>
      </c>
    </row>
    <row r="1153" spans="1:9">
      <c r="A1153" s="617">
        <f t="shared" si="17"/>
        <v>1149</v>
      </c>
      <c r="B1153" s="618" t="s">
        <v>442</v>
      </c>
      <c r="C1153" s="618" t="str">
        <f>"12032"</f>
        <v>12032</v>
      </c>
      <c r="D1153" s="618" t="s">
        <v>13</v>
      </c>
      <c r="E1153" s="618">
        <v>425</v>
      </c>
      <c r="F1153" s="619">
        <v>41771</v>
      </c>
      <c r="G1153" s="619">
        <v>47249</v>
      </c>
      <c r="H1153" s="618" t="s">
        <v>28</v>
      </c>
      <c r="I1153" s="618" t="s">
        <v>6867</v>
      </c>
    </row>
    <row r="1154" spans="1:9">
      <c r="A1154" s="620">
        <f t="shared" si="17"/>
        <v>1150</v>
      </c>
      <c r="B1154" s="621" t="s">
        <v>442</v>
      </c>
      <c r="C1154" s="621" t="str">
        <f>"12033"</f>
        <v>12033</v>
      </c>
      <c r="D1154" s="621" t="s">
        <v>13</v>
      </c>
      <c r="E1154" s="621">
        <v>156</v>
      </c>
      <c r="F1154" s="622">
        <v>41771</v>
      </c>
      <c r="G1154" s="622">
        <v>47249</v>
      </c>
      <c r="H1154" s="621" t="s">
        <v>28</v>
      </c>
      <c r="I1154" s="621" t="s">
        <v>6867</v>
      </c>
    </row>
    <row r="1155" spans="1:9">
      <c r="A1155" s="617">
        <f t="shared" si="17"/>
        <v>1151</v>
      </c>
      <c r="B1155" s="618" t="s">
        <v>5722</v>
      </c>
      <c r="C1155" s="618" t="str">
        <f>"12081"</f>
        <v>12081</v>
      </c>
      <c r="D1155" s="618" t="s">
        <v>18</v>
      </c>
      <c r="E1155" s="618">
        <v>135</v>
      </c>
      <c r="F1155" s="619">
        <v>40394</v>
      </c>
      <c r="G1155" s="619">
        <v>41854</v>
      </c>
      <c r="H1155" s="618" t="s">
        <v>66</v>
      </c>
      <c r="I1155" s="618" t="s">
        <v>6865</v>
      </c>
    </row>
    <row r="1156" spans="1:9">
      <c r="A1156" s="620">
        <f t="shared" si="17"/>
        <v>1152</v>
      </c>
      <c r="B1156" s="621" t="s">
        <v>5722</v>
      </c>
      <c r="C1156" s="621" t="str">
        <f>"12082"</f>
        <v>12082</v>
      </c>
      <c r="D1156" s="621" t="s">
        <v>18</v>
      </c>
      <c r="E1156" s="621">
        <v>67</v>
      </c>
      <c r="F1156" s="622">
        <v>40394</v>
      </c>
      <c r="G1156" s="622">
        <v>43679</v>
      </c>
      <c r="H1156" s="621" t="s">
        <v>66</v>
      </c>
      <c r="I1156" s="621" t="s">
        <v>6865</v>
      </c>
    </row>
    <row r="1157" spans="1:9">
      <c r="A1157" s="617">
        <f t="shared" si="17"/>
        <v>1153</v>
      </c>
      <c r="B1157" s="618" t="s">
        <v>5722</v>
      </c>
      <c r="C1157" s="618" t="str">
        <f>"12083"</f>
        <v>12083</v>
      </c>
      <c r="D1157" s="618" t="s">
        <v>18</v>
      </c>
      <c r="E1157" s="618">
        <v>410</v>
      </c>
      <c r="F1157" s="619">
        <v>40394</v>
      </c>
      <c r="G1157" s="619">
        <v>42219</v>
      </c>
      <c r="H1157" s="618" t="s">
        <v>23</v>
      </c>
      <c r="I1157" s="618" t="s">
        <v>6865</v>
      </c>
    </row>
    <row r="1158" spans="1:9">
      <c r="A1158" s="620">
        <f t="shared" si="17"/>
        <v>1154</v>
      </c>
      <c r="B1158" s="621" t="s">
        <v>5722</v>
      </c>
      <c r="C1158" s="621" t="str">
        <f>"12084"</f>
        <v>12084</v>
      </c>
      <c r="D1158" s="621" t="s">
        <v>18</v>
      </c>
      <c r="E1158" s="621">
        <v>386</v>
      </c>
      <c r="F1158" s="622">
        <v>43083</v>
      </c>
      <c r="G1158" s="622">
        <v>44908</v>
      </c>
      <c r="H1158" s="621" t="s">
        <v>47</v>
      </c>
      <c r="I1158" s="621" t="s">
        <v>6859</v>
      </c>
    </row>
    <row r="1159" spans="1:9">
      <c r="A1159" s="617">
        <f t="shared" ref="A1159:A1222" si="18">+A1158+1</f>
        <v>1155</v>
      </c>
      <c r="B1159" s="618" t="s">
        <v>5722</v>
      </c>
      <c r="C1159" s="618" t="str">
        <f>"12085"</f>
        <v>12085</v>
      </c>
      <c r="D1159" s="618" t="s">
        <v>18</v>
      </c>
      <c r="E1159" s="618">
        <v>213</v>
      </c>
      <c r="F1159" s="619">
        <v>43083</v>
      </c>
      <c r="G1159" s="619">
        <v>44908</v>
      </c>
      <c r="H1159" s="618" t="s">
        <v>47</v>
      </c>
      <c r="I1159" s="618" t="s">
        <v>51</v>
      </c>
    </row>
    <row r="1160" spans="1:9">
      <c r="A1160" s="620">
        <f t="shared" si="18"/>
        <v>1156</v>
      </c>
      <c r="B1160" s="621" t="s">
        <v>135</v>
      </c>
      <c r="C1160" s="621" t="str">
        <f>"12092"</f>
        <v>12092</v>
      </c>
      <c r="D1160" s="621" t="s">
        <v>13</v>
      </c>
      <c r="E1160" s="621">
        <v>1</v>
      </c>
      <c r="F1160" s="622">
        <v>40443</v>
      </c>
      <c r="G1160" s="622">
        <v>45385</v>
      </c>
      <c r="H1160" s="621" t="s">
        <v>16</v>
      </c>
      <c r="I1160" s="621" t="s">
        <v>6858</v>
      </c>
    </row>
    <row r="1161" spans="1:9">
      <c r="A1161" s="617">
        <f t="shared" si="18"/>
        <v>1157</v>
      </c>
      <c r="B1161" s="618" t="s">
        <v>135</v>
      </c>
      <c r="C1161" s="618" t="str">
        <f>"12093"</f>
        <v>12093</v>
      </c>
      <c r="D1161" s="618" t="s">
        <v>13</v>
      </c>
      <c r="E1161" s="618">
        <v>3</v>
      </c>
      <c r="F1161" s="619">
        <v>40443</v>
      </c>
      <c r="G1161" s="619">
        <v>45385</v>
      </c>
      <c r="H1161" s="618" t="s">
        <v>16</v>
      </c>
      <c r="I1161" s="618" t="s">
        <v>6858</v>
      </c>
    </row>
    <row r="1162" spans="1:9">
      <c r="A1162" s="620">
        <f t="shared" si="18"/>
        <v>1158</v>
      </c>
      <c r="B1162" s="621" t="s">
        <v>36</v>
      </c>
      <c r="C1162" s="621" t="str">
        <f>"12094"</f>
        <v>12094</v>
      </c>
      <c r="D1162" s="621" t="s">
        <v>13</v>
      </c>
      <c r="E1162" s="621">
        <v>2</v>
      </c>
      <c r="F1162" s="622">
        <v>39906</v>
      </c>
      <c r="G1162" s="622">
        <v>45384</v>
      </c>
      <c r="H1162" s="621" t="s">
        <v>14</v>
      </c>
      <c r="I1162" s="621" t="s">
        <v>6858</v>
      </c>
    </row>
    <row r="1163" spans="1:9">
      <c r="A1163" s="617">
        <f t="shared" si="18"/>
        <v>1159</v>
      </c>
      <c r="B1163" s="618" t="s">
        <v>1751</v>
      </c>
      <c r="C1163" s="618" t="str">
        <f>"12102"</f>
        <v>12102</v>
      </c>
      <c r="D1163" s="618" t="s">
        <v>18</v>
      </c>
      <c r="E1163" s="618">
        <v>20</v>
      </c>
      <c r="F1163" s="619">
        <v>40417</v>
      </c>
      <c r="G1163" s="619">
        <v>42242</v>
      </c>
      <c r="H1163" s="618" t="s">
        <v>56</v>
      </c>
      <c r="I1163" s="618" t="s">
        <v>385</v>
      </c>
    </row>
    <row r="1164" spans="1:9">
      <c r="A1164" s="620">
        <f t="shared" si="18"/>
        <v>1160</v>
      </c>
      <c r="B1164" s="621" t="s">
        <v>96</v>
      </c>
      <c r="C1164" s="621" t="str">
        <f>"12107"</f>
        <v>12107</v>
      </c>
      <c r="D1164" s="621" t="s">
        <v>18</v>
      </c>
      <c r="E1164" s="621">
        <v>51</v>
      </c>
      <c r="F1164" s="622">
        <v>42248</v>
      </c>
      <c r="G1164" s="622">
        <v>43993</v>
      </c>
      <c r="H1164" s="621" t="s">
        <v>14</v>
      </c>
      <c r="I1164" s="621" t="s">
        <v>6868</v>
      </c>
    </row>
    <row r="1165" spans="1:9">
      <c r="A1165" s="617">
        <f t="shared" si="18"/>
        <v>1161</v>
      </c>
      <c r="B1165" s="618" t="s">
        <v>201</v>
      </c>
      <c r="C1165" s="618" t="str">
        <f>"12108"</f>
        <v>12108</v>
      </c>
      <c r="D1165" s="618" t="s">
        <v>18</v>
      </c>
      <c r="E1165" s="618">
        <v>109</v>
      </c>
      <c r="F1165" s="619">
        <v>40424</v>
      </c>
      <c r="G1165" s="619">
        <v>43410</v>
      </c>
      <c r="H1165" s="618" t="s">
        <v>14</v>
      </c>
      <c r="I1165" s="618" t="s">
        <v>6872</v>
      </c>
    </row>
    <row r="1166" spans="1:9">
      <c r="A1166" s="620">
        <f t="shared" si="18"/>
        <v>1162</v>
      </c>
      <c r="B1166" s="621" t="s">
        <v>1752</v>
      </c>
      <c r="C1166" s="621" t="str">
        <f>"12109"</f>
        <v>12109</v>
      </c>
      <c r="D1166" s="621" t="s">
        <v>18</v>
      </c>
      <c r="E1166" s="621">
        <v>448</v>
      </c>
      <c r="F1166" s="622">
        <v>40424</v>
      </c>
      <c r="G1166" s="622">
        <v>44280</v>
      </c>
      <c r="H1166" s="621" t="s">
        <v>14</v>
      </c>
      <c r="I1166" s="621" t="s">
        <v>385</v>
      </c>
    </row>
    <row r="1167" spans="1:9">
      <c r="A1167" s="617">
        <f t="shared" si="18"/>
        <v>1163</v>
      </c>
      <c r="B1167" s="618" t="s">
        <v>136</v>
      </c>
      <c r="C1167" s="618" t="str">
        <f>"12112"</f>
        <v>12112</v>
      </c>
      <c r="D1167" s="618" t="s">
        <v>13</v>
      </c>
      <c r="E1167" s="618">
        <v>17</v>
      </c>
      <c r="F1167" s="619">
        <v>42716</v>
      </c>
      <c r="G1167" s="619">
        <v>53672</v>
      </c>
      <c r="H1167" s="618" t="s">
        <v>16</v>
      </c>
      <c r="I1167" s="618" t="s">
        <v>51</v>
      </c>
    </row>
    <row r="1168" spans="1:9">
      <c r="A1168" s="620">
        <f t="shared" si="18"/>
        <v>1164</v>
      </c>
      <c r="B1168" s="621" t="s">
        <v>15</v>
      </c>
      <c r="C1168" s="621" t="str">
        <f>"12113"</f>
        <v>12113</v>
      </c>
      <c r="D1168" s="621" t="s">
        <v>13</v>
      </c>
      <c r="E1168" s="621">
        <v>90</v>
      </c>
      <c r="F1168" s="622">
        <v>41144</v>
      </c>
      <c r="G1168" s="622">
        <v>52100</v>
      </c>
      <c r="H1168" s="621" t="s">
        <v>14</v>
      </c>
      <c r="I1168" s="621" t="s">
        <v>51</v>
      </c>
    </row>
    <row r="1169" spans="1:9">
      <c r="A1169" s="617">
        <f t="shared" si="18"/>
        <v>1165</v>
      </c>
      <c r="B1169" s="618" t="s">
        <v>137</v>
      </c>
      <c r="C1169" s="618" t="str">
        <f>"12114"</f>
        <v>12114</v>
      </c>
      <c r="D1169" s="618" t="s">
        <v>13</v>
      </c>
      <c r="E1169" s="618">
        <v>218</v>
      </c>
      <c r="F1169" s="619">
        <v>41705</v>
      </c>
      <c r="G1169" s="619">
        <v>52662</v>
      </c>
      <c r="H1169" s="618" t="s">
        <v>14</v>
      </c>
      <c r="I1169" s="618" t="s">
        <v>51</v>
      </c>
    </row>
    <row r="1170" spans="1:9">
      <c r="A1170" s="620">
        <f t="shared" si="18"/>
        <v>1166</v>
      </c>
      <c r="B1170" s="621" t="s">
        <v>138</v>
      </c>
      <c r="C1170" s="621" t="str">
        <f>"12115"</f>
        <v>12115</v>
      </c>
      <c r="D1170" s="621" t="s">
        <v>13</v>
      </c>
      <c r="E1170" s="621">
        <v>40</v>
      </c>
      <c r="F1170" s="622">
        <v>43252</v>
      </c>
      <c r="G1170" s="622">
        <v>54209</v>
      </c>
      <c r="H1170" s="621" t="s">
        <v>16</v>
      </c>
      <c r="I1170" s="621" t="s">
        <v>51</v>
      </c>
    </row>
    <row r="1171" spans="1:9">
      <c r="A1171" s="617">
        <f t="shared" si="18"/>
        <v>1167</v>
      </c>
      <c r="B1171" s="618" t="s">
        <v>1006</v>
      </c>
      <c r="C1171" s="618" t="str">
        <f>"12116"</f>
        <v>12116</v>
      </c>
      <c r="D1171" s="618" t="s">
        <v>18</v>
      </c>
      <c r="E1171" s="618">
        <v>135</v>
      </c>
      <c r="F1171" s="619">
        <v>40406</v>
      </c>
      <c r="G1171" s="619">
        <v>44691</v>
      </c>
      <c r="H1171" s="618" t="s">
        <v>14</v>
      </c>
      <c r="I1171" s="618" t="s">
        <v>6867</v>
      </c>
    </row>
    <row r="1172" spans="1:9">
      <c r="A1172" s="620">
        <f t="shared" si="18"/>
        <v>1168</v>
      </c>
      <c r="B1172" s="621" t="s">
        <v>139</v>
      </c>
      <c r="C1172" s="621" t="str">
        <f>"12117"</f>
        <v>12117</v>
      </c>
      <c r="D1172" s="621" t="s">
        <v>13</v>
      </c>
      <c r="E1172" s="621">
        <v>65</v>
      </c>
      <c r="F1172" s="622">
        <v>42115</v>
      </c>
      <c r="G1172" s="622">
        <v>53072</v>
      </c>
      <c r="H1172" s="621" t="s">
        <v>14</v>
      </c>
      <c r="I1172" s="621" t="s">
        <v>51</v>
      </c>
    </row>
    <row r="1173" spans="1:9">
      <c r="A1173" s="617">
        <f t="shared" si="18"/>
        <v>1169</v>
      </c>
      <c r="B1173" s="618" t="s">
        <v>35</v>
      </c>
      <c r="C1173" s="618" t="str">
        <f>"12123"</f>
        <v>12123</v>
      </c>
      <c r="D1173" s="618" t="s">
        <v>13</v>
      </c>
      <c r="E1173" s="618">
        <v>5</v>
      </c>
      <c r="F1173" s="619">
        <v>41024</v>
      </c>
      <c r="G1173" s="619">
        <v>51980</v>
      </c>
      <c r="H1173" s="618" t="s">
        <v>16</v>
      </c>
      <c r="I1173" s="618" t="s">
        <v>51</v>
      </c>
    </row>
    <row r="1174" spans="1:9">
      <c r="A1174" s="620">
        <f t="shared" si="18"/>
        <v>1170</v>
      </c>
      <c r="B1174" s="621" t="s">
        <v>36</v>
      </c>
      <c r="C1174" s="621" t="str">
        <f>"12133"</f>
        <v>12133</v>
      </c>
      <c r="D1174" s="621" t="s">
        <v>13</v>
      </c>
      <c r="E1174" s="621">
        <v>2</v>
      </c>
      <c r="F1174" s="622">
        <v>40102</v>
      </c>
      <c r="G1174" s="622">
        <v>45385</v>
      </c>
      <c r="H1174" s="621" t="s">
        <v>16</v>
      </c>
      <c r="I1174" s="621" t="s">
        <v>6858</v>
      </c>
    </row>
    <row r="1175" spans="1:9">
      <c r="A1175" s="617">
        <f t="shared" si="18"/>
        <v>1171</v>
      </c>
      <c r="B1175" s="618" t="s">
        <v>1753</v>
      </c>
      <c r="C1175" s="618" t="str">
        <f>"12136"</f>
        <v>12136</v>
      </c>
      <c r="D1175" s="618" t="s">
        <v>18</v>
      </c>
      <c r="E1175" s="618">
        <v>50</v>
      </c>
      <c r="F1175" s="619">
        <v>40443</v>
      </c>
      <c r="G1175" s="619">
        <v>44460</v>
      </c>
      <c r="H1175" s="618" t="s">
        <v>56</v>
      </c>
      <c r="I1175" s="618" t="s">
        <v>6863</v>
      </c>
    </row>
    <row r="1176" spans="1:9">
      <c r="A1176" s="620">
        <f t="shared" si="18"/>
        <v>1172</v>
      </c>
      <c r="B1176" s="621" t="s">
        <v>1273</v>
      </c>
      <c r="C1176" s="621" t="str">
        <f>"12161"</f>
        <v>12161</v>
      </c>
      <c r="D1176" s="621" t="s">
        <v>18</v>
      </c>
      <c r="E1176" s="621">
        <v>228</v>
      </c>
      <c r="F1176" s="622">
        <v>42778</v>
      </c>
      <c r="G1176" s="622">
        <v>44603</v>
      </c>
      <c r="H1176" s="621" t="s">
        <v>14</v>
      </c>
      <c r="I1176" s="621" t="s">
        <v>6868</v>
      </c>
    </row>
    <row r="1177" spans="1:9">
      <c r="A1177" s="617">
        <f t="shared" si="18"/>
        <v>1173</v>
      </c>
      <c r="B1177" s="618" t="s">
        <v>140</v>
      </c>
      <c r="C1177" s="618" t="str">
        <f>"12162"</f>
        <v>12162</v>
      </c>
      <c r="D1177" s="618" t="s">
        <v>13</v>
      </c>
      <c r="E1177" s="618">
        <v>140</v>
      </c>
      <c r="F1177" s="619">
        <v>44805</v>
      </c>
      <c r="G1177" s="619">
        <v>53935</v>
      </c>
      <c r="H1177" s="618" t="s">
        <v>14</v>
      </c>
      <c r="I1177" s="618" t="s">
        <v>6861</v>
      </c>
    </row>
    <row r="1178" spans="1:9">
      <c r="A1178" s="620">
        <f t="shared" si="18"/>
        <v>1174</v>
      </c>
      <c r="B1178" s="621" t="s">
        <v>1273</v>
      </c>
      <c r="C1178" s="621" t="str">
        <f>"12166"</f>
        <v>12166</v>
      </c>
      <c r="D1178" s="621" t="s">
        <v>18</v>
      </c>
      <c r="E1178" s="621">
        <v>118</v>
      </c>
      <c r="F1178" s="622">
        <v>42778</v>
      </c>
      <c r="G1178" s="622">
        <v>44603</v>
      </c>
      <c r="H1178" s="621" t="s">
        <v>14</v>
      </c>
      <c r="I1178" s="621" t="s">
        <v>6868</v>
      </c>
    </row>
    <row r="1179" spans="1:9">
      <c r="A1179" s="617">
        <f t="shared" si="18"/>
        <v>1175</v>
      </c>
      <c r="B1179" s="618" t="s">
        <v>1273</v>
      </c>
      <c r="C1179" s="618" t="str">
        <f>"12167"</f>
        <v>12167</v>
      </c>
      <c r="D1179" s="618" t="s">
        <v>18</v>
      </c>
      <c r="E1179" s="618">
        <v>107</v>
      </c>
      <c r="F1179" s="619">
        <v>42778</v>
      </c>
      <c r="G1179" s="619">
        <v>44603</v>
      </c>
      <c r="H1179" s="618" t="s">
        <v>14</v>
      </c>
      <c r="I1179" s="618" t="s">
        <v>6868</v>
      </c>
    </row>
    <row r="1180" spans="1:9">
      <c r="A1180" s="620">
        <f t="shared" si="18"/>
        <v>1176</v>
      </c>
      <c r="B1180" s="621" t="s">
        <v>1273</v>
      </c>
      <c r="C1180" s="621" t="str">
        <f>"12168"</f>
        <v>12168</v>
      </c>
      <c r="D1180" s="621" t="s">
        <v>18</v>
      </c>
      <c r="E1180" s="621">
        <v>119</v>
      </c>
      <c r="F1180" s="622">
        <v>42778</v>
      </c>
      <c r="G1180" s="622">
        <v>44603</v>
      </c>
      <c r="H1180" s="621" t="s">
        <v>14</v>
      </c>
      <c r="I1180" s="621" t="s">
        <v>6868</v>
      </c>
    </row>
    <row r="1181" spans="1:9">
      <c r="A1181" s="617">
        <f t="shared" si="18"/>
        <v>1177</v>
      </c>
      <c r="B1181" s="618" t="s">
        <v>1273</v>
      </c>
      <c r="C1181" s="618" t="str">
        <f>"12170"</f>
        <v>12170</v>
      </c>
      <c r="D1181" s="618" t="s">
        <v>18</v>
      </c>
      <c r="E1181" s="618">
        <v>153</v>
      </c>
      <c r="F1181" s="619">
        <v>42778</v>
      </c>
      <c r="G1181" s="619">
        <v>44603</v>
      </c>
      <c r="H1181" s="618" t="s">
        <v>14</v>
      </c>
      <c r="I1181" s="618" t="s">
        <v>6868</v>
      </c>
    </row>
    <row r="1182" spans="1:9">
      <c r="A1182" s="620">
        <f t="shared" si="18"/>
        <v>1178</v>
      </c>
      <c r="B1182" s="621" t="s">
        <v>140</v>
      </c>
      <c r="C1182" s="621" t="str">
        <f>"12172"</f>
        <v>12172</v>
      </c>
      <c r="D1182" s="621" t="s">
        <v>13</v>
      </c>
      <c r="E1182" s="621">
        <v>180</v>
      </c>
      <c r="F1182" s="622">
        <v>44805</v>
      </c>
      <c r="G1182" s="622">
        <v>53935</v>
      </c>
      <c r="H1182" s="621" t="s">
        <v>14</v>
      </c>
      <c r="I1182" s="621" t="s">
        <v>6861</v>
      </c>
    </row>
    <row r="1183" spans="1:9">
      <c r="A1183" s="617">
        <f t="shared" si="18"/>
        <v>1179</v>
      </c>
      <c r="B1183" s="618" t="s">
        <v>140</v>
      </c>
      <c r="C1183" s="618" t="str">
        <f>"12173"</f>
        <v>12173</v>
      </c>
      <c r="D1183" s="618" t="s">
        <v>13</v>
      </c>
      <c r="E1183" s="618">
        <v>115</v>
      </c>
      <c r="F1183" s="619">
        <v>44805</v>
      </c>
      <c r="G1183" s="619">
        <v>53935</v>
      </c>
      <c r="H1183" s="618" t="s">
        <v>14</v>
      </c>
      <c r="I1183" s="618" t="s">
        <v>6861</v>
      </c>
    </row>
    <row r="1184" spans="1:9">
      <c r="A1184" s="620">
        <f t="shared" si="18"/>
        <v>1180</v>
      </c>
      <c r="B1184" s="621" t="s">
        <v>1273</v>
      </c>
      <c r="C1184" s="621" t="str">
        <f>"12174"</f>
        <v>12174</v>
      </c>
      <c r="D1184" s="621" t="s">
        <v>18</v>
      </c>
      <c r="E1184" s="621">
        <v>119</v>
      </c>
      <c r="F1184" s="622">
        <v>42778</v>
      </c>
      <c r="G1184" s="622">
        <v>44603</v>
      </c>
      <c r="H1184" s="621" t="s">
        <v>14</v>
      </c>
      <c r="I1184" s="621" t="s">
        <v>6868</v>
      </c>
    </row>
    <row r="1185" spans="1:9">
      <c r="A1185" s="617">
        <f t="shared" si="18"/>
        <v>1181</v>
      </c>
      <c r="B1185" s="618" t="s">
        <v>140</v>
      </c>
      <c r="C1185" s="618" t="str">
        <f>"12175"</f>
        <v>12175</v>
      </c>
      <c r="D1185" s="618" t="s">
        <v>13</v>
      </c>
      <c r="E1185" s="618">
        <v>126</v>
      </c>
      <c r="F1185" s="619">
        <v>44805</v>
      </c>
      <c r="G1185" s="619">
        <v>53935</v>
      </c>
      <c r="H1185" s="618" t="s">
        <v>14</v>
      </c>
      <c r="I1185" s="618" t="s">
        <v>6861</v>
      </c>
    </row>
    <row r="1186" spans="1:9">
      <c r="A1186" s="620">
        <f t="shared" si="18"/>
        <v>1182</v>
      </c>
      <c r="B1186" s="621" t="s">
        <v>140</v>
      </c>
      <c r="C1186" s="621" t="str">
        <f>"12182"</f>
        <v>12182</v>
      </c>
      <c r="D1186" s="621" t="s">
        <v>13</v>
      </c>
      <c r="E1186" s="621">
        <v>200</v>
      </c>
      <c r="F1186" s="622">
        <v>44805</v>
      </c>
      <c r="G1186" s="622">
        <v>53935</v>
      </c>
      <c r="H1186" s="621" t="s">
        <v>14</v>
      </c>
      <c r="I1186" s="621" t="s">
        <v>6861</v>
      </c>
    </row>
    <row r="1187" spans="1:9">
      <c r="A1187" s="617">
        <f t="shared" si="18"/>
        <v>1183</v>
      </c>
      <c r="B1187" s="618" t="s">
        <v>140</v>
      </c>
      <c r="C1187" s="618" t="str">
        <f>"12183"</f>
        <v>12183</v>
      </c>
      <c r="D1187" s="618" t="s">
        <v>13</v>
      </c>
      <c r="E1187" s="618">
        <v>200</v>
      </c>
      <c r="F1187" s="619">
        <v>44805</v>
      </c>
      <c r="G1187" s="619">
        <v>53935</v>
      </c>
      <c r="H1187" s="618" t="s">
        <v>14</v>
      </c>
      <c r="I1187" s="618" t="s">
        <v>6861</v>
      </c>
    </row>
    <row r="1188" spans="1:9">
      <c r="A1188" s="620">
        <f t="shared" si="18"/>
        <v>1184</v>
      </c>
      <c r="B1188" s="621" t="s">
        <v>140</v>
      </c>
      <c r="C1188" s="621" t="str">
        <f>"12188"</f>
        <v>12188</v>
      </c>
      <c r="D1188" s="621" t="s">
        <v>13</v>
      </c>
      <c r="E1188" s="621">
        <v>175</v>
      </c>
      <c r="F1188" s="622">
        <v>44805</v>
      </c>
      <c r="G1188" s="622">
        <v>53935</v>
      </c>
      <c r="H1188" s="621" t="s">
        <v>14</v>
      </c>
      <c r="I1188" s="621" t="s">
        <v>6861</v>
      </c>
    </row>
    <row r="1189" spans="1:9">
      <c r="A1189" s="617">
        <f t="shared" si="18"/>
        <v>1185</v>
      </c>
      <c r="B1189" s="618" t="s">
        <v>1273</v>
      </c>
      <c r="C1189" s="618" t="str">
        <f>"12189"</f>
        <v>12189</v>
      </c>
      <c r="D1189" s="618" t="s">
        <v>18</v>
      </c>
      <c r="E1189" s="618">
        <v>199</v>
      </c>
      <c r="F1189" s="619">
        <v>42778</v>
      </c>
      <c r="G1189" s="619">
        <v>44603</v>
      </c>
      <c r="H1189" s="618" t="s">
        <v>14</v>
      </c>
      <c r="I1189" s="618" t="s">
        <v>6868</v>
      </c>
    </row>
    <row r="1190" spans="1:9">
      <c r="A1190" s="620">
        <f t="shared" si="18"/>
        <v>1186</v>
      </c>
      <c r="B1190" s="621" t="s">
        <v>1273</v>
      </c>
      <c r="C1190" s="621" t="str">
        <f>"12190"</f>
        <v>12190</v>
      </c>
      <c r="D1190" s="621" t="s">
        <v>18</v>
      </c>
      <c r="E1190" s="621">
        <v>142</v>
      </c>
      <c r="F1190" s="622">
        <v>42778</v>
      </c>
      <c r="G1190" s="622">
        <v>44603</v>
      </c>
      <c r="H1190" s="621" t="s">
        <v>14</v>
      </c>
      <c r="I1190" s="621" t="s">
        <v>6868</v>
      </c>
    </row>
    <row r="1191" spans="1:9">
      <c r="A1191" s="617">
        <f t="shared" si="18"/>
        <v>1187</v>
      </c>
      <c r="B1191" s="618" t="s">
        <v>141</v>
      </c>
      <c r="C1191" s="618" t="str">
        <f>"12198"</f>
        <v>12198</v>
      </c>
      <c r="D1191" s="618" t="s">
        <v>13</v>
      </c>
      <c r="E1191" s="618">
        <v>10</v>
      </c>
      <c r="F1191" s="619">
        <v>42300</v>
      </c>
      <c r="G1191" s="619">
        <v>53257</v>
      </c>
      <c r="H1191" s="618" t="s">
        <v>16</v>
      </c>
      <c r="I1191" s="618" t="s">
        <v>51</v>
      </c>
    </row>
    <row r="1192" spans="1:9">
      <c r="A1192" s="620">
        <f t="shared" si="18"/>
        <v>1188</v>
      </c>
      <c r="B1192" s="621" t="s">
        <v>159</v>
      </c>
      <c r="C1192" s="621" t="str">
        <f>"12203"</f>
        <v>12203</v>
      </c>
      <c r="D1192" s="621" t="s">
        <v>18</v>
      </c>
      <c r="E1192" s="621">
        <v>294</v>
      </c>
      <c r="F1192" s="622">
        <v>40470</v>
      </c>
      <c r="G1192" s="622">
        <v>42295</v>
      </c>
      <c r="H1192" s="621" t="s">
        <v>45</v>
      </c>
      <c r="I1192" s="621" t="s">
        <v>6868</v>
      </c>
    </row>
    <row r="1193" spans="1:9">
      <c r="A1193" s="617">
        <f t="shared" si="18"/>
        <v>1189</v>
      </c>
      <c r="B1193" s="618" t="s">
        <v>159</v>
      </c>
      <c r="C1193" s="618" t="str">
        <f>"12204"</f>
        <v>12204</v>
      </c>
      <c r="D1193" s="618" t="s">
        <v>18</v>
      </c>
      <c r="E1193" s="618">
        <v>259</v>
      </c>
      <c r="F1193" s="619">
        <v>40470</v>
      </c>
      <c r="G1193" s="619">
        <v>42295</v>
      </c>
      <c r="H1193" s="618" t="s">
        <v>45</v>
      </c>
      <c r="I1193" s="618" t="s">
        <v>6868</v>
      </c>
    </row>
    <row r="1194" spans="1:9">
      <c r="A1194" s="620">
        <f t="shared" si="18"/>
        <v>1190</v>
      </c>
      <c r="B1194" s="621" t="s">
        <v>159</v>
      </c>
      <c r="C1194" s="621" t="str">
        <f>"12205"</f>
        <v>12205</v>
      </c>
      <c r="D1194" s="621" t="s">
        <v>18</v>
      </c>
      <c r="E1194" s="621">
        <v>22</v>
      </c>
      <c r="F1194" s="622">
        <v>40470</v>
      </c>
      <c r="G1194" s="622">
        <v>42295</v>
      </c>
      <c r="H1194" s="621" t="s">
        <v>45</v>
      </c>
      <c r="I1194" s="621" t="s">
        <v>6868</v>
      </c>
    </row>
    <row r="1195" spans="1:9">
      <c r="A1195" s="617">
        <f t="shared" si="18"/>
        <v>1191</v>
      </c>
      <c r="B1195" s="618" t="s">
        <v>151</v>
      </c>
      <c r="C1195" s="618" t="str">
        <f>"12206"</f>
        <v>12206</v>
      </c>
      <c r="D1195" s="618" t="s">
        <v>18</v>
      </c>
      <c r="E1195" s="618">
        <v>8</v>
      </c>
      <c r="F1195" s="619">
        <v>43025</v>
      </c>
      <c r="G1195" s="619">
        <v>44850</v>
      </c>
      <c r="H1195" s="618" t="s">
        <v>43</v>
      </c>
      <c r="I1195" s="618" t="s">
        <v>6859</v>
      </c>
    </row>
    <row r="1196" spans="1:9">
      <c r="A1196" s="620">
        <f t="shared" si="18"/>
        <v>1192</v>
      </c>
      <c r="B1196" s="621" t="s">
        <v>443</v>
      </c>
      <c r="C1196" s="621" t="str">
        <f>"12226"</f>
        <v>12226</v>
      </c>
      <c r="D1196" s="621" t="s">
        <v>18</v>
      </c>
      <c r="E1196" s="621">
        <v>63</v>
      </c>
      <c r="F1196" s="622">
        <v>40828</v>
      </c>
      <c r="G1196" s="622">
        <v>42654</v>
      </c>
      <c r="H1196" s="621" t="s">
        <v>41</v>
      </c>
      <c r="I1196" s="621" t="s">
        <v>6874</v>
      </c>
    </row>
    <row r="1197" spans="1:9">
      <c r="A1197" s="617">
        <f t="shared" si="18"/>
        <v>1193</v>
      </c>
      <c r="B1197" s="618" t="s">
        <v>147</v>
      </c>
      <c r="C1197" s="618" t="str">
        <f>"12234"</f>
        <v>12234</v>
      </c>
      <c r="D1197" s="618" t="s">
        <v>37</v>
      </c>
      <c r="E1197" s="618">
        <v>6</v>
      </c>
      <c r="F1197" s="619">
        <v>42393</v>
      </c>
      <c r="G1197" s="619">
        <v>43853</v>
      </c>
      <c r="H1197" s="618" t="s">
        <v>14</v>
      </c>
      <c r="I1197" s="618" t="s">
        <v>6858</v>
      </c>
    </row>
    <row r="1198" spans="1:9">
      <c r="A1198" s="620">
        <f t="shared" si="18"/>
        <v>1194</v>
      </c>
      <c r="B1198" s="621" t="s">
        <v>64</v>
      </c>
      <c r="C1198" s="621" t="str">
        <f>"12263"</f>
        <v>12263</v>
      </c>
      <c r="D1198" s="621" t="s">
        <v>13</v>
      </c>
      <c r="E1198" s="621">
        <v>19</v>
      </c>
      <c r="F1198" s="622">
        <v>40620</v>
      </c>
      <c r="G1198" s="622">
        <v>43743</v>
      </c>
      <c r="H1198" s="621" t="s">
        <v>14</v>
      </c>
      <c r="I1198" s="621" t="s">
        <v>6858</v>
      </c>
    </row>
    <row r="1199" spans="1:9">
      <c r="A1199" s="617">
        <f t="shared" si="18"/>
        <v>1195</v>
      </c>
      <c r="B1199" s="618" t="s">
        <v>64</v>
      </c>
      <c r="C1199" s="618" t="str">
        <f>"12264"</f>
        <v>12264</v>
      </c>
      <c r="D1199" s="618" t="s">
        <v>13</v>
      </c>
      <c r="E1199" s="618">
        <v>16</v>
      </c>
      <c r="F1199" s="619">
        <v>42476</v>
      </c>
      <c r="G1199" s="619">
        <v>47953</v>
      </c>
      <c r="H1199" s="618" t="s">
        <v>14</v>
      </c>
      <c r="I1199" s="618" t="s">
        <v>51</v>
      </c>
    </row>
    <row r="1200" spans="1:9">
      <c r="A1200" s="620">
        <f t="shared" si="18"/>
        <v>1196</v>
      </c>
      <c r="B1200" s="621" t="s">
        <v>36</v>
      </c>
      <c r="C1200" s="621" t="str">
        <f>"12270"</f>
        <v>12270</v>
      </c>
      <c r="D1200" s="621" t="s">
        <v>13</v>
      </c>
      <c r="E1200" s="621">
        <v>1</v>
      </c>
      <c r="F1200" s="622">
        <v>40102</v>
      </c>
      <c r="G1200" s="622">
        <v>45384</v>
      </c>
      <c r="H1200" s="621" t="s">
        <v>14</v>
      </c>
      <c r="I1200" s="621" t="s">
        <v>6858</v>
      </c>
    </row>
    <row r="1201" spans="1:9">
      <c r="A1201" s="617">
        <f t="shared" si="18"/>
        <v>1197</v>
      </c>
      <c r="B1201" s="618" t="s">
        <v>133</v>
      </c>
      <c r="C1201" s="618" t="str">
        <f>"12271"</f>
        <v>12271</v>
      </c>
      <c r="D1201" s="618" t="s">
        <v>13</v>
      </c>
      <c r="E1201" s="618">
        <v>4</v>
      </c>
      <c r="F1201" s="619">
        <v>40102</v>
      </c>
      <c r="G1201" s="619">
        <v>45384</v>
      </c>
      <c r="H1201" s="618" t="s">
        <v>14</v>
      </c>
      <c r="I1201" s="618" t="s">
        <v>6858</v>
      </c>
    </row>
    <row r="1202" spans="1:9">
      <c r="A1202" s="620">
        <f t="shared" si="18"/>
        <v>1198</v>
      </c>
      <c r="B1202" s="621" t="s">
        <v>133</v>
      </c>
      <c r="C1202" s="621" t="str">
        <f>"12272"</f>
        <v>12272</v>
      </c>
      <c r="D1202" s="621" t="s">
        <v>13</v>
      </c>
      <c r="E1202" s="621">
        <v>3</v>
      </c>
      <c r="F1202" s="622">
        <v>40102</v>
      </c>
      <c r="G1202" s="622">
        <v>45384</v>
      </c>
      <c r="H1202" s="621" t="s">
        <v>14</v>
      </c>
      <c r="I1202" s="621" t="s">
        <v>6858</v>
      </c>
    </row>
    <row r="1203" spans="1:9">
      <c r="A1203" s="617">
        <f t="shared" si="18"/>
        <v>1199</v>
      </c>
      <c r="B1203" s="618" t="s">
        <v>133</v>
      </c>
      <c r="C1203" s="618" t="str">
        <f>"12273"</f>
        <v>12273</v>
      </c>
      <c r="D1203" s="618" t="s">
        <v>13</v>
      </c>
      <c r="E1203" s="618">
        <v>4</v>
      </c>
      <c r="F1203" s="619">
        <v>40507</v>
      </c>
      <c r="G1203" s="619">
        <v>45384</v>
      </c>
      <c r="H1203" s="618" t="s">
        <v>14</v>
      </c>
      <c r="I1203" s="618" t="s">
        <v>6858</v>
      </c>
    </row>
    <row r="1204" spans="1:9">
      <c r="A1204" s="620">
        <f t="shared" si="18"/>
        <v>1200</v>
      </c>
      <c r="B1204" s="621" t="s">
        <v>36</v>
      </c>
      <c r="C1204" s="621" t="str">
        <f>"12274"</f>
        <v>12274</v>
      </c>
      <c r="D1204" s="621" t="s">
        <v>13</v>
      </c>
      <c r="E1204" s="621">
        <v>22</v>
      </c>
      <c r="F1204" s="622">
        <v>40102</v>
      </c>
      <c r="G1204" s="622">
        <v>45384</v>
      </c>
      <c r="H1204" s="621" t="s">
        <v>14</v>
      </c>
      <c r="I1204" s="621" t="s">
        <v>6858</v>
      </c>
    </row>
    <row r="1205" spans="1:9">
      <c r="A1205" s="617">
        <f t="shared" si="18"/>
        <v>1201</v>
      </c>
      <c r="B1205" s="618" t="s">
        <v>36</v>
      </c>
      <c r="C1205" s="618" t="str">
        <f>"12275"</f>
        <v>12275</v>
      </c>
      <c r="D1205" s="618" t="s">
        <v>13</v>
      </c>
      <c r="E1205" s="618">
        <v>1</v>
      </c>
      <c r="F1205" s="619">
        <v>40102</v>
      </c>
      <c r="G1205" s="619">
        <v>45384</v>
      </c>
      <c r="H1205" s="618" t="s">
        <v>14</v>
      </c>
      <c r="I1205" s="618" t="s">
        <v>6858</v>
      </c>
    </row>
    <row r="1206" spans="1:9">
      <c r="A1206" s="620">
        <f t="shared" si="18"/>
        <v>1202</v>
      </c>
      <c r="B1206" s="621" t="s">
        <v>36</v>
      </c>
      <c r="C1206" s="621" t="str">
        <f>"12276"</f>
        <v>12276</v>
      </c>
      <c r="D1206" s="621" t="s">
        <v>13</v>
      </c>
      <c r="E1206" s="621">
        <v>62</v>
      </c>
      <c r="F1206" s="622">
        <v>40102</v>
      </c>
      <c r="G1206" s="622">
        <v>45384</v>
      </c>
      <c r="H1206" s="621" t="s">
        <v>14</v>
      </c>
      <c r="I1206" s="621" t="s">
        <v>6858</v>
      </c>
    </row>
    <row r="1207" spans="1:9">
      <c r="A1207" s="617">
        <f t="shared" si="18"/>
        <v>1203</v>
      </c>
      <c r="B1207" s="618" t="s">
        <v>133</v>
      </c>
      <c r="C1207" s="618" t="str">
        <f>"12277"</f>
        <v>12277</v>
      </c>
      <c r="D1207" s="618" t="s">
        <v>13</v>
      </c>
      <c r="E1207" s="618">
        <v>3</v>
      </c>
      <c r="F1207" s="619">
        <v>40102</v>
      </c>
      <c r="G1207" s="619">
        <v>45384</v>
      </c>
      <c r="H1207" s="618" t="s">
        <v>14</v>
      </c>
      <c r="I1207" s="618" t="s">
        <v>6858</v>
      </c>
    </row>
    <row r="1208" spans="1:9">
      <c r="A1208" s="620">
        <f t="shared" si="18"/>
        <v>1204</v>
      </c>
      <c r="B1208" s="621" t="s">
        <v>87</v>
      </c>
      <c r="C1208" s="621" t="str">
        <f>"12286"</f>
        <v>12286</v>
      </c>
      <c r="D1208" s="621" t="s">
        <v>13</v>
      </c>
      <c r="E1208" s="621">
        <v>6</v>
      </c>
      <c r="F1208" s="622">
        <v>40697</v>
      </c>
      <c r="G1208" s="622">
        <v>51654</v>
      </c>
      <c r="H1208" s="621" t="s">
        <v>16</v>
      </c>
      <c r="I1208" s="621" t="s">
        <v>6879</v>
      </c>
    </row>
    <row r="1209" spans="1:9">
      <c r="A1209" s="617">
        <f t="shared" si="18"/>
        <v>1205</v>
      </c>
      <c r="B1209" s="618" t="s">
        <v>142</v>
      </c>
      <c r="C1209" s="618" t="str">
        <f>"12329"</f>
        <v>12329</v>
      </c>
      <c r="D1209" s="618" t="s">
        <v>13</v>
      </c>
      <c r="E1209" s="618">
        <v>5</v>
      </c>
      <c r="F1209" s="619">
        <v>40617</v>
      </c>
      <c r="G1209" s="619">
        <v>51574</v>
      </c>
      <c r="H1209" s="618" t="s">
        <v>43</v>
      </c>
      <c r="I1209" s="618" t="s">
        <v>51</v>
      </c>
    </row>
    <row r="1210" spans="1:9">
      <c r="A1210" s="620">
        <f t="shared" si="18"/>
        <v>1206</v>
      </c>
      <c r="B1210" s="621" t="s">
        <v>142</v>
      </c>
      <c r="C1210" s="621" t="str">
        <f>"12330"</f>
        <v>12330</v>
      </c>
      <c r="D1210" s="621" t="s">
        <v>13</v>
      </c>
      <c r="E1210" s="621">
        <v>4</v>
      </c>
      <c r="F1210" s="622">
        <v>40617</v>
      </c>
      <c r="G1210" s="622">
        <v>51574</v>
      </c>
      <c r="H1210" s="621" t="s">
        <v>43</v>
      </c>
      <c r="I1210" s="621" t="s">
        <v>51</v>
      </c>
    </row>
    <row r="1211" spans="1:9">
      <c r="A1211" s="617">
        <f t="shared" si="18"/>
        <v>1207</v>
      </c>
      <c r="B1211" s="618" t="s">
        <v>38</v>
      </c>
      <c r="C1211" s="618" t="str">
        <f>"12336"</f>
        <v>12336</v>
      </c>
      <c r="D1211" s="618" t="s">
        <v>18</v>
      </c>
      <c r="E1211" s="618">
        <v>98</v>
      </c>
      <c r="F1211" s="619">
        <v>42767</v>
      </c>
      <c r="G1211" s="619">
        <v>46418</v>
      </c>
      <c r="H1211" s="618" t="s">
        <v>16</v>
      </c>
      <c r="I1211" s="618" t="s">
        <v>51</v>
      </c>
    </row>
    <row r="1212" spans="1:9">
      <c r="A1212" s="620">
        <f t="shared" si="18"/>
        <v>1208</v>
      </c>
      <c r="B1212" s="621" t="s">
        <v>143</v>
      </c>
      <c r="C1212" s="621" t="str">
        <f>"12337"</f>
        <v>12337</v>
      </c>
      <c r="D1212" s="621" t="s">
        <v>13</v>
      </c>
      <c r="E1212" s="621">
        <v>12</v>
      </c>
      <c r="F1212" s="622">
        <v>43336</v>
      </c>
      <c r="G1212" s="622">
        <v>52466</v>
      </c>
      <c r="H1212" s="621" t="s">
        <v>16</v>
      </c>
      <c r="I1212" s="621" t="s">
        <v>51</v>
      </c>
    </row>
    <row r="1213" spans="1:9">
      <c r="A1213" s="617">
        <f t="shared" si="18"/>
        <v>1209</v>
      </c>
      <c r="B1213" s="618" t="s">
        <v>36</v>
      </c>
      <c r="C1213" s="618" t="str">
        <f>"12347"</f>
        <v>12347</v>
      </c>
      <c r="D1213" s="618" t="s">
        <v>37</v>
      </c>
      <c r="E1213" s="618">
        <v>3</v>
      </c>
      <c r="F1213" s="619">
        <v>44222</v>
      </c>
      <c r="G1213" s="619">
        <v>46047</v>
      </c>
      <c r="H1213" s="618" t="s">
        <v>14</v>
      </c>
      <c r="I1213" s="618" t="s">
        <v>51</v>
      </c>
    </row>
    <row r="1214" spans="1:9">
      <c r="A1214" s="620">
        <f t="shared" si="18"/>
        <v>1210</v>
      </c>
      <c r="B1214" s="621" t="s">
        <v>147</v>
      </c>
      <c r="C1214" s="621" t="str">
        <f>"12349"</f>
        <v>12349</v>
      </c>
      <c r="D1214" s="621" t="s">
        <v>37</v>
      </c>
      <c r="E1214" s="621">
        <v>6</v>
      </c>
      <c r="F1214" s="622">
        <v>42393</v>
      </c>
      <c r="G1214" s="622">
        <v>43853</v>
      </c>
      <c r="H1214" s="621" t="s">
        <v>14</v>
      </c>
      <c r="I1214" s="621" t="s">
        <v>6858</v>
      </c>
    </row>
    <row r="1215" spans="1:9">
      <c r="A1215" s="617">
        <f t="shared" si="18"/>
        <v>1211</v>
      </c>
      <c r="B1215" s="618" t="s">
        <v>147</v>
      </c>
      <c r="C1215" s="618" t="str">
        <f>"12350"</f>
        <v>12350</v>
      </c>
      <c r="D1215" s="618" t="s">
        <v>37</v>
      </c>
      <c r="E1215" s="618">
        <v>1</v>
      </c>
      <c r="F1215" s="619">
        <v>42393</v>
      </c>
      <c r="G1215" s="619">
        <v>43853</v>
      </c>
      <c r="H1215" s="618" t="s">
        <v>14</v>
      </c>
      <c r="I1215" s="618" t="s">
        <v>6858</v>
      </c>
    </row>
    <row r="1216" spans="1:9">
      <c r="A1216" s="620">
        <f t="shared" si="18"/>
        <v>1212</v>
      </c>
      <c r="B1216" s="621" t="s">
        <v>144</v>
      </c>
      <c r="C1216" s="621" t="str">
        <f>"12355"</f>
        <v>12355</v>
      </c>
      <c r="D1216" s="621" t="s">
        <v>13</v>
      </c>
      <c r="E1216" s="621">
        <v>60</v>
      </c>
      <c r="F1216" s="622">
        <v>43277</v>
      </c>
      <c r="G1216" s="622">
        <v>54234</v>
      </c>
      <c r="H1216" s="621" t="s">
        <v>14</v>
      </c>
      <c r="I1216" s="621" t="s">
        <v>6862</v>
      </c>
    </row>
    <row r="1217" spans="1:9">
      <c r="A1217" s="617">
        <f t="shared" si="18"/>
        <v>1213</v>
      </c>
      <c r="B1217" s="618" t="s">
        <v>444</v>
      </c>
      <c r="C1217" s="618" t="str">
        <f>"12356"</f>
        <v>12356</v>
      </c>
      <c r="D1217" s="618" t="s">
        <v>27</v>
      </c>
      <c r="E1217" s="618">
        <v>42</v>
      </c>
      <c r="F1217" s="619">
        <v>43178</v>
      </c>
      <c r="G1217" s="619">
        <v>45003</v>
      </c>
      <c r="H1217" s="618" t="s">
        <v>14</v>
      </c>
      <c r="I1217" s="618" t="s">
        <v>6861</v>
      </c>
    </row>
    <row r="1218" spans="1:9">
      <c r="A1218" s="620">
        <f t="shared" si="18"/>
        <v>1214</v>
      </c>
      <c r="B1218" s="621" t="s">
        <v>444</v>
      </c>
      <c r="C1218" s="621" t="str">
        <f>"12358"</f>
        <v>12358</v>
      </c>
      <c r="D1218" s="621" t="s">
        <v>18</v>
      </c>
      <c r="E1218" s="621">
        <v>11</v>
      </c>
      <c r="F1218" s="622">
        <v>41824</v>
      </c>
      <c r="G1218" s="622">
        <v>43649</v>
      </c>
      <c r="H1218" s="621" t="s">
        <v>14</v>
      </c>
      <c r="I1218" s="621" t="s">
        <v>400</v>
      </c>
    </row>
    <row r="1219" spans="1:9">
      <c r="A1219" s="617">
        <f t="shared" si="18"/>
        <v>1215</v>
      </c>
      <c r="B1219" s="618" t="s">
        <v>444</v>
      </c>
      <c r="C1219" s="618" t="str">
        <f>"12359"</f>
        <v>12359</v>
      </c>
      <c r="D1219" s="618" t="s">
        <v>18</v>
      </c>
      <c r="E1219" s="618">
        <v>50</v>
      </c>
      <c r="F1219" s="619">
        <v>41824</v>
      </c>
      <c r="G1219" s="619">
        <v>43649</v>
      </c>
      <c r="H1219" s="618" t="s">
        <v>14</v>
      </c>
      <c r="I1219" s="618" t="s">
        <v>6858</v>
      </c>
    </row>
    <row r="1220" spans="1:9">
      <c r="A1220" s="620">
        <f t="shared" si="18"/>
        <v>1216</v>
      </c>
      <c r="B1220" s="621" t="s">
        <v>15</v>
      </c>
      <c r="C1220" s="621" t="str">
        <f>"12370"</f>
        <v>12370</v>
      </c>
      <c r="D1220" s="621" t="s">
        <v>18</v>
      </c>
      <c r="E1220" s="621">
        <v>184</v>
      </c>
      <c r="F1220" s="622">
        <v>41900</v>
      </c>
      <c r="G1220" s="622">
        <v>44224</v>
      </c>
      <c r="H1220" s="621" t="s">
        <v>14</v>
      </c>
      <c r="I1220" s="621" t="s">
        <v>6868</v>
      </c>
    </row>
    <row r="1221" spans="1:9">
      <c r="A1221" s="617">
        <f t="shared" si="18"/>
        <v>1217</v>
      </c>
      <c r="B1221" s="618" t="s">
        <v>15</v>
      </c>
      <c r="C1221" s="618" t="str">
        <f>"12371"</f>
        <v>12371</v>
      </c>
      <c r="D1221" s="618" t="s">
        <v>18</v>
      </c>
      <c r="E1221" s="618">
        <v>400</v>
      </c>
      <c r="F1221" s="619">
        <v>41900</v>
      </c>
      <c r="G1221" s="619">
        <v>44224</v>
      </c>
      <c r="H1221" s="618" t="s">
        <v>14</v>
      </c>
      <c r="I1221" s="618" t="s">
        <v>6868</v>
      </c>
    </row>
    <row r="1222" spans="1:9">
      <c r="A1222" s="620">
        <f t="shared" si="18"/>
        <v>1218</v>
      </c>
      <c r="B1222" s="621" t="s">
        <v>15</v>
      </c>
      <c r="C1222" s="621" t="str">
        <f>"12372"</f>
        <v>12372</v>
      </c>
      <c r="D1222" s="621" t="s">
        <v>18</v>
      </c>
      <c r="E1222" s="621">
        <v>292</v>
      </c>
      <c r="F1222" s="622">
        <v>41900</v>
      </c>
      <c r="G1222" s="622">
        <v>44224</v>
      </c>
      <c r="H1222" s="621" t="s">
        <v>14</v>
      </c>
      <c r="I1222" s="621" t="s">
        <v>6868</v>
      </c>
    </row>
    <row r="1223" spans="1:9">
      <c r="A1223" s="617">
        <f t="shared" ref="A1223:A1286" si="19">+A1222+1</f>
        <v>1219</v>
      </c>
      <c r="B1223" s="618" t="s">
        <v>15</v>
      </c>
      <c r="C1223" s="618" t="str">
        <f>"12373"</f>
        <v>12373</v>
      </c>
      <c r="D1223" s="618" t="s">
        <v>18</v>
      </c>
      <c r="E1223" s="618">
        <v>240</v>
      </c>
      <c r="F1223" s="619">
        <v>41900</v>
      </c>
      <c r="G1223" s="619">
        <v>44224</v>
      </c>
      <c r="H1223" s="618" t="s">
        <v>14</v>
      </c>
      <c r="I1223" s="618" t="s">
        <v>6868</v>
      </c>
    </row>
    <row r="1224" spans="1:9">
      <c r="A1224" s="620">
        <f t="shared" si="19"/>
        <v>1220</v>
      </c>
      <c r="B1224" s="621" t="s">
        <v>445</v>
      </c>
      <c r="C1224" s="621" t="str">
        <f>"12374"</f>
        <v>12374</v>
      </c>
      <c r="D1224" s="621" t="s">
        <v>18</v>
      </c>
      <c r="E1224" s="621">
        <v>4</v>
      </c>
      <c r="F1224" s="622">
        <v>41510</v>
      </c>
      <c r="G1224" s="622">
        <v>43335</v>
      </c>
      <c r="H1224" s="621" t="s">
        <v>43</v>
      </c>
      <c r="I1224" s="621" t="s">
        <v>6868</v>
      </c>
    </row>
    <row r="1225" spans="1:9">
      <c r="A1225" s="617">
        <f t="shared" si="19"/>
        <v>1221</v>
      </c>
      <c r="B1225" s="618" t="s">
        <v>145</v>
      </c>
      <c r="C1225" s="618" t="str">
        <f>"12386"</f>
        <v>12386</v>
      </c>
      <c r="D1225" s="618" t="s">
        <v>13</v>
      </c>
      <c r="E1225" s="618">
        <v>2</v>
      </c>
      <c r="F1225" s="619">
        <v>43510</v>
      </c>
      <c r="G1225" s="619">
        <v>52640</v>
      </c>
      <c r="H1225" s="618" t="s">
        <v>43</v>
      </c>
      <c r="I1225" s="618" t="s">
        <v>51</v>
      </c>
    </row>
    <row r="1226" spans="1:9">
      <c r="A1226" s="620">
        <f t="shared" si="19"/>
        <v>1222</v>
      </c>
      <c r="B1226" s="621" t="s">
        <v>145</v>
      </c>
      <c r="C1226" s="621" t="str">
        <f>"12387"</f>
        <v>12387</v>
      </c>
      <c r="D1226" s="621" t="s">
        <v>13</v>
      </c>
      <c r="E1226" s="621">
        <v>2</v>
      </c>
      <c r="F1226" s="622">
        <v>43510</v>
      </c>
      <c r="G1226" s="622">
        <v>52640</v>
      </c>
      <c r="H1226" s="621" t="s">
        <v>43</v>
      </c>
      <c r="I1226" s="621" t="s">
        <v>51</v>
      </c>
    </row>
    <row r="1227" spans="1:9">
      <c r="A1227" s="617">
        <f t="shared" si="19"/>
        <v>1223</v>
      </c>
      <c r="B1227" s="618" t="s">
        <v>446</v>
      </c>
      <c r="C1227" s="618" t="str">
        <f>"12388"</f>
        <v>12388</v>
      </c>
      <c r="D1227" s="618" t="s">
        <v>27</v>
      </c>
      <c r="E1227" s="618">
        <v>301</v>
      </c>
      <c r="F1227" s="619">
        <v>41453</v>
      </c>
      <c r="G1227" s="619">
        <v>43278</v>
      </c>
      <c r="H1227" s="618" t="s">
        <v>45</v>
      </c>
      <c r="I1227" s="618" t="s">
        <v>6858</v>
      </c>
    </row>
    <row r="1228" spans="1:9">
      <c r="A1228" s="620">
        <f t="shared" si="19"/>
        <v>1224</v>
      </c>
      <c r="B1228" s="621" t="s">
        <v>446</v>
      </c>
      <c r="C1228" s="621" t="str">
        <f>"12390"</f>
        <v>12390</v>
      </c>
      <c r="D1228" s="621" t="s">
        <v>27</v>
      </c>
      <c r="E1228" s="621">
        <v>235</v>
      </c>
      <c r="F1228" s="622">
        <v>41453</v>
      </c>
      <c r="G1228" s="622">
        <v>43278</v>
      </c>
      <c r="H1228" s="621" t="s">
        <v>45</v>
      </c>
      <c r="I1228" s="621" t="s">
        <v>6858</v>
      </c>
    </row>
    <row r="1229" spans="1:9">
      <c r="A1229" s="617">
        <f t="shared" si="19"/>
        <v>1225</v>
      </c>
      <c r="B1229" s="618" t="s">
        <v>1754</v>
      </c>
      <c r="C1229" s="618" t="str">
        <f>"12421"</f>
        <v>12421</v>
      </c>
      <c r="D1229" s="618" t="s">
        <v>27</v>
      </c>
      <c r="E1229" s="618">
        <v>48</v>
      </c>
      <c r="F1229" s="619">
        <v>43038</v>
      </c>
      <c r="G1229" s="619">
        <v>44863</v>
      </c>
      <c r="H1229" s="618" t="s">
        <v>43</v>
      </c>
      <c r="I1229" s="618" t="s">
        <v>6863</v>
      </c>
    </row>
    <row r="1230" spans="1:9">
      <c r="A1230" s="620">
        <f t="shared" si="19"/>
        <v>1226</v>
      </c>
      <c r="B1230" s="621" t="s">
        <v>1755</v>
      </c>
      <c r="C1230" s="621" t="str">
        <f>"12422"</f>
        <v>12422</v>
      </c>
      <c r="D1230" s="621" t="s">
        <v>13</v>
      </c>
      <c r="E1230" s="621">
        <v>40</v>
      </c>
      <c r="F1230" s="622">
        <v>42349</v>
      </c>
      <c r="G1230" s="622">
        <v>53306</v>
      </c>
      <c r="H1230" s="621" t="s">
        <v>14</v>
      </c>
      <c r="I1230" s="621" t="s">
        <v>6867</v>
      </c>
    </row>
    <row r="1231" spans="1:9">
      <c r="A1231" s="617">
        <f t="shared" si="19"/>
        <v>1227</v>
      </c>
      <c r="B1231" s="618" t="s">
        <v>146</v>
      </c>
      <c r="C1231" s="618" t="str">
        <f>"12423"</f>
        <v>12423</v>
      </c>
      <c r="D1231" s="618" t="s">
        <v>13</v>
      </c>
      <c r="E1231" s="618">
        <v>6</v>
      </c>
      <c r="F1231" s="619">
        <v>43179</v>
      </c>
      <c r="G1231" s="619">
        <v>54136</v>
      </c>
      <c r="H1231" s="618" t="s">
        <v>16</v>
      </c>
      <c r="I1231" s="618" t="s">
        <v>51</v>
      </c>
    </row>
    <row r="1232" spans="1:9">
      <c r="A1232" s="620">
        <f t="shared" si="19"/>
        <v>1228</v>
      </c>
      <c r="B1232" s="621" t="s">
        <v>15</v>
      </c>
      <c r="C1232" s="621" t="str">
        <f>"12424"</f>
        <v>12424</v>
      </c>
      <c r="D1232" s="621" t="s">
        <v>18</v>
      </c>
      <c r="E1232" s="621">
        <v>19</v>
      </c>
      <c r="F1232" s="622">
        <v>42468</v>
      </c>
      <c r="G1232" s="622">
        <v>44293</v>
      </c>
      <c r="H1232" s="621" t="s">
        <v>16</v>
      </c>
      <c r="I1232" s="621" t="s">
        <v>6868</v>
      </c>
    </row>
    <row r="1233" spans="1:9">
      <c r="A1233" s="617">
        <f t="shared" si="19"/>
        <v>1229</v>
      </c>
      <c r="B1233" s="618" t="s">
        <v>1756</v>
      </c>
      <c r="C1233" s="618" t="str">
        <f>"12428"</f>
        <v>12428</v>
      </c>
      <c r="D1233" s="618" t="s">
        <v>18</v>
      </c>
      <c r="E1233" s="618">
        <v>15</v>
      </c>
      <c r="F1233" s="619">
        <v>42268</v>
      </c>
      <c r="G1233" s="619">
        <v>44094</v>
      </c>
      <c r="H1233" s="618" t="s">
        <v>16</v>
      </c>
      <c r="I1233" s="618" t="s">
        <v>6858</v>
      </c>
    </row>
    <row r="1234" spans="1:9">
      <c r="A1234" s="620">
        <f t="shared" si="19"/>
        <v>1230</v>
      </c>
      <c r="B1234" s="621" t="s">
        <v>94</v>
      </c>
      <c r="C1234" s="621" t="str">
        <f>"12432"</f>
        <v>12432</v>
      </c>
      <c r="D1234" s="621" t="s">
        <v>18</v>
      </c>
      <c r="E1234" s="621">
        <v>220</v>
      </c>
      <c r="F1234" s="622">
        <v>41541</v>
      </c>
      <c r="G1234" s="622">
        <v>43366</v>
      </c>
      <c r="H1234" s="621" t="s">
        <v>43</v>
      </c>
      <c r="I1234" s="621" t="s">
        <v>6868</v>
      </c>
    </row>
    <row r="1235" spans="1:9">
      <c r="A1235" s="617">
        <f t="shared" si="19"/>
        <v>1231</v>
      </c>
      <c r="B1235" s="618" t="s">
        <v>147</v>
      </c>
      <c r="C1235" s="618" t="str">
        <f>"12434"</f>
        <v>12434</v>
      </c>
      <c r="D1235" s="618" t="s">
        <v>13</v>
      </c>
      <c r="E1235" s="618">
        <v>7</v>
      </c>
      <c r="F1235" s="619">
        <v>45386</v>
      </c>
      <c r="G1235" s="619">
        <v>49779</v>
      </c>
      <c r="H1235" s="618" t="s">
        <v>14</v>
      </c>
      <c r="I1235" s="618" t="s">
        <v>51</v>
      </c>
    </row>
    <row r="1236" spans="1:9">
      <c r="A1236" s="620">
        <f t="shared" si="19"/>
        <v>1232</v>
      </c>
      <c r="B1236" s="621" t="s">
        <v>149</v>
      </c>
      <c r="C1236" s="621" t="str">
        <f>"12436"</f>
        <v>12436</v>
      </c>
      <c r="D1236" s="621" t="s">
        <v>13</v>
      </c>
      <c r="E1236" s="621">
        <v>192</v>
      </c>
      <c r="F1236" s="622">
        <v>44146</v>
      </c>
      <c r="G1236" s="622">
        <v>53276</v>
      </c>
      <c r="H1236" s="621" t="s">
        <v>43</v>
      </c>
      <c r="I1236" s="621" t="s">
        <v>51</v>
      </c>
    </row>
    <row r="1237" spans="1:9">
      <c r="A1237" s="617">
        <f t="shared" si="19"/>
        <v>1233</v>
      </c>
      <c r="B1237" s="618" t="s">
        <v>151</v>
      </c>
      <c r="C1237" s="618" t="str">
        <f>"12437"</f>
        <v>12437</v>
      </c>
      <c r="D1237" s="618" t="s">
        <v>18</v>
      </c>
      <c r="E1237" s="618">
        <v>460</v>
      </c>
      <c r="F1237" s="619">
        <v>42611</v>
      </c>
      <c r="G1237" s="619">
        <v>43340</v>
      </c>
      <c r="H1237" s="618" t="s">
        <v>43</v>
      </c>
      <c r="I1237" s="618" t="s">
        <v>6865</v>
      </c>
    </row>
    <row r="1238" spans="1:9">
      <c r="A1238" s="620">
        <f t="shared" si="19"/>
        <v>1234</v>
      </c>
      <c r="B1238" s="621" t="s">
        <v>1757</v>
      </c>
      <c r="C1238" s="621" t="str">
        <f>"12438"</f>
        <v>12438</v>
      </c>
      <c r="D1238" s="621" t="s">
        <v>18</v>
      </c>
      <c r="E1238" s="621">
        <v>444</v>
      </c>
      <c r="F1238" s="622">
        <v>40784</v>
      </c>
      <c r="G1238" s="622">
        <v>43339</v>
      </c>
      <c r="H1238" s="621" t="s">
        <v>43</v>
      </c>
      <c r="I1238" s="621" t="s">
        <v>6862</v>
      </c>
    </row>
    <row r="1239" spans="1:9">
      <c r="A1239" s="617">
        <f t="shared" si="19"/>
        <v>1235</v>
      </c>
      <c r="B1239" s="618" t="s">
        <v>1757</v>
      </c>
      <c r="C1239" s="618" t="str">
        <f>"12440"</f>
        <v>12440</v>
      </c>
      <c r="D1239" s="618" t="s">
        <v>18</v>
      </c>
      <c r="E1239" s="618">
        <v>460</v>
      </c>
      <c r="F1239" s="619">
        <v>42611</v>
      </c>
      <c r="G1239" s="619">
        <v>43340</v>
      </c>
      <c r="H1239" s="618" t="s">
        <v>43</v>
      </c>
      <c r="I1239" s="618" t="s">
        <v>6865</v>
      </c>
    </row>
    <row r="1240" spans="1:9">
      <c r="A1240" s="620">
        <f t="shared" si="19"/>
        <v>1236</v>
      </c>
      <c r="B1240" s="621" t="s">
        <v>151</v>
      </c>
      <c r="C1240" s="621" t="str">
        <f>"12441"</f>
        <v>12441</v>
      </c>
      <c r="D1240" s="621" t="s">
        <v>18</v>
      </c>
      <c r="E1240" s="621">
        <v>273</v>
      </c>
      <c r="F1240" s="622">
        <v>40784</v>
      </c>
      <c r="G1240" s="622">
        <v>43339</v>
      </c>
      <c r="H1240" s="621" t="s">
        <v>43</v>
      </c>
      <c r="I1240" s="621" t="s">
        <v>6865</v>
      </c>
    </row>
    <row r="1241" spans="1:9">
      <c r="A1241" s="617">
        <f t="shared" si="19"/>
        <v>1237</v>
      </c>
      <c r="B1241" s="618" t="s">
        <v>447</v>
      </c>
      <c r="C1241" s="618" t="str">
        <f>"12442"</f>
        <v>12442</v>
      </c>
      <c r="D1241" s="618" t="s">
        <v>13</v>
      </c>
      <c r="E1241" s="618">
        <v>192</v>
      </c>
      <c r="F1241" s="619">
        <v>45140</v>
      </c>
      <c r="G1241" s="619">
        <v>54271</v>
      </c>
      <c r="H1241" s="618" t="s">
        <v>43</v>
      </c>
      <c r="I1241" s="618" t="s">
        <v>51</v>
      </c>
    </row>
    <row r="1242" spans="1:9">
      <c r="A1242" s="620">
        <f t="shared" si="19"/>
        <v>1238</v>
      </c>
      <c r="B1242" s="621" t="s">
        <v>448</v>
      </c>
      <c r="C1242" s="621" t="str">
        <f>"12443"</f>
        <v>12443</v>
      </c>
      <c r="D1242" s="621" t="s">
        <v>18</v>
      </c>
      <c r="E1242" s="621">
        <v>460</v>
      </c>
      <c r="F1242" s="622">
        <v>40784</v>
      </c>
      <c r="G1242" s="622">
        <v>44079</v>
      </c>
      <c r="H1242" s="621" t="s">
        <v>14</v>
      </c>
      <c r="I1242" s="621" t="s">
        <v>6872</v>
      </c>
    </row>
    <row r="1243" spans="1:9">
      <c r="A1243" s="617">
        <f t="shared" si="19"/>
        <v>1239</v>
      </c>
      <c r="B1243" s="618" t="s">
        <v>448</v>
      </c>
      <c r="C1243" s="618" t="str">
        <f>"12444"</f>
        <v>12444</v>
      </c>
      <c r="D1243" s="618" t="s">
        <v>18</v>
      </c>
      <c r="E1243" s="618">
        <v>162</v>
      </c>
      <c r="F1243" s="619">
        <v>42611</v>
      </c>
      <c r="G1243" s="619">
        <v>44436</v>
      </c>
      <c r="H1243" s="618" t="s">
        <v>14</v>
      </c>
      <c r="I1243" s="618" t="s">
        <v>6874</v>
      </c>
    </row>
    <row r="1244" spans="1:9">
      <c r="A1244" s="620">
        <f t="shared" si="19"/>
        <v>1240</v>
      </c>
      <c r="B1244" s="621" t="s">
        <v>448</v>
      </c>
      <c r="C1244" s="621" t="str">
        <f>"12445"</f>
        <v>12445</v>
      </c>
      <c r="D1244" s="621" t="s">
        <v>18</v>
      </c>
      <c r="E1244" s="621">
        <v>400</v>
      </c>
      <c r="F1244" s="622">
        <v>40784</v>
      </c>
      <c r="G1244" s="622">
        <v>44080</v>
      </c>
      <c r="H1244" s="621" t="s">
        <v>43</v>
      </c>
      <c r="I1244" s="621" t="s">
        <v>6872</v>
      </c>
    </row>
    <row r="1245" spans="1:9">
      <c r="A1245" s="617">
        <f t="shared" si="19"/>
        <v>1241</v>
      </c>
      <c r="B1245" s="618" t="s">
        <v>449</v>
      </c>
      <c r="C1245" s="618" t="str">
        <f>"12447"</f>
        <v>12447</v>
      </c>
      <c r="D1245" s="618" t="s">
        <v>13</v>
      </c>
      <c r="E1245" s="618">
        <v>460</v>
      </c>
      <c r="F1245" s="619">
        <v>44909</v>
      </c>
      <c r="G1245" s="619">
        <v>54039</v>
      </c>
      <c r="H1245" s="618" t="s">
        <v>45</v>
      </c>
      <c r="I1245" s="618" t="s">
        <v>51</v>
      </c>
    </row>
    <row r="1246" spans="1:9">
      <c r="A1246" s="620">
        <f t="shared" si="19"/>
        <v>1242</v>
      </c>
      <c r="B1246" s="621" t="s">
        <v>449</v>
      </c>
      <c r="C1246" s="621" t="str">
        <f>"12448"</f>
        <v>12448</v>
      </c>
      <c r="D1246" s="621" t="s">
        <v>18</v>
      </c>
      <c r="E1246" s="621">
        <v>460</v>
      </c>
      <c r="F1246" s="622">
        <v>42611</v>
      </c>
      <c r="G1246" s="622">
        <v>43705</v>
      </c>
      <c r="H1246" s="621" t="s">
        <v>43</v>
      </c>
      <c r="I1246" s="621" t="s">
        <v>1672</v>
      </c>
    </row>
    <row r="1247" spans="1:9">
      <c r="A1247" s="617">
        <f t="shared" si="19"/>
        <v>1243</v>
      </c>
      <c r="B1247" s="618" t="s">
        <v>150</v>
      </c>
      <c r="C1247" s="618" t="str">
        <f>"12449"</f>
        <v>12449</v>
      </c>
      <c r="D1247" s="618" t="s">
        <v>13</v>
      </c>
      <c r="E1247" s="618">
        <v>180</v>
      </c>
      <c r="F1247" s="619">
        <v>44146</v>
      </c>
      <c r="G1247" s="619">
        <v>53276</v>
      </c>
      <c r="H1247" s="618" t="s">
        <v>43</v>
      </c>
      <c r="I1247" s="618" t="s">
        <v>51</v>
      </c>
    </row>
    <row r="1248" spans="1:9">
      <c r="A1248" s="620">
        <f t="shared" si="19"/>
        <v>1244</v>
      </c>
      <c r="B1248" s="621" t="s">
        <v>149</v>
      </c>
      <c r="C1248" s="621" t="str">
        <f>"12450"</f>
        <v>12450</v>
      </c>
      <c r="D1248" s="621" t="s">
        <v>13</v>
      </c>
      <c r="E1248" s="621">
        <v>151</v>
      </c>
      <c r="F1248" s="622">
        <v>44146</v>
      </c>
      <c r="G1248" s="622">
        <v>53276</v>
      </c>
      <c r="H1248" s="621" t="s">
        <v>45</v>
      </c>
      <c r="I1248" s="621" t="s">
        <v>51</v>
      </c>
    </row>
    <row r="1249" spans="1:9">
      <c r="A1249" s="617">
        <f t="shared" si="19"/>
        <v>1245</v>
      </c>
      <c r="B1249" s="618" t="s">
        <v>151</v>
      </c>
      <c r="C1249" s="618" t="str">
        <f>"12452"</f>
        <v>12452</v>
      </c>
      <c r="D1249" s="618" t="s">
        <v>18</v>
      </c>
      <c r="E1249" s="618">
        <v>210</v>
      </c>
      <c r="F1249" s="619">
        <v>42611</v>
      </c>
      <c r="G1249" s="619">
        <v>43340</v>
      </c>
      <c r="H1249" s="618" t="s">
        <v>43</v>
      </c>
      <c r="I1249" s="618" t="s">
        <v>6868</v>
      </c>
    </row>
    <row r="1250" spans="1:9">
      <c r="A1250" s="620">
        <f t="shared" si="19"/>
        <v>1246</v>
      </c>
      <c r="B1250" s="621" t="s">
        <v>151</v>
      </c>
      <c r="C1250" s="621" t="str">
        <f>"12453"</f>
        <v>12453</v>
      </c>
      <c r="D1250" s="621" t="s">
        <v>13</v>
      </c>
      <c r="E1250" s="621">
        <v>372</v>
      </c>
      <c r="F1250" s="622">
        <v>43543</v>
      </c>
      <c r="G1250" s="622">
        <v>52674</v>
      </c>
      <c r="H1250" s="621" t="s">
        <v>43</v>
      </c>
      <c r="I1250" s="621" t="s">
        <v>6861</v>
      </c>
    </row>
    <row r="1251" spans="1:9">
      <c r="A1251" s="617">
        <f t="shared" si="19"/>
        <v>1247</v>
      </c>
      <c r="B1251" s="618" t="s">
        <v>151</v>
      </c>
      <c r="C1251" s="618" t="str">
        <f>"12457"</f>
        <v>12457</v>
      </c>
      <c r="D1251" s="618" t="s">
        <v>13</v>
      </c>
      <c r="E1251" s="618">
        <v>360</v>
      </c>
      <c r="F1251" s="619">
        <v>42115</v>
      </c>
      <c r="G1251" s="619">
        <v>53072</v>
      </c>
      <c r="H1251" s="618" t="s">
        <v>14</v>
      </c>
      <c r="I1251" s="618" t="s">
        <v>51</v>
      </c>
    </row>
    <row r="1252" spans="1:9">
      <c r="A1252" s="620">
        <f t="shared" si="19"/>
        <v>1248</v>
      </c>
      <c r="B1252" s="621" t="s">
        <v>447</v>
      </c>
      <c r="C1252" s="621" t="str">
        <f>"12458"</f>
        <v>12458</v>
      </c>
      <c r="D1252" s="621" t="s">
        <v>13</v>
      </c>
      <c r="E1252" s="621">
        <v>252</v>
      </c>
      <c r="F1252" s="622">
        <v>45140</v>
      </c>
      <c r="G1252" s="622">
        <v>54271</v>
      </c>
      <c r="H1252" s="621" t="s">
        <v>45</v>
      </c>
      <c r="I1252" s="621" t="s">
        <v>51</v>
      </c>
    </row>
    <row r="1253" spans="1:9">
      <c r="A1253" s="617">
        <f t="shared" si="19"/>
        <v>1249</v>
      </c>
      <c r="B1253" s="618" t="s">
        <v>449</v>
      </c>
      <c r="C1253" s="618" t="str">
        <f>"12460"</f>
        <v>12460</v>
      </c>
      <c r="D1253" s="618" t="s">
        <v>18</v>
      </c>
      <c r="E1253" s="618">
        <v>200</v>
      </c>
      <c r="F1253" s="619">
        <v>42611</v>
      </c>
      <c r="G1253" s="619">
        <v>43340</v>
      </c>
      <c r="H1253" s="618" t="s">
        <v>43</v>
      </c>
      <c r="I1253" s="618" t="s">
        <v>6859</v>
      </c>
    </row>
    <row r="1254" spans="1:9">
      <c r="A1254" s="620">
        <f t="shared" si="19"/>
        <v>1250</v>
      </c>
      <c r="B1254" s="621" t="s">
        <v>151</v>
      </c>
      <c r="C1254" s="621" t="str">
        <f>"12461"</f>
        <v>12461</v>
      </c>
      <c r="D1254" s="621" t="s">
        <v>27</v>
      </c>
      <c r="E1254" s="621">
        <v>88</v>
      </c>
      <c r="F1254" s="622">
        <v>43419</v>
      </c>
      <c r="G1254" s="622">
        <v>45244</v>
      </c>
      <c r="H1254" s="621" t="s">
        <v>43</v>
      </c>
      <c r="I1254" s="621" t="s">
        <v>51</v>
      </c>
    </row>
    <row r="1255" spans="1:9">
      <c r="A1255" s="617">
        <f t="shared" si="19"/>
        <v>1251</v>
      </c>
      <c r="B1255" s="618" t="s">
        <v>449</v>
      </c>
      <c r="C1255" s="618" t="str">
        <f>"12462"</f>
        <v>12462</v>
      </c>
      <c r="D1255" s="618" t="s">
        <v>18</v>
      </c>
      <c r="E1255" s="618">
        <v>460</v>
      </c>
      <c r="F1255" s="619">
        <v>42611</v>
      </c>
      <c r="G1255" s="619">
        <v>43338</v>
      </c>
      <c r="H1255" s="618" t="s">
        <v>43</v>
      </c>
      <c r="I1255" s="618" t="s">
        <v>6859</v>
      </c>
    </row>
    <row r="1256" spans="1:9">
      <c r="A1256" s="620">
        <f t="shared" si="19"/>
        <v>1252</v>
      </c>
      <c r="B1256" s="621" t="s">
        <v>151</v>
      </c>
      <c r="C1256" s="621" t="str">
        <f>"12463"</f>
        <v>12463</v>
      </c>
      <c r="D1256" s="621" t="s">
        <v>18</v>
      </c>
      <c r="E1256" s="621">
        <v>460</v>
      </c>
      <c r="F1256" s="622">
        <v>42611</v>
      </c>
      <c r="G1256" s="622">
        <v>43340</v>
      </c>
      <c r="H1256" s="621" t="s">
        <v>43</v>
      </c>
      <c r="I1256" s="621" t="s">
        <v>6865</v>
      </c>
    </row>
    <row r="1257" spans="1:9">
      <c r="A1257" s="617">
        <f t="shared" si="19"/>
        <v>1253</v>
      </c>
      <c r="B1257" s="618" t="s">
        <v>152</v>
      </c>
      <c r="C1257" s="618" t="str">
        <f>"12469"</f>
        <v>12469</v>
      </c>
      <c r="D1257" s="618" t="s">
        <v>13</v>
      </c>
      <c r="E1257" s="618">
        <v>73</v>
      </c>
      <c r="F1257" s="619">
        <v>42296</v>
      </c>
      <c r="G1257" s="619">
        <v>53253</v>
      </c>
      <c r="H1257" s="618" t="s">
        <v>14</v>
      </c>
      <c r="I1257" s="618" t="s">
        <v>51</v>
      </c>
    </row>
    <row r="1258" spans="1:9">
      <c r="A1258" s="620">
        <f t="shared" si="19"/>
        <v>1254</v>
      </c>
      <c r="B1258" s="621" t="s">
        <v>15</v>
      </c>
      <c r="C1258" s="621" t="str">
        <f>"12489"</f>
        <v>12489</v>
      </c>
      <c r="D1258" s="621" t="s">
        <v>13</v>
      </c>
      <c r="E1258" s="621">
        <v>14</v>
      </c>
      <c r="F1258" s="622">
        <v>40801</v>
      </c>
      <c r="G1258" s="622">
        <v>51758</v>
      </c>
      <c r="H1258" s="621" t="s">
        <v>16</v>
      </c>
      <c r="I1258" s="621" t="s">
        <v>51</v>
      </c>
    </row>
    <row r="1259" spans="1:9">
      <c r="A1259" s="617">
        <f t="shared" si="19"/>
        <v>1255</v>
      </c>
      <c r="B1259" s="618" t="s">
        <v>87</v>
      </c>
      <c r="C1259" s="618" t="str">
        <f>"12510"</f>
        <v>12510</v>
      </c>
      <c r="D1259" s="618" t="s">
        <v>18</v>
      </c>
      <c r="E1259" s="618">
        <v>314</v>
      </c>
      <c r="F1259" s="619">
        <v>40647</v>
      </c>
      <c r="G1259" s="619">
        <v>42473</v>
      </c>
      <c r="H1259" s="618" t="s">
        <v>43</v>
      </c>
      <c r="I1259" s="618" t="s">
        <v>6867</v>
      </c>
    </row>
    <row r="1260" spans="1:9">
      <c r="A1260" s="620">
        <f t="shared" si="19"/>
        <v>1256</v>
      </c>
      <c r="B1260" s="621" t="s">
        <v>87</v>
      </c>
      <c r="C1260" s="621" t="str">
        <f>"12511"</f>
        <v>12511</v>
      </c>
      <c r="D1260" s="621" t="s">
        <v>18</v>
      </c>
      <c r="E1260" s="621">
        <v>365</v>
      </c>
      <c r="F1260" s="622">
        <v>40647</v>
      </c>
      <c r="G1260" s="622">
        <v>42473</v>
      </c>
      <c r="H1260" s="621" t="s">
        <v>43</v>
      </c>
      <c r="I1260" s="621" t="s">
        <v>6867</v>
      </c>
    </row>
    <row r="1261" spans="1:9">
      <c r="A1261" s="617">
        <f t="shared" si="19"/>
        <v>1257</v>
      </c>
      <c r="B1261" s="618" t="s">
        <v>87</v>
      </c>
      <c r="C1261" s="618" t="str">
        <f>"12512"</f>
        <v>12512</v>
      </c>
      <c r="D1261" s="618" t="s">
        <v>18</v>
      </c>
      <c r="E1261" s="618">
        <v>400</v>
      </c>
      <c r="F1261" s="619">
        <v>40647</v>
      </c>
      <c r="G1261" s="619">
        <v>42473</v>
      </c>
      <c r="H1261" s="618" t="s">
        <v>43</v>
      </c>
      <c r="I1261" s="618" t="s">
        <v>6867</v>
      </c>
    </row>
    <row r="1262" spans="1:9">
      <c r="A1262" s="620">
        <f t="shared" si="19"/>
        <v>1258</v>
      </c>
      <c r="B1262" s="621" t="s">
        <v>153</v>
      </c>
      <c r="C1262" s="621" t="str">
        <f>"12517"</f>
        <v>12517</v>
      </c>
      <c r="D1262" s="621" t="s">
        <v>13</v>
      </c>
      <c r="E1262" s="621">
        <v>2</v>
      </c>
      <c r="F1262" s="622">
        <v>40634</v>
      </c>
      <c r="G1262" s="622">
        <v>51591</v>
      </c>
      <c r="H1262" s="621" t="s">
        <v>14</v>
      </c>
      <c r="I1262" s="621" t="s">
        <v>51</v>
      </c>
    </row>
    <row r="1263" spans="1:9">
      <c r="A1263" s="617">
        <f t="shared" si="19"/>
        <v>1259</v>
      </c>
      <c r="B1263" s="618" t="s">
        <v>38</v>
      </c>
      <c r="C1263" s="618" t="str">
        <f>"12518"</f>
        <v>12518</v>
      </c>
      <c r="D1263" s="618" t="s">
        <v>18</v>
      </c>
      <c r="E1263" s="618">
        <v>75</v>
      </c>
      <c r="F1263" s="619">
        <v>42767</v>
      </c>
      <c r="G1263" s="619">
        <v>46418</v>
      </c>
      <c r="H1263" s="618" t="s">
        <v>16</v>
      </c>
      <c r="I1263" s="618" t="s">
        <v>51</v>
      </c>
    </row>
    <row r="1264" spans="1:9">
      <c r="A1264" s="620">
        <f t="shared" si="19"/>
        <v>1260</v>
      </c>
      <c r="B1264" s="621" t="s">
        <v>58</v>
      </c>
      <c r="C1264" s="621" t="str">
        <f>"12548"</f>
        <v>12548</v>
      </c>
      <c r="D1264" s="621" t="s">
        <v>13</v>
      </c>
      <c r="E1264" s="621">
        <v>67</v>
      </c>
      <c r="F1264" s="622">
        <v>40978</v>
      </c>
      <c r="G1264" s="622">
        <v>51934</v>
      </c>
      <c r="H1264" s="621" t="s">
        <v>14</v>
      </c>
      <c r="I1264" s="621" t="s">
        <v>51</v>
      </c>
    </row>
    <row r="1265" spans="1:9">
      <c r="A1265" s="617">
        <f t="shared" si="19"/>
        <v>1261</v>
      </c>
      <c r="B1265" s="618" t="s">
        <v>145</v>
      </c>
      <c r="C1265" s="618" t="str">
        <f>"12562"</f>
        <v>12562</v>
      </c>
      <c r="D1265" s="618" t="s">
        <v>13</v>
      </c>
      <c r="E1265" s="618">
        <v>62</v>
      </c>
      <c r="F1265" s="619">
        <v>41401</v>
      </c>
      <c r="G1265" s="619">
        <v>52357</v>
      </c>
      <c r="H1265" s="618" t="s">
        <v>43</v>
      </c>
      <c r="I1265" s="618" t="s">
        <v>51</v>
      </c>
    </row>
    <row r="1266" spans="1:9">
      <c r="A1266" s="620">
        <f t="shared" si="19"/>
        <v>1262</v>
      </c>
      <c r="B1266" s="621" t="s">
        <v>94</v>
      </c>
      <c r="C1266" s="621" t="str">
        <f>"12606"</f>
        <v>12606</v>
      </c>
      <c r="D1266" s="621" t="s">
        <v>13</v>
      </c>
      <c r="E1266" s="621">
        <v>99</v>
      </c>
      <c r="F1266" s="622">
        <v>40882</v>
      </c>
      <c r="G1266" s="622">
        <v>51839</v>
      </c>
      <c r="H1266" s="621" t="s">
        <v>43</v>
      </c>
      <c r="I1266" s="621" t="s">
        <v>51</v>
      </c>
    </row>
    <row r="1267" spans="1:9">
      <c r="A1267" s="617">
        <f t="shared" si="19"/>
        <v>1263</v>
      </c>
      <c r="B1267" s="618" t="s">
        <v>94</v>
      </c>
      <c r="C1267" s="618" t="str">
        <f>"12607"</f>
        <v>12607</v>
      </c>
      <c r="D1267" s="618" t="s">
        <v>13</v>
      </c>
      <c r="E1267" s="618">
        <v>60</v>
      </c>
      <c r="F1267" s="619">
        <v>40956</v>
      </c>
      <c r="G1267" s="619">
        <v>51913</v>
      </c>
      <c r="H1267" s="618" t="s">
        <v>43</v>
      </c>
      <c r="I1267" s="618" t="s">
        <v>6863</v>
      </c>
    </row>
    <row r="1268" spans="1:9">
      <c r="A1268" s="620">
        <f t="shared" si="19"/>
        <v>1264</v>
      </c>
      <c r="B1268" s="621" t="s">
        <v>154</v>
      </c>
      <c r="C1268" s="621" t="str">
        <f>"12623"</f>
        <v>12623</v>
      </c>
      <c r="D1268" s="621" t="s">
        <v>13</v>
      </c>
      <c r="E1268" s="621">
        <v>10</v>
      </c>
      <c r="F1268" s="622">
        <v>42259</v>
      </c>
      <c r="G1268" s="622">
        <v>53216</v>
      </c>
      <c r="H1268" s="621" t="s">
        <v>16</v>
      </c>
      <c r="I1268" s="621" t="s">
        <v>51</v>
      </c>
    </row>
    <row r="1269" spans="1:9">
      <c r="A1269" s="617">
        <f t="shared" si="19"/>
        <v>1265</v>
      </c>
      <c r="B1269" s="618" t="s">
        <v>1758</v>
      </c>
      <c r="C1269" s="618" t="str">
        <f>"12635"</f>
        <v>12635</v>
      </c>
      <c r="D1269" s="618" t="s">
        <v>27</v>
      </c>
      <c r="E1269" s="618">
        <v>13</v>
      </c>
      <c r="F1269" s="619">
        <v>42356</v>
      </c>
      <c r="G1269" s="619">
        <v>44182</v>
      </c>
      <c r="H1269" s="618" t="s">
        <v>56</v>
      </c>
      <c r="I1269" s="618" t="s">
        <v>385</v>
      </c>
    </row>
    <row r="1270" spans="1:9">
      <c r="A1270" s="620">
        <f t="shared" si="19"/>
        <v>1266</v>
      </c>
      <c r="B1270" s="621" t="s">
        <v>1759</v>
      </c>
      <c r="C1270" s="621" t="str">
        <f>"12685"</f>
        <v>12685</v>
      </c>
      <c r="D1270" s="621" t="s">
        <v>18</v>
      </c>
      <c r="E1270" s="621">
        <v>400</v>
      </c>
      <c r="F1270" s="622">
        <v>40789</v>
      </c>
      <c r="G1270" s="622">
        <v>42615</v>
      </c>
      <c r="H1270" s="621" t="s">
        <v>43</v>
      </c>
      <c r="I1270" s="621" t="s">
        <v>6867</v>
      </c>
    </row>
    <row r="1271" spans="1:9">
      <c r="A1271" s="617">
        <f t="shared" si="19"/>
        <v>1267</v>
      </c>
      <c r="B1271" s="618" t="s">
        <v>1759</v>
      </c>
      <c r="C1271" s="618" t="str">
        <f>"12686"</f>
        <v>12686</v>
      </c>
      <c r="D1271" s="618" t="s">
        <v>18</v>
      </c>
      <c r="E1271" s="618">
        <v>400</v>
      </c>
      <c r="F1271" s="619">
        <v>40789</v>
      </c>
      <c r="G1271" s="619">
        <v>42615</v>
      </c>
      <c r="H1271" s="618" t="s">
        <v>43</v>
      </c>
      <c r="I1271" s="618" t="s">
        <v>6867</v>
      </c>
    </row>
    <row r="1272" spans="1:9">
      <c r="A1272" s="620">
        <f t="shared" si="19"/>
        <v>1268</v>
      </c>
      <c r="B1272" s="621" t="s">
        <v>1759</v>
      </c>
      <c r="C1272" s="621" t="str">
        <f>"12687"</f>
        <v>12687</v>
      </c>
      <c r="D1272" s="621" t="s">
        <v>18</v>
      </c>
      <c r="E1272" s="621">
        <v>464</v>
      </c>
      <c r="F1272" s="622">
        <v>40789</v>
      </c>
      <c r="G1272" s="622">
        <v>42615</v>
      </c>
      <c r="H1272" s="621" t="s">
        <v>43</v>
      </c>
      <c r="I1272" s="621" t="s">
        <v>6867</v>
      </c>
    </row>
    <row r="1273" spans="1:9">
      <c r="A1273" s="617">
        <f t="shared" si="19"/>
        <v>1269</v>
      </c>
      <c r="B1273" s="618" t="s">
        <v>24</v>
      </c>
      <c r="C1273" s="618" t="str">
        <f>"12688"</f>
        <v>12688</v>
      </c>
      <c r="D1273" s="618" t="s">
        <v>18</v>
      </c>
      <c r="E1273" s="618">
        <v>176</v>
      </c>
      <c r="F1273" s="619">
        <v>44664</v>
      </c>
      <c r="G1273" s="619">
        <v>46489</v>
      </c>
      <c r="H1273" s="618" t="s">
        <v>14</v>
      </c>
      <c r="I1273" s="618" t="s">
        <v>51</v>
      </c>
    </row>
    <row r="1274" spans="1:9">
      <c r="A1274" s="620">
        <f t="shared" si="19"/>
        <v>1270</v>
      </c>
      <c r="B1274" s="621" t="s">
        <v>24</v>
      </c>
      <c r="C1274" s="621" t="str">
        <f>"12689"</f>
        <v>12689</v>
      </c>
      <c r="D1274" s="621" t="s">
        <v>18</v>
      </c>
      <c r="E1274" s="621">
        <v>116</v>
      </c>
      <c r="F1274" s="622">
        <v>44664</v>
      </c>
      <c r="G1274" s="622">
        <v>46489</v>
      </c>
      <c r="H1274" s="621" t="s">
        <v>14</v>
      </c>
      <c r="I1274" s="621" t="s">
        <v>51</v>
      </c>
    </row>
    <row r="1275" spans="1:9">
      <c r="A1275" s="617">
        <f t="shared" si="19"/>
        <v>1271</v>
      </c>
      <c r="B1275" s="618" t="s">
        <v>450</v>
      </c>
      <c r="C1275" s="618" t="str">
        <f>"12707"</f>
        <v>12707</v>
      </c>
      <c r="D1275" s="618" t="s">
        <v>18</v>
      </c>
      <c r="E1275" s="618">
        <v>120</v>
      </c>
      <c r="F1275" s="619">
        <v>42611</v>
      </c>
      <c r="G1275" s="619">
        <v>44436</v>
      </c>
      <c r="H1275" s="618" t="s">
        <v>43</v>
      </c>
      <c r="I1275" s="618" t="s">
        <v>6872</v>
      </c>
    </row>
    <row r="1276" spans="1:9">
      <c r="A1276" s="620">
        <f t="shared" si="19"/>
        <v>1272</v>
      </c>
      <c r="B1276" s="621" t="s">
        <v>450</v>
      </c>
      <c r="C1276" s="621" t="str">
        <f>"12708"</f>
        <v>12708</v>
      </c>
      <c r="D1276" s="621" t="s">
        <v>18</v>
      </c>
      <c r="E1276" s="621">
        <v>50</v>
      </c>
      <c r="F1276" s="622">
        <v>42611</v>
      </c>
      <c r="G1276" s="622">
        <v>44436</v>
      </c>
      <c r="H1276" s="621" t="s">
        <v>43</v>
      </c>
      <c r="I1276" s="621" t="s">
        <v>6872</v>
      </c>
    </row>
    <row r="1277" spans="1:9">
      <c r="A1277" s="617">
        <f t="shared" si="19"/>
        <v>1273</v>
      </c>
      <c r="B1277" s="618" t="s">
        <v>1697</v>
      </c>
      <c r="C1277" s="618" t="str">
        <f>"12709"</f>
        <v>12709</v>
      </c>
      <c r="D1277" s="618" t="s">
        <v>13</v>
      </c>
      <c r="E1277" s="618">
        <v>222</v>
      </c>
      <c r="F1277" s="619">
        <v>41771</v>
      </c>
      <c r="G1277" s="619">
        <v>47249</v>
      </c>
      <c r="H1277" s="618" t="s">
        <v>29</v>
      </c>
      <c r="I1277" s="618" t="s">
        <v>6867</v>
      </c>
    </row>
    <row r="1278" spans="1:9">
      <c r="A1278" s="620">
        <f t="shared" si="19"/>
        <v>1274</v>
      </c>
      <c r="B1278" s="621" t="s">
        <v>1697</v>
      </c>
      <c r="C1278" s="621" t="str">
        <f>"12710"</f>
        <v>12710</v>
      </c>
      <c r="D1278" s="621" t="s">
        <v>13</v>
      </c>
      <c r="E1278" s="621">
        <v>257</v>
      </c>
      <c r="F1278" s="622">
        <v>41771</v>
      </c>
      <c r="G1278" s="622">
        <v>47249</v>
      </c>
      <c r="H1278" s="621" t="s">
        <v>29</v>
      </c>
      <c r="I1278" s="621" t="s">
        <v>6867</v>
      </c>
    </row>
    <row r="1279" spans="1:9">
      <c r="A1279" s="617">
        <f t="shared" si="19"/>
        <v>1275</v>
      </c>
      <c r="B1279" s="618" t="s">
        <v>1697</v>
      </c>
      <c r="C1279" s="618" t="str">
        <f>"12711"</f>
        <v>12711</v>
      </c>
      <c r="D1279" s="618" t="s">
        <v>13</v>
      </c>
      <c r="E1279" s="618">
        <v>171</v>
      </c>
      <c r="F1279" s="619">
        <v>41771</v>
      </c>
      <c r="G1279" s="619">
        <v>47249</v>
      </c>
      <c r="H1279" s="618" t="s">
        <v>29</v>
      </c>
      <c r="I1279" s="618" t="s">
        <v>6867</v>
      </c>
    </row>
    <row r="1280" spans="1:9">
      <c r="A1280" s="620">
        <f t="shared" si="19"/>
        <v>1276</v>
      </c>
      <c r="B1280" s="621" t="s">
        <v>1697</v>
      </c>
      <c r="C1280" s="621" t="str">
        <f>"12712"</f>
        <v>12712</v>
      </c>
      <c r="D1280" s="621" t="s">
        <v>13</v>
      </c>
      <c r="E1280" s="621">
        <v>243</v>
      </c>
      <c r="F1280" s="622">
        <v>41771</v>
      </c>
      <c r="G1280" s="622">
        <v>47249</v>
      </c>
      <c r="H1280" s="621" t="s">
        <v>29</v>
      </c>
      <c r="I1280" s="621" t="s">
        <v>6867</v>
      </c>
    </row>
    <row r="1281" spans="1:9">
      <c r="A1281" s="617">
        <f t="shared" si="19"/>
        <v>1277</v>
      </c>
      <c r="B1281" s="618" t="s">
        <v>142</v>
      </c>
      <c r="C1281" s="618" t="str">
        <f>"12713"</f>
        <v>12713</v>
      </c>
      <c r="D1281" s="618" t="s">
        <v>13</v>
      </c>
      <c r="E1281" s="618">
        <v>54</v>
      </c>
      <c r="F1281" s="619">
        <v>40956</v>
      </c>
      <c r="G1281" s="619">
        <v>51913</v>
      </c>
      <c r="H1281" s="618" t="s">
        <v>43</v>
      </c>
      <c r="I1281" s="618" t="s">
        <v>51</v>
      </c>
    </row>
    <row r="1282" spans="1:9">
      <c r="A1282" s="620">
        <f t="shared" si="19"/>
        <v>1278</v>
      </c>
      <c r="B1282" s="621" t="s">
        <v>981</v>
      </c>
      <c r="C1282" s="621" t="str">
        <f>"12715"</f>
        <v>12715</v>
      </c>
      <c r="D1282" s="621" t="s">
        <v>13</v>
      </c>
      <c r="E1282" s="621">
        <v>16</v>
      </c>
      <c r="F1282" s="622">
        <v>40763</v>
      </c>
      <c r="G1282" s="622">
        <v>44686</v>
      </c>
      <c r="H1282" s="621" t="s">
        <v>16</v>
      </c>
      <c r="I1282" s="621" t="s">
        <v>6858</v>
      </c>
    </row>
    <row r="1283" spans="1:9">
      <c r="A1283" s="617">
        <f t="shared" si="19"/>
        <v>1279</v>
      </c>
      <c r="B1283" s="618" t="s">
        <v>124</v>
      </c>
      <c r="C1283" s="618" t="str">
        <f>"12717"</f>
        <v>12717</v>
      </c>
      <c r="D1283" s="618" t="s">
        <v>13</v>
      </c>
      <c r="E1283" s="618">
        <v>51</v>
      </c>
      <c r="F1283" s="619">
        <v>42830</v>
      </c>
      <c r="G1283" s="619">
        <v>53786</v>
      </c>
      <c r="H1283" s="618" t="s">
        <v>16</v>
      </c>
      <c r="I1283" s="618" t="s">
        <v>51</v>
      </c>
    </row>
    <row r="1284" spans="1:9">
      <c r="A1284" s="620">
        <f t="shared" si="19"/>
        <v>1280</v>
      </c>
      <c r="B1284" s="621" t="s">
        <v>1760</v>
      </c>
      <c r="C1284" s="621" t="str">
        <f>"12723"</f>
        <v>12723</v>
      </c>
      <c r="D1284" s="621" t="s">
        <v>27</v>
      </c>
      <c r="E1284" s="621">
        <v>11</v>
      </c>
      <c r="F1284" s="622">
        <v>43220</v>
      </c>
      <c r="G1284" s="622">
        <v>45045</v>
      </c>
      <c r="H1284" s="621" t="s">
        <v>14</v>
      </c>
      <c r="I1284" s="621" t="s">
        <v>385</v>
      </c>
    </row>
    <row r="1285" spans="1:9">
      <c r="A1285" s="617">
        <f t="shared" si="19"/>
        <v>1281</v>
      </c>
      <c r="B1285" s="618" t="s">
        <v>161</v>
      </c>
      <c r="C1285" s="618" t="str">
        <f>"12724"</f>
        <v>12724</v>
      </c>
      <c r="D1285" s="618" t="s">
        <v>18</v>
      </c>
      <c r="E1285" s="618">
        <v>91</v>
      </c>
      <c r="F1285" s="619">
        <v>42845</v>
      </c>
      <c r="G1285" s="619">
        <v>44670</v>
      </c>
      <c r="H1285" s="618" t="s">
        <v>16</v>
      </c>
      <c r="I1285" s="618" t="s">
        <v>6868</v>
      </c>
    </row>
    <row r="1286" spans="1:9">
      <c r="A1286" s="620">
        <f t="shared" si="19"/>
        <v>1282</v>
      </c>
      <c r="B1286" s="621" t="s">
        <v>161</v>
      </c>
      <c r="C1286" s="621" t="str">
        <f>"12725"</f>
        <v>12725</v>
      </c>
      <c r="D1286" s="621" t="s">
        <v>18</v>
      </c>
      <c r="E1286" s="621">
        <v>196</v>
      </c>
      <c r="F1286" s="622">
        <v>42845</v>
      </c>
      <c r="G1286" s="622">
        <v>44670</v>
      </c>
      <c r="H1286" s="621" t="s">
        <v>16</v>
      </c>
      <c r="I1286" s="621" t="s">
        <v>6868</v>
      </c>
    </row>
    <row r="1287" spans="1:9">
      <c r="A1287" s="617">
        <f t="shared" ref="A1287:A1350" si="20">+A1286+1</f>
        <v>1283</v>
      </c>
      <c r="B1287" s="618" t="s">
        <v>451</v>
      </c>
      <c r="C1287" s="618" t="str">
        <f>"12728"</f>
        <v>12728</v>
      </c>
      <c r="D1287" s="618" t="s">
        <v>18</v>
      </c>
      <c r="E1287" s="618">
        <v>62</v>
      </c>
      <c r="F1287" s="619">
        <v>41866</v>
      </c>
      <c r="G1287" s="619">
        <v>44133</v>
      </c>
      <c r="H1287" s="618" t="s">
        <v>14</v>
      </c>
      <c r="I1287" s="618" t="s">
        <v>1672</v>
      </c>
    </row>
    <row r="1288" spans="1:9">
      <c r="A1288" s="620">
        <f t="shared" si="20"/>
        <v>1284</v>
      </c>
      <c r="B1288" s="621" t="s">
        <v>1677</v>
      </c>
      <c r="C1288" s="621" t="str">
        <f>"12744"</f>
        <v>12744</v>
      </c>
      <c r="D1288" s="621" t="s">
        <v>18</v>
      </c>
      <c r="E1288" s="621">
        <v>324</v>
      </c>
      <c r="F1288" s="622">
        <v>41019</v>
      </c>
      <c r="G1288" s="622">
        <v>44520</v>
      </c>
      <c r="H1288" s="621" t="s">
        <v>14</v>
      </c>
      <c r="I1288" s="621" t="s">
        <v>6868</v>
      </c>
    </row>
    <row r="1289" spans="1:9">
      <c r="A1289" s="617">
        <f t="shared" si="20"/>
        <v>1285</v>
      </c>
      <c r="B1289" s="618" t="s">
        <v>15</v>
      </c>
      <c r="C1289" s="618" t="str">
        <f>"12745"</f>
        <v>12745</v>
      </c>
      <c r="D1289" s="618" t="s">
        <v>13</v>
      </c>
      <c r="E1289" s="618">
        <v>137</v>
      </c>
      <c r="F1289" s="619">
        <v>42949</v>
      </c>
      <c r="G1289" s="619">
        <v>53905</v>
      </c>
      <c r="H1289" s="618" t="s">
        <v>43</v>
      </c>
      <c r="I1289" s="618" t="s">
        <v>6861</v>
      </c>
    </row>
    <row r="1290" spans="1:9">
      <c r="A1290" s="620">
        <f t="shared" si="20"/>
        <v>1286</v>
      </c>
      <c r="B1290" s="621" t="s">
        <v>269</v>
      </c>
      <c r="C1290" s="621" t="str">
        <f>"12805"</f>
        <v>12805</v>
      </c>
      <c r="D1290" s="621" t="s">
        <v>18</v>
      </c>
      <c r="E1290" s="621">
        <v>22</v>
      </c>
      <c r="F1290" s="622">
        <v>41899</v>
      </c>
      <c r="G1290" s="622">
        <v>43724</v>
      </c>
      <c r="H1290" s="621" t="s">
        <v>14</v>
      </c>
      <c r="I1290" s="621" t="s">
        <v>6862</v>
      </c>
    </row>
    <row r="1291" spans="1:9">
      <c r="A1291" s="617">
        <f t="shared" si="20"/>
        <v>1287</v>
      </c>
      <c r="B1291" s="618" t="s">
        <v>156</v>
      </c>
      <c r="C1291" s="618" t="str">
        <f>"12850"</f>
        <v>12850</v>
      </c>
      <c r="D1291" s="618" t="s">
        <v>13</v>
      </c>
      <c r="E1291" s="618">
        <v>223</v>
      </c>
      <c r="F1291" s="619">
        <v>44194</v>
      </c>
      <c r="G1291" s="619">
        <v>53324</v>
      </c>
      <c r="H1291" s="618" t="s">
        <v>14</v>
      </c>
      <c r="I1291" s="618" t="s">
        <v>51</v>
      </c>
    </row>
    <row r="1292" spans="1:9">
      <c r="A1292" s="620">
        <f t="shared" si="20"/>
        <v>1288</v>
      </c>
      <c r="B1292" s="621" t="s">
        <v>156</v>
      </c>
      <c r="C1292" s="621" t="str">
        <f>"12851"</f>
        <v>12851</v>
      </c>
      <c r="D1292" s="621" t="s">
        <v>13</v>
      </c>
      <c r="E1292" s="621">
        <v>172</v>
      </c>
      <c r="F1292" s="622">
        <v>44194</v>
      </c>
      <c r="G1292" s="622">
        <v>53324</v>
      </c>
      <c r="H1292" s="621" t="s">
        <v>14</v>
      </c>
      <c r="I1292" s="621" t="s">
        <v>51</v>
      </c>
    </row>
    <row r="1293" spans="1:9">
      <c r="A1293" s="617">
        <f t="shared" si="20"/>
        <v>1289</v>
      </c>
      <c r="B1293" s="618" t="s">
        <v>1761</v>
      </c>
      <c r="C1293" s="618" t="str">
        <f>"12857"</f>
        <v>12857</v>
      </c>
      <c r="D1293" s="618" t="s">
        <v>18</v>
      </c>
      <c r="E1293" s="618">
        <v>9</v>
      </c>
      <c r="F1293" s="619">
        <v>41970</v>
      </c>
      <c r="G1293" s="619">
        <v>43795</v>
      </c>
      <c r="H1293" s="618" t="s">
        <v>43</v>
      </c>
      <c r="I1293" s="618" t="s">
        <v>385</v>
      </c>
    </row>
    <row r="1294" spans="1:9">
      <c r="A1294" s="620">
        <f t="shared" si="20"/>
        <v>1290</v>
      </c>
      <c r="B1294" s="621" t="s">
        <v>157</v>
      </c>
      <c r="C1294" s="621" t="str">
        <f>"12873"</f>
        <v>12873</v>
      </c>
      <c r="D1294" s="621" t="s">
        <v>13</v>
      </c>
      <c r="E1294" s="621">
        <v>62</v>
      </c>
      <c r="F1294" s="622">
        <v>41141</v>
      </c>
      <c r="G1294" s="622">
        <v>52097</v>
      </c>
      <c r="H1294" s="621" t="s">
        <v>16</v>
      </c>
      <c r="I1294" s="621" t="s">
        <v>51</v>
      </c>
    </row>
    <row r="1295" spans="1:9">
      <c r="A1295" s="617">
        <f t="shared" si="20"/>
        <v>1291</v>
      </c>
      <c r="B1295" s="618" t="s">
        <v>158</v>
      </c>
      <c r="C1295" s="618" t="str">
        <f>"12874"</f>
        <v>12874</v>
      </c>
      <c r="D1295" s="618" t="s">
        <v>18</v>
      </c>
      <c r="E1295" s="618">
        <v>253</v>
      </c>
      <c r="F1295" s="619">
        <v>41358</v>
      </c>
      <c r="G1295" s="619">
        <v>43183</v>
      </c>
      <c r="H1295" s="618" t="s">
        <v>16</v>
      </c>
      <c r="I1295" s="618" t="s">
        <v>6865</v>
      </c>
    </row>
    <row r="1296" spans="1:9">
      <c r="A1296" s="620">
        <f t="shared" si="20"/>
        <v>1292</v>
      </c>
      <c r="B1296" s="621" t="s">
        <v>158</v>
      </c>
      <c r="C1296" s="621" t="str">
        <f>"12875"</f>
        <v>12875</v>
      </c>
      <c r="D1296" s="621" t="s">
        <v>18</v>
      </c>
      <c r="E1296" s="621">
        <v>320</v>
      </c>
      <c r="F1296" s="622">
        <v>41358</v>
      </c>
      <c r="G1296" s="622">
        <v>43183</v>
      </c>
      <c r="H1296" s="621" t="s">
        <v>16</v>
      </c>
      <c r="I1296" s="621" t="s">
        <v>6865</v>
      </c>
    </row>
    <row r="1297" spans="1:9">
      <c r="A1297" s="617">
        <f t="shared" si="20"/>
        <v>1293</v>
      </c>
      <c r="B1297" s="618" t="s">
        <v>158</v>
      </c>
      <c r="C1297" s="618" t="str">
        <f>"12876"</f>
        <v>12876</v>
      </c>
      <c r="D1297" s="618" t="s">
        <v>18</v>
      </c>
      <c r="E1297" s="618">
        <v>320</v>
      </c>
      <c r="F1297" s="619">
        <v>41358</v>
      </c>
      <c r="G1297" s="619">
        <v>43183</v>
      </c>
      <c r="H1297" s="618" t="s">
        <v>16</v>
      </c>
      <c r="I1297" s="618" t="s">
        <v>6865</v>
      </c>
    </row>
    <row r="1298" spans="1:9">
      <c r="A1298" s="620">
        <f t="shared" si="20"/>
        <v>1294</v>
      </c>
      <c r="B1298" s="621" t="s">
        <v>158</v>
      </c>
      <c r="C1298" s="621" t="str">
        <f>"12877"</f>
        <v>12877</v>
      </c>
      <c r="D1298" s="621" t="s">
        <v>18</v>
      </c>
      <c r="E1298" s="621">
        <v>304</v>
      </c>
      <c r="F1298" s="622">
        <v>41358</v>
      </c>
      <c r="G1298" s="622">
        <v>43183</v>
      </c>
      <c r="H1298" s="621" t="s">
        <v>16</v>
      </c>
      <c r="I1298" s="621" t="s">
        <v>6865</v>
      </c>
    </row>
    <row r="1299" spans="1:9">
      <c r="A1299" s="617">
        <f t="shared" si="20"/>
        <v>1295</v>
      </c>
      <c r="B1299" s="618" t="s">
        <v>158</v>
      </c>
      <c r="C1299" s="618" t="str">
        <f>"12878"</f>
        <v>12878</v>
      </c>
      <c r="D1299" s="618" t="s">
        <v>18</v>
      </c>
      <c r="E1299" s="618">
        <v>400</v>
      </c>
      <c r="F1299" s="619">
        <v>41358</v>
      </c>
      <c r="G1299" s="619">
        <v>43183</v>
      </c>
      <c r="H1299" s="618" t="s">
        <v>16</v>
      </c>
      <c r="I1299" s="618" t="s">
        <v>6865</v>
      </c>
    </row>
    <row r="1300" spans="1:9">
      <c r="A1300" s="620">
        <f t="shared" si="20"/>
        <v>1296</v>
      </c>
      <c r="B1300" s="621" t="s">
        <v>158</v>
      </c>
      <c r="C1300" s="621" t="str">
        <f>"12879"</f>
        <v>12879</v>
      </c>
      <c r="D1300" s="621" t="s">
        <v>18</v>
      </c>
      <c r="E1300" s="621">
        <v>390</v>
      </c>
      <c r="F1300" s="622">
        <v>41358</v>
      </c>
      <c r="G1300" s="622">
        <v>43183</v>
      </c>
      <c r="H1300" s="621" t="s">
        <v>16</v>
      </c>
      <c r="I1300" s="621" t="s">
        <v>6865</v>
      </c>
    </row>
    <row r="1301" spans="1:9">
      <c r="A1301" s="617">
        <f t="shared" si="20"/>
        <v>1297</v>
      </c>
      <c r="B1301" s="618" t="s">
        <v>158</v>
      </c>
      <c r="C1301" s="618" t="str">
        <f>"12880"</f>
        <v>12880</v>
      </c>
      <c r="D1301" s="618" t="s">
        <v>18</v>
      </c>
      <c r="E1301" s="618">
        <v>358</v>
      </c>
      <c r="F1301" s="619">
        <v>41358</v>
      </c>
      <c r="G1301" s="619">
        <v>43183</v>
      </c>
      <c r="H1301" s="618" t="s">
        <v>16</v>
      </c>
      <c r="I1301" s="618" t="s">
        <v>6865</v>
      </c>
    </row>
    <row r="1302" spans="1:9">
      <c r="A1302" s="620">
        <f t="shared" si="20"/>
        <v>1298</v>
      </c>
      <c r="B1302" s="621" t="s">
        <v>158</v>
      </c>
      <c r="C1302" s="621" t="str">
        <f>"12881"</f>
        <v>12881</v>
      </c>
      <c r="D1302" s="621" t="s">
        <v>18</v>
      </c>
      <c r="E1302" s="621">
        <v>214</v>
      </c>
      <c r="F1302" s="622">
        <v>41358</v>
      </c>
      <c r="G1302" s="622">
        <v>43183</v>
      </c>
      <c r="H1302" s="621" t="s">
        <v>16</v>
      </c>
      <c r="I1302" s="621" t="s">
        <v>6865</v>
      </c>
    </row>
    <row r="1303" spans="1:9">
      <c r="A1303" s="617">
        <f t="shared" si="20"/>
        <v>1299</v>
      </c>
      <c r="B1303" s="618" t="s">
        <v>158</v>
      </c>
      <c r="C1303" s="618" t="str">
        <f>"12882"</f>
        <v>12882</v>
      </c>
      <c r="D1303" s="618" t="s">
        <v>18</v>
      </c>
      <c r="E1303" s="618">
        <v>342</v>
      </c>
      <c r="F1303" s="619">
        <v>41358</v>
      </c>
      <c r="G1303" s="619">
        <v>43183</v>
      </c>
      <c r="H1303" s="618" t="s">
        <v>16</v>
      </c>
      <c r="I1303" s="618" t="s">
        <v>6865</v>
      </c>
    </row>
    <row r="1304" spans="1:9">
      <c r="A1304" s="620">
        <f t="shared" si="20"/>
        <v>1300</v>
      </c>
      <c r="B1304" s="621" t="s">
        <v>158</v>
      </c>
      <c r="C1304" s="621" t="str">
        <f>"12883"</f>
        <v>12883</v>
      </c>
      <c r="D1304" s="621" t="s">
        <v>18</v>
      </c>
      <c r="E1304" s="621">
        <v>400</v>
      </c>
      <c r="F1304" s="622">
        <v>41358</v>
      </c>
      <c r="G1304" s="622">
        <v>43183</v>
      </c>
      <c r="H1304" s="621" t="s">
        <v>16</v>
      </c>
      <c r="I1304" s="621" t="s">
        <v>6865</v>
      </c>
    </row>
    <row r="1305" spans="1:9">
      <c r="A1305" s="617">
        <f t="shared" si="20"/>
        <v>1301</v>
      </c>
      <c r="B1305" s="618" t="s">
        <v>158</v>
      </c>
      <c r="C1305" s="618" t="str">
        <f>"12884"</f>
        <v>12884</v>
      </c>
      <c r="D1305" s="618" t="s">
        <v>18</v>
      </c>
      <c r="E1305" s="618">
        <v>400</v>
      </c>
      <c r="F1305" s="619">
        <v>41358</v>
      </c>
      <c r="G1305" s="619">
        <v>43183</v>
      </c>
      <c r="H1305" s="618" t="s">
        <v>16</v>
      </c>
      <c r="I1305" s="618" t="s">
        <v>6865</v>
      </c>
    </row>
    <row r="1306" spans="1:9">
      <c r="A1306" s="620">
        <f t="shared" si="20"/>
        <v>1302</v>
      </c>
      <c r="B1306" s="621" t="s">
        <v>158</v>
      </c>
      <c r="C1306" s="621" t="str">
        <f>"12885"</f>
        <v>12885</v>
      </c>
      <c r="D1306" s="621" t="s">
        <v>18</v>
      </c>
      <c r="E1306" s="621">
        <v>400</v>
      </c>
      <c r="F1306" s="622">
        <v>41358</v>
      </c>
      <c r="G1306" s="622">
        <v>43183</v>
      </c>
      <c r="H1306" s="621" t="s">
        <v>16</v>
      </c>
      <c r="I1306" s="621" t="s">
        <v>6865</v>
      </c>
    </row>
    <row r="1307" spans="1:9">
      <c r="A1307" s="617">
        <f t="shared" si="20"/>
        <v>1303</v>
      </c>
      <c r="B1307" s="618" t="s">
        <v>158</v>
      </c>
      <c r="C1307" s="618" t="str">
        <f>"12886"</f>
        <v>12886</v>
      </c>
      <c r="D1307" s="618" t="s">
        <v>18</v>
      </c>
      <c r="E1307" s="618">
        <v>340</v>
      </c>
      <c r="F1307" s="619">
        <v>41358</v>
      </c>
      <c r="G1307" s="619">
        <v>43183</v>
      </c>
      <c r="H1307" s="618" t="s">
        <v>16</v>
      </c>
      <c r="I1307" s="618" t="s">
        <v>6865</v>
      </c>
    </row>
    <row r="1308" spans="1:9">
      <c r="A1308" s="620">
        <f t="shared" si="20"/>
        <v>1304</v>
      </c>
      <c r="B1308" s="621" t="s">
        <v>158</v>
      </c>
      <c r="C1308" s="621" t="str">
        <f>"12887"</f>
        <v>12887</v>
      </c>
      <c r="D1308" s="621" t="s">
        <v>18</v>
      </c>
      <c r="E1308" s="621">
        <v>140</v>
      </c>
      <c r="F1308" s="622">
        <v>41358</v>
      </c>
      <c r="G1308" s="622">
        <v>43183</v>
      </c>
      <c r="H1308" s="621" t="s">
        <v>16</v>
      </c>
      <c r="I1308" s="621" t="s">
        <v>6865</v>
      </c>
    </row>
    <row r="1309" spans="1:9">
      <c r="A1309" s="617">
        <f t="shared" si="20"/>
        <v>1305</v>
      </c>
      <c r="B1309" s="618" t="s">
        <v>158</v>
      </c>
      <c r="C1309" s="618" t="str">
        <f>"12888"</f>
        <v>12888</v>
      </c>
      <c r="D1309" s="618" t="s">
        <v>18</v>
      </c>
      <c r="E1309" s="618">
        <v>380</v>
      </c>
      <c r="F1309" s="619">
        <v>41358</v>
      </c>
      <c r="G1309" s="619">
        <v>43183</v>
      </c>
      <c r="H1309" s="618" t="s">
        <v>16</v>
      </c>
      <c r="I1309" s="618" t="s">
        <v>6865</v>
      </c>
    </row>
    <row r="1310" spans="1:9">
      <c r="A1310" s="620">
        <f t="shared" si="20"/>
        <v>1306</v>
      </c>
      <c r="B1310" s="621" t="s">
        <v>158</v>
      </c>
      <c r="C1310" s="621" t="str">
        <f>"12889"</f>
        <v>12889</v>
      </c>
      <c r="D1310" s="621" t="s">
        <v>18</v>
      </c>
      <c r="E1310" s="621">
        <v>320</v>
      </c>
      <c r="F1310" s="622">
        <v>41358</v>
      </c>
      <c r="G1310" s="622">
        <v>43183</v>
      </c>
      <c r="H1310" s="621" t="s">
        <v>16</v>
      </c>
      <c r="I1310" s="621" t="s">
        <v>6865</v>
      </c>
    </row>
    <row r="1311" spans="1:9">
      <c r="A1311" s="617">
        <f t="shared" si="20"/>
        <v>1307</v>
      </c>
      <c r="B1311" s="618" t="s">
        <v>158</v>
      </c>
      <c r="C1311" s="618" t="str">
        <f>"12890"</f>
        <v>12890</v>
      </c>
      <c r="D1311" s="618" t="s">
        <v>18</v>
      </c>
      <c r="E1311" s="618">
        <v>304</v>
      </c>
      <c r="F1311" s="619">
        <v>41358</v>
      </c>
      <c r="G1311" s="619">
        <v>43183</v>
      </c>
      <c r="H1311" s="618" t="s">
        <v>16</v>
      </c>
      <c r="I1311" s="618" t="s">
        <v>6865</v>
      </c>
    </row>
    <row r="1312" spans="1:9">
      <c r="A1312" s="620">
        <f t="shared" si="20"/>
        <v>1308</v>
      </c>
      <c r="B1312" s="621" t="s">
        <v>158</v>
      </c>
      <c r="C1312" s="621" t="str">
        <f>"12891"</f>
        <v>12891</v>
      </c>
      <c r="D1312" s="621" t="s">
        <v>18</v>
      </c>
      <c r="E1312" s="621">
        <v>340</v>
      </c>
      <c r="F1312" s="622">
        <v>41358</v>
      </c>
      <c r="G1312" s="622">
        <v>43183</v>
      </c>
      <c r="H1312" s="621" t="s">
        <v>16</v>
      </c>
      <c r="I1312" s="621" t="s">
        <v>6865</v>
      </c>
    </row>
    <row r="1313" spans="1:9">
      <c r="A1313" s="617">
        <f t="shared" si="20"/>
        <v>1309</v>
      </c>
      <c r="B1313" s="618" t="s">
        <v>158</v>
      </c>
      <c r="C1313" s="618" t="str">
        <f>"12892"</f>
        <v>12892</v>
      </c>
      <c r="D1313" s="618" t="s">
        <v>18</v>
      </c>
      <c r="E1313" s="618">
        <v>400</v>
      </c>
      <c r="F1313" s="619">
        <v>41358</v>
      </c>
      <c r="G1313" s="619">
        <v>43183</v>
      </c>
      <c r="H1313" s="618" t="s">
        <v>16</v>
      </c>
      <c r="I1313" s="618" t="s">
        <v>6865</v>
      </c>
    </row>
    <row r="1314" spans="1:9">
      <c r="A1314" s="620">
        <f t="shared" si="20"/>
        <v>1310</v>
      </c>
      <c r="B1314" s="621" t="s">
        <v>158</v>
      </c>
      <c r="C1314" s="621" t="str">
        <f>"12893"</f>
        <v>12893</v>
      </c>
      <c r="D1314" s="621" t="s">
        <v>18</v>
      </c>
      <c r="E1314" s="621">
        <v>370</v>
      </c>
      <c r="F1314" s="622">
        <v>41358</v>
      </c>
      <c r="G1314" s="622">
        <v>43183</v>
      </c>
      <c r="H1314" s="621" t="s">
        <v>16</v>
      </c>
      <c r="I1314" s="621" t="s">
        <v>6865</v>
      </c>
    </row>
    <row r="1315" spans="1:9">
      <c r="A1315" s="617">
        <f t="shared" si="20"/>
        <v>1311</v>
      </c>
      <c r="B1315" s="618" t="s">
        <v>158</v>
      </c>
      <c r="C1315" s="618" t="str">
        <f>"12894"</f>
        <v>12894</v>
      </c>
      <c r="D1315" s="618" t="s">
        <v>18</v>
      </c>
      <c r="E1315" s="618">
        <v>310</v>
      </c>
      <c r="F1315" s="619">
        <v>41358</v>
      </c>
      <c r="G1315" s="619">
        <v>43183</v>
      </c>
      <c r="H1315" s="618" t="s">
        <v>16</v>
      </c>
      <c r="I1315" s="618" t="s">
        <v>6865</v>
      </c>
    </row>
    <row r="1316" spans="1:9">
      <c r="A1316" s="620">
        <f t="shared" si="20"/>
        <v>1312</v>
      </c>
      <c r="B1316" s="621" t="s">
        <v>158</v>
      </c>
      <c r="C1316" s="621" t="str">
        <f>"12895"</f>
        <v>12895</v>
      </c>
      <c r="D1316" s="621" t="s">
        <v>18</v>
      </c>
      <c r="E1316" s="621">
        <v>280</v>
      </c>
      <c r="F1316" s="622">
        <v>41358</v>
      </c>
      <c r="G1316" s="622">
        <v>43183</v>
      </c>
      <c r="H1316" s="621" t="s">
        <v>16</v>
      </c>
      <c r="I1316" s="621" t="s">
        <v>6865</v>
      </c>
    </row>
    <row r="1317" spans="1:9">
      <c r="A1317" s="617">
        <f t="shared" si="20"/>
        <v>1313</v>
      </c>
      <c r="B1317" s="618" t="s">
        <v>158</v>
      </c>
      <c r="C1317" s="618" t="str">
        <f>"12896"</f>
        <v>12896</v>
      </c>
      <c r="D1317" s="618" t="s">
        <v>18</v>
      </c>
      <c r="E1317" s="618">
        <v>235</v>
      </c>
      <c r="F1317" s="619">
        <v>41358</v>
      </c>
      <c r="G1317" s="619">
        <v>43183</v>
      </c>
      <c r="H1317" s="618" t="s">
        <v>16</v>
      </c>
      <c r="I1317" s="618" t="s">
        <v>6865</v>
      </c>
    </row>
    <row r="1318" spans="1:9">
      <c r="A1318" s="620">
        <f t="shared" si="20"/>
        <v>1314</v>
      </c>
      <c r="B1318" s="621" t="s">
        <v>158</v>
      </c>
      <c r="C1318" s="621" t="str">
        <f>"12897"</f>
        <v>12897</v>
      </c>
      <c r="D1318" s="621" t="s">
        <v>18</v>
      </c>
      <c r="E1318" s="621">
        <v>167</v>
      </c>
      <c r="F1318" s="622">
        <v>41358</v>
      </c>
      <c r="G1318" s="622">
        <v>43183</v>
      </c>
      <c r="H1318" s="621" t="s">
        <v>16</v>
      </c>
      <c r="I1318" s="621" t="s">
        <v>6865</v>
      </c>
    </row>
    <row r="1319" spans="1:9">
      <c r="A1319" s="617">
        <f t="shared" si="20"/>
        <v>1315</v>
      </c>
      <c r="B1319" s="618" t="s">
        <v>158</v>
      </c>
      <c r="C1319" s="618" t="str">
        <f>"12898"</f>
        <v>12898</v>
      </c>
      <c r="D1319" s="618" t="s">
        <v>18</v>
      </c>
      <c r="E1319" s="618">
        <v>180</v>
      </c>
      <c r="F1319" s="619">
        <v>41358</v>
      </c>
      <c r="G1319" s="619">
        <v>43183</v>
      </c>
      <c r="H1319" s="618" t="s">
        <v>16</v>
      </c>
      <c r="I1319" s="618" t="s">
        <v>6865</v>
      </c>
    </row>
    <row r="1320" spans="1:9">
      <c r="A1320" s="620">
        <f t="shared" si="20"/>
        <v>1316</v>
      </c>
      <c r="B1320" s="621" t="s">
        <v>158</v>
      </c>
      <c r="C1320" s="621" t="str">
        <f>"12899"</f>
        <v>12899</v>
      </c>
      <c r="D1320" s="621" t="s">
        <v>18</v>
      </c>
      <c r="E1320" s="621">
        <v>114</v>
      </c>
      <c r="F1320" s="622">
        <v>41358</v>
      </c>
      <c r="G1320" s="622">
        <v>43183</v>
      </c>
      <c r="H1320" s="621" t="s">
        <v>16</v>
      </c>
      <c r="I1320" s="621" t="s">
        <v>6865</v>
      </c>
    </row>
    <row r="1321" spans="1:9">
      <c r="A1321" s="617">
        <f t="shared" si="20"/>
        <v>1317</v>
      </c>
      <c r="B1321" s="618" t="s">
        <v>290</v>
      </c>
      <c r="C1321" s="618" t="str">
        <f>"12903"</f>
        <v>12903</v>
      </c>
      <c r="D1321" s="618" t="s">
        <v>27</v>
      </c>
      <c r="E1321" s="618">
        <v>5</v>
      </c>
      <c r="F1321" s="619">
        <v>42205</v>
      </c>
      <c r="G1321" s="619">
        <v>44031</v>
      </c>
      <c r="H1321" s="618" t="s">
        <v>14</v>
      </c>
      <c r="I1321" s="618" t="s">
        <v>385</v>
      </c>
    </row>
    <row r="1322" spans="1:9">
      <c r="A1322" s="620">
        <f t="shared" si="20"/>
        <v>1318</v>
      </c>
      <c r="B1322" s="621" t="s">
        <v>177</v>
      </c>
      <c r="C1322" s="621" t="str">
        <f>"12905"</f>
        <v>12905</v>
      </c>
      <c r="D1322" s="621" t="s">
        <v>18</v>
      </c>
      <c r="E1322" s="621">
        <v>441</v>
      </c>
      <c r="F1322" s="622">
        <v>40943</v>
      </c>
      <c r="G1322" s="622">
        <v>44850</v>
      </c>
      <c r="H1322" s="621" t="s">
        <v>20</v>
      </c>
      <c r="I1322" s="621" t="s">
        <v>6863</v>
      </c>
    </row>
    <row r="1323" spans="1:9">
      <c r="A1323" s="617">
        <f t="shared" si="20"/>
        <v>1319</v>
      </c>
      <c r="B1323" s="618" t="s">
        <v>177</v>
      </c>
      <c r="C1323" s="618" t="str">
        <f>"12906"</f>
        <v>12906</v>
      </c>
      <c r="D1323" s="618" t="s">
        <v>18</v>
      </c>
      <c r="E1323" s="618">
        <v>81</v>
      </c>
      <c r="F1323" s="619">
        <v>42770</v>
      </c>
      <c r="G1323" s="619">
        <v>44849</v>
      </c>
      <c r="H1323" s="618" t="s">
        <v>20</v>
      </c>
      <c r="I1323" s="618" t="s">
        <v>6863</v>
      </c>
    </row>
    <row r="1324" spans="1:9">
      <c r="A1324" s="620">
        <f t="shared" si="20"/>
        <v>1320</v>
      </c>
      <c r="B1324" s="621" t="s">
        <v>177</v>
      </c>
      <c r="C1324" s="621" t="str">
        <f>"12907"</f>
        <v>12907</v>
      </c>
      <c r="D1324" s="621" t="s">
        <v>18</v>
      </c>
      <c r="E1324" s="621">
        <v>427</v>
      </c>
      <c r="F1324" s="622">
        <v>42770</v>
      </c>
      <c r="G1324" s="622">
        <v>44849</v>
      </c>
      <c r="H1324" s="621" t="s">
        <v>20</v>
      </c>
      <c r="I1324" s="621" t="s">
        <v>6863</v>
      </c>
    </row>
    <row r="1325" spans="1:9">
      <c r="A1325" s="617">
        <f t="shared" si="20"/>
        <v>1321</v>
      </c>
      <c r="B1325" s="618" t="s">
        <v>177</v>
      </c>
      <c r="C1325" s="618" t="str">
        <f>"12908"</f>
        <v>12908</v>
      </c>
      <c r="D1325" s="618" t="s">
        <v>18</v>
      </c>
      <c r="E1325" s="618">
        <v>362</v>
      </c>
      <c r="F1325" s="619">
        <v>40943</v>
      </c>
      <c r="G1325" s="619">
        <v>44849</v>
      </c>
      <c r="H1325" s="618" t="s">
        <v>20</v>
      </c>
      <c r="I1325" s="618" t="s">
        <v>6863</v>
      </c>
    </row>
    <row r="1326" spans="1:9">
      <c r="A1326" s="620">
        <f t="shared" si="20"/>
        <v>1322</v>
      </c>
      <c r="B1326" s="621" t="s">
        <v>177</v>
      </c>
      <c r="C1326" s="621" t="str">
        <f>"12909"</f>
        <v>12909</v>
      </c>
      <c r="D1326" s="621" t="s">
        <v>18</v>
      </c>
      <c r="E1326" s="621">
        <v>327</v>
      </c>
      <c r="F1326" s="622">
        <v>42770</v>
      </c>
      <c r="G1326" s="622">
        <v>43499</v>
      </c>
      <c r="H1326" s="621" t="s">
        <v>20</v>
      </c>
      <c r="I1326" s="621" t="s">
        <v>6863</v>
      </c>
    </row>
    <row r="1327" spans="1:9">
      <c r="A1327" s="617">
        <f t="shared" si="20"/>
        <v>1323</v>
      </c>
      <c r="B1327" s="618" t="s">
        <v>177</v>
      </c>
      <c r="C1327" s="618" t="str">
        <f>"12910"</f>
        <v>12910</v>
      </c>
      <c r="D1327" s="618" t="s">
        <v>18</v>
      </c>
      <c r="E1327" s="618">
        <v>285</v>
      </c>
      <c r="F1327" s="619">
        <v>40943</v>
      </c>
      <c r="G1327" s="619">
        <v>44849</v>
      </c>
      <c r="H1327" s="618" t="s">
        <v>20</v>
      </c>
      <c r="I1327" s="618" t="s">
        <v>6863</v>
      </c>
    </row>
    <row r="1328" spans="1:9">
      <c r="A1328" s="620">
        <f t="shared" si="20"/>
        <v>1324</v>
      </c>
      <c r="B1328" s="621" t="s">
        <v>177</v>
      </c>
      <c r="C1328" s="621" t="str">
        <f>"12911"</f>
        <v>12911</v>
      </c>
      <c r="D1328" s="621" t="s">
        <v>18</v>
      </c>
      <c r="E1328" s="621">
        <v>375</v>
      </c>
      <c r="F1328" s="622">
        <v>42770</v>
      </c>
      <c r="G1328" s="622">
        <v>44849</v>
      </c>
      <c r="H1328" s="621" t="s">
        <v>20</v>
      </c>
      <c r="I1328" s="621" t="s">
        <v>6863</v>
      </c>
    </row>
    <row r="1329" spans="1:9">
      <c r="A1329" s="617">
        <f t="shared" si="20"/>
        <v>1325</v>
      </c>
      <c r="B1329" s="618" t="s">
        <v>177</v>
      </c>
      <c r="C1329" s="618" t="str">
        <f>"12912"</f>
        <v>12912</v>
      </c>
      <c r="D1329" s="618" t="s">
        <v>18</v>
      </c>
      <c r="E1329" s="618">
        <v>376</v>
      </c>
      <c r="F1329" s="619">
        <v>42770</v>
      </c>
      <c r="G1329" s="619">
        <v>44849</v>
      </c>
      <c r="H1329" s="618" t="s">
        <v>20</v>
      </c>
      <c r="I1329" s="618" t="s">
        <v>6863</v>
      </c>
    </row>
    <row r="1330" spans="1:9">
      <c r="A1330" s="620">
        <f t="shared" si="20"/>
        <v>1326</v>
      </c>
      <c r="B1330" s="621" t="s">
        <v>177</v>
      </c>
      <c r="C1330" s="621" t="str">
        <f>"12913"</f>
        <v>12913</v>
      </c>
      <c r="D1330" s="621" t="s">
        <v>18</v>
      </c>
      <c r="E1330" s="621">
        <v>322</v>
      </c>
      <c r="F1330" s="622">
        <v>42770</v>
      </c>
      <c r="G1330" s="622">
        <v>44849</v>
      </c>
      <c r="H1330" s="621" t="s">
        <v>20</v>
      </c>
      <c r="I1330" s="621" t="s">
        <v>6863</v>
      </c>
    </row>
    <row r="1331" spans="1:9">
      <c r="A1331" s="617">
        <f t="shared" si="20"/>
        <v>1327</v>
      </c>
      <c r="B1331" s="618" t="s">
        <v>1762</v>
      </c>
      <c r="C1331" s="618" t="str">
        <f>"12976"</f>
        <v>12976</v>
      </c>
      <c r="D1331" s="618" t="s">
        <v>18</v>
      </c>
      <c r="E1331" s="618">
        <v>38</v>
      </c>
      <c r="F1331" s="619">
        <v>41900</v>
      </c>
      <c r="G1331" s="619">
        <v>43360</v>
      </c>
      <c r="H1331" s="618" t="s">
        <v>21</v>
      </c>
      <c r="I1331" s="618" t="s">
        <v>6862</v>
      </c>
    </row>
    <row r="1332" spans="1:9">
      <c r="A1332" s="620">
        <f t="shared" si="20"/>
        <v>1328</v>
      </c>
      <c r="B1332" s="621" t="s">
        <v>1762</v>
      </c>
      <c r="C1332" s="621" t="str">
        <f>"12984"</f>
        <v>12984</v>
      </c>
      <c r="D1332" s="621" t="s">
        <v>18</v>
      </c>
      <c r="E1332" s="621">
        <v>11</v>
      </c>
      <c r="F1332" s="622">
        <v>41900</v>
      </c>
      <c r="G1332" s="622">
        <v>43360</v>
      </c>
      <c r="H1332" s="621" t="s">
        <v>29</v>
      </c>
      <c r="I1332" s="621" t="s">
        <v>6862</v>
      </c>
    </row>
    <row r="1333" spans="1:9">
      <c r="A1333" s="617">
        <f t="shared" si="20"/>
        <v>1329</v>
      </c>
      <c r="B1333" s="618" t="s">
        <v>1762</v>
      </c>
      <c r="C1333" s="618" t="str">
        <f>"12988"</f>
        <v>12988</v>
      </c>
      <c r="D1333" s="618" t="s">
        <v>18</v>
      </c>
      <c r="E1333" s="618">
        <v>40</v>
      </c>
      <c r="F1333" s="619">
        <v>41900</v>
      </c>
      <c r="G1333" s="619">
        <v>43360</v>
      </c>
      <c r="H1333" s="618" t="s">
        <v>29</v>
      </c>
      <c r="I1333" s="618" t="s">
        <v>6862</v>
      </c>
    </row>
    <row r="1334" spans="1:9">
      <c r="A1334" s="620">
        <f t="shared" si="20"/>
        <v>1330</v>
      </c>
      <c r="B1334" s="621" t="s">
        <v>157</v>
      </c>
      <c r="C1334" s="621" t="str">
        <f>"13025"</f>
        <v>13025</v>
      </c>
      <c r="D1334" s="621" t="s">
        <v>13</v>
      </c>
      <c r="E1334" s="621">
        <v>204</v>
      </c>
      <c r="F1334" s="622">
        <v>41141</v>
      </c>
      <c r="G1334" s="622">
        <v>52097</v>
      </c>
      <c r="H1334" s="621" t="s">
        <v>16</v>
      </c>
      <c r="I1334" s="621" t="s">
        <v>51</v>
      </c>
    </row>
    <row r="1335" spans="1:9">
      <c r="A1335" s="617">
        <f t="shared" si="20"/>
        <v>1331</v>
      </c>
      <c r="B1335" s="618" t="s">
        <v>157</v>
      </c>
      <c r="C1335" s="618" t="str">
        <f>"13026"</f>
        <v>13026</v>
      </c>
      <c r="D1335" s="618" t="s">
        <v>13</v>
      </c>
      <c r="E1335" s="618">
        <v>202</v>
      </c>
      <c r="F1335" s="619">
        <v>41141</v>
      </c>
      <c r="G1335" s="619">
        <v>52097</v>
      </c>
      <c r="H1335" s="618" t="s">
        <v>16</v>
      </c>
      <c r="I1335" s="618" t="s">
        <v>51</v>
      </c>
    </row>
    <row r="1336" spans="1:9">
      <c r="A1336" s="620">
        <f t="shared" si="20"/>
        <v>1332</v>
      </c>
      <c r="B1336" s="621" t="s">
        <v>6876</v>
      </c>
      <c r="C1336" s="621" t="str">
        <f>"13062"</f>
        <v>13062</v>
      </c>
      <c r="D1336" s="621" t="s">
        <v>13</v>
      </c>
      <c r="E1336" s="621">
        <v>229</v>
      </c>
      <c r="F1336" s="622">
        <v>41771</v>
      </c>
      <c r="G1336" s="622">
        <v>43595</v>
      </c>
      <c r="H1336" s="621" t="s">
        <v>29</v>
      </c>
      <c r="I1336" s="621" t="s">
        <v>6858</v>
      </c>
    </row>
    <row r="1337" spans="1:9">
      <c r="A1337" s="617">
        <f t="shared" si="20"/>
        <v>1333</v>
      </c>
      <c r="B1337" s="618" t="s">
        <v>159</v>
      </c>
      <c r="C1337" s="618" t="str">
        <f>"13065"</f>
        <v>13065</v>
      </c>
      <c r="D1337" s="618" t="s">
        <v>13</v>
      </c>
      <c r="E1337" s="618">
        <v>177</v>
      </c>
      <c r="F1337" s="619">
        <v>41536</v>
      </c>
      <c r="G1337" s="619">
        <v>52492</v>
      </c>
      <c r="H1337" s="618" t="s">
        <v>45</v>
      </c>
      <c r="I1337" s="618" t="s">
        <v>51</v>
      </c>
    </row>
    <row r="1338" spans="1:9">
      <c r="A1338" s="620">
        <f t="shared" si="20"/>
        <v>1334</v>
      </c>
      <c r="B1338" s="621" t="s">
        <v>1696</v>
      </c>
      <c r="C1338" s="621" t="str">
        <f>"13068"</f>
        <v>13068</v>
      </c>
      <c r="D1338" s="621" t="s">
        <v>18</v>
      </c>
      <c r="E1338" s="621">
        <v>66</v>
      </c>
      <c r="F1338" s="622">
        <v>42102</v>
      </c>
      <c r="G1338" s="622">
        <v>45389</v>
      </c>
      <c r="H1338" s="621" t="s">
        <v>16</v>
      </c>
      <c r="I1338" s="621" t="s">
        <v>6863</v>
      </c>
    </row>
    <row r="1339" spans="1:9">
      <c r="A1339" s="617">
        <f t="shared" si="20"/>
        <v>1335</v>
      </c>
      <c r="B1339" s="618" t="s">
        <v>160</v>
      </c>
      <c r="C1339" s="618" t="str">
        <f>"13076"</f>
        <v>13076</v>
      </c>
      <c r="D1339" s="618" t="s">
        <v>27</v>
      </c>
      <c r="E1339" s="618">
        <v>57</v>
      </c>
      <c r="F1339" s="619">
        <v>44662</v>
      </c>
      <c r="G1339" s="619">
        <v>46578</v>
      </c>
      <c r="H1339" s="618" t="s">
        <v>56</v>
      </c>
      <c r="I1339" s="618" t="s">
        <v>51</v>
      </c>
    </row>
    <row r="1340" spans="1:9">
      <c r="A1340" s="620">
        <f t="shared" si="20"/>
        <v>1336</v>
      </c>
      <c r="B1340" s="621" t="s">
        <v>112</v>
      </c>
      <c r="C1340" s="621" t="str">
        <f>"13079"</f>
        <v>13079</v>
      </c>
      <c r="D1340" s="621" t="s">
        <v>27</v>
      </c>
      <c r="E1340" s="621">
        <v>3</v>
      </c>
      <c r="F1340" s="622">
        <v>43142</v>
      </c>
      <c r="G1340" s="622">
        <v>44967</v>
      </c>
      <c r="H1340" s="621" t="s">
        <v>14</v>
      </c>
      <c r="I1340" s="621" t="s">
        <v>6864</v>
      </c>
    </row>
    <row r="1341" spans="1:9">
      <c r="A1341" s="617">
        <f t="shared" si="20"/>
        <v>1337</v>
      </c>
      <c r="B1341" s="618" t="s">
        <v>562</v>
      </c>
      <c r="C1341" s="618" t="str">
        <f>"13080"</f>
        <v>13080</v>
      </c>
      <c r="D1341" s="618" t="s">
        <v>13</v>
      </c>
      <c r="E1341" s="618">
        <v>187</v>
      </c>
      <c r="F1341" s="619">
        <v>41121</v>
      </c>
      <c r="G1341" s="619">
        <v>52077</v>
      </c>
      <c r="H1341" s="618" t="s">
        <v>14</v>
      </c>
      <c r="I1341" s="618" t="s">
        <v>51</v>
      </c>
    </row>
    <row r="1342" spans="1:9">
      <c r="A1342" s="620">
        <f t="shared" si="20"/>
        <v>1338</v>
      </c>
      <c r="B1342" s="621" t="s">
        <v>161</v>
      </c>
      <c r="C1342" s="621" t="str">
        <f>"13081"</f>
        <v>13081</v>
      </c>
      <c r="D1342" s="621" t="s">
        <v>13</v>
      </c>
      <c r="E1342" s="621">
        <v>44</v>
      </c>
      <c r="F1342" s="622">
        <v>41299</v>
      </c>
      <c r="G1342" s="622">
        <v>52286</v>
      </c>
      <c r="H1342" s="621" t="s">
        <v>45</v>
      </c>
      <c r="I1342" s="621" t="s">
        <v>51</v>
      </c>
    </row>
    <row r="1343" spans="1:9">
      <c r="A1343" s="617">
        <f t="shared" si="20"/>
        <v>1339</v>
      </c>
      <c r="B1343" s="618" t="s">
        <v>5707</v>
      </c>
      <c r="C1343" s="618" t="str">
        <f>"13082"</f>
        <v>13082</v>
      </c>
      <c r="D1343" s="618" t="s">
        <v>13</v>
      </c>
      <c r="E1343" s="618">
        <v>70</v>
      </c>
      <c r="F1343" s="619">
        <v>41450</v>
      </c>
      <c r="G1343" s="619">
        <v>52406</v>
      </c>
      <c r="H1343" s="618" t="s">
        <v>45</v>
      </c>
      <c r="I1343" s="618" t="s">
        <v>51</v>
      </c>
    </row>
    <row r="1344" spans="1:9">
      <c r="A1344" s="620">
        <f t="shared" si="20"/>
        <v>1340</v>
      </c>
      <c r="B1344" s="621" t="s">
        <v>74</v>
      </c>
      <c r="C1344" s="621" t="str">
        <f>"13083"</f>
        <v>13083</v>
      </c>
      <c r="D1344" s="621" t="s">
        <v>13</v>
      </c>
      <c r="E1344" s="621">
        <v>4</v>
      </c>
      <c r="F1344" s="622">
        <v>41247</v>
      </c>
      <c r="G1344" s="622">
        <v>45385</v>
      </c>
      <c r="H1344" s="621" t="s">
        <v>16</v>
      </c>
      <c r="I1344" s="621" t="s">
        <v>6858</v>
      </c>
    </row>
    <row r="1345" spans="1:9">
      <c r="A1345" s="617">
        <f t="shared" si="20"/>
        <v>1341</v>
      </c>
      <c r="B1345" s="618" t="s">
        <v>87</v>
      </c>
      <c r="C1345" s="618" t="str">
        <f>"13084"</f>
        <v>13084</v>
      </c>
      <c r="D1345" s="618" t="s">
        <v>13</v>
      </c>
      <c r="E1345" s="618">
        <v>35</v>
      </c>
      <c r="F1345" s="619">
        <v>45238</v>
      </c>
      <c r="G1345" s="619">
        <v>54363</v>
      </c>
      <c r="H1345" s="618" t="s">
        <v>43</v>
      </c>
      <c r="I1345" s="618" t="s">
        <v>51</v>
      </c>
    </row>
    <row r="1346" spans="1:9">
      <c r="A1346" s="620">
        <f t="shared" si="20"/>
        <v>1342</v>
      </c>
      <c r="B1346" s="621" t="s">
        <v>162</v>
      </c>
      <c r="C1346" s="621" t="str">
        <f>"13085"</f>
        <v>13085</v>
      </c>
      <c r="D1346" s="621" t="s">
        <v>13</v>
      </c>
      <c r="E1346" s="621">
        <v>33</v>
      </c>
      <c r="F1346" s="622">
        <v>41482</v>
      </c>
      <c r="G1346" s="622">
        <v>52438</v>
      </c>
      <c r="H1346" s="621" t="s">
        <v>14</v>
      </c>
      <c r="I1346" s="621" t="s">
        <v>51</v>
      </c>
    </row>
    <row r="1347" spans="1:9">
      <c r="A1347" s="617">
        <f t="shared" si="20"/>
        <v>1343</v>
      </c>
      <c r="B1347" s="618" t="s">
        <v>145</v>
      </c>
      <c r="C1347" s="618" t="str">
        <f>"13089"</f>
        <v>13089</v>
      </c>
      <c r="D1347" s="618" t="s">
        <v>13</v>
      </c>
      <c r="E1347" s="618">
        <v>16</v>
      </c>
      <c r="F1347" s="619">
        <v>43377</v>
      </c>
      <c r="G1347" s="619">
        <v>52507</v>
      </c>
      <c r="H1347" s="618" t="s">
        <v>43</v>
      </c>
      <c r="I1347" s="618" t="s">
        <v>51</v>
      </c>
    </row>
    <row r="1348" spans="1:9">
      <c r="A1348" s="620">
        <f t="shared" si="20"/>
        <v>1344</v>
      </c>
      <c r="B1348" s="621" t="s">
        <v>94</v>
      </c>
      <c r="C1348" s="621" t="str">
        <f>"13090"</f>
        <v>13090</v>
      </c>
      <c r="D1348" s="621" t="s">
        <v>13</v>
      </c>
      <c r="E1348" s="621">
        <v>16</v>
      </c>
      <c r="F1348" s="622">
        <v>43377</v>
      </c>
      <c r="G1348" s="622">
        <v>52507</v>
      </c>
      <c r="H1348" s="621" t="s">
        <v>43</v>
      </c>
      <c r="I1348" s="621" t="s">
        <v>51</v>
      </c>
    </row>
    <row r="1349" spans="1:9">
      <c r="A1349" s="617">
        <f t="shared" si="20"/>
        <v>1345</v>
      </c>
      <c r="B1349" s="618" t="s">
        <v>384</v>
      </c>
      <c r="C1349" s="618" t="str">
        <f>"13092"</f>
        <v>13092</v>
      </c>
      <c r="D1349" s="618" t="s">
        <v>13</v>
      </c>
      <c r="E1349" s="618">
        <v>72</v>
      </c>
      <c r="F1349" s="619">
        <v>41500</v>
      </c>
      <c r="G1349" s="619">
        <v>44106</v>
      </c>
      <c r="H1349" s="618" t="s">
        <v>45</v>
      </c>
      <c r="I1349" s="618" t="s">
        <v>6862</v>
      </c>
    </row>
    <row r="1350" spans="1:9">
      <c r="A1350" s="620">
        <f t="shared" si="20"/>
        <v>1346</v>
      </c>
      <c r="B1350" s="621" t="s">
        <v>140</v>
      </c>
      <c r="C1350" s="621" t="str">
        <f>"13093"</f>
        <v>13093</v>
      </c>
      <c r="D1350" s="621" t="s">
        <v>13</v>
      </c>
      <c r="E1350" s="621">
        <v>21</v>
      </c>
      <c r="F1350" s="622">
        <v>41834</v>
      </c>
      <c r="G1350" s="622">
        <v>52791</v>
      </c>
      <c r="H1350" s="621" t="s">
        <v>14</v>
      </c>
      <c r="I1350" s="621" t="s">
        <v>51</v>
      </c>
    </row>
    <row r="1351" spans="1:9">
      <c r="A1351" s="617">
        <f t="shared" ref="A1351:A1414" si="21">+A1350+1</f>
        <v>1347</v>
      </c>
      <c r="B1351" s="618" t="s">
        <v>452</v>
      </c>
      <c r="C1351" s="618" t="str">
        <f>"13096"</f>
        <v>13096</v>
      </c>
      <c r="D1351" s="618" t="s">
        <v>27</v>
      </c>
      <c r="E1351" s="618">
        <v>2</v>
      </c>
      <c r="F1351" s="619">
        <v>41702</v>
      </c>
      <c r="G1351" s="619">
        <v>42449</v>
      </c>
      <c r="H1351" s="618" t="s">
        <v>16</v>
      </c>
      <c r="I1351" s="618" t="s">
        <v>6864</v>
      </c>
    </row>
    <row r="1352" spans="1:9">
      <c r="A1352" s="620">
        <f t="shared" si="21"/>
        <v>1348</v>
      </c>
      <c r="B1352" s="621" t="s">
        <v>15</v>
      </c>
      <c r="C1352" s="621" t="str">
        <f>"13097"</f>
        <v>13097</v>
      </c>
      <c r="D1352" s="621" t="s">
        <v>13</v>
      </c>
      <c r="E1352" s="621">
        <v>49</v>
      </c>
      <c r="F1352" s="622">
        <v>42216</v>
      </c>
      <c r="G1352" s="622">
        <v>53173</v>
      </c>
      <c r="H1352" s="621" t="s">
        <v>45</v>
      </c>
      <c r="I1352" s="621" t="s">
        <v>51</v>
      </c>
    </row>
    <row r="1353" spans="1:9">
      <c r="A1353" s="617">
        <f t="shared" si="21"/>
        <v>1349</v>
      </c>
      <c r="B1353" s="618" t="s">
        <v>15</v>
      </c>
      <c r="C1353" s="618" t="str">
        <f>"13098"</f>
        <v>13098</v>
      </c>
      <c r="D1353" s="618" t="s">
        <v>13</v>
      </c>
      <c r="E1353" s="618">
        <v>54</v>
      </c>
      <c r="F1353" s="619">
        <v>42209</v>
      </c>
      <c r="G1353" s="619">
        <v>53166</v>
      </c>
      <c r="H1353" s="618" t="s">
        <v>45</v>
      </c>
      <c r="I1353" s="618" t="s">
        <v>51</v>
      </c>
    </row>
    <row r="1354" spans="1:9">
      <c r="A1354" s="620">
        <f t="shared" si="21"/>
        <v>1350</v>
      </c>
      <c r="B1354" s="621" t="s">
        <v>163</v>
      </c>
      <c r="C1354" s="621" t="str">
        <f>"13099"</f>
        <v>13099</v>
      </c>
      <c r="D1354" s="621" t="s">
        <v>27</v>
      </c>
      <c r="E1354" s="621">
        <v>5</v>
      </c>
      <c r="F1354" s="622">
        <v>43508</v>
      </c>
      <c r="G1354" s="622">
        <v>45333</v>
      </c>
      <c r="H1354" s="621" t="s">
        <v>14</v>
      </c>
      <c r="I1354" s="621" t="s">
        <v>51</v>
      </c>
    </row>
    <row r="1355" spans="1:9">
      <c r="A1355" s="617">
        <f t="shared" si="21"/>
        <v>1351</v>
      </c>
      <c r="B1355" s="618" t="s">
        <v>36</v>
      </c>
      <c r="C1355" s="618" t="str">
        <f>"13102"</f>
        <v>13102</v>
      </c>
      <c r="D1355" s="618" t="s">
        <v>37</v>
      </c>
      <c r="E1355" s="618">
        <v>2</v>
      </c>
      <c r="F1355" s="619">
        <v>43699</v>
      </c>
      <c r="G1355" s="619">
        <v>45525</v>
      </c>
      <c r="H1355" s="618" t="s">
        <v>14</v>
      </c>
      <c r="I1355" s="618" t="s">
        <v>51</v>
      </c>
    </row>
    <row r="1356" spans="1:9">
      <c r="A1356" s="620">
        <f t="shared" si="21"/>
        <v>1352</v>
      </c>
      <c r="B1356" s="621" t="s">
        <v>36</v>
      </c>
      <c r="C1356" s="621" t="str">
        <f>"13103"</f>
        <v>13103</v>
      </c>
      <c r="D1356" s="621" t="s">
        <v>37</v>
      </c>
      <c r="E1356" s="621">
        <v>2</v>
      </c>
      <c r="F1356" s="622">
        <v>43699</v>
      </c>
      <c r="G1356" s="622">
        <v>43698</v>
      </c>
      <c r="H1356" s="621" t="s">
        <v>14</v>
      </c>
      <c r="I1356" s="621" t="s">
        <v>400</v>
      </c>
    </row>
    <row r="1357" spans="1:9">
      <c r="A1357" s="617">
        <f t="shared" si="21"/>
        <v>1353</v>
      </c>
      <c r="B1357" s="618" t="s">
        <v>88</v>
      </c>
      <c r="C1357" s="618" t="str">
        <f>"13114"</f>
        <v>13114</v>
      </c>
      <c r="D1357" s="618" t="s">
        <v>13</v>
      </c>
      <c r="E1357" s="618">
        <v>28</v>
      </c>
      <c r="F1357" s="619">
        <v>42209</v>
      </c>
      <c r="G1357" s="619">
        <v>53166</v>
      </c>
      <c r="H1357" s="618" t="s">
        <v>16</v>
      </c>
      <c r="I1357" s="618" t="s">
        <v>51</v>
      </c>
    </row>
    <row r="1358" spans="1:9">
      <c r="A1358" s="620">
        <f t="shared" si="21"/>
        <v>1354</v>
      </c>
      <c r="B1358" s="621" t="s">
        <v>94</v>
      </c>
      <c r="C1358" s="621" t="str">
        <f>"13118"</f>
        <v>13118</v>
      </c>
      <c r="D1358" s="621" t="s">
        <v>13</v>
      </c>
      <c r="E1358" s="621">
        <v>6</v>
      </c>
      <c r="F1358" s="622">
        <v>41978</v>
      </c>
      <c r="G1358" s="622">
        <v>52357</v>
      </c>
      <c r="H1358" s="621" t="s">
        <v>43</v>
      </c>
      <c r="I1358" s="621" t="s">
        <v>51</v>
      </c>
    </row>
    <row r="1359" spans="1:9">
      <c r="A1359" s="617">
        <f t="shared" si="21"/>
        <v>1355</v>
      </c>
      <c r="B1359" s="618" t="s">
        <v>164</v>
      </c>
      <c r="C1359" s="618" t="str">
        <f>"13119"</f>
        <v>13119</v>
      </c>
      <c r="D1359" s="618" t="s">
        <v>13</v>
      </c>
      <c r="E1359" s="618">
        <v>6</v>
      </c>
      <c r="F1359" s="619">
        <v>42676</v>
      </c>
      <c r="G1359" s="619">
        <v>53632</v>
      </c>
      <c r="H1359" s="618" t="s">
        <v>14</v>
      </c>
      <c r="I1359" s="618" t="s">
        <v>51</v>
      </c>
    </row>
    <row r="1360" spans="1:9">
      <c r="A1360" s="620">
        <f t="shared" si="21"/>
        <v>1356</v>
      </c>
      <c r="B1360" s="621" t="s">
        <v>130</v>
      </c>
      <c r="C1360" s="621" t="str">
        <f>"13120"</f>
        <v>13120</v>
      </c>
      <c r="D1360" s="621" t="s">
        <v>13</v>
      </c>
      <c r="E1360" s="621">
        <v>2</v>
      </c>
      <c r="F1360" s="622">
        <v>41806</v>
      </c>
      <c r="G1360" s="622">
        <v>52508</v>
      </c>
      <c r="H1360" s="621" t="s">
        <v>14</v>
      </c>
      <c r="I1360" s="621" t="s">
        <v>51</v>
      </c>
    </row>
    <row r="1361" spans="1:9">
      <c r="A1361" s="617">
        <f t="shared" si="21"/>
        <v>1357</v>
      </c>
      <c r="B1361" s="618" t="s">
        <v>36</v>
      </c>
      <c r="C1361" s="618" t="str">
        <f>"13121"</f>
        <v>13121</v>
      </c>
      <c r="D1361" s="618" t="s">
        <v>13</v>
      </c>
      <c r="E1361" s="618">
        <v>3</v>
      </c>
      <c r="F1361" s="619">
        <v>41806</v>
      </c>
      <c r="G1361" s="619">
        <v>52508</v>
      </c>
      <c r="H1361" s="618" t="s">
        <v>14</v>
      </c>
      <c r="I1361" s="618" t="s">
        <v>51</v>
      </c>
    </row>
    <row r="1362" spans="1:9">
      <c r="A1362" s="620">
        <f t="shared" si="21"/>
        <v>1358</v>
      </c>
      <c r="B1362" s="621" t="s">
        <v>158</v>
      </c>
      <c r="C1362" s="621" t="str">
        <f>"13122"</f>
        <v>13122</v>
      </c>
      <c r="D1362" s="621" t="s">
        <v>13</v>
      </c>
      <c r="E1362" s="621">
        <v>10</v>
      </c>
      <c r="F1362" s="622">
        <v>41912</v>
      </c>
      <c r="G1362" s="622">
        <v>52869</v>
      </c>
      <c r="H1362" s="621" t="s">
        <v>16</v>
      </c>
      <c r="I1362" s="621" t="s">
        <v>385</v>
      </c>
    </row>
    <row r="1363" spans="1:9">
      <c r="A1363" s="617">
        <f t="shared" si="21"/>
        <v>1359</v>
      </c>
      <c r="B1363" s="618" t="s">
        <v>158</v>
      </c>
      <c r="C1363" s="618" t="str">
        <f>"13123"</f>
        <v>13123</v>
      </c>
      <c r="D1363" s="618" t="s">
        <v>13</v>
      </c>
      <c r="E1363" s="618">
        <v>22</v>
      </c>
      <c r="F1363" s="619">
        <v>41912</v>
      </c>
      <c r="G1363" s="619">
        <v>52869</v>
      </c>
      <c r="H1363" s="618" t="s">
        <v>16</v>
      </c>
      <c r="I1363" s="618" t="s">
        <v>385</v>
      </c>
    </row>
    <row r="1364" spans="1:9">
      <c r="A1364" s="620">
        <f t="shared" si="21"/>
        <v>1360</v>
      </c>
      <c r="B1364" s="621" t="s">
        <v>158</v>
      </c>
      <c r="C1364" s="621" t="str">
        <f>"13124"</f>
        <v>13124</v>
      </c>
      <c r="D1364" s="621" t="s">
        <v>13</v>
      </c>
      <c r="E1364" s="621">
        <v>45</v>
      </c>
      <c r="F1364" s="622">
        <v>41912</v>
      </c>
      <c r="G1364" s="622">
        <v>52869</v>
      </c>
      <c r="H1364" s="621" t="s">
        <v>16</v>
      </c>
      <c r="I1364" s="621" t="s">
        <v>385</v>
      </c>
    </row>
    <row r="1365" spans="1:9">
      <c r="A1365" s="617">
        <f t="shared" si="21"/>
        <v>1361</v>
      </c>
      <c r="B1365" s="618" t="s">
        <v>158</v>
      </c>
      <c r="C1365" s="618" t="str">
        <f>"13125"</f>
        <v>13125</v>
      </c>
      <c r="D1365" s="618" t="s">
        <v>13</v>
      </c>
      <c r="E1365" s="618">
        <v>99</v>
      </c>
      <c r="F1365" s="619">
        <v>41912</v>
      </c>
      <c r="G1365" s="619">
        <v>52869</v>
      </c>
      <c r="H1365" s="618" t="s">
        <v>16</v>
      </c>
      <c r="I1365" s="618" t="s">
        <v>385</v>
      </c>
    </row>
    <row r="1366" spans="1:9">
      <c r="A1366" s="620">
        <f t="shared" si="21"/>
        <v>1362</v>
      </c>
      <c r="B1366" s="621" t="s">
        <v>17</v>
      </c>
      <c r="C1366" s="621" t="str">
        <f>"13155"</f>
        <v>13155</v>
      </c>
      <c r="D1366" s="621" t="s">
        <v>13</v>
      </c>
      <c r="E1366" s="621">
        <v>151</v>
      </c>
      <c r="F1366" s="622">
        <v>42038</v>
      </c>
      <c r="G1366" s="622">
        <v>52995</v>
      </c>
      <c r="H1366" s="621" t="s">
        <v>19</v>
      </c>
      <c r="I1366" s="621" t="s">
        <v>51</v>
      </c>
    </row>
    <row r="1367" spans="1:9">
      <c r="A1367" s="617">
        <f t="shared" si="21"/>
        <v>1363</v>
      </c>
      <c r="B1367" s="618" t="s">
        <v>64</v>
      </c>
      <c r="C1367" s="618" t="str">
        <f>"13157"</f>
        <v>13157</v>
      </c>
      <c r="D1367" s="618" t="s">
        <v>13</v>
      </c>
      <c r="E1367" s="618">
        <v>28</v>
      </c>
      <c r="F1367" s="619">
        <v>42209</v>
      </c>
      <c r="G1367" s="619">
        <v>53166</v>
      </c>
      <c r="H1367" s="618" t="s">
        <v>14</v>
      </c>
      <c r="I1367" s="618" t="s">
        <v>51</v>
      </c>
    </row>
    <row r="1368" spans="1:9">
      <c r="A1368" s="620">
        <f t="shared" si="21"/>
        <v>1364</v>
      </c>
      <c r="B1368" s="621" t="s">
        <v>64</v>
      </c>
      <c r="C1368" s="621" t="str">
        <f>"13158"</f>
        <v>13158</v>
      </c>
      <c r="D1368" s="621" t="s">
        <v>13</v>
      </c>
      <c r="E1368" s="621">
        <v>51</v>
      </c>
      <c r="F1368" s="622">
        <v>42209</v>
      </c>
      <c r="G1368" s="622">
        <v>53166</v>
      </c>
      <c r="H1368" s="621" t="s">
        <v>14</v>
      </c>
      <c r="I1368" s="621" t="s">
        <v>51</v>
      </c>
    </row>
    <row r="1369" spans="1:9">
      <c r="A1369" s="617">
        <f t="shared" si="21"/>
        <v>1365</v>
      </c>
      <c r="B1369" s="618" t="s">
        <v>64</v>
      </c>
      <c r="C1369" s="618" t="str">
        <f>"13159"</f>
        <v>13159</v>
      </c>
      <c r="D1369" s="618" t="s">
        <v>13</v>
      </c>
      <c r="E1369" s="618">
        <v>48</v>
      </c>
      <c r="F1369" s="619">
        <v>42209</v>
      </c>
      <c r="G1369" s="619">
        <v>53166</v>
      </c>
      <c r="H1369" s="618" t="s">
        <v>14</v>
      </c>
      <c r="I1369" s="618" t="s">
        <v>51</v>
      </c>
    </row>
    <row r="1370" spans="1:9">
      <c r="A1370" s="620">
        <f t="shared" si="21"/>
        <v>1366</v>
      </c>
      <c r="B1370" s="621" t="s">
        <v>64</v>
      </c>
      <c r="C1370" s="621" t="str">
        <f>"13160"</f>
        <v>13160</v>
      </c>
      <c r="D1370" s="621" t="s">
        <v>13</v>
      </c>
      <c r="E1370" s="621">
        <v>26</v>
      </c>
      <c r="F1370" s="622">
        <v>42209</v>
      </c>
      <c r="G1370" s="622">
        <v>53166</v>
      </c>
      <c r="H1370" s="621" t="s">
        <v>14</v>
      </c>
      <c r="I1370" s="621" t="s">
        <v>51</v>
      </c>
    </row>
    <row r="1371" spans="1:9">
      <c r="A1371" s="617">
        <f t="shared" si="21"/>
        <v>1367</v>
      </c>
      <c r="B1371" s="618" t="s">
        <v>30</v>
      </c>
      <c r="C1371" s="618" t="str">
        <f>"13162"</f>
        <v>13162</v>
      </c>
      <c r="D1371" s="618" t="s">
        <v>13</v>
      </c>
      <c r="E1371" s="618">
        <v>4</v>
      </c>
      <c r="F1371" s="619">
        <v>41851</v>
      </c>
      <c r="G1371" s="619">
        <v>52808</v>
      </c>
      <c r="H1371" s="618" t="s">
        <v>31</v>
      </c>
      <c r="I1371" s="618" t="s">
        <v>6871</v>
      </c>
    </row>
    <row r="1372" spans="1:9">
      <c r="A1372" s="620">
        <f t="shared" si="21"/>
        <v>1368</v>
      </c>
      <c r="B1372" s="621" t="s">
        <v>30</v>
      </c>
      <c r="C1372" s="621" t="str">
        <f>"13163"</f>
        <v>13163</v>
      </c>
      <c r="D1372" s="621" t="s">
        <v>13</v>
      </c>
      <c r="E1372" s="621">
        <v>5</v>
      </c>
      <c r="F1372" s="622">
        <v>41851</v>
      </c>
      <c r="G1372" s="622">
        <v>52808</v>
      </c>
      <c r="H1372" s="621" t="s">
        <v>31</v>
      </c>
      <c r="I1372" s="621" t="s">
        <v>6871</v>
      </c>
    </row>
    <row r="1373" spans="1:9">
      <c r="A1373" s="617">
        <f t="shared" si="21"/>
        <v>1369</v>
      </c>
      <c r="B1373" s="618" t="s">
        <v>30</v>
      </c>
      <c r="C1373" s="618" t="str">
        <f>"13164"</f>
        <v>13164</v>
      </c>
      <c r="D1373" s="618" t="s">
        <v>13</v>
      </c>
      <c r="E1373" s="618">
        <v>3</v>
      </c>
      <c r="F1373" s="619">
        <v>41851</v>
      </c>
      <c r="G1373" s="619">
        <v>52808</v>
      </c>
      <c r="H1373" s="618" t="s">
        <v>31</v>
      </c>
      <c r="I1373" s="618" t="s">
        <v>6871</v>
      </c>
    </row>
    <row r="1374" spans="1:9">
      <c r="A1374" s="620">
        <f t="shared" si="21"/>
        <v>1370</v>
      </c>
      <c r="B1374" s="621" t="s">
        <v>30</v>
      </c>
      <c r="C1374" s="621" t="str">
        <f>"13165"</f>
        <v>13165</v>
      </c>
      <c r="D1374" s="621" t="s">
        <v>13</v>
      </c>
      <c r="E1374" s="621">
        <v>44</v>
      </c>
      <c r="F1374" s="622">
        <v>41851</v>
      </c>
      <c r="G1374" s="622">
        <v>52808</v>
      </c>
      <c r="H1374" s="621" t="s">
        <v>31</v>
      </c>
      <c r="I1374" s="621" t="s">
        <v>6871</v>
      </c>
    </row>
    <row r="1375" spans="1:9">
      <c r="A1375" s="617">
        <f t="shared" si="21"/>
        <v>1371</v>
      </c>
      <c r="B1375" s="618" t="s">
        <v>30</v>
      </c>
      <c r="C1375" s="618" t="str">
        <f>"13166"</f>
        <v>13166</v>
      </c>
      <c r="D1375" s="618" t="s">
        <v>13</v>
      </c>
      <c r="E1375" s="618">
        <v>6</v>
      </c>
      <c r="F1375" s="619">
        <v>41851</v>
      </c>
      <c r="G1375" s="619">
        <v>52808</v>
      </c>
      <c r="H1375" s="618" t="s">
        <v>31</v>
      </c>
      <c r="I1375" s="618" t="s">
        <v>6871</v>
      </c>
    </row>
    <row r="1376" spans="1:9">
      <c r="A1376" s="620">
        <f t="shared" si="21"/>
        <v>1372</v>
      </c>
      <c r="B1376" s="621" t="s">
        <v>107</v>
      </c>
      <c r="C1376" s="621" t="str">
        <f>"13176"</f>
        <v>13176</v>
      </c>
      <c r="D1376" s="621" t="s">
        <v>13</v>
      </c>
      <c r="E1376" s="621">
        <v>12</v>
      </c>
      <c r="F1376" s="622">
        <v>41969</v>
      </c>
      <c r="G1376" s="622">
        <v>52926</v>
      </c>
      <c r="H1376" s="621" t="s">
        <v>29</v>
      </c>
      <c r="I1376" s="621" t="s">
        <v>51</v>
      </c>
    </row>
    <row r="1377" spans="1:9">
      <c r="A1377" s="617">
        <f t="shared" si="21"/>
        <v>1373</v>
      </c>
      <c r="B1377" s="618" t="s">
        <v>165</v>
      </c>
      <c r="C1377" s="618" t="str">
        <f>"13177"</f>
        <v>13177</v>
      </c>
      <c r="D1377" s="618" t="s">
        <v>13</v>
      </c>
      <c r="E1377" s="618">
        <v>13</v>
      </c>
      <c r="F1377" s="619">
        <v>42067</v>
      </c>
      <c r="G1377" s="619">
        <v>53024</v>
      </c>
      <c r="H1377" s="618" t="s">
        <v>56</v>
      </c>
      <c r="I1377" s="618" t="s">
        <v>51</v>
      </c>
    </row>
    <row r="1378" spans="1:9">
      <c r="A1378" s="620">
        <f t="shared" si="21"/>
        <v>1374</v>
      </c>
      <c r="B1378" s="621" t="s">
        <v>165</v>
      </c>
      <c r="C1378" s="621" t="str">
        <f>"13178"</f>
        <v>13178</v>
      </c>
      <c r="D1378" s="621" t="s">
        <v>13</v>
      </c>
      <c r="E1378" s="621">
        <v>60</v>
      </c>
      <c r="F1378" s="622">
        <v>42067</v>
      </c>
      <c r="G1378" s="622">
        <v>53024</v>
      </c>
      <c r="H1378" s="621" t="s">
        <v>56</v>
      </c>
      <c r="I1378" s="621" t="s">
        <v>51</v>
      </c>
    </row>
    <row r="1379" spans="1:9">
      <c r="A1379" s="617">
        <f t="shared" si="21"/>
        <v>1375</v>
      </c>
      <c r="B1379" s="618" t="s">
        <v>165</v>
      </c>
      <c r="C1379" s="618" t="str">
        <f>"13179"</f>
        <v>13179</v>
      </c>
      <c r="D1379" s="618" t="s">
        <v>13</v>
      </c>
      <c r="E1379" s="618">
        <v>84</v>
      </c>
      <c r="F1379" s="619">
        <v>42067</v>
      </c>
      <c r="G1379" s="619">
        <v>53024</v>
      </c>
      <c r="H1379" s="618" t="s">
        <v>56</v>
      </c>
      <c r="I1379" s="618" t="s">
        <v>51</v>
      </c>
    </row>
    <row r="1380" spans="1:9">
      <c r="A1380" s="620">
        <f t="shared" si="21"/>
        <v>1376</v>
      </c>
      <c r="B1380" s="621" t="s">
        <v>1663</v>
      </c>
      <c r="C1380" s="621" t="str">
        <f>"13185"</f>
        <v>13185</v>
      </c>
      <c r="D1380" s="621" t="s">
        <v>13</v>
      </c>
      <c r="E1380" s="621">
        <v>26</v>
      </c>
      <c r="F1380" s="622">
        <v>44356</v>
      </c>
      <c r="G1380" s="622">
        <v>53486</v>
      </c>
      <c r="H1380" s="621" t="s">
        <v>66</v>
      </c>
      <c r="I1380" s="621" t="s">
        <v>6867</v>
      </c>
    </row>
    <row r="1381" spans="1:9">
      <c r="A1381" s="617">
        <f t="shared" si="21"/>
        <v>1377</v>
      </c>
      <c r="B1381" s="618" t="s">
        <v>1763</v>
      </c>
      <c r="C1381" s="618" t="str">
        <f>"13226"</f>
        <v>13226</v>
      </c>
      <c r="D1381" s="618" t="s">
        <v>13</v>
      </c>
      <c r="E1381" s="618">
        <v>65</v>
      </c>
      <c r="F1381" s="619">
        <v>42166</v>
      </c>
      <c r="G1381" s="619">
        <v>43743</v>
      </c>
      <c r="H1381" s="618" t="s">
        <v>14</v>
      </c>
      <c r="I1381" s="618" t="s">
        <v>385</v>
      </c>
    </row>
    <row r="1382" spans="1:9">
      <c r="A1382" s="620">
        <f t="shared" si="21"/>
        <v>1378</v>
      </c>
      <c r="B1382" s="621" t="s">
        <v>68</v>
      </c>
      <c r="C1382" s="621" t="str">
        <f>"13229"</f>
        <v>13229</v>
      </c>
      <c r="D1382" s="621" t="s">
        <v>37</v>
      </c>
      <c r="E1382" s="621">
        <v>4</v>
      </c>
      <c r="F1382" s="622">
        <v>44825</v>
      </c>
      <c r="G1382" s="622">
        <v>46650</v>
      </c>
      <c r="H1382" s="621" t="s">
        <v>14</v>
      </c>
      <c r="I1382" s="621" t="s">
        <v>6858</v>
      </c>
    </row>
    <row r="1383" spans="1:9">
      <c r="A1383" s="617">
        <f t="shared" si="21"/>
        <v>1379</v>
      </c>
      <c r="B1383" s="618" t="s">
        <v>68</v>
      </c>
      <c r="C1383" s="618" t="str">
        <f>"13230"</f>
        <v>13230</v>
      </c>
      <c r="D1383" s="618" t="s">
        <v>37</v>
      </c>
      <c r="E1383" s="618">
        <v>2</v>
      </c>
      <c r="F1383" s="619">
        <v>44825</v>
      </c>
      <c r="G1383" s="619">
        <v>46650</v>
      </c>
      <c r="H1383" s="618" t="s">
        <v>14</v>
      </c>
      <c r="I1383" s="618" t="s">
        <v>6858</v>
      </c>
    </row>
    <row r="1384" spans="1:9">
      <c r="A1384" s="620">
        <f t="shared" si="21"/>
        <v>1380</v>
      </c>
      <c r="B1384" s="621" t="s">
        <v>36</v>
      </c>
      <c r="C1384" s="621" t="str">
        <f>"13234"</f>
        <v>13234</v>
      </c>
      <c r="D1384" s="621" t="s">
        <v>13</v>
      </c>
      <c r="E1384" s="621">
        <v>2</v>
      </c>
      <c r="F1384" s="622">
        <v>42553</v>
      </c>
      <c r="G1384" s="622">
        <v>45384</v>
      </c>
      <c r="H1384" s="621" t="s">
        <v>14</v>
      </c>
      <c r="I1384" s="621" t="s">
        <v>6858</v>
      </c>
    </row>
    <row r="1385" spans="1:9">
      <c r="A1385" s="617">
        <f t="shared" si="21"/>
        <v>1381</v>
      </c>
      <c r="B1385" s="618" t="s">
        <v>36</v>
      </c>
      <c r="C1385" s="618" t="str">
        <f>"13235"</f>
        <v>13235</v>
      </c>
      <c r="D1385" s="618" t="s">
        <v>13</v>
      </c>
      <c r="E1385" s="618">
        <v>3</v>
      </c>
      <c r="F1385" s="619">
        <v>42553</v>
      </c>
      <c r="G1385" s="619">
        <v>45384</v>
      </c>
      <c r="H1385" s="618" t="s">
        <v>14</v>
      </c>
      <c r="I1385" s="618" t="s">
        <v>6858</v>
      </c>
    </row>
    <row r="1386" spans="1:9">
      <c r="A1386" s="620">
        <f t="shared" si="21"/>
        <v>1382</v>
      </c>
      <c r="B1386" s="621" t="s">
        <v>133</v>
      </c>
      <c r="C1386" s="621" t="str">
        <f>"13236"</f>
        <v>13236</v>
      </c>
      <c r="D1386" s="621" t="s">
        <v>13</v>
      </c>
      <c r="E1386" s="621">
        <v>13</v>
      </c>
      <c r="F1386" s="622">
        <v>42553</v>
      </c>
      <c r="G1386" s="622">
        <v>45384</v>
      </c>
      <c r="H1386" s="621" t="s">
        <v>14</v>
      </c>
      <c r="I1386" s="621" t="s">
        <v>6858</v>
      </c>
    </row>
    <row r="1387" spans="1:9">
      <c r="A1387" s="617">
        <f t="shared" si="21"/>
        <v>1383</v>
      </c>
      <c r="B1387" s="618" t="s">
        <v>133</v>
      </c>
      <c r="C1387" s="618" t="str">
        <f>"13237"</f>
        <v>13237</v>
      </c>
      <c r="D1387" s="618" t="s">
        <v>13</v>
      </c>
      <c r="E1387" s="618">
        <v>5</v>
      </c>
      <c r="F1387" s="619">
        <v>42553</v>
      </c>
      <c r="G1387" s="619">
        <v>51202</v>
      </c>
      <c r="H1387" s="618" t="s">
        <v>14</v>
      </c>
      <c r="I1387" s="618" t="s">
        <v>51</v>
      </c>
    </row>
    <row r="1388" spans="1:9">
      <c r="A1388" s="620">
        <f t="shared" si="21"/>
        <v>1384</v>
      </c>
      <c r="B1388" s="621" t="s">
        <v>133</v>
      </c>
      <c r="C1388" s="621" t="str">
        <f>"13238"</f>
        <v>13238</v>
      </c>
      <c r="D1388" s="621" t="s">
        <v>13</v>
      </c>
      <c r="E1388" s="621">
        <v>3</v>
      </c>
      <c r="F1388" s="622">
        <v>42553</v>
      </c>
      <c r="G1388" s="622">
        <v>45384</v>
      </c>
      <c r="H1388" s="621" t="s">
        <v>14</v>
      </c>
      <c r="I1388" s="621" t="s">
        <v>6858</v>
      </c>
    </row>
    <row r="1389" spans="1:9">
      <c r="A1389" s="617">
        <f t="shared" si="21"/>
        <v>1385</v>
      </c>
      <c r="B1389" s="618" t="s">
        <v>133</v>
      </c>
      <c r="C1389" s="618" t="str">
        <f>"13239"</f>
        <v>13239</v>
      </c>
      <c r="D1389" s="618" t="s">
        <v>13</v>
      </c>
      <c r="E1389" s="618">
        <v>1</v>
      </c>
      <c r="F1389" s="619">
        <v>42553</v>
      </c>
      <c r="G1389" s="619">
        <v>45384</v>
      </c>
      <c r="H1389" s="618" t="s">
        <v>14</v>
      </c>
      <c r="I1389" s="618" t="s">
        <v>6858</v>
      </c>
    </row>
    <row r="1390" spans="1:9">
      <c r="A1390" s="620">
        <f t="shared" si="21"/>
        <v>1386</v>
      </c>
      <c r="B1390" s="621" t="s">
        <v>133</v>
      </c>
      <c r="C1390" s="621" t="str">
        <f>"13240"</f>
        <v>13240</v>
      </c>
      <c r="D1390" s="621" t="s">
        <v>13</v>
      </c>
      <c r="E1390" s="621">
        <v>1</v>
      </c>
      <c r="F1390" s="622">
        <v>42553</v>
      </c>
      <c r="G1390" s="622">
        <v>45384</v>
      </c>
      <c r="H1390" s="621" t="s">
        <v>14</v>
      </c>
      <c r="I1390" s="621" t="s">
        <v>6858</v>
      </c>
    </row>
    <row r="1391" spans="1:9">
      <c r="A1391" s="617">
        <f t="shared" si="21"/>
        <v>1387</v>
      </c>
      <c r="B1391" s="618" t="s">
        <v>151</v>
      </c>
      <c r="C1391" s="618" t="str">
        <f>"13247"</f>
        <v>13247</v>
      </c>
      <c r="D1391" s="618" t="s">
        <v>13</v>
      </c>
      <c r="E1391" s="618">
        <v>28</v>
      </c>
      <c r="F1391" s="619">
        <v>43150</v>
      </c>
      <c r="G1391" s="619">
        <v>54106</v>
      </c>
      <c r="H1391" s="618" t="s">
        <v>43</v>
      </c>
      <c r="I1391" s="618" t="s">
        <v>6861</v>
      </c>
    </row>
    <row r="1392" spans="1:9">
      <c r="A1392" s="620">
        <f t="shared" si="21"/>
        <v>1388</v>
      </c>
      <c r="B1392" s="621" t="s">
        <v>166</v>
      </c>
      <c r="C1392" s="621" t="str">
        <f>"13248"</f>
        <v>13248</v>
      </c>
      <c r="D1392" s="621" t="s">
        <v>13</v>
      </c>
      <c r="E1392" s="621">
        <v>78</v>
      </c>
      <c r="F1392" s="622">
        <v>43220</v>
      </c>
      <c r="G1392" s="622">
        <v>53458</v>
      </c>
      <c r="H1392" s="621" t="s">
        <v>43</v>
      </c>
      <c r="I1392" s="621" t="s">
        <v>51</v>
      </c>
    </row>
    <row r="1393" spans="1:9">
      <c r="A1393" s="617">
        <f t="shared" si="21"/>
        <v>1389</v>
      </c>
      <c r="B1393" s="618" t="s">
        <v>36</v>
      </c>
      <c r="C1393" s="618" t="str">
        <f>"13254"</f>
        <v>13254</v>
      </c>
      <c r="D1393" s="618" t="s">
        <v>13</v>
      </c>
      <c r="E1393" s="618">
        <v>4</v>
      </c>
      <c r="F1393" s="619">
        <v>43006</v>
      </c>
      <c r="G1393" s="619">
        <v>45384</v>
      </c>
      <c r="H1393" s="618" t="s">
        <v>14</v>
      </c>
      <c r="I1393" s="618" t="s">
        <v>6858</v>
      </c>
    </row>
    <row r="1394" spans="1:9">
      <c r="A1394" s="620">
        <f t="shared" si="21"/>
        <v>1390</v>
      </c>
      <c r="B1394" s="621" t="s">
        <v>167</v>
      </c>
      <c r="C1394" s="621" t="str">
        <f>"13255"</f>
        <v>13255</v>
      </c>
      <c r="D1394" s="621" t="s">
        <v>13</v>
      </c>
      <c r="E1394" s="621">
        <v>4</v>
      </c>
      <c r="F1394" s="622">
        <v>42839</v>
      </c>
      <c r="G1394" s="622">
        <v>51325</v>
      </c>
      <c r="H1394" s="621" t="s">
        <v>14</v>
      </c>
      <c r="I1394" s="621" t="s">
        <v>51</v>
      </c>
    </row>
    <row r="1395" spans="1:9">
      <c r="A1395" s="617">
        <f t="shared" si="21"/>
        <v>1391</v>
      </c>
      <c r="B1395" s="618" t="s">
        <v>36</v>
      </c>
      <c r="C1395" s="618" t="str">
        <f>"13256"</f>
        <v>13256</v>
      </c>
      <c r="D1395" s="618" t="s">
        <v>13</v>
      </c>
      <c r="E1395" s="618">
        <v>31</v>
      </c>
      <c r="F1395" s="619">
        <v>43006</v>
      </c>
      <c r="G1395" s="619">
        <v>45384</v>
      </c>
      <c r="H1395" s="618" t="s">
        <v>14</v>
      </c>
      <c r="I1395" s="618" t="s">
        <v>6858</v>
      </c>
    </row>
    <row r="1396" spans="1:9">
      <c r="A1396" s="620">
        <f t="shared" si="21"/>
        <v>1392</v>
      </c>
      <c r="B1396" s="621" t="s">
        <v>167</v>
      </c>
      <c r="C1396" s="621" t="str">
        <f>"13257"</f>
        <v>13257</v>
      </c>
      <c r="D1396" s="621" t="s">
        <v>13</v>
      </c>
      <c r="E1396" s="621">
        <v>102</v>
      </c>
      <c r="F1396" s="622">
        <v>42839</v>
      </c>
      <c r="G1396" s="622">
        <v>51353</v>
      </c>
      <c r="H1396" s="621" t="s">
        <v>16</v>
      </c>
      <c r="I1396" s="621" t="s">
        <v>51</v>
      </c>
    </row>
    <row r="1397" spans="1:9">
      <c r="A1397" s="617">
        <f t="shared" si="21"/>
        <v>1393</v>
      </c>
      <c r="B1397" s="618" t="s">
        <v>781</v>
      </c>
      <c r="C1397" s="618" t="str">
        <f>"13258"</f>
        <v>13258</v>
      </c>
      <c r="D1397" s="618" t="s">
        <v>27</v>
      </c>
      <c r="E1397" s="618">
        <v>15</v>
      </c>
      <c r="F1397" s="619">
        <v>42852</v>
      </c>
      <c r="G1397" s="619">
        <v>44677</v>
      </c>
      <c r="H1397" s="618" t="s">
        <v>16</v>
      </c>
      <c r="I1397" s="618" t="s">
        <v>6864</v>
      </c>
    </row>
    <row r="1398" spans="1:9">
      <c r="A1398" s="620">
        <f t="shared" si="21"/>
        <v>1394</v>
      </c>
      <c r="B1398" s="621" t="s">
        <v>167</v>
      </c>
      <c r="C1398" s="621" t="str">
        <f>"13259"</f>
        <v>13259</v>
      </c>
      <c r="D1398" s="621" t="s">
        <v>13</v>
      </c>
      <c r="E1398" s="621">
        <v>4</v>
      </c>
      <c r="F1398" s="622">
        <v>42839</v>
      </c>
      <c r="G1398" s="622">
        <v>45384</v>
      </c>
      <c r="H1398" s="621" t="s">
        <v>14</v>
      </c>
      <c r="I1398" s="621" t="s">
        <v>51</v>
      </c>
    </row>
    <row r="1399" spans="1:9">
      <c r="A1399" s="617">
        <f t="shared" si="21"/>
        <v>1395</v>
      </c>
      <c r="B1399" s="618" t="s">
        <v>167</v>
      </c>
      <c r="C1399" s="618" t="str">
        <f>"13260"</f>
        <v>13260</v>
      </c>
      <c r="D1399" s="618" t="s">
        <v>13</v>
      </c>
      <c r="E1399" s="618">
        <v>25</v>
      </c>
      <c r="F1399" s="619">
        <v>42839</v>
      </c>
      <c r="G1399" s="619">
        <v>45384</v>
      </c>
      <c r="H1399" s="618" t="s">
        <v>14</v>
      </c>
      <c r="I1399" s="618" t="s">
        <v>51</v>
      </c>
    </row>
    <row r="1400" spans="1:9">
      <c r="A1400" s="620">
        <f t="shared" si="21"/>
        <v>1396</v>
      </c>
      <c r="B1400" s="621" t="s">
        <v>1297</v>
      </c>
      <c r="C1400" s="621" t="str">
        <f>"13267"</f>
        <v>13267</v>
      </c>
      <c r="D1400" s="621" t="s">
        <v>18</v>
      </c>
      <c r="E1400" s="621">
        <v>42</v>
      </c>
      <c r="F1400" s="622">
        <v>42821</v>
      </c>
      <c r="G1400" s="622">
        <v>44646</v>
      </c>
      <c r="H1400" s="621" t="s">
        <v>21</v>
      </c>
      <c r="I1400" s="621" t="s">
        <v>6874</v>
      </c>
    </row>
    <row r="1401" spans="1:9">
      <c r="A1401" s="617">
        <f t="shared" si="21"/>
        <v>1397</v>
      </c>
      <c r="B1401" s="618" t="s">
        <v>1297</v>
      </c>
      <c r="C1401" s="618" t="str">
        <f>"13268"</f>
        <v>13268</v>
      </c>
      <c r="D1401" s="618" t="s">
        <v>18</v>
      </c>
      <c r="E1401" s="618">
        <v>18</v>
      </c>
      <c r="F1401" s="619">
        <v>42821</v>
      </c>
      <c r="G1401" s="619">
        <v>44646</v>
      </c>
      <c r="H1401" s="618" t="s">
        <v>21</v>
      </c>
      <c r="I1401" s="618" t="s">
        <v>6874</v>
      </c>
    </row>
    <row r="1402" spans="1:9">
      <c r="A1402" s="620">
        <f t="shared" si="21"/>
        <v>1398</v>
      </c>
      <c r="B1402" s="621" t="s">
        <v>269</v>
      </c>
      <c r="C1402" s="621" t="str">
        <f>"13269"</f>
        <v>13269</v>
      </c>
      <c r="D1402" s="621" t="s">
        <v>18</v>
      </c>
      <c r="E1402" s="621">
        <v>4</v>
      </c>
      <c r="F1402" s="622">
        <v>42821</v>
      </c>
      <c r="G1402" s="622">
        <v>44646</v>
      </c>
      <c r="H1402" s="621" t="s">
        <v>28</v>
      </c>
      <c r="I1402" s="621" t="s">
        <v>6868</v>
      </c>
    </row>
    <row r="1403" spans="1:9">
      <c r="A1403" s="617">
        <f t="shared" si="21"/>
        <v>1399</v>
      </c>
      <c r="B1403" s="618" t="s">
        <v>269</v>
      </c>
      <c r="C1403" s="618" t="str">
        <f>"13270"</f>
        <v>13270</v>
      </c>
      <c r="D1403" s="618" t="s">
        <v>18</v>
      </c>
      <c r="E1403" s="618">
        <v>4</v>
      </c>
      <c r="F1403" s="619">
        <v>42821</v>
      </c>
      <c r="G1403" s="619">
        <v>44646</v>
      </c>
      <c r="H1403" s="618" t="s">
        <v>21</v>
      </c>
      <c r="I1403" s="618" t="s">
        <v>6868</v>
      </c>
    </row>
    <row r="1404" spans="1:9">
      <c r="A1404" s="620">
        <f t="shared" si="21"/>
        <v>1400</v>
      </c>
      <c r="B1404" s="621" t="s">
        <v>269</v>
      </c>
      <c r="C1404" s="621" t="str">
        <f>"13271"</f>
        <v>13271</v>
      </c>
      <c r="D1404" s="621" t="s">
        <v>18</v>
      </c>
      <c r="E1404" s="621">
        <v>25</v>
      </c>
      <c r="F1404" s="622">
        <v>42821</v>
      </c>
      <c r="G1404" s="622">
        <v>44646</v>
      </c>
      <c r="H1404" s="621" t="s">
        <v>21</v>
      </c>
      <c r="I1404" s="621" t="s">
        <v>6868</v>
      </c>
    </row>
    <row r="1405" spans="1:9">
      <c r="A1405" s="617">
        <f t="shared" si="21"/>
        <v>1401</v>
      </c>
      <c r="B1405" s="618" t="s">
        <v>269</v>
      </c>
      <c r="C1405" s="618" t="str">
        <f>"13272"</f>
        <v>13272</v>
      </c>
      <c r="D1405" s="618" t="s">
        <v>18</v>
      </c>
      <c r="E1405" s="618">
        <v>4</v>
      </c>
      <c r="F1405" s="619">
        <v>42821</v>
      </c>
      <c r="G1405" s="619">
        <v>44646</v>
      </c>
      <c r="H1405" s="618" t="s">
        <v>21</v>
      </c>
      <c r="I1405" s="618" t="s">
        <v>6868</v>
      </c>
    </row>
    <row r="1406" spans="1:9">
      <c r="A1406" s="620">
        <f t="shared" si="21"/>
        <v>1402</v>
      </c>
      <c r="B1406" s="621" t="s">
        <v>1297</v>
      </c>
      <c r="C1406" s="621" t="str">
        <f>"13273"</f>
        <v>13273</v>
      </c>
      <c r="D1406" s="621" t="s">
        <v>18</v>
      </c>
      <c r="E1406" s="621">
        <v>25</v>
      </c>
      <c r="F1406" s="622">
        <v>42821</v>
      </c>
      <c r="G1406" s="622">
        <v>44646</v>
      </c>
      <c r="H1406" s="621" t="s">
        <v>14</v>
      </c>
      <c r="I1406" s="621" t="s">
        <v>6874</v>
      </c>
    </row>
    <row r="1407" spans="1:9">
      <c r="A1407" s="617">
        <f t="shared" si="21"/>
        <v>1403</v>
      </c>
      <c r="B1407" s="618" t="s">
        <v>1297</v>
      </c>
      <c r="C1407" s="618" t="str">
        <f>"13274"</f>
        <v>13274</v>
      </c>
      <c r="D1407" s="618" t="s">
        <v>27</v>
      </c>
      <c r="E1407" s="618">
        <v>36</v>
      </c>
      <c r="F1407" s="619">
        <v>45125</v>
      </c>
      <c r="G1407" s="619">
        <v>46951</v>
      </c>
      <c r="H1407" s="618" t="s">
        <v>19</v>
      </c>
      <c r="I1407" s="618" t="s">
        <v>6861</v>
      </c>
    </row>
    <row r="1408" spans="1:9">
      <c r="A1408" s="620">
        <f t="shared" si="21"/>
        <v>1404</v>
      </c>
      <c r="B1408" s="621" t="s">
        <v>1297</v>
      </c>
      <c r="C1408" s="621" t="str">
        <f>"13275"</f>
        <v>13275</v>
      </c>
      <c r="D1408" s="621" t="s">
        <v>18</v>
      </c>
      <c r="E1408" s="621">
        <v>23</v>
      </c>
      <c r="F1408" s="622">
        <v>42821</v>
      </c>
      <c r="G1408" s="622">
        <v>44646</v>
      </c>
      <c r="H1408" s="621" t="s">
        <v>14</v>
      </c>
      <c r="I1408" s="621" t="s">
        <v>6874</v>
      </c>
    </row>
    <row r="1409" spans="1:9">
      <c r="A1409" s="617">
        <f t="shared" si="21"/>
        <v>1405</v>
      </c>
      <c r="B1409" s="618" t="s">
        <v>1297</v>
      </c>
      <c r="C1409" s="618" t="str">
        <f>"13276"</f>
        <v>13276</v>
      </c>
      <c r="D1409" s="618" t="s">
        <v>18</v>
      </c>
      <c r="E1409" s="618">
        <v>19</v>
      </c>
      <c r="F1409" s="619">
        <v>42821</v>
      </c>
      <c r="G1409" s="619">
        <v>44646</v>
      </c>
      <c r="H1409" s="618" t="s">
        <v>14</v>
      </c>
      <c r="I1409" s="618" t="s">
        <v>6874</v>
      </c>
    </row>
    <row r="1410" spans="1:9">
      <c r="A1410" s="620">
        <f t="shared" si="21"/>
        <v>1406</v>
      </c>
      <c r="B1410" s="621" t="s">
        <v>1297</v>
      </c>
      <c r="C1410" s="621" t="str">
        <f>"13277"</f>
        <v>13277</v>
      </c>
      <c r="D1410" s="621" t="s">
        <v>18</v>
      </c>
      <c r="E1410" s="621">
        <v>19</v>
      </c>
      <c r="F1410" s="622">
        <v>42821</v>
      </c>
      <c r="G1410" s="622">
        <v>44646</v>
      </c>
      <c r="H1410" s="621" t="s">
        <v>29</v>
      </c>
      <c r="I1410" s="621" t="s">
        <v>6874</v>
      </c>
    </row>
    <row r="1411" spans="1:9">
      <c r="A1411" s="617">
        <f t="shared" si="21"/>
        <v>1407</v>
      </c>
      <c r="B1411" s="618" t="s">
        <v>1297</v>
      </c>
      <c r="C1411" s="618" t="str">
        <f>"13278"</f>
        <v>13278</v>
      </c>
      <c r="D1411" s="618" t="s">
        <v>18</v>
      </c>
      <c r="E1411" s="618">
        <v>33</v>
      </c>
      <c r="F1411" s="619">
        <v>42821</v>
      </c>
      <c r="G1411" s="619">
        <v>44646</v>
      </c>
      <c r="H1411" s="618" t="s">
        <v>19</v>
      </c>
      <c r="I1411" s="618" t="s">
        <v>6874</v>
      </c>
    </row>
    <row r="1412" spans="1:9">
      <c r="A1412" s="620">
        <f t="shared" si="21"/>
        <v>1408</v>
      </c>
      <c r="B1412" s="621" t="s">
        <v>1297</v>
      </c>
      <c r="C1412" s="621" t="str">
        <f>"13279"</f>
        <v>13279</v>
      </c>
      <c r="D1412" s="621" t="s">
        <v>18</v>
      </c>
      <c r="E1412" s="621">
        <v>18</v>
      </c>
      <c r="F1412" s="622">
        <v>42821</v>
      </c>
      <c r="G1412" s="622">
        <v>44646</v>
      </c>
      <c r="H1412" s="621" t="s">
        <v>14</v>
      </c>
      <c r="I1412" s="621" t="s">
        <v>6874</v>
      </c>
    </row>
    <row r="1413" spans="1:9">
      <c r="A1413" s="617">
        <f t="shared" si="21"/>
        <v>1409</v>
      </c>
      <c r="B1413" s="618" t="s">
        <v>1297</v>
      </c>
      <c r="C1413" s="618" t="str">
        <f>"13280"</f>
        <v>13280</v>
      </c>
      <c r="D1413" s="618" t="s">
        <v>18</v>
      </c>
      <c r="E1413" s="618">
        <v>33</v>
      </c>
      <c r="F1413" s="619">
        <v>42821</v>
      </c>
      <c r="G1413" s="619">
        <v>44646</v>
      </c>
      <c r="H1413" s="618" t="s">
        <v>14</v>
      </c>
      <c r="I1413" s="618" t="s">
        <v>6874</v>
      </c>
    </row>
    <row r="1414" spans="1:9">
      <c r="A1414" s="620">
        <f t="shared" si="21"/>
        <v>1410</v>
      </c>
      <c r="B1414" s="621" t="s">
        <v>1297</v>
      </c>
      <c r="C1414" s="621" t="str">
        <f>"13281"</f>
        <v>13281</v>
      </c>
      <c r="D1414" s="621" t="s">
        <v>18</v>
      </c>
      <c r="E1414" s="621">
        <v>35</v>
      </c>
      <c r="F1414" s="622">
        <v>42821</v>
      </c>
      <c r="G1414" s="622">
        <v>44646</v>
      </c>
      <c r="H1414" s="621" t="s">
        <v>14</v>
      </c>
      <c r="I1414" s="621" t="s">
        <v>6874</v>
      </c>
    </row>
    <row r="1415" spans="1:9">
      <c r="A1415" s="617">
        <f t="shared" ref="A1415:A1478" si="22">+A1414+1</f>
        <v>1411</v>
      </c>
      <c r="B1415" s="618" t="s">
        <v>32</v>
      </c>
      <c r="C1415" s="618" t="str">
        <f>"13282"</f>
        <v>13282</v>
      </c>
      <c r="D1415" s="618" t="s">
        <v>18</v>
      </c>
      <c r="E1415" s="618">
        <v>27</v>
      </c>
      <c r="F1415" s="619">
        <v>43410</v>
      </c>
      <c r="G1415" s="619">
        <v>45235</v>
      </c>
      <c r="H1415" s="618" t="s">
        <v>16</v>
      </c>
      <c r="I1415" s="618" t="s">
        <v>6871</v>
      </c>
    </row>
    <row r="1416" spans="1:9">
      <c r="A1416" s="620">
        <f t="shared" si="22"/>
        <v>1412</v>
      </c>
      <c r="B1416" s="621" t="s">
        <v>32</v>
      </c>
      <c r="C1416" s="621" t="str">
        <f>"13283"</f>
        <v>13283</v>
      </c>
      <c r="D1416" s="621" t="s">
        <v>18</v>
      </c>
      <c r="E1416" s="621">
        <v>28</v>
      </c>
      <c r="F1416" s="622">
        <v>43028</v>
      </c>
      <c r="G1416" s="622">
        <v>44853</v>
      </c>
      <c r="H1416" s="621" t="s">
        <v>16</v>
      </c>
      <c r="I1416" s="621" t="s">
        <v>6868</v>
      </c>
    </row>
    <row r="1417" spans="1:9">
      <c r="A1417" s="617">
        <f t="shared" si="22"/>
        <v>1413</v>
      </c>
      <c r="B1417" s="618" t="s">
        <v>32</v>
      </c>
      <c r="C1417" s="618" t="str">
        <f>"13284"</f>
        <v>13284</v>
      </c>
      <c r="D1417" s="618" t="s">
        <v>18</v>
      </c>
      <c r="E1417" s="618">
        <v>27</v>
      </c>
      <c r="F1417" s="619">
        <v>43137</v>
      </c>
      <c r="G1417" s="619">
        <v>44962</v>
      </c>
      <c r="H1417" s="618" t="s">
        <v>16</v>
      </c>
      <c r="I1417" s="618" t="s">
        <v>6868</v>
      </c>
    </row>
    <row r="1418" spans="1:9">
      <c r="A1418" s="620">
        <f t="shared" si="22"/>
        <v>1414</v>
      </c>
      <c r="B1418" s="621" t="s">
        <v>32</v>
      </c>
      <c r="C1418" s="621" t="str">
        <f>"13285"</f>
        <v>13285</v>
      </c>
      <c r="D1418" s="621" t="s">
        <v>18</v>
      </c>
      <c r="E1418" s="621">
        <v>67</v>
      </c>
      <c r="F1418" s="622">
        <v>43028</v>
      </c>
      <c r="G1418" s="622">
        <v>45608</v>
      </c>
      <c r="H1418" s="621" t="s">
        <v>41</v>
      </c>
      <c r="I1418" s="621" t="s">
        <v>6863</v>
      </c>
    </row>
    <row r="1419" spans="1:9">
      <c r="A1419" s="617">
        <f t="shared" si="22"/>
        <v>1415</v>
      </c>
      <c r="B1419" s="618" t="s">
        <v>32</v>
      </c>
      <c r="C1419" s="618" t="str">
        <f>"13286"</f>
        <v>13286</v>
      </c>
      <c r="D1419" s="618" t="s">
        <v>18</v>
      </c>
      <c r="E1419" s="618">
        <v>24</v>
      </c>
      <c r="F1419" s="619">
        <v>43028</v>
      </c>
      <c r="G1419" s="619">
        <v>44853</v>
      </c>
      <c r="H1419" s="618" t="s">
        <v>43</v>
      </c>
      <c r="I1419" s="618" t="s">
        <v>385</v>
      </c>
    </row>
    <row r="1420" spans="1:9">
      <c r="A1420" s="620">
        <f t="shared" si="22"/>
        <v>1416</v>
      </c>
      <c r="B1420" s="621" t="s">
        <v>32</v>
      </c>
      <c r="C1420" s="621" t="str">
        <f>"13288"</f>
        <v>13288</v>
      </c>
      <c r="D1420" s="621" t="s">
        <v>18</v>
      </c>
      <c r="E1420" s="621">
        <v>18</v>
      </c>
      <c r="F1420" s="622">
        <v>43028</v>
      </c>
      <c r="G1420" s="622">
        <v>44853</v>
      </c>
      <c r="H1420" s="621" t="s">
        <v>19</v>
      </c>
      <c r="I1420" s="621" t="s">
        <v>6867</v>
      </c>
    </row>
    <row r="1421" spans="1:9">
      <c r="A1421" s="617">
        <f t="shared" si="22"/>
        <v>1417</v>
      </c>
      <c r="B1421" s="618" t="s">
        <v>32</v>
      </c>
      <c r="C1421" s="618" t="str">
        <f>"13290"</f>
        <v>13290</v>
      </c>
      <c r="D1421" s="618" t="s">
        <v>18</v>
      </c>
      <c r="E1421" s="618">
        <v>5</v>
      </c>
      <c r="F1421" s="619">
        <v>43028</v>
      </c>
      <c r="G1421" s="619">
        <v>44853</v>
      </c>
      <c r="H1421" s="618" t="s">
        <v>14</v>
      </c>
      <c r="I1421" s="618" t="s">
        <v>6868</v>
      </c>
    </row>
    <row r="1422" spans="1:9">
      <c r="A1422" s="620">
        <f t="shared" si="22"/>
        <v>1418</v>
      </c>
      <c r="B1422" s="621" t="s">
        <v>1764</v>
      </c>
      <c r="C1422" s="621" t="str">
        <f>"13303"</f>
        <v>13303</v>
      </c>
      <c r="D1422" s="621" t="s">
        <v>18</v>
      </c>
      <c r="E1422" s="621">
        <v>4</v>
      </c>
      <c r="F1422" s="622">
        <v>42947</v>
      </c>
      <c r="G1422" s="622">
        <v>44772</v>
      </c>
      <c r="H1422" s="621" t="s">
        <v>14</v>
      </c>
      <c r="I1422" s="621" t="s">
        <v>385</v>
      </c>
    </row>
    <row r="1423" spans="1:9">
      <c r="A1423" s="617">
        <f t="shared" si="22"/>
        <v>1419</v>
      </c>
      <c r="B1423" s="618" t="s">
        <v>1423</v>
      </c>
      <c r="C1423" s="618" t="str">
        <f>"13309"</f>
        <v>13309</v>
      </c>
      <c r="D1423" s="618" t="s">
        <v>18</v>
      </c>
      <c r="E1423" s="618">
        <v>10</v>
      </c>
      <c r="F1423" s="619">
        <v>42957</v>
      </c>
      <c r="G1423" s="619">
        <v>44782</v>
      </c>
      <c r="H1423" s="618" t="s">
        <v>14</v>
      </c>
      <c r="I1423" s="618" t="s">
        <v>6868</v>
      </c>
    </row>
    <row r="1424" spans="1:9">
      <c r="A1424" s="620">
        <f t="shared" si="22"/>
        <v>1420</v>
      </c>
      <c r="B1424" s="621" t="s">
        <v>168</v>
      </c>
      <c r="C1424" s="621" t="str">
        <f>"13330"</f>
        <v>13330</v>
      </c>
      <c r="D1424" s="621" t="s">
        <v>18</v>
      </c>
      <c r="E1424" s="621">
        <v>25</v>
      </c>
      <c r="F1424" s="622">
        <v>42818</v>
      </c>
      <c r="G1424" s="622">
        <v>44643</v>
      </c>
      <c r="H1424" s="621" t="s">
        <v>14</v>
      </c>
      <c r="I1424" s="621" t="s">
        <v>6874</v>
      </c>
    </row>
    <row r="1425" spans="1:9">
      <c r="A1425" s="617">
        <f t="shared" si="22"/>
        <v>1421</v>
      </c>
      <c r="B1425" s="618" t="s">
        <v>1765</v>
      </c>
      <c r="C1425" s="618" t="str">
        <f>"13333"</f>
        <v>13333</v>
      </c>
      <c r="D1425" s="618" t="s">
        <v>18</v>
      </c>
      <c r="E1425" s="618">
        <v>6</v>
      </c>
      <c r="F1425" s="619">
        <v>42979</v>
      </c>
      <c r="G1425" s="619">
        <v>44804</v>
      </c>
      <c r="H1425" s="618" t="s">
        <v>41</v>
      </c>
      <c r="I1425" s="618" t="s">
        <v>385</v>
      </c>
    </row>
    <row r="1426" spans="1:9">
      <c r="A1426" s="620">
        <f t="shared" si="22"/>
        <v>1422</v>
      </c>
      <c r="B1426" s="621" t="s">
        <v>1765</v>
      </c>
      <c r="C1426" s="621" t="str">
        <f>"13334"</f>
        <v>13334</v>
      </c>
      <c r="D1426" s="621" t="s">
        <v>18</v>
      </c>
      <c r="E1426" s="621">
        <v>20</v>
      </c>
      <c r="F1426" s="622">
        <v>42818</v>
      </c>
      <c r="G1426" s="622">
        <v>44643</v>
      </c>
      <c r="H1426" s="621" t="s">
        <v>41</v>
      </c>
      <c r="I1426" s="621" t="s">
        <v>385</v>
      </c>
    </row>
    <row r="1427" spans="1:9">
      <c r="A1427" s="617">
        <f t="shared" si="22"/>
        <v>1423</v>
      </c>
      <c r="B1427" s="618" t="s">
        <v>1765</v>
      </c>
      <c r="C1427" s="618" t="str">
        <f>"13335"</f>
        <v>13335</v>
      </c>
      <c r="D1427" s="618" t="s">
        <v>18</v>
      </c>
      <c r="E1427" s="618">
        <v>240</v>
      </c>
      <c r="F1427" s="619">
        <v>42983</v>
      </c>
      <c r="G1427" s="619">
        <v>44808</v>
      </c>
      <c r="H1427" s="618" t="s">
        <v>43</v>
      </c>
      <c r="I1427" s="618" t="s">
        <v>385</v>
      </c>
    </row>
    <row r="1428" spans="1:9">
      <c r="A1428" s="620">
        <f t="shared" si="22"/>
        <v>1424</v>
      </c>
      <c r="B1428" s="621" t="s">
        <v>1765</v>
      </c>
      <c r="C1428" s="621" t="str">
        <f>"13336"</f>
        <v>13336</v>
      </c>
      <c r="D1428" s="621" t="s">
        <v>18</v>
      </c>
      <c r="E1428" s="621">
        <v>12</v>
      </c>
      <c r="F1428" s="622">
        <v>42979</v>
      </c>
      <c r="G1428" s="622">
        <v>44804</v>
      </c>
      <c r="H1428" s="621" t="s">
        <v>41</v>
      </c>
      <c r="I1428" s="621" t="s">
        <v>385</v>
      </c>
    </row>
    <row r="1429" spans="1:9">
      <c r="A1429" s="617">
        <f t="shared" si="22"/>
        <v>1425</v>
      </c>
      <c r="B1429" s="618" t="s">
        <v>1765</v>
      </c>
      <c r="C1429" s="618" t="str">
        <f>"13337"</f>
        <v>13337</v>
      </c>
      <c r="D1429" s="618" t="s">
        <v>18</v>
      </c>
      <c r="E1429" s="618">
        <v>44</v>
      </c>
      <c r="F1429" s="619">
        <v>42979</v>
      </c>
      <c r="G1429" s="619">
        <v>44804</v>
      </c>
      <c r="H1429" s="618" t="s">
        <v>41</v>
      </c>
      <c r="I1429" s="618" t="s">
        <v>385</v>
      </c>
    </row>
    <row r="1430" spans="1:9">
      <c r="A1430" s="620">
        <f t="shared" si="22"/>
        <v>1426</v>
      </c>
      <c r="B1430" s="621" t="s">
        <v>1765</v>
      </c>
      <c r="C1430" s="621" t="str">
        <f>"13338"</f>
        <v>13338</v>
      </c>
      <c r="D1430" s="621" t="s">
        <v>18</v>
      </c>
      <c r="E1430" s="621">
        <v>160</v>
      </c>
      <c r="F1430" s="622">
        <v>42979</v>
      </c>
      <c r="G1430" s="622">
        <v>44804</v>
      </c>
      <c r="H1430" s="621" t="s">
        <v>41</v>
      </c>
      <c r="I1430" s="621" t="s">
        <v>385</v>
      </c>
    </row>
    <row r="1431" spans="1:9">
      <c r="A1431" s="617">
        <f t="shared" si="22"/>
        <v>1427</v>
      </c>
      <c r="B1431" s="618" t="s">
        <v>1765</v>
      </c>
      <c r="C1431" s="618" t="str">
        <f>"13339"</f>
        <v>13339</v>
      </c>
      <c r="D1431" s="618" t="s">
        <v>18</v>
      </c>
      <c r="E1431" s="618">
        <v>6</v>
      </c>
      <c r="F1431" s="619">
        <v>42979</v>
      </c>
      <c r="G1431" s="619">
        <v>44804</v>
      </c>
      <c r="H1431" s="618" t="s">
        <v>41</v>
      </c>
      <c r="I1431" s="618" t="s">
        <v>385</v>
      </c>
    </row>
    <row r="1432" spans="1:9">
      <c r="A1432" s="620">
        <f t="shared" si="22"/>
        <v>1428</v>
      </c>
      <c r="B1432" s="621" t="s">
        <v>1765</v>
      </c>
      <c r="C1432" s="621" t="str">
        <f>"13340"</f>
        <v>13340</v>
      </c>
      <c r="D1432" s="621" t="s">
        <v>18</v>
      </c>
      <c r="E1432" s="621">
        <v>168</v>
      </c>
      <c r="F1432" s="622">
        <v>42979</v>
      </c>
      <c r="G1432" s="622">
        <v>44804</v>
      </c>
      <c r="H1432" s="621" t="s">
        <v>41</v>
      </c>
      <c r="I1432" s="621" t="s">
        <v>385</v>
      </c>
    </row>
    <row r="1433" spans="1:9">
      <c r="A1433" s="617">
        <f t="shared" si="22"/>
        <v>1429</v>
      </c>
      <c r="B1433" s="618" t="s">
        <v>178</v>
      </c>
      <c r="C1433" s="618" t="str">
        <f>"13343"</f>
        <v>13343</v>
      </c>
      <c r="D1433" s="618" t="s">
        <v>18</v>
      </c>
      <c r="E1433" s="618">
        <v>30</v>
      </c>
      <c r="F1433" s="619">
        <v>42989</v>
      </c>
      <c r="G1433" s="619">
        <v>44449</v>
      </c>
      <c r="H1433" s="618" t="s">
        <v>47</v>
      </c>
      <c r="I1433" s="618" t="s">
        <v>6868</v>
      </c>
    </row>
    <row r="1434" spans="1:9">
      <c r="A1434" s="620">
        <f t="shared" si="22"/>
        <v>1430</v>
      </c>
      <c r="B1434" s="621" t="s">
        <v>169</v>
      </c>
      <c r="C1434" s="621" t="str">
        <f>"13353"</f>
        <v>13353</v>
      </c>
      <c r="D1434" s="621" t="s">
        <v>18</v>
      </c>
      <c r="E1434" s="621">
        <v>284</v>
      </c>
      <c r="F1434" s="622">
        <v>44288</v>
      </c>
      <c r="G1434" s="622">
        <v>46113</v>
      </c>
      <c r="H1434" s="621" t="s">
        <v>14</v>
      </c>
      <c r="I1434" s="621" t="s">
        <v>51</v>
      </c>
    </row>
    <row r="1435" spans="1:9">
      <c r="A1435" s="617">
        <f t="shared" si="22"/>
        <v>1431</v>
      </c>
      <c r="B1435" s="618" t="s">
        <v>203</v>
      </c>
      <c r="C1435" s="618" t="str">
        <f>"13356"</f>
        <v>13356</v>
      </c>
      <c r="D1435" s="618" t="s">
        <v>18</v>
      </c>
      <c r="E1435" s="618">
        <v>7</v>
      </c>
      <c r="F1435" s="619">
        <v>42971</v>
      </c>
      <c r="G1435" s="619">
        <v>44431</v>
      </c>
      <c r="H1435" s="618" t="s">
        <v>23</v>
      </c>
      <c r="I1435" s="618" t="s">
        <v>6874</v>
      </c>
    </row>
    <row r="1436" spans="1:9">
      <c r="A1436" s="620">
        <f t="shared" si="22"/>
        <v>1432</v>
      </c>
      <c r="B1436" s="621" t="s">
        <v>151</v>
      </c>
      <c r="C1436" s="621" t="str">
        <f>"13359"</f>
        <v>13359</v>
      </c>
      <c r="D1436" s="621" t="s">
        <v>18</v>
      </c>
      <c r="E1436" s="621">
        <v>96</v>
      </c>
      <c r="F1436" s="622">
        <v>44557</v>
      </c>
      <c r="G1436" s="622">
        <v>46748</v>
      </c>
      <c r="H1436" s="621" t="s">
        <v>43</v>
      </c>
      <c r="I1436" s="621" t="s">
        <v>51</v>
      </c>
    </row>
    <row r="1437" spans="1:9">
      <c r="A1437" s="617">
        <f t="shared" si="22"/>
        <v>1433</v>
      </c>
      <c r="B1437" s="618" t="s">
        <v>454</v>
      </c>
      <c r="C1437" s="618" t="str">
        <f>"13368"</f>
        <v>13368</v>
      </c>
      <c r="D1437" s="618" t="s">
        <v>18</v>
      </c>
      <c r="E1437" s="618">
        <v>18</v>
      </c>
      <c r="F1437" s="619">
        <v>42957</v>
      </c>
      <c r="G1437" s="619">
        <v>44417</v>
      </c>
      <c r="H1437" s="618" t="s">
        <v>41</v>
      </c>
      <c r="I1437" s="618" t="s">
        <v>6868</v>
      </c>
    </row>
    <row r="1438" spans="1:9">
      <c r="A1438" s="620">
        <f t="shared" si="22"/>
        <v>1434</v>
      </c>
      <c r="B1438" s="621" t="s">
        <v>197</v>
      </c>
      <c r="C1438" s="621" t="str">
        <f>"13370"</f>
        <v>13370</v>
      </c>
      <c r="D1438" s="621" t="s">
        <v>18</v>
      </c>
      <c r="E1438" s="621">
        <v>4</v>
      </c>
      <c r="F1438" s="622">
        <v>42871</v>
      </c>
      <c r="G1438" s="622">
        <v>44696</v>
      </c>
      <c r="H1438" s="621" t="s">
        <v>14</v>
      </c>
      <c r="I1438" s="621" t="s">
        <v>6874</v>
      </c>
    </row>
    <row r="1439" spans="1:9">
      <c r="A1439" s="617">
        <f t="shared" si="22"/>
        <v>1435</v>
      </c>
      <c r="B1439" s="618" t="s">
        <v>197</v>
      </c>
      <c r="C1439" s="618" t="str">
        <f>"13371"</f>
        <v>13371</v>
      </c>
      <c r="D1439" s="618" t="s">
        <v>18</v>
      </c>
      <c r="E1439" s="618">
        <v>3</v>
      </c>
      <c r="F1439" s="619">
        <v>42871</v>
      </c>
      <c r="G1439" s="619">
        <v>44696</v>
      </c>
      <c r="H1439" s="618" t="s">
        <v>14</v>
      </c>
      <c r="I1439" s="618" t="s">
        <v>6874</v>
      </c>
    </row>
    <row r="1440" spans="1:9">
      <c r="A1440" s="620">
        <f t="shared" si="22"/>
        <v>1436</v>
      </c>
      <c r="B1440" s="621" t="s">
        <v>197</v>
      </c>
      <c r="C1440" s="621" t="str">
        <f>"13372"</f>
        <v>13372</v>
      </c>
      <c r="D1440" s="621" t="s">
        <v>18</v>
      </c>
      <c r="E1440" s="621">
        <v>5</v>
      </c>
      <c r="F1440" s="622">
        <v>42871</v>
      </c>
      <c r="G1440" s="622">
        <v>44696</v>
      </c>
      <c r="H1440" s="621" t="s">
        <v>14</v>
      </c>
      <c r="I1440" s="621" t="s">
        <v>6874</v>
      </c>
    </row>
    <row r="1441" spans="1:9">
      <c r="A1441" s="617">
        <f t="shared" si="22"/>
        <v>1437</v>
      </c>
      <c r="B1441" s="618" t="s">
        <v>25</v>
      </c>
      <c r="C1441" s="618" t="str">
        <f>"13378"</f>
        <v>13378</v>
      </c>
      <c r="D1441" s="618" t="s">
        <v>18</v>
      </c>
      <c r="E1441" s="618">
        <v>200</v>
      </c>
      <c r="F1441" s="619">
        <v>42994</v>
      </c>
      <c r="G1441" s="619">
        <v>46645</v>
      </c>
      <c r="H1441" s="618" t="s">
        <v>45</v>
      </c>
      <c r="I1441" s="618" t="s">
        <v>400</v>
      </c>
    </row>
    <row r="1442" spans="1:9">
      <c r="A1442" s="620">
        <f t="shared" si="22"/>
        <v>1438</v>
      </c>
      <c r="B1442" s="621" t="s">
        <v>117</v>
      </c>
      <c r="C1442" s="621" t="str">
        <f>"13390"</f>
        <v>13390</v>
      </c>
      <c r="D1442" s="621" t="s">
        <v>18</v>
      </c>
      <c r="E1442" s="621">
        <v>42</v>
      </c>
      <c r="F1442" s="622">
        <v>42994</v>
      </c>
      <c r="G1442" s="622">
        <v>44454</v>
      </c>
      <c r="H1442" s="621" t="s">
        <v>56</v>
      </c>
      <c r="I1442" s="621" t="s">
        <v>6868</v>
      </c>
    </row>
    <row r="1443" spans="1:9">
      <c r="A1443" s="617">
        <f t="shared" si="22"/>
        <v>1439</v>
      </c>
      <c r="B1443" s="618" t="s">
        <v>781</v>
      </c>
      <c r="C1443" s="618" t="str">
        <f>"13392"</f>
        <v>13392</v>
      </c>
      <c r="D1443" s="618" t="s">
        <v>18</v>
      </c>
      <c r="E1443" s="618">
        <v>11</v>
      </c>
      <c r="F1443" s="619">
        <v>42954</v>
      </c>
      <c r="G1443" s="619">
        <v>44779</v>
      </c>
      <c r="H1443" s="618" t="s">
        <v>16</v>
      </c>
      <c r="I1443" s="618" t="s">
        <v>6868</v>
      </c>
    </row>
    <row r="1444" spans="1:9">
      <c r="A1444" s="620">
        <f t="shared" si="22"/>
        <v>1440</v>
      </c>
      <c r="B1444" s="621" t="s">
        <v>6880</v>
      </c>
      <c r="C1444" s="621" t="str">
        <f>"13394"</f>
        <v>13394</v>
      </c>
      <c r="D1444" s="621" t="s">
        <v>18</v>
      </c>
      <c r="E1444" s="621">
        <v>12</v>
      </c>
      <c r="F1444" s="622">
        <v>42954</v>
      </c>
      <c r="G1444" s="622">
        <v>44779</v>
      </c>
      <c r="H1444" s="621" t="s">
        <v>14</v>
      </c>
      <c r="I1444" s="621" t="s">
        <v>6874</v>
      </c>
    </row>
    <row r="1445" spans="1:9">
      <c r="A1445" s="617">
        <f t="shared" si="22"/>
        <v>1441</v>
      </c>
      <c r="B1445" s="618" t="s">
        <v>6880</v>
      </c>
      <c r="C1445" s="618" t="str">
        <f>"13395"</f>
        <v>13395</v>
      </c>
      <c r="D1445" s="618" t="s">
        <v>18</v>
      </c>
      <c r="E1445" s="618">
        <v>20</v>
      </c>
      <c r="F1445" s="619">
        <v>42954</v>
      </c>
      <c r="G1445" s="619">
        <v>44779</v>
      </c>
      <c r="H1445" s="618" t="s">
        <v>14</v>
      </c>
      <c r="I1445" s="618" t="s">
        <v>6874</v>
      </c>
    </row>
    <row r="1446" spans="1:9">
      <c r="A1446" s="620">
        <f t="shared" si="22"/>
        <v>1442</v>
      </c>
      <c r="B1446" s="621" t="s">
        <v>6880</v>
      </c>
      <c r="C1446" s="621" t="str">
        <f>"13396"</f>
        <v>13396</v>
      </c>
      <c r="D1446" s="621" t="s">
        <v>18</v>
      </c>
      <c r="E1446" s="621">
        <v>2</v>
      </c>
      <c r="F1446" s="622">
        <v>42954</v>
      </c>
      <c r="G1446" s="622">
        <v>44779</v>
      </c>
      <c r="H1446" s="621" t="s">
        <v>14</v>
      </c>
      <c r="I1446" s="621" t="s">
        <v>6874</v>
      </c>
    </row>
    <row r="1447" spans="1:9">
      <c r="A1447" s="617">
        <f t="shared" si="22"/>
        <v>1443</v>
      </c>
      <c r="B1447" s="618" t="s">
        <v>455</v>
      </c>
      <c r="C1447" s="618" t="str">
        <f>"13397"</f>
        <v>13397</v>
      </c>
      <c r="D1447" s="618" t="s">
        <v>18</v>
      </c>
      <c r="E1447" s="618">
        <v>55</v>
      </c>
      <c r="F1447" s="619">
        <v>42961</v>
      </c>
      <c r="G1447" s="619">
        <v>44786</v>
      </c>
      <c r="H1447" s="618" t="s">
        <v>45</v>
      </c>
      <c r="I1447" s="618" t="s">
        <v>6874</v>
      </c>
    </row>
    <row r="1448" spans="1:9">
      <c r="A1448" s="620">
        <f t="shared" si="22"/>
        <v>1444</v>
      </c>
      <c r="B1448" s="621" t="s">
        <v>455</v>
      </c>
      <c r="C1448" s="621" t="str">
        <f>"13398"</f>
        <v>13398</v>
      </c>
      <c r="D1448" s="621" t="s">
        <v>18</v>
      </c>
      <c r="E1448" s="621">
        <v>32</v>
      </c>
      <c r="F1448" s="622">
        <v>42957</v>
      </c>
      <c r="G1448" s="622">
        <v>44782</v>
      </c>
      <c r="H1448" s="621" t="s">
        <v>41</v>
      </c>
      <c r="I1448" s="621" t="s">
        <v>6874</v>
      </c>
    </row>
    <row r="1449" spans="1:9">
      <c r="A1449" s="617">
        <f t="shared" si="22"/>
        <v>1445</v>
      </c>
      <c r="B1449" s="618" t="s">
        <v>455</v>
      </c>
      <c r="C1449" s="618" t="str">
        <f>"13399"</f>
        <v>13399</v>
      </c>
      <c r="D1449" s="618" t="s">
        <v>18</v>
      </c>
      <c r="E1449" s="618">
        <v>25</v>
      </c>
      <c r="F1449" s="619">
        <v>42961</v>
      </c>
      <c r="G1449" s="619">
        <v>44786</v>
      </c>
      <c r="H1449" s="618" t="s">
        <v>41</v>
      </c>
      <c r="I1449" s="618" t="s">
        <v>6874</v>
      </c>
    </row>
    <row r="1450" spans="1:9">
      <c r="A1450" s="620">
        <f t="shared" si="22"/>
        <v>1446</v>
      </c>
      <c r="B1450" s="621" t="s">
        <v>455</v>
      </c>
      <c r="C1450" s="621" t="str">
        <f>"13400"</f>
        <v>13400</v>
      </c>
      <c r="D1450" s="621" t="s">
        <v>18</v>
      </c>
      <c r="E1450" s="621">
        <v>38</v>
      </c>
      <c r="F1450" s="622">
        <v>42961</v>
      </c>
      <c r="G1450" s="622">
        <v>44786</v>
      </c>
      <c r="H1450" s="621" t="s">
        <v>41</v>
      </c>
      <c r="I1450" s="621" t="s">
        <v>6874</v>
      </c>
    </row>
    <row r="1451" spans="1:9">
      <c r="A1451" s="617">
        <f t="shared" si="22"/>
        <v>1447</v>
      </c>
      <c r="B1451" s="618" t="s">
        <v>455</v>
      </c>
      <c r="C1451" s="618" t="str">
        <f>"13401"</f>
        <v>13401</v>
      </c>
      <c r="D1451" s="618" t="s">
        <v>18</v>
      </c>
      <c r="E1451" s="618">
        <v>20</v>
      </c>
      <c r="F1451" s="619">
        <v>42992</v>
      </c>
      <c r="G1451" s="619">
        <v>44817</v>
      </c>
      <c r="H1451" s="618" t="s">
        <v>14</v>
      </c>
      <c r="I1451" s="618" t="s">
        <v>6874</v>
      </c>
    </row>
    <row r="1452" spans="1:9">
      <c r="A1452" s="620">
        <f t="shared" si="22"/>
        <v>1448</v>
      </c>
      <c r="B1452" s="621" t="s">
        <v>455</v>
      </c>
      <c r="C1452" s="621" t="str">
        <f>"13402"</f>
        <v>13402</v>
      </c>
      <c r="D1452" s="621" t="s">
        <v>18</v>
      </c>
      <c r="E1452" s="621">
        <v>12</v>
      </c>
      <c r="F1452" s="622">
        <v>42989</v>
      </c>
      <c r="G1452" s="622">
        <v>44814</v>
      </c>
      <c r="H1452" s="621" t="s">
        <v>16</v>
      </c>
      <c r="I1452" s="621" t="s">
        <v>6874</v>
      </c>
    </row>
    <row r="1453" spans="1:9">
      <c r="A1453" s="617">
        <f t="shared" si="22"/>
        <v>1449</v>
      </c>
      <c r="B1453" s="618" t="s">
        <v>1767</v>
      </c>
      <c r="C1453" s="618" t="str">
        <f>"13416"</f>
        <v>13416</v>
      </c>
      <c r="D1453" s="618" t="s">
        <v>18</v>
      </c>
      <c r="E1453" s="618">
        <v>12</v>
      </c>
      <c r="F1453" s="619">
        <v>42947</v>
      </c>
      <c r="G1453" s="619">
        <v>44772</v>
      </c>
      <c r="H1453" s="618" t="s">
        <v>16</v>
      </c>
      <c r="I1453" s="618" t="s">
        <v>6874</v>
      </c>
    </row>
    <row r="1454" spans="1:9">
      <c r="A1454" s="620">
        <f t="shared" si="22"/>
        <v>1450</v>
      </c>
      <c r="B1454" s="621" t="s">
        <v>1767</v>
      </c>
      <c r="C1454" s="621" t="str">
        <f>"13422"</f>
        <v>13422</v>
      </c>
      <c r="D1454" s="621" t="s">
        <v>18</v>
      </c>
      <c r="E1454" s="621">
        <v>54</v>
      </c>
      <c r="F1454" s="622">
        <v>42947</v>
      </c>
      <c r="G1454" s="622">
        <v>44772</v>
      </c>
      <c r="H1454" s="621" t="s">
        <v>16</v>
      </c>
      <c r="I1454" s="621" t="s">
        <v>6868</v>
      </c>
    </row>
    <row r="1455" spans="1:9">
      <c r="A1455" s="617">
        <f t="shared" si="22"/>
        <v>1451</v>
      </c>
      <c r="B1455" s="618" t="s">
        <v>1767</v>
      </c>
      <c r="C1455" s="618" t="str">
        <f>"13423"</f>
        <v>13423</v>
      </c>
      <c r="D1455" s="618" t="s">
        <v>18</v>
      </c>
      <c r="E1455" s="618">
        <v>9</v>
      </c>
      <c r="F1455" s="619">
        <v>42947</v>
      </c>
      <c r="G1455" s="619">
        <v>44772</v>
      </c>
      <c r="H1455" s="618" t="s">
        <v>14</v>
      </c>
      <c r="I1455" s="618" t="s">
        <v>6874</v>
      </c>
    </row>
    <row r="1456" spans="1:9">
      <c r="A1456" s="620">
        <f t="shared" si="22"/>
        <v>1452</v>
      </c>
      <c r="B1456" s="621" t="s">
        <v>1767</v>
      </c>
      <c r="C1456" s="621" t="str">
        <f>"13425"</f>
        <v>13425</v>
      </c>
      <c r="D1456" s="621" t="s">
        <v>18</v>
      </c>
      <c r="E1456" s="621">
        <v>16</v>
      </c>
      <c r="F1456" s="622">
        <v>42947</v>
      </c>
      <c r="G1456" s="622">
        <v>44772</v>
      </c>
      <c r="H1456" s="621" t="s">
        <v>14</v>
      </c>
      <c r="I1456" s="621" t="s">
        <v>6874</v>
      </c>
    </row>
    <row r="1457" spans="1:9">
      <c r="A1457" s="617">
        <f t="shared" si="22"/>
        <v>1453</v>
      </c>
      <c r="B1457" s="618" t="s">
        <v>1767</v>
      </c>
      <c r="C1457" s="618" t="str">
        <f>"13429"</f>
        <v>13429</v>
      </c>
      <c r="D1457" s="618" t="s">
        <v>18</v>
      </c>
      <c r="E1457" s="618">
        <v>30</v>
      </c>
      <c r="F1457" s="619">
        <v>42947</v>
      </c>
      <c r="G1457" s="619">
        <v>44772</v>
      </c>
      <c r="H1457" s="618" t="s">
        <v>14</v>
      </c>
      <c r="I1457" s="618" t="s">
        <v>6859</v>
      </c>
    </row>
    <row r="1458" spans="1:9">
      <c r="A1458" s="620">
        <f t="shared" si="22"/>
        <v>1454</v>
      </c>
      <c r="B1458" s="621" t="s">
        <v>1767</v>
      </c>
      <c r="C1458" s="621" t="str">
        <f>"13433"</f>
        <v>13433</v>
      </c>
      <c r="D1458" s="621" t="s">
        <v>18</v>
      </c>
      <c r="E1458" s="621">
        <v>9</v>
      </c>
      <c r="F1458" s="622">
        <v>42947</v>
      </c>
      <c r="G1458" s="622">
        <v>44772</v>
      </c>
      <c r="H1458" s="621" t="s">
        <v>14</v>
      </c>
      <c r="I1458" s="621" t="s">
        <v>51</v>
      </c>
    </row>
    <row r="1459" spans="1:9">
      <c r="A1459" s="617">
        <f t="shared" si="22"/>
        <v>1455</v>
      </c>
      <c r="B1459" s="618" t="s">
        <v>1767</v>
      </c>
      <c r="C1459" s="618" t="str">
        <f>"13439"</f>
        <v>13439</v>
      </c>
      <c r="D1459" s="618" t="s">
        <v>18</v>
      </c>
      <c r="E1459" s="618">
        <v>36</v>
      </c>
      <c r="F1459" s="619">
        <v>42947</v>
      </c>
      <c r="G1459" s="619">
        <v>44772</v>
      </c>
      <c r="H1459" s="618" t="s">
        <v>41</v>
      </c>
      <c r="I1459" s="618" t="s">
        <v>6874</v>
      </c>
    </row>
    <row r="1460" spans="1:9">
      <c r="A1460" s="620">
        <f t="shared" si="22"/>
        <v>1456</v>
      </c>
      <c r="B1460" s="621" t="s">
        <v>1767</v>
      </c>
      <c r="C1460" s="621" t="str">
        <f>"13440"</f>
        <v>13440</v>
      </c>
      <c r="D1460" s="621" t="s">
        <v>18</v>
      </c>
      <c r="E1460" s="621">
        <v>4</v>
      </c>
      <c r="F1460" s="622">
        <v>42947</v>
      </c>
      <c r="G1460" s="622">
        <v>44772</v>
      </c>
      <c r="H1460" s="621" t="s">
        <v>41</v>
      </c>
      <c r="I1460" s="621" t="s">
        <v>6874</v>
      </c>
    </row>
    <row r="1461" spans="1:9">
      <c r="A1461" s="617">
        <f t="shared" si="22"/>
        <v>1457</v>
      </c>
      <c r="B1461" s="618" t="s">
        <v>1767</v>
      </c>
      <c r="C1461" s="618" t="str">
        <f>"13441"</f>
        <v>13441</v>
      </c>
      <c r="D1461" s="618" t="s">
        <v>18</v>
      </c>
      <c r="E1461" s="618">
        <v>5</v>
      </c>
      <c r="F1461" s="619">
        <v>42947</v>
      </c>
      <c r="G1461" s="619">
        <v>44772</v>
      </c>
      <c r="H1461" s="618" t="s">
        <v>14</v>
      </c>
      <c r="I1461" s="618" t="s">
        <v>6874</v>
      </c>
    </row>
    <row r="1462" spans="1:9">
      <c r="A1462" s="620">
        <f t="shared" si="22"/>
        <v>1458</v>
      </c>
      <c r="B1462" s="621" t="s">
        <v>1767</v>
      </c>
      <c r="C1462" s="621" t="str">
        <f>"13445"</f>
        <v>13445</v>
      </c>
      <c r="D1462" s="621" t="s">
        <v>18</v>
      </c>
      <c r="E1462" s="621">
        <v>48</v>
      </c>
      <c r="F1462" s="622">
        <v>42961</v>
      </c>
      <c r="G1462" s="622">
        <v>44786</v>
      </c>
      <c r="H1462" s="621" t="s">
        <v>14</v>
      </c>
      <c r="I1462" s="621" t="s">
        <v>6874</v>
      </c>
    </row>
    <row r="1463" spans="1:9">
      <c r="A1463" s="617">
        <f t="shared" si="22"/>
        <v>1459</v>
      </c>
      <c r="B1463" s="618" t="s">
        <v>1326</v>
      </c>
      <c r="C1463" s="618" t="str">
        <f>"13448"</f>
        <v>13448</v>
      </c>
      <c r="D1463" s="618" t="s">
        <v>18</v>
      </c>
      <c r="E1463" s="618">
        <v>99</v>
      </c>
      <c r="F1463" s="619">
        <v>43031</v>
      </c>
      <c r="G1463" s="619">
        <v>44856</v>
      </c>
      <c r="H1463" s="618" t="s">
        <v>29</v>
      </c>
      <c r="I1463" s="618" t="s">
        <v>6868</v>
      </c>
    </row>
    <row r="1464" spans="1:9">
      <c r="A1464" s="620">
        <f t="shared" si="22"/>
        <v>1460</v>
      </c>
      <c r="B1464" s="621" t="s">
        <v>1326</v>
      </c>
      <c r="C1464" s="621" t="str">
        <f>"13449"</f>
        <v>13449</v>
      </c>
      <c r="D1464" s="621" t="s">
        <v>18</v>
      </c>
      <c r="E1464" s="621">
        <v>41</v>
      </c>
      <c r="F1464" s="622">
        <v>42993</v>
      </c>
      <c r="G1464" s="622">
        <v>44818</v>
      </c>
      <c r="H1464" s="621" t="s">
        <v>29</v>
      </c>
      <c r="I1464" s="621" t="s">
        <v>6868</v>
      </c>
    </row>
    <row r="1465" spans="1:9">
      <c r="A1465" s="617">
        <f t="shared" si="22"/>
        <v>1461</v>
      </c>
      <c r="B1465" s="618" t="s">
        <v>1326</v>
      </c>
      <c r="C1465" s="618" t="str">
        <f>"13450"</f>
        <v>13450</v>
      </c>
      <c r="D1465" s="618" t="s">
        <v>18</v>
      </c>
      <c r="E1465" s="618">
        <v>77</v>
      </c>
      <c r="F1465" s="619">
        <v>42993</v>
      </c>
      <c r="G1465" s="619">
        <v>44818</v>
      </c>
      <c r="H1465" s="618" t="s">
        <v>29</v>
      </c>
      <c r="I1465" s="618" t="s">
        <v>6868</v>
      </c>
    </row>
    <row r="1466" spans="1:9">
      <c r="A1466" s="620">
        <f t="shared" si="22"/>
        <v>1462</v>
      </c>
      <c r="B1466" s="621" t="s">
        <v>1769</v>
      </c>
      <c r="C1466" s="621" t="str">
        <f>"13459"</f>
        <v>13459</v>
      </c>
      <c r="D1466" s="621" t="s">
        <v>18</v>
      </c>
      <c r="E1466" s="621">
        <v>10</v>
      </c>
      <c r="F1466" s="622">
        <v>42994</v>
      </c>
      <c r="G1466" s="622">
        <v>44819</v>
      </c>
      <c r="H1466" s="621" t="s">
        <v>29</v>
      </c>
      <c r="I1466" s="621" t="s">
        <v>385</v>
      </c>
    </row>
    <row r="1467" spans="1:9">
      <c r="A1467" s="617">
        <f t="shared" si="22"/>
        <v>1463</v>
      </c>
      <c r="B1467" s="618" t="s">
        <v>1769</v>
      </c>
      <c r="C1467" s="618" t="str">
        <f>"13460"</f>
        <v>13460</v>
      </c>
      <c r="D1467" s="618" t="s">
        <v>18</v>
      </c>
      <c r="E1467" s="618">
        <v>3</v>
      </c>
      <c r="F1467" s="619">
        <v>42985</v>
      </c>
      <c r="G1467" s="619">
        <v>44810</v>
      </c>
      <c r="H1467" s="618" t="s">
        <v>29</v>
      </c>
      <c r="I1467" s="618" t="s">
        <v>385</v>
      </c>
    </row>
    <row r="1468" spans="1:9">
      <c r="A1468" s="620">
        <f t="shared" si="22"/>
        <v>1464</v>
      </c>
      <c r="B1468" s="621" t="s">
        <v>1769</v>
      </c>
      <c r="C1468" s="621" t="str">
        <f>"13461"</f>
        <v>13461</v>
      </c>
      <c r="D1468" s="621" t="s">
        <v>18</v>
      </c>
      <c r="E1468" s="621">
        <v>20</v>
      </c>
      <c r="F1468" s="622">
        <v>42984</v>
      </c>
      <c r="G1468" s="622">
        <v>44809</v>
      </c>
      <c r="H1468" s="621" t="s">
        <v>16</v>
      </c>
      <c r="I1468" s="621" t="s">
        <v>385</v>
      </c>
    </row>
    <row r="1469" spans="1:9">
      <c r="A1469" s="617">
        <f t="shared" si="22"/>
        <v>1465</v>
      </c>
      <c r="B1469" s="618" t="s">
        <v>1769</v>
      </c>
      <c r="C1469" s="618" t="str">
        <f>"13462"</f>
        <v>13462</v>
      </c>
      <c r="D1469" s="618" t="s">
        <v>18</v>
      </c>
      <c r="E1469" s="618">
        <v>13</v>
      </c>
      <c r="F1469" s="619">
        <v>42976</v>
      </c>
      <c r="G1469" s="619">
        <v>44801</v>
      </c>
      <c r="H1469" s="618" t="s">
        <v>16</v>
      </c>
      <c r="I1469" s="618" t="s">
        <v>385</v>
      </c>
    </row>
    <row r="1470" spans="1:9">
      <c r="A1470" s="620">
        <f t="shared" si="22"/>
        <v>1466</v>
      </c>
      <c r="B1470" s="621" t="s">
        <v>1769</v>
      </c>
      <c r="C1470" s="621" t="str">
        <f>"13463"</f>
        <v>13463</v>
      </c>
      <c r="D1470" s="621" t="s">
        <v>18</v>
      </c>
      <c r="E1470" s="621">
        <v>5</v>
      </c>
      <c r="F1470" s="622">
        <v>42989</v>
      </c>
      <c r="G1470" s="622">
        <v>44814</v>
      </c>
      <c r="H1470" s="621" t="s">
        <v>14</v>
      </c>
      <c r="I1470" s="621" t="s">
        <v>385</v>
      </c>
    </row>
    <row r="1471" spans="1:9">
      <c r="A1471" s="617">
        <f t="shared" si="22"/>
        <v>1467</v>
      </c>
      <c r="B1471" s="618" t="s">
        <v>1769</v>
      </c>
      <c r="C1471" s="618" t="str">
        <f>"13464"</f>
        <v>13464</v>
      </c>
      <c r="D1471" s="618" t="s">
        <v>18</v>
      </c>
      <c r="E1471" s="618">
        <v>4</v>
      </c>
      <c r="F1471" s="619">
        <v>42984</v>
      </c>
      <c r="G1471" s="619">
        <v>44809</v>
      </c>
      <c r="H1471" s="618" t="s">
        <v>14</v>
      </c>
      <c r="I1471" s="618" t="s">
        <v>385</v>
      </c>
    </row>
    <row r="1472" spans="1:9">
      <c r="A1472" s="620">
        <f t="shared" si="22"/>
        <v>1468</v>
      </c>
      <c r="B1472" s="621" t="s">
        <v>1770</v>
      </c>
      <c r="C1472" s="621" t="str">
        <f>"13478"</f>
        <v>13478</v>
      </c>
      <c r="D1472" s="621" t="s">
        <v>18</v>
      </c>
      <c r="E1472" s="621">
        <v>5</v>
      </c>
      <c r="F1472" s="622">
        <v>42969</v>
      </c>
      <c r="G1472" s="622">
        <v>44794</v>
      </c>
      <c r="H1472" s="621" t="s">
        <v>14</v>
      </c>
      <c r="I1472" s="621" t="s">
        <v>6859</v>
      </c>
    </row>
    <row r="1473" spans="1:9">
      <c r="A1473" s="617">
        <f t="shared" si="22"/>
        <v>1469</v>
      </c>
      <c r="B1473" s="618" t="s">
        <v>1771</v>
      </c>
      <c r="C1473" s="618" t="str">
        <f>"13492"</f>
        <v>13492</v>
      </c>
      <c r="D1473" s="618" t="s">
        <v>18</v>
      </c>
      <c r="E1473" s="618">
        <v>246</v>
      </c>
      <c r="F1473" s="619">
        <v>42989</v>
      </c>
      <c r="G1473" s="619">
        <v>44814</v>
      </c>
      <c r="H1473" s="618" t="s">
        <v>41</v>
      </c>
      <c r="I1473" s="618" t="s">
        <v>6859</v>
      </c>
    </row>
    <row r="1474" spans="1:9">
      <c r="A1474" s="620">
        <f t="shared" si="22"/>
        <v>1470</v>
      </c>
      <c r="B1474" s="621" t="s">
        <v>100</v>
      </c>
      <c r="C1474" s="621" t="str">
        <f>"13502"</f>
        <v>13502</v>
      </c>
      <c r="D1474" s="621" t="s">
        <v>18</v>
      </c>
      <c r="E1474" s="621">
        <v>32</v>
      </c>
      <c r="F1474" s="622">
        <v>42989</v>
      </c>
      <c r="G1474" s="622">
        <v>44814</v>
      </c>
      <c r="H1474" s="621" t="s">
        <v>19</v>
      </c>
      <c r="I1474" s="621" t="s">
        <v>6868</v>
      </c>
    </row>
    <row r="1475" spans="1:9">
      <c r="A1475" s="617">
        <f t="shared" si="22"/>
        <v>1471</v>
      </c>
      <c r="B1475" s="618" t="s">
        <v>100</v>
      </c>
      <c r="C1475" s="618" t="str">
        <f>"13503"</f>
        <v>13503</v>
      </c>
      <c r="D1475" s="618" t="s">
        <v>18</v>
      </c>
      <c r="E1475" s="618">
        <v>55</v>
      </c>
      <c r="F1475" s="619">
        <v>42957</v>
      </c>
      <c r="G1475" s="619">
        <v>44782</v>
      </c>
      <c r="H1475" s="618" t="s">
        <v>19</v>
      </c>
      <c r="I1475" s="618" t="s">
        <v>6868</v>
      </c>
    </row>
    <row r="1476" spans="1:9">
      <c r="A1476" s="620">
        <f t="shared" si="22"/>
        <v>1472</v>
      </c>
      <c r="B1476" s="621" t="s">
        <v>100</v>
      </c>
      <c r="C1476" s="621" t="str">
        <f>"13505"</f>
        <v>13505</v>
      </c>
      <c r="D1476" s="621" t="s">
        <v>18</v>
      </c>
      <c r="E1476" s="621">
        <v>35</v>
      </c>
      <c r="F1476" s="622">
        <v>42957</v>
      </c>
      <c r="G1476" s="622">
        <v>44782</v>
      </c>
      <c r="H1476" s="621" t="s">
        <v>19</v>
      </c>
      <c r="I1476" s="621" t="s">
        <v>6868</v>
      </c>
    </row>
    <row r="1477" spans="1:9">
      <c r="A1477" s="617">
        <f t="shared" si="22"/>
        <v>1473</v>
      </c>
      <c r="B1477" s="618" t="s">
        <v>100</v>
      </c>
      <c r="C1477" s="618" t="str">
        <f>"13506"</f>
        <v>13506</v>
      </c>
      <c r="D1477" s="618" t="s">
        <v>18</v>
      </c>
      <c r="E1477" s="618">
        <v>28</v>
      </c>
      <c r="F1477" s="619">
        <v>42961</v>
      </c>
      <c r="G1477" s="619">
        <v>44786</v>
      </c>
      <c r="H1477" s="618" t="s">
        <v>56</v>
      </c>
      <c r="I1477" s="618" t="s">
        <v>6868</v>
      </c>
    </row>
    <row r="1478" spans="1:9">
      <c r="A1478" s="620">
        <f t="shared" si="22"/>
        <v>1474</v>
      </c>
      <c r="B1478" s="621" t="s">
        <v>1020</v>
      </c>
      <c r="C1478" s="621" t="str">
        <f>"13510"</f>
        <v>13510</v>
      </c>
      <c r="D1478" s="621" t="s">
        <v>18</v>
      </c>
      <c r="E1478" s="621">
        <v>10</v>
      </c>
      <c r="F1478" s="622">
        <v>42991</v>
      </c>
      <c r="G1478" s="622">
        <v>44816</v>
      </c>
      <c r="H1478" s="621" t="s">
        <v>29</v>
      </c>
      <c r="I1478" s="621" t="s">
        <v>6859</v>
      </c>
    </row>
    <row r="1479" spans="1:9">
      <c r="A1479" s="617">
        <f t="shared" ref="A1479:A1542" si="23">+A1478+1</f>
        <v>1475</v>
      </c>
      <c r="B1479" s="618" t="s">
        <v>456</v>
      </c>
      <c r="C1479" s="618" t="str">
        <f>"13516"</f>
        <v>13516</v>
      </c>
      <c r="D1479" s="618" t="s">
        <v>18</v>
      </c>
      <c r="E1479" s="618">
        <v>3</v>
      </c>
      <c r="F1479" s="619">
        <v>43133</v>
      </c>
      <c r="G1479" s="619">
        <v>44593</v>
      </c>
      <c r="H1479" s="618" t="s">
        <v>23</v>
      </c>
      <c r="I1479" s="618" t="s">
        <v>6874</v>
      </c>
    </row>
    <row r="1480" spans="1:9">
      <c r="A1480" s="620">
        <f t="shared" si="23"/>
        <v>1476</v>
      </c>
      <c r="B1480" s="621" t="s">
        <v>24</v>
      </c>
      <c r="C1480" s="621" t="str">
        <f>"13521"</f>
        <v>13521</v>
      </c>
      <c r="D1480" s="621" t="s">
        <v>18</v>
      </c>
      <c r="E1480" s="621">
        <v>197</v>
      </c>
      <c r="F1480" s="622">
        <v>42983</v>
      </c>
      <c r="G1480" s="622">
        <v>46634</v>
      </c>
      <c r="H1480" s="621" t="s">
        <v>14</v>
      </c>
      <c r="I1480" s="621" t="s">
        <v>6858</v>
      </c>
    </row>
    <row r="1481" spans="1:9">
      <c r="A1481" s="617">
        <f t="shared" si="23"/>
        <v>1477</v>
      </c>
      <c r="B1481" s="618" t="s">
        <v>24</v>
      </c>
      <c r="C1481" s="618" t="str">
        <f>"13529"</f>
        <v>13529</v>
      </c>
      <c r="D1481" s="618" t="s">
        <v>18</v>
      </c>
      <c r="E1481" s="618">
        <v>468</v>
      </c>
      <c r="F1481" s="619">
        <v>43007</v>
      </c>
      <c r="G1481" s="619">
        <v>44832</v>
      </c>
      <c r="H1481" s="618" t="s">
        <v>14</v>
      </c>
      <c r="I1481" s="618" t="s">
        <v>6871</v>
      </c>
    </row>
    <row r="1482" spans="1:9">
      <c r="A1482" s="620">
        <f t="shared" si="23"/>
        <v>1478</v>
      </c>
      <c r="B1482" s="621" t="s">
        <v>171</v>
      </c>
      <c r="C1482" s="621" t="str">
        <f>"13537"</f>
        <v>13537</v>
      </c>
      <c r="D1482" s="621" t="s">
        <v>18</v>
      </c>
      <c r="E1482" s="621">
        <v>130</v>
      </c>
      <c r="F1482" s="622">
        <v>42992</v>
      </c>
      <c r="G1482" s="622">
        <v>44817</v>
      </c>
      <c r="H1482" s="621" t="s">
        <v>41</v>
      </c>
      <c r="I1482" s="621" t="s">
        <v>51</v>
      </c>
    </row>
    <row r="1483" spans="1:9">
      <c r="A1483" s="617">
        <f t="shared" si="23"/>
        <v>1479</v>
      </c>
      <c r="B1483" s="618" t="s">
        <v>1831</v>
      </c>
      <c r="C1483" s="618" t="str">
        <f>"13538"</f>
        <v>13538</v>
      </c>
      <c r="D1483" s="618" t="s">
        <v>18</v>
      </c>
      <c r="E1483" s="618">
        <v>50</v>
      </c>
      <c r="F1483" s="619">
        <v>44818</v>
      </c>
      <c r="G1483" s="619">
        <v>45548</v>
      </c>
      <c r="H1483" s="618" t="s">
        <v>14</v>
      </c>
      <c r="I1483" s="618" t="s">
        <v>6868</v>
      </c>
    </row>
    <row r="1484" spans="1:9">
      <c r="A1484" s="620">
        <f t="shared" si="23"/>
        <v>1480</v>
      </c>
      <c r="B1484" s="621" t="s">
        <v>1831</v>
      </c>
      <c r="C1484" s="621" t="str">
        <f>"13539"</f>
        <v>13539</v>
      </c>
      <c r="D1484" s="621" t="s">
        <v>18</v>
      </c>
      <c r="E1484" s="621">
        <v>32</v>
      </c>
      <c r="F1484" s="622">
        <v>44818</v>
      </c>
      <c r="G1484" s="622">
        <v>45548</v>
      </c>
      <c r="H1484" s="621" t="s">
        <v>14</v>
      </c>
      <c r="I1484" s="621" t="s">
        <v>6868</v>
      </c>
    </row>
    <row r="1485" spans="1:9">
      <c r="A1485" s="617">
        <f t="shared" si="23"/>
        <v>1481</v>
      </c>
      <c r="B1485" s="618" t="s">
        <v>172</v>
      </c>
      <c r="C1485" s="618" t="str">
        <f>"13544"</f>
        <v>13544</v>
      </c>
      <c r="D1485" s="618" t="s">
        <v>18</v>
      </c>
      <c r="E1485" s="618">
        <v>54</v>
      </c>
      <c r="F1485" s="619">
        <v>44495</v>
      </c>
      <c r="G1485" s="619">
        <v>46320</v>
      </c>
      <c r="H1485" s="618" t="s">
        <v>16</v>
      </c>
      <c r="I1485" s="618" t="s">
        <v>51</v>
      </c>
    </row>
    <row r="1486" spans="1:9">
      <c r="A1486" s="620">
        <f t="shared" si="23"/>
        <v>1482</v>
      </c>
      <c r="B1486" s="621" t="s">
        <v>456</v>
      </c>
      <c r="C1486" s="621" t="str">
        <f>"13555"</f>
        <v>13555</v>
      </c>
      <c r="D1486" s="621" t="s">
        <v>18</v>
      </c>
      <c r="E1486" s="621">
        <v>1</v>
      </c>
      <c r="F1486" s="622">
        <v>42993</v>
      </c>
      <c r="G1486" s="622">
        <v>44453</v>
      </c>
      <c r="H1486" s="621" t="s">
        <v>23</v>
      </c>
      <c r="I1486" s="621" t="s">
        <v>385</v>
      </c>
    </row>
    <row r="1487" spans="1:9">
      <c r="A1487" s="617">
        <f t="shared" si="23"/>
        <v>1483</v>
      </c>
      <c r="B1487" s="618" t="s">
        <v>314</v>
      </c>
      <c r="C1487" s="618" t="str">
        <f>"13569"</f>
        <v>13569</v>
      </c>
      <c r="D1487" s="618" t="s">
        <v>18</v>
      </c>
      <c r="E1487" s="618">
        <v>9</v>
      </c>
      <c r="F1487" s="619">
        <v>42989</v>
      </c>
      <c r="G1487" s="619">
        <v>44814</v>
      </c>
      <c r="H1487" s="618" t="s">
        <v>41</v>
      </c>
      <c r="I1487" s="618" t="s">
        <v>6874</v>
      </c>
    </row>
    <row r="1488" spans="1:9">
      <c r="A1488" s="620">
        <f t="shared" si="23"/>
        <v>1484</v>
      </c>
      <c r="B1488" s="621" t="s">
        <v>314</v>
      </c>
      <c r="C1488" s="621" t="str">
        <f>"13570"</f>
        <v>13570</v>
      </c>
      <c r="D1488" s="621" t="s">
        <v>18</v>
      </c>
      <c r="E1488" s="621">
        <v>10</v>
      </c>
      <c r="F1488" s="622">
        <v>43010</v>
      </c>
      <c r="G1488" s="622">
        <v>44470</v>
      </c>
      <c r="H1488" s="621" t="s">
        <v>21</v>
      </c>
      <c r="I1488" s="621" t="s">
        <v>6874</v>
      </c>
    </row>
    <row r="1489" spans="1:9">
      <c r="A1489" s="617">
        <f t="shared" si="23"/>
        <v>1485</v>
      </c>
      <c r="B1489" s="618" t="s">
        <v>1017</v>
      </c>
      <c r="C1489" s="618" t="str">
        <f>"13590"</f>
        <v>13590</v>
      </c>
      <c r="D1489" s="618" t="s">
        <v>18</v>
      </c>
      <c r="E1489" s="618">
        <v>88</v>
      </c>
      <c r="F1489" s="619">
        <v>42986</v>
      </c>
      <c r="G1489" s="619">
        <v>44811</v>
      </c>
      <c r="H1489" s="618" t="s">
        <v>45</v>
      </c>
      <c r="I1489" s="618" t="s">
        <v>6874</v>
      </c>
    </row>
    <row r="1490" spans="1:9">
      <c r="A1490" s="620">
        <f t="shared" si="23"/>
        <v>1486</v>
      </c>
      <c r="B1490" s="621" t="s">
        <v>251</v>
      </c>
      <c r="C1490" s="621" t="str">
        <f>"13607"</f>
        <v>13607</v>
      </c>
      <c r="D1490" s="621" t="s">
        <v>18</v>
      </c>
      <c r="E1490" s="621">
        <v>87</v>
      </c>
      <c r="F1490" s="622">
        <v>42961</v>
      </c>
      <c r="G1490" s="622">
        <v>44786</v>
      </c>
      <c r="H1490" s="621" t="s">
        <v>14</v>
      </c>
      <c r="I1490" s="621" t="s">
        <v>6874</v>
      </c>
    </row>
    <row r="1491" spans="1:9">
      <c r="A1491" s="617">
        <f t="shared" si="23"/>
        <v>1487</v>
      </c>
      <c r="B1491" s="618" t="s">
        <v>457</v>
      </c>
      <c r="C1491" s="618" t="str">
        <f>"13608"</f>
        <v>13608</v>
      </c>
      <c r="D1491" s="618" t="s">
        <v>18</v>
      </c>
      <c r="E1491" s="618">
        <v>96</v>
      </c>
      <c r="F1491" s="619">
        <v>42961</v>
      </c>
      <c r="G1491" s="619">
        <v>44786</v>
      </c>
      <c r="H1491" s="618" t="s">
        <v>16</v>
      </c>
      <c r="I1491" s="618" t="s">
        <v>385</v>
      </c>
    </row>
    <row r="1492" spans="1:9">
      <c r="A1492" s="620">
        <f t="shared" si="23"/>
        <v>1488</v>
      </c>
      <c r="B1492" s="621" t="s">
        <v>457</v>
      </c>
      <c r="C1492" s="621" t="str">
        <f>"13609"</f>
        <v>13609</v>
      </c>
      <c r="D1492" s="621" t="s">
        <v>18</v>
      </c>
      <c r="E1492" s="621">
        <v>30</v>
      </c>
      <c r="F1492" s="622">
        <v>42957</v>
      </c>
      <c r="G1492" s="622">
        <v>44782</v>
      </c>
      <c r="H1492" s="621" t="s">
        <v>14</v>
      </c>
      <c r="I1492" s="621" t="s">
        <v>385</v>
      </c>
    </row>
    <row r="1493" spans="1:9">
      <c r="A1493" s="617">
        <f t="shared" si="23"/>
        <v>1489</v>
      </c>
      <c r="B1493" s="618" t="s">
        <v>192</v>
      </c>
      <c r="C1493" s="618" t="str">
        <f>"13610"</f>
        <v>13610</v>
      </c>
      <c r="D1493" s="618" t="s">
        <v>18</v>
      </c>
      <c r="E1493" s="618">
        <v>246</v>
      </c>
      <c r="F1493" s="619">
        <v>42804</v>
      </c>
      <c r="G1493" s="619">
        <v>44629</v>
      </c>
      <c r="H1493" s="618" t="s">
        <v>43</v>
      </c>
      <c r="I1493" s="618" t="s">
        <v>6861</v>
      </c>
    </row>
    <row r="1494" spans="1:9">
      <c r="A1494" s="620">
        <f t="shared" si="23"/>
        <v>1490</v>
      </c>
      <c r="B1494" s="621" t="s">
        <v>192</v>
      </c>
      <c r="C1494" s="621" t="str">
        <f>"13611"</f>
        <v>13611</v>
      </c>
      <c r="D1494" s="621" t="s">
        <v>18</v>
      </c>
      <c r="E1494" s="621">
        <v>61</v>
      </c>
      <c r="F1494" s="622">
        <v>42804</v>
      </c>
      <c r="G1494" s="622">
        <v>44629</v>
      </c>
      <c r="H1494" s="621" t="s">
        <v>43</v>
      </c>
      <c r="I1494" s="621" t="s">
        <v>6861</v>
      </c>
    </row>
    <row r="1495" spans="1:9">
      <c r="A1495" s="617">
        <f t="shared" si="23"/>
        <v>1491</v>
      </c>
      <c r="B1495" s="618" t="s">
        <v>100</v>
      </c>
      <c r="C1495" s="618" t="str">
        <f>"13612"</f>
        <v>13612</v>
      </c>
      <c r="D1495" s="618" t="s">
        <v>18</v>
      </c>
      <c r="E1495" s="618">
        <v>21</v>
      </c>
      <c r="F1495" s="619">
        <v>42961</v>
      </c>
      <c r="G1495" s="619">
        <v>44786</v>
      </c>
      <c r="H1495" s="618" t="s">
        <v>14</v>
      </c>
      <c r="I1495" s="618" t="s">
        <v>6868</v>
      </c>
    </row>
    <row r="1496" spans="1:9">
      <c r="A1496" s="620">
        <f t="shared" si="23"/>
        <v>1492</v>
      </c>
      <c r="B1496" s="621" t="s">
        <v>100</v>
      </c>
      <c r="C1496" s="621" t="str">
        <f>"13613"</f>
        <v>13613</v>
      </c>
      <c r="D1496" s="621" t="s">
        <v>18</v>
      </c>
      <c r="E1496" s="621">
        <v>41</v>
      </c>
      <c r="F1496" s="622">
        <v>42961</v>
      </c>
      <c r="G1496" s="622">
        <v>44786</v>
      </c>
      <c r="H1496" s="621" t="s">
        <v>14</v>
      </c>
      <c r="I1496" s="621" t="s">
        <v>6868</v>
      </c>
    </row>
    <row r="1497" spans="1:9">
      <c r="A1497" s="617">
        <f t="shared" si="23"/>
        <v>1493</v>
      </c>
      <c r="B1497" s="618" t="s">
        <v>100</v>
      </c>
      <c r="C1497" s="618" t="str">
        <f>"13614"</f>
        <v>13614</v>
      </c>
      <c r="D1497" s="618" t="s">
        <v>18</v>
      </c>
      <c r="E1497" s="618">
        <v>18</v>
      </c>
      <c r="F1497" s="619">
        <v>42961</v>
      </c>
      <c r="G1497" s="619">
        <v>44786</v>
      </c>
      <c r="H1497" s="618" t="s">
        <v>14</v>
      </c>
      <c r="I1497" s="618" t="s">
        <v>6868</v>
      </c>
    </row>
    <row r="1498" spans="1:9">
      <c r="A1498" s="620">
        <f t="shared" si="23"/>
        <v>1494</v>
      </c>
      <c r="B1498" s="621" t="s">
        <v>1772</v>
      </c>
      <c r="C1498" s="621" t="str">
        <f>"13617"</f>
        <v>13617</v>
      </c>
      <c r="D1498" s="621" t="s">
        <v>18</v>
      </c>
      <c r="E1498" s="621">
        <v>10</v>
      </c>
      <c r="F1498" s="622">
        <v>43010</v>
      </c>
      <c r="G1498" s="622">
        <v>44470</v>
      </c>
      <c r="H1498" s="621" t="s">
        <v>21</v>
      </c>
      <c r="I1498" s="621" t="s">
        <v>6868</v>
      </c>
    </row>
    <row r="1499" spans="1:9">
      <c r="A1499" s="617">
        <f t="shared" si="23"/>
        <v>1495</v>
      </c>
      <c r="B1499" s="618" t="s">
        <v>1012</v>
      </c>
      <c r="C1499" s="618" t="str">
        <f>"13622"</f>
        <v>13622</v>
      </c>
      <c r="D1499" s="618" t="s">
        <v>18</v>
      </c>
      <c r="E1499" s="618">
        <v>51</v>
      </c>
      <c r="F1499" s="619">
        <v>42969</v>
      </c>
      <c r="G1499" s="619">
        <v>44794</v>
      </c>
      <c r="H1499" s="618" t="s">
        <v>14</v>
      </c>
      <c r="I1499" s="618" t="s">
        <v>6868</v>
      </c>
    </row>
    <row r="1500" spans="1:9">
      <c r="A1500" s="620">
        <f t="shared" si="23"/>
        <v>1496</v>
      </c>
      <c r="B1500" s="621" t="s">
        <v>1773</v>
      </c>
      <c r="C1500" s="621" t="str">
        <f>"13623"</f>
        <v>13623</v>
      </c>
      <c r="D1500" s="621" t="s">
        <v>18</v>
      </c>
      <c r="E1500" s="621">
        <v>15</v>
      </c>
      <c r="F1500" s="622">
        <v>42961</v>
      </c>
      <c r="G1500" s="622">
        <v>44786</v>
      </c>
      <c r="H1500" s="621" t="s">
        <v>16</v>
      </c>
      <c r="I1500" s="621" t="s">
        <v>385</v>
      </c>
    </row>
    <row r="1501" spans="1:9">
      <c r="A1501" s="617">
        <f t="shared" si="23"/>
        <v>1497</v>
      </c>
      <c r="B1501" s="618" t="s">
        <v>1031</v>
      </c>
      <c r="C1501" s="618" t="str">
        <f>"13624"</f>
        <v>13624</v>
      </c>
      <c r="D1501" s="618" t="s">
        <v>18</v>
      </c>
      <c r="E1501" s="618">
        <v>80</v>
      </c>
      <c r="F1501" s="619">
        <v>42969</v>
      </c>
      <c r="G1501" s="619">
        <v>44794</v>
      </c>
      <c r="H1501" s="618" t="s">
        <v>16</v>
      </c>
      <c r="I1501" s="618" t="s">
        <v>6874</v>
      </c>
    </row>
    <row r="1502" spans="1:9">
      <c r="A1502" s="620">
        <f t="shared" si="23"/>
        <v>1498</v>
      </c>
      <c r="B1502" s="621" t="s">
        <v>204</v>
      </c>
      <c r="C1502" s="621" t="str">
        <f>"13625"</f>
        <v>13625</v>
      </c>
      <c r="D1502" s="621" t="s">
        <v>18</v>
      </c>
      <c r="E1502" s="621">
        <v>20</v>
      </c>
      <c r="F1502" s="622">
        <v>42957</v>
      </c>
      <c r="G1502" s="622">
        <v>44782</v>
      </c>
      <c r="H1502" s="621" t="s">
        <v>16</v>
      </c>
      <c r="I1502" s="621" t="s">
        <v>6868</v>
      </c>
    </row>
    <row r="1503" spans="1:9">
      <c r="A1503" s="617">
        <f t="shared" si="23"/>
        <v>1499</v>
      </c>
      <c r="B1503" s="618" t="s">
        <v>305</v>
      </c>
      <c r="C1503" s="618" t="str">
        <f>"13626"</f>
        <v>13626</v>
      </c>
      <c r="D1503" s="618" t="s">
        <v>18</v>
      </c>
      <c r="E1503" s="618">
        <v>5</v>
      </c>
      <c r="F1503" s="619">
        <v>42961</v>
      </c>
      <c r="G1503" s="619">
        <v>44786</v>
      </c>
      <c r="H1503" s="618" t="s">
        <v>14</v>
      </c>
      <c r="I1503" s="618" t="s">
        <v>6874</v>
      </c>
    </row>
    <row r="1504" spans="1:9">
      <c r="A1504" s="620">
        <f t="shared" si="23"/>
        <v>1500</v>
      </c>
      <c r="B1504" s="621" t="s">
        <v>1018</v>
      </c>
      <c r="C1504" s="621" t="str">
        <f>"13627"</f>
        <v>13627</v>
      </c>
      <c r="D1504" s="621" t="s">
        <v>18</v>
      </c>
      <c r="E1504" s="621">
        <v>159</v>
      </c>
      <c r="F1504" s="622">
        <v>42957</v>
      </c>
      <c r="G1504" s="622">
        <v>44782</v>
      </c>
      <c r="H1504" s="621" t="s">
        <v>16</v>
      </c>
      <c r="I1504" s="621" t="s">
        <v>385</v>
      </c>
    </row>
    <row r="1505" spans="1:9">
      <c r="A1505" s="617">
        <f t="shared" si="23"/>
        <v>1501</v>
      </c>
      <c r="B1505" s="618" t="s">
        <v>1352</v>
      </c>
      <c r="C1505" s="618" t="str">
        <f>"13628"</f>
        <v>13628</v>
      </c>
      <c r="D1505" s="618" t="s">
        <v>18</v>
      </c>
      <c r="E1505" s="618">
        <v>15</v>
      </c>
      <c r="F1505" s="619">
        <v>42961</v>
      </c>
      <c r="G1505" s="619">
        <v>44786</v>
      </c>
      <c r="H1505" s="618" t="s">
        <v>16</v>
      </c>
      <c r="I1505" s="618" t="s">
        <v>6874</v>
      </c>
    </row>
    <row r="1506" spans="1:9">
      <c r="A1506" s="620">
        <f t="shared" si="23"/>
        <v>1502</v>
      </c>
      <c r="B1506" s="621" t="s">
        <v>224</v>
      </c>
      <c r="C1506" s="621" t="str">
        <f>"13629"</f>
        <v>13629</v>
      </c>
      <c r="D1506" s="621" t="s">
        <v>18</v>
      </c>
      <c r="E1506" s="621">
        <v>36</v>
      </c>
      <c r="F1506" s="622">
        <v>42961</v>
      </c>
      <c r="G1506" s="622">
        <v>44786</v>
      </c>
      <c r="H1506" s="621" t="s">
        <v>16</v>
      </c>
      <c r="I1506" s="621" t="s">
        <v>6874</v>
      </c>
    </row>
    <row r="1507" spans="1:9">
      <c r="A1507" s="617">
        <f t="shared" si="23"/>
        <v>1503</v>
      </c>
      <c r="B1507" s="618" t="s">
        <v>1017</v>
      </c>
      <c r="C1507" s="618" t="str">
        <f>"13634"</f>
        <v>13634</v>
      </c>
      <c r="D1507" s="618" t="s">
        <v>18</v>
      </c>
      <c r="E1507" s="618">
        <v>52</v>
      </c>
      <c r="F1507" s="619">
        <v>42976</v>
      </c>
      <c r="G1507" s="619">
        <v>44801</v>
      </c>
      <c r="H1507" s="618" t="s">
        <v>16</v>
      </c>
      <c r="I1507" s="618" t="s">
        <v>6874</v>
      </c>
    </row>
    <row r="1508" spans="1:9">
      <c r="A1508" s="620">
        <f t="shared" si="23"/>
        <v>1504</v>
      </c>
      <c r="B1508" s="621" t="s">
        <v>1017</v>
      </c>
      <c r="C1508" s="621" t="str">
        <f>"13635"</f>
        <v>13635</v>
      </c>
      <c r="D1508" s="621" t="s">
        <v>18</v>
      </c>
      <c r="E1508" s="621">
        <v>12</v>
      </c>
      <c r="F1508" s="622">
        <v>42989</v>
      </c>
      <c r="G1508" s="622">
        <v>44814</v>
      </c>
      <c r="H1508" s="621" t="s">
        <v>45</v>
      </c>
      <c r="I1508" s="621" t="s">
        <v>385</v>
      </c>
    </row>
    <row r="1509" spans="1:9">
      <c r="A1509" s="617">
        <f t="shared" si="23"/>
        <v>1505</v>
      </c>
      <c r="B1509" s="618" t="s">
        <v>1774</v>
      </c>
      <c r="C1509" s="618" t="str">
        <f>"13656"</f>
        <v>13656</v>
      </c>
      <c r="D1509" s="618" t="s">
        <v>18</v>
      </c>
      <c r="E1509" s="618">
        <v>460</v>
      </c>
      <c r="F1509" s="619">
        <v>42969</v>
      </c>
      <c r="G1509" s="619">
        <v>44794</v>
      </c>
      <c r="H1509" s="618" t="s">
        <v>19</v>
      </c>
      <c r="I1509" s="618" t="s">
        <v>385</v>
      </c>
    </row>
    <row r="1510" spans="1:9">
      <c r="A1510" s="620">
        <f t="shared" si="23"/>
        <v>1506</v>
      </c>
      <c r="B1510" s="621" t="s">
        <v>1774</v>
      </c>
      <c r="C1510" s="621" t="str">
        <f>"13657"</f>
        <v>13657</v>
      </c>
      <c r="D1510" s="621" t="s">
        <v>18</v>
      </c>
      <c r="E1510" s="621">
        <v>460</v>
      </c>
      <c r="F1510" s="622">
        <v>42969</v>
      </c>
      <c r="G1510" s="622">
        <v>44794</v>
      </c>
      <c r="H1510" s="621" t="s">
        <v>19</v>
      </c>
      <c r="I1510" s="621" t="s">
        <v>385</v>
      </c>
    </row>
    <row r="1511" spans="1:9">
      <c r="A1511" s="617">
        <f t="shared" si="23"/>
        <v>1507</v>
      </c>
      <c r="B1511" s="618" t="s">
        <v>1056</v>
      </c>
      <c r="C1511" s="618" t="str">
        <f>"13671"</f>
        <v>13671</v>
      </c>
      <c r="D1511" s="618" t="s">
        <v>18</v>
      </c>
      <c r="E1511" s="618">
        <v>20</v>
      </c>
      <c r="F1511" s="619">
        <v>42975</v>
      </c>
      <c r="G1511" s="619">
        <v>44800</v>
      </c>
      <c r="H1511" s="618" t="s">
        <v>20</v>
      </c>
      <c r="I1511" s="618" t="s">
        <v>385</v>
      </c>
    </row>
    <row r="1512" spans="1:9">
      <c r="A1512" s="620">
        <f t="shared" si="23"/>
        <v>1508</v>
      </c>
      <c r="B1512" s="621" t="s">
        <v>1775</v>
      </c>
      <c r="C1512" s="621" t="str">
        <f>"13674"</f>
        <v>13674</v>
      </c>
      <c r="D1512" s="621" t="s">
        <v>18</v>
      </c>
      <c r="E1512" s="621">
        <v>80</v>
      </c>
      <c r="F1512" s="622">
        <v>42991</v>
      </c>
      <c r="G1512" s="622">
        <v>44451</v>
      </c>
      <c r="H1512" s="621" t="s">
        <v>41</v>
      </c>
      <c r="I1512" s="621" t="s">
        <v>385</v>
      </c>
    </row>
    <row r="1513" spans="1:9">
      <c r="A1513" s="617">
        <f t="shared" si="23"/>
        <v>1509</v>
      </c>
      <c r="B1513" s="618" t="s">
        <v>1775</v>
      </c>
      <c r="C1513" s="618" t="str">
        <f>"13675"</f>
        <v>13675</v>
      </c>
      <c r="D1513" s="618" t="s">
        <v>18</v>
      </c>
      <c r="E1513" s="618">
        <v>77</v>
      </c>
      <c r="F1513" s="619">
        <v>42989</v>
      </c>
      <c r="G1513" s="619">
        <v>44449</v>
      </c>
      <c r="H1513" s="618" t="s">
        <v>41</v>
      </c>
      <c r="I1513" s="618" t="s">
        <v>385</v>
      </c>
    </row>
    <row r="1514" spans="1:9">
      <c r="A1514" s="620">
        <f t="shared" si="23"/>
        <v>1510</v>
      </c>
      <c r="B1514" s="621" t="s">
        <v>1776</v>
      </c>
      <c r="C1514" s="621" t="str">
        <f>"13680"</f>
        <v>13680</v>
      </c>
      <c r="D1514" s="621" t="s">
        <v>18</v>
      </c>
      <c r="E1514" s="621">
        <v>25</v>
      </c>
      <c r="F1514" s="622">
        <v>43019</v>
      </c>
      <c r="G1514" s="622">
        <v>44479</v>
      </c>
      <c r="H1514" s="621" t="s">
        <v>22</v>
      </c>
      <c r="I1514" s="621" t="s">
        <v>385</v>
      </c>
    </row>
    <row r="1515" spans="1:9">
      <c r="A1515" s="617">
        <f t="shared" si="23"/>
        <v>1511</v>
      </c>
      <c r="B1515" s="618" t="s">
        <v>1776</v>
      </c>
      <c r="C1515" s="618" t="str">
        <f>"13681"</f>
        <v>13681</v>
      </c>
      <c r="D1515" s="618" t="s">
        <v>18</v>
      </c>
      <c r="E1515" s="618">
        <v>50</v>
      </c>
      <c r="F1515" s="619">
        <v>42999</v>
      </c>
      <c r="G1515" s="619">
        <v>44459</v>
      </c>
      <c r="H1515" s="618" t="s">
        <v>22</v>
      </c>
      <c r="I1515" s="618" t="s">
        <v>385</v>
      </c>
    </row>
    <row r="1516" spans="1:9">
      <c r="A1516" s="620">
        <f t="shared" si="23"/>
        <v>1512</v>
      </c>
      <c r="B1516" s="621" t="s">
        <v>455</v>
      </c>
      <c r="C1516" s="621" t="str">
        <f>"13683"</f>
        <v>13683</v>
      </c>
      <c r="D1516" s="621" t="s">
        <v>18</v>
      </c>
      <c r="E1516" s="621">
        <v>3</v>
      </c>
      <c r="F1516" s="622">
        <v>42975</v>
      </c>
      <c r="G1516" s="622">
        <v>44800</v>
      </c>
      <c r="H1516" s="621" t="s">
        <v>14</v>
      </c>
      <c r="I1516" s="621" t="s">
        <v>6874</v>
      </c>
    </row>
    <row r="1517" spans="1:9">
      <c r="A1517" s="617">
        <f t="shared" si="23"/>
        <v>1513</v>
      </c>
      <c r="B1517" s="618" t="s">
        <v>455</v>
      </c>
      <c r="C1517" s="618" t="str">
        <f>"13684"</f>
        <v>13684</v>
      </c>
      <c r="D1517" s="618" t="s">
        <v>18</v>
      </c>
      <c r="E1517" s="618">
        <v>4</v>
      </c>
      <c r="F1517" s="619">
        <v>42975</v>
      </c>
      <c r="G1517" s="619">
        <v>44800</v>
      </c>
      <c r="H1517" s="618" t="s">
        <v>14</v>
      </c>
      <c r="I1517" s="618" t="s">
        <v>6874</v>
      </c>
    </row>
    <row r="1518" spans="1:9">
      <c r="A1518" s="620">
        <f t="shared" si="23"/>
        <v>1514</v>
      </c>
      <c r="B1518" s="621" t="s">
        <v>455</v>
      </c>
      <c r="C1518" s="621" t="str">
        <f>"13685"</f>
        <v>13685</v>
      </c>
      <c r="D1518" s="621" t="s">
        <v>18</v>
      </c>
      <c r="E1518" s="621">
        <v>9</v>
      </c>
      <c r="F1518" s="622">
        <v>42979</v>
      </c>
      <c r="G1518" s="622">
        <v>44804</v>
      </c>
      <c r="H1518" s="621" t="s">
        <v>19</v>
      </c>
      <c r="I1518" s="621" t="s">
        <v>6874</v>
      </c>
    </row>
    <row r="1519" spans="1:9">
      <c r="A1519" s="617">
        <f t="shared" si="23"/>
        <v>1515</v>
      </c>
      <c r="B1519" s="618" t="s">
        <v>6881</v>
      </c>
      <c r="C1519" s="618" t="str">
        <f>"13698"</f>
        <v>13698</v>
      </c>
      <c r="D1519" s="618" t="s">
        <v>37</v>
      </c>
      <c r="E1519" s="618">
        <v>57</v>
      </c>
      <c r="F1519" s="619">
        <v>42817</v>
      </c>
      <c r="G1519" s="619">
        <v>44642</v>
      </c>
      <c r="H1519" s="618" t="s">
        <v>43</v>
      </c>
      <c r="I1519" s="618" t="s">
        <v>6859</v>
      </c>
    </row>
    <row r="1520" spans="1:9">
      <c r="A1520" s="620">
        <f t="shared" si="23"/>
        <v>1516</v>
      </c>
      <c r="B1520" s="621" t="s">
        <v>214</v>
      </c>
      <c r="C1520" s="621" t="str">
        <f>"13700"</f>
        <v>13700</v>
      </c>
      <c r="D1520" s="621" t="s">
        <v>18</v>
      </c>
      <c r="E1520" s="621">
        <v>2</v>
      </c>
      <c r="F1520" s="622">
        <v>42991</v>
      </c>
      <c r="G1520" s="622">
        <v>44816</v>
      </c>
      <c r="H1520" s="621" t="s">
        <v>19</v>
      </c>
      <c r="I1520" s="621" t="s">
        <v>6874</v>
      </c>
    </row>
    <row r="1521" spans="1:9">
      <c r="A1521" s="617">
        <f t="shared" si="23"/>
        <v>1517</v>
      </c>
      <c r="B1521" s="618" t="s">
        <v>206</v>
      </c>
      <c r="C1521" s="618" t="str">
        <f>"13701"</f>
        <v>13701</v>
      </c>
      <c r="D1521" s="618" t="s">
        <v>18</v>
      </c>
      <c r="E1521" s="618">
        <v>30</v>
      </c>
      <c r="F1521" s="619">
        <v>42986</v>
      </c>
      <c r="G1521" s="619">
        <v>44446</v>
      </c>
      <c r="H1521" s="618" t="s">
        <v>21</v>
      </c>
      <c r="I1521" s="618" t="s">
        <v>1672</v>
      </c>
    </row>
    <row r="1522" spans="1:9">
      <c r="A1522" s="620">
        <f t="shared" si="23"/>
        <v>1518</v>
      </c>
      <c r="B1522" s="621" t="s">
        <v>1012</v>
      </c>
      <c r="C1522" s="621" t="str">
        <f>"13703"</f>
        <v>13703</v>
      </c>
      <c r="D1522" s="621" t="s">
        <v>18</v>
      </c>
      <c r="E1522" s="621">
        <v>9</v>
      </c>
      <c r="F1522" s="622">
        <v>42969</v>
      </c>
      <c r="G1522" s="622">
        <v>44794</v>
      </c>
      <c r="H1522" s="621" t="s">
        <v>14</v>
      </c>
      <c r="I1522" s="621" t="s">
        <v>6874</v>
      </c>
    </row>
    <row r="1523" spans="1:9">
      <c r="A1523" s="617">
        <f t="shared" si="23"/>
        <v>1519</v>
      </c>
      <c r="B1523" s="618" t="s">
        <v>251</v>
      </c>
      <c r="C1523" s="618" t="str">
        <f>"13709"</f>
        <v>13709</v>
      </c>
      <c r="D1523" s="618" t="s">
        <v>18</v>
      </c>
      <c r="E1523" s="618">
        <v>16</v>
      </c>
      <c r="F1523" s="619">
        <v>42961</v>
      </c>
      <c r="G1523" s="619">
        <v>44786</v>
      </c>
      <c r="H1523" s="618" t="s">
        <v>14</v>
      </c>
      <c r="I1523" s="618" t="s">
        <v>6874</v>
      </c>
    </row>
    <row r="1524" spans="1:9">
      <c r="A1524" s="620">
        <f t="shared" si="23"/>
        <v>1520</v>
      </c>
      <c r="B1524" s="621" t="s">
        <v>1777</v>
      </c>
      <c r="C1524" s="621" t="str">
        <f>"13712"</f>
        <v>13712</v>
      </c>
      <c r="D1524" s="621" t="s">
        <v>18</v>
      </c>
      <c r="E1524" s="621">
        <v>2</v>
      </c>
      <c r="F1524" s="622">
        <v>42986</v>
      </c>
      <c r="G1524" s="622">
        <v>44811</v>
      </c>
      <c r="H1524" s="621" t="s">
        <v>43</v>
      </c>
      <c r="I1524" s="621" t="s">
        <v>385</v>
      </c>
    </row>
    <row r="1525" spans="1:9">
      <c r="A1525" s="617">
        <f t="shared" si="23"/>
        <v>1521</v>
      </c>
      <c r="B1525" s="618" t="s">
        <v>1777</v>
      </c>
      <c r="C1525" s="618" t="str">
        <f>"13713"</f>
        <v>13713</v>
      </c>
      <c r="D1525" s="618" t="s">
        <v>18</v>
      </c>
      <c r="E1525" s="618">
        <v>3</v>
      </c>
      <c r="F1525" s="619">
        <v>42986</v>
      </c>
      <c r="G1525" s="619">
        <v>44811</v>
      </c>
      <c r="H1525" s="618" t="s">
        <v>14</v>
      </c>
      <c r="I1525" s="618" t="s">
        <v>385</v>
      </c>
    </row>
    <row r="1526" spans="1:9">
      <c r="A1526" s="620">
        <f t="shared" si="23"/>
        <v>1522</v>
      </c>
      <c r="B1526" s="621" t="s">
        <v>1777</v>
      </c>
      <c r="C1526" s="621" t="str">
        <f>"13714"</f>
        <v>13714</v>
      </c>
      <c r="D1526" s="621" t="s">
        <v>18</v>
      </c>
      <c r="E1526" s="621">
        <v>3</v>
      </c>
      <c r="F1526" s="622">
        <v>43024</v>
      </c>
      <c r="G1526" s="622">
        <v>44849</v>
      </c>
      <c r="H1526" s="621" t="s">
        <v>16</v>
      </c>
      <c r="I1526" s="621" t="s">
        <v>385</v>
      </c>
    </row>
    <row r="1527" spans="1:9">
      <c r="A1527" s="617">
        <f t="shared" si="23"/>
        <v>1523</v>
      </c>
      <c r="B1527" s="618" t="s">
        <v>174</v>
      </c>
      <c r="C1527" s="618" t="str">
        <f>"13720"</f>
        <v>13720</v>
      </c>
      <c r="D1527" s="618" t="s">
        <v>18</v>
      </c>
      <c r="E1527" s="618">
        <v>4</v>
      </c>
      <c r="F1527" s="619">
        <v>44132</v>
      </c>
      <c r="G1527" s="619">
        <v>45957</v>
      </c>
      <c r="H1527" s="618" t="s">
        <v>19</v>
      </c>
      <c r="I1527" s="618" t="s">
        <v>51</v>
      </c>
    </row>
    <row r="1528" spans="1:9">
      <c r="A1528" s="620">
        <f t="shared" si="23"/>
        <v>1524</v>
      </c>
      <c r="B1528" s="621" t="s">
        <v>1043</v>
      </c>
      <c r="C1528" s="621" t="str">
        <f>"13723"</f>
        <v>13723</v>
      </c>
      <c r="D1528" s="621" t="s">
        <v>18</v>
      </c>
      <c r="E1528" s="621">
        <v>24</v>
      </c>
      <c r="F1528" s="622">
        <v>43006</v>
      </c>
      <c r="G1528" s="622">
        <v>44831</v>
      </c>
      <c r="H1528" s="621" t="s">
        <v>43</v>
      </c>
      <c r="I1528" s="621" t="s">
        <v>385</v>
      </c>
    </row>
    <row r="1529" spans="1:9">
      <c r="A1529" s="617">
        <f t="shared" si="23"/>
        <v>1525</v>
      </c>
      <c r="B1529" s="618" t="s">
        <v>1043</v>
      </c>
      <c r="C1529" s="618" t="str">
        <f>"13724"</f>
        <v>13724</v>
      </c>
      <c r="D1529" s="618" t="s">
        <v>18</v>
      </c>
      <c r="E1529" s="618">
        <v>25</v>
      </c>
      <c r="F1529" s="619">
        <v>43006</v>
      </c>
      <c r="G1529" s="619">
        <v>44831</v>
      </c>
      <c r="H1529" s="618" t="s">
        <v>16</v>
      </c>
      <c r="I1529" s="618" t="s">
        <v>385</v>
      </c>
    </row>
    <row r="1530" spans="1:9">
      <c r="A1530" s="620">
        <f t="shared" si="23"/>
        <v>1526</v>
      </c>
      <c r="B1530" s="621" t="s">
        <v>1043</v>
      </c>
      <c r="C1530" s="621" t="str">
        <f>"13725"</f>
        <v>13725</v>
      </c>
      <c r="D1530" s="621" t="s">
        <v>18</v>
      </c>
      <c r="E1530" s="621">
        <v>6</v>
      </c>
      <c r="F1530" s="622">
        <v>43006</v>
      </c>
      <c r="G1530" s="622">
        <v>44831</v>
      </c>
      <c r="H1530" s="621" t="s">
        <v>14</v>
      </c>
      <c r="I1530" s="621" t="s">
        <v>385</v>
      </c>
    </row>
    <row r="1531" spans="1:9">
      <c r="A1531" s="617">
        <f t="shared" si="23"/>
        <v>1527</v>
      </c>
      <c r="B1531" s="618" t="s">
        <v>1043</v>
      </c>
      <c r="C1531" s="618" t="str">
        <f>"13726"</f>
        <v>13726</v>
      </c>
      <c r="D1531" s="618" t="s">
        <v>18</v>
      </c>
      <c r="E1531" s="618">
        <v>120</v>
      </c>
      <c r="F1531" s="619">
        <v>43006</v>
      </c>
      <c r="G1531" s="619">
        <v>44831</v>
      </c>
      <c r="H1531" s="618" t="s">
        <v>14</v>
      </c>
      <c r="I1531" s="618" t="s">
        <v>385</v>
      </c>
    </row>
    <row r="1532" spans="1:9">
      <c r="A1532" s="620">
        <f t="shared" si="23"/>
        <v>1528</v>
      </c>
      <c r="B1532" s="621" t="s">
        <v>1043</v>
      </c>
      <c r="C1532" s="621" t="str">
        <f>"13727"</f>
        <v>13727</v>
      </c>
      <c r="D1532" s="621" t="s">
        <v>18</v>
      </c>
      <c r="E1532" s="621">
        <v>19</v>
      </c>
      <c r="F1532" s="622">
        <v>43006</v>
      </c>
      <c r="G1532" s="622">
        <v>44800</v>
      </c>
      <c r="H1532" s="621" t="s">
        <v>14</v>
      </c>
      <c r="I1532" s="621" t="s">
        <v>385</v>
      </c>
    </row>
    <row r="1533" spans="1:9">
      <c r="A1533" s="617">
        <f t="shared" si="23"/>
        <v>1529</v>
      </c>
      <c r="B1533" s="618" t="s">
        <v>1015</v>
      </c>
      <c r="C1533" s="618" t="str">
        <f>"13728"</f>
        <v>13728</v>
      </c>
      <c r="D1533" s="618" t="s">
        <v>18</v>
      </c>
      <c r="E1533" s="618">
        <v>81</v>
      </c>
      <c r="F1533" s="619">
        <v>42804</v>
      </c>
      <c r="G1533" s="619">
        <v>44629</v>
      </c>
      <c r="H1533" s="618" t="s">
        <v>14</v>
      </c>
      <c r="I1533" s="618" t="s">
        <v>6874</v>
      </c>
    </row>
    <row r="1534" spans="1:9">
      <c r="A1534" s="620">
        <f t="shared" si="23"/>
        <v>1530</v>
      </c>
      <c r="B1534" s="621" t="s">
        <v>1015</v>
      </c>
      <c r="C1534" s="621" t="str">
        <f>"13729"</f>
        <v>13729</v>
      </c>
      <c r="D1534" s="621" t="s">
        <v>18</v>
      </c>
      <c r="E1534" s="621">
        <v>41</v>
      </c>
      <c r="F1534" s="622">
        <v>42804</v>
      </c>
      <c r="G1534" s="622">
        <v>44629</v>
      </c>
      <c r="H1534" s="621" t="s">
        <v>14</v>
      </c>
      <c r="I1534" s="621" t="s">
        <v>6874</v>
      </c>
    </row>
    <row r="1535" spans="1:9">
      <c r="A1535" s="617">
        <f t="shared" si="23"/>
        <v>1531</v>
      </c>
      <c r="B1535" s="618" t="s">
        <v>1015</v>
      </c>
      <c r="C1535" s="618" t="str">
        <f>"13730"</f>
        <v>13730</v>
      </c>
      <c r="D1535" s="618" t="s">
        <v>18</v>
      </c>
      <c r="E1535" s="618">
        <v>21</v>
      </c>
      <c r="F1535" s="619">
        <v>42809</v>
      </c>
      <c r="G1535" s="619">
        <v>44634</v>
      </c>
      <c r="H1535" s="618" t="s">
        <v>14</v>
      </c>
      <c r="I1535" s="618" t="s">
        <v>6874</v>
      </c>
    </row>
    <row r="1536" spans="1:9">
      <c r="A1536" s="620">
        <f t="shared" si="23"/>
        <v>1532</v>
      </c>
      <c r="B1536" s="621" t="s">
        <v>175</v>
      </c>
      <c r="C1536" s="621" t="str">
        <f>"13744"</f>
        <v>13744</v>
      </c>
      <c r="D1536" s="621" t="s">
        <v>18</v>
      </c>
      <c r="E1536" s="621">
        <v>42</v>
      </c>
      <c r="F1536" s="622">
        <v>43024</v>
      </c>
      <c r="G1536" s="622">
        <v>44849</v>
      </c>
      <c r="H1536" s="621" t="s">
        <v>43</v>
      </c>
      <c r="I1536" s="621" t="s">
        <v>6859</v>
      </c>
    </row>
    <row r="1537" spans="1:9">
      <c r="A1537" s="617">
        <f t="shared" si="23"/>
        <v>1533</v>
      </c>
      <c r="B1537" s="618" t="s">
        <v>175</v>
      </c>
      <c r="C1537" s="618" t="str">
        <f>"13749"</f>
        <v>13749</v>
      </c>
      <c r="D1537" s="618" t="s">
        <v>18</v>
      </c>
      <c r="E1537" s="618">
        <v>32</v>
      </c>
      <c r="F1537" s="619">
        <v>43010</v>
      </c>
      <c r="G1537" s="619">
        <v>44835</v>
      </c>
      <c r="H1537" s="618" t="s">
        <v>43</v>
      </c>
      <c r="I1537" s="618" t="s">
        <v>6859</v>
      </c>
    </row>
    <row r="1538" spans="1:9">
      <c r="A1538" s="620">
        <f t="shared" si="23"/>
        <v>1534</v>
      </c>
      <c r="B1538" s="621" t="s">
        <v>175</v>
      </c>
      <c r="C1538" s="621" t="str">
        <f>"13750"</f>
        <v>13750</v>
      </c>
      <c r="D1538" s="621" t="s">
        <v>18</v>
      </c>
      <c r="E1538" s="621">
        <v>30</v>
      </c>
      <c r="F1538" s="622">
        <v>43010</v>
      </c>
      <c r="G1538" s="622">
        <v>44835</v>
      </c>
      <c r="H1538" s="621" t="s">
        <v>43</v>
      </c>
      <c r="I1538" s="621" t="s">
        <v>6859</v>
      </c>
    </row>
    <row r="1539" spans="1:9">
      <c r="A1539" s="617">
        <f t="shared" si="23"/>
        <v>1535</v>
      </c>
      <c r="B1539" s="618" t="s">
        <v>1778</v>
      </c>
      <c r="C1539" s="618" t="str">
        <f>"13776"</f>
        <v>13776</v>
      </c>
      <c r="D1539" s="618" t="s">
        <v>18</v>
      </c>
      <c r="E1539" s="618">
        <v>2</v>
      </c>
      <c r="F1539" s="619">
        <v>43000</v>
      </c>
      <c r="G1539" s="619">
        <v>44825</v>
      </c>
      <c r="H1539" s="618" t="s">
        <v>14</v>
      </c>
      <c r="I1539" s="618" t="s">
        <v>385</v>
      </c>
    </row>
    <row r="1540" spans="1:9">
      <c r="A1540" s="620">
        <f t="shared" si="23"/>
        <v>1536</v>
      </c>
      <c r="B1540" s="621" t="s">
        <v>1778</v>
      </c>
      <c r="C1540" s="621" t="str">
        <f>"13777"</f>
        <v>13777</v>
      </c>
      <c r="D1540" s="621" t="s">
        <v>18</v>
      </c>
      <c r="E1540" s="621">
        <v>2</v>
      </c>
      <c r="F1540" s="622">
        <v>42989</v>
      </c>
      <c r="G1540" s="622">
        <v>44814</v>
      </c>
      <c r="H1540" s="621" t="s">
        <v>14</v>
      </c>
      <c r="I1540" s="621" t="s">
        <v>385</v>
      </c>
    </row>
    <row r="1541" spans="1:9">
      <c r="A1541" s="617">
        <f t="shared" si="23"/>
        <v>1537</v>
      </c>
      <c r="B1541" s="618" t="s">
        <v>1778</v>
      </c>
      <c r="C1541" s="618" t="str">
        <f>"13778"</f>
        <v>13778</v>
      </c>
      <c r="D1541" s="618" t="s">
        <v>18</v>
      </c>
      <c r="E1541" s="618">
        <v>2</v>
      </c>
      <c r="F1541" s="619">
        <v>42989</v>
      </c>
      <c r="G1541" s="619">
        <v>44814</v>
      </c>
      <c r="H1541" s="618" t="s">
        <v>14</v>
      </c>
      <c r="I1541" s="618" t="s">
        <v>385</v>
      </c>
    </row>
    <row r="1542" spans="1:9">
      <c r="A1542" s="620">
        <f t="shared" si="23"/>
        <v>1538</v>
      </c>
      <c r="B1542" s="621" t="s">
        <v>1043</v>
      </c>
      <c r="C1542" s="621" t="str">
        <f>"13781"</f>
        <v>13781</v>
      </c>
      <c r="D1542" s="621" t="s">
        <v>18</v>
      </c>
      <c r="E1542" s="621">
        <v>14</v>
      </c>
      <c r="F1542" s="622">
        <v>42994</v>
      </c>
      <c r="G1542" s="622">
        <v>44819</v>
      </c>
      <c r="H1542" s="621" t="s">
        <v>14</v>
      </c>
      <c r="I1542" s="621" t="s">
        <v>385</v>
      </c>
    </row>
    <row r="1543" spans="1:9">
      <c r="A1543" s="617">
        <f t="shared" ref="A1543:A1606" si="24">+A1542+1</f>
        <v>1539</v>
      </c>
      <c r="B1543" s="618" t="s">
        <v>1777</v>
      </c>
      <c r="C1543" s="618" t="str">
        <f>"13787"</f>
        <v>13787</v>
      </c>
      <c r="D1543" s="618" t="s">
        <v>18</v>
      </c>
      <c r="E1543" s="618">
        <v>3</v>
      </c>
      <c r="F1543" s="619">
        <v>43131</v>
      </c>
      <c r="G1543" s="619">
        <v>44591</v>
      </c>
      <c r="H1543" s="618" t="s">
        <v>23</v>
      </c>
      <c r="I1543" s="618" t="s">
        <v>385</v>
      </c>
    </row>
    <row r="1544" spans="1:9">
      <c r="A1544" s="620">
        <f t="shared" si="24"/>
        <v>1540</v>
      </c>
      <c r="B1544" s="621" t="s">
        <v>176</v>
      </c>
      <c r="C1544" s="621" t="str">
        <f>"13813"</f>
        <v>13813</v>
      </c>
      <c r="D1544" s="621" t="s">
        <v>27</v>
      </c>
      <c r="E1544" s="621">
        <v>5</v>
      </c>
      <c r="F1544" s="622">
        <v>42895</v>
      </c>
      <c r="G1544" s="622">
        <v>46546</v>
      </c>
      <c r="H1544" s="621" t="s">
        <v>16</v>
      </c>
      <c r="I1544" s="621" t="s">
        <v>51</v>
      </c>
    </row>
    <row r="1545" spans="1:9">
      <c r="A1545" s="617">
        <f t="shared" si="24"/>
        <v>1541</v>
      </c>
      <c r="B1545" s="618" t="s">
        <v>457</v>
      </c>
      <c r="C1545" s="618" t="str">
        <f>"13815"</f>
        <v>13815</v>
      </c>
      <c r="D1545" s="618" t="s">
        <v>18</v>
      </c>
      <c r="E1545" s="618">
        <v>25</v>
      </c>
      <c r="F1545" s="619">
        <v>42969</v>
      </c>
      <c r="G1545" s="619">
        <v>44429</v>
      </c>
      <c r="H1545" s="618" t="s">
        <v>16</v>
      </c>
      <c r="I1545" s="618" t="s">
        <v>385</v>
      </c>
    </row>
    <row r="1546" spans="1:9">
      <c r="A1546" s="620">
        <f t="shared" si="24"/>
        <v>1542</v>
      </c>
      <c r="B1546" s="621" t="s">
        <v>458</v>
      </c>
      <c r="C1546" s="621" t="str">
        <f>"13816"</f>
        <v>13816</v>
      </c>
      <c r="D1546" s="621" t="s">
        <v>18</v>
      </c>
      <c r="E1546" s="621">
        <v>25</v>
      </c>
      <c r="F1546" s="622">
        <v>42969</v>
      </c>
      <c r="G1546" s="622">
        <v>44429</v>
      </c>
      <c r="H1546" s="621" t="s">
        <v>16</v>
      </c>
      <c r="I1546" s="621" t="s">
        <v>385</v>
      </c>
    </row>
    <row r="1547" spans="1:9">
      <c r="A1547" s="617">
        <f t="shared" si="24"/>
        <v>1543</v>
      </c>
      <c r="B1547" s="618" t="s">
        <v>1779</v>
      </c>
      <c r="C1547" s="618" t="str">
        <f>"13817"</f>
        <v>13817</v>
      </c>
      <c r="D1547" s="618" t="s">
        <v>18</v>
      </c>
      <c r="E1547" s="618">
        <v>20</v>
      </c>
      <c r="F1547" s="619">
        <v>42969</v>
      </c>
      <c r="G1547" s="619">
        <v>44429</v>
      </c>
      <c r="H1547" s="618" t="s">
        <v>16</v>
      </c>
      <c r="I1547" s="618" t="s">
        <v>385</v>
      </c>
    </row>
    <row r="1548" spans="1:9">
      <c r="A1548" s="620">
        <f t="shared" si="24"/>
        <v>1544</v>
      </c>
      <c r="B1548" s="621" t="s">
        <v>1768</v>
      </c>
      <c r="C1548" s="621" t="str">
        <f>"13826"</f>
        <v>13826</v>
      </c>
      <c r="D1548" s="621" t="s">
        <v>18</v>
      </c>
      <c r="E1548" s="621">
        <v>52</v>
      </c>
      <c r="F1548" s="622">
        <v>42969</v>
      </c>
      <c r="G1548" s="622">
        <v>44794</v>
      </c>
      <c r="H1548" s="621" t="s">
        <v>14</v>
      </c>
      <c r="I1548" s="621" t="s">
        <v>385</v>
      </c>
    </row>
    <row r="1549" spans="1:9">
      <c r="A1549" s="617">
        <f t="shared" si="24"/>
        <v>1545</v>
      </c>
      <c r="B1549" s="618" t="s">
        <v>36</v>
      </c>
      <c r="C1549" s="618" t="str">
        <f>"13829"</f>
        <v>13829</v>
      </c>
      <c r="D1549" s="618" t="s">
        <v>13</v>
      </c>
      <c r="E1549" s="618">
        <v>24</v>
      </c>
      <c r="F1549" s="619">
        <v>42999</v>
      </c>
      <c r="G1549" s="619">
        <v>45384</v>
      </c>
      <c r="H1549" s="618" t="s">
        <v>14</v>
      </c>
      <c r="I1549" s="618" t="s">
        <v>6858</v>
      </c>
    </row>
    <row r="1550" spans="1:9">
      <c r="A1550" s="620">
        <f t="shared" si="24"/>
        <v>1546</v>
      </c>
      <c r="B1550" s="621" t="s">
        <v>36</v>
      </c>
      <c r="C1550" s="621" t="str">
        <f>"13830"</f>
        <v>13830</v>
      </c>
      <c r="D1550" s="621" t="s">
        <v>13</v>
      </c>
      <c r="E1550" s="621">
        <v>15</v>
      </c>
      <c r="F1550" s="622">
        <v>42999</v>
      </c>
      <c r="G1550" s="622">
        <v>45384</v>
      </c>
      <c r="H1550" s="621" t="s">
        <v>14</v>
      </c>
      <c r="I1550" s="621" t="s">
        <v>6858</v>
      </c>
    </row>
    <row r="1551" spans="1:9">
      <c r="A1551" s="617">
        <f t="shared" si="24"/>
        <v>1547</v>
      </c>
      <c r="B1551" s="618" t="s">
        <v>36</v>
      </c>
      <c r="C1551" s="618" t="str">
        <f>"13831"</f>
        <v>13831</v>
      </c>
      <c r="D1551" s="618" t="s">
        <v>13</v>
      </c>
      <c r="E1551" s="618">
        <v>33</v>
      </c>
      <c r="F1551" s="619">
        <v>43000</v>
      </c>
      <c r="G1551" s="619">
        <v>52508</v>
      </c>
      <c r="H1551" s="618" t="s">
        <v>14</v>
      </c>
      <c r="I1551" s="618" t="s">
        <v>51</v>
      </c>
    </row>
    <row r="1552" spans="1:9">
      <c r="A1552" s="620">
        <f t="shared" si="24"/>
        <v>1548</v>
      </c>
      <c r="B1552" s="621" t="s">
        <v>68</v>
      </c>
      <c r="C1552" s="621" t="str">
        <f>"13832"</f>
        <v>13832</v>
      </c>
      <c r="D1552" s="621" t="s">
        <v>13</v>
      </c>
      <c r="E1552" s="621">
        <v>6</v>
      </c>
      <c r="F1552" s="622">
        <v>43000</v>
      </c>
      <c r="G1552" s="622">
        <v>52508</v>
      </c>
      <c r="H1552" s="621" t="s">
        <v>14</v>
      </c>
      <c r="I1552" s="621" t="s">
        <v>51</v>
      </c>
    </row>
    <row r="1553" spans="1:9">
      <c r="A1553" s="617">
        <f t="shared" si="24"/>
        <v>1549</v>
      </c>
      <c r="B1553" s="618" t="s">
        <v>1023</v>
      </c>
      <c r="C1553" s="618" t="str">
        <f>"13833"</f>
        <v>13833</v>
      </c>
      <c r="D1553" s="618" t="s">
        <v>18</v>
      </c>
      <c r="E1553" s="618">
        <v>7</v>
      </c>
      <c r="F1553" s="619">
        <v>43025</v>
      </c>
      <c r="G1553" s="619">
        <v>44850</v>
      </c>
      <c r="H1553" s="618" t="s">
        <v>16</v>
      </c>
      <c r="I1553" s="618" t="s">
        <v>6868</v>
      </c>
    </row>
    <row r="1554" spans="1:9">
      <c r="A1554" s="620">
        <f t="shared" si="24"/>
        <v>1550</v>
      </c>
      <c r="B1554" s="621" t="s">
        <v>178</v>
      </c>
      <c r="C1554" s="621" t="str">
        <f>"13840"</f>
        <v>13840</v>
      </c>
      <c r="D1554" s="621" t="s">
        <v>18</v>
      </c>
      <c r="E1554" s="621">
        <v>26</v>
      </c>
      <c r="F1554" s="622">
        <v>42969</v>
      </c>
      <c r="G1554" s="622">
        <v>44794</v>
      </c>
      <c r="H1554" s="621" t="s">
        <v>16</v>
      </c>
      <c r="I1554" s="621" t="s">
        <v>6859</v>
      </c>
    </row>
    <row r="1555" spans="1:9">
      <c r="A1555" s="617">
        <f t="shared" si="24"/>
        <v>1551</v>
      </c>
      <c r="B1555" s="618" t="s">
        <v>1780</v>
      </c>
      <c r="C1555" s="618" t="str">
        <f>"13841"</f>
        <v>13841</v>
      </c>
      <c r="D1555" s="618" t="s">
        <v>18</v>
      </c>
      <c r="E1555" s="618">
        <v>14</v>
      </c>
      <c r="F1555" s="619">
        <v>42994</v>
      </c>
      <c r="G1555" s="619">
        <v>44454</v>
      </c>
      <c r="H1555" s="618" t="s">
        <v>23</v>
      </c>
      <c r="I1555" s="618" t="s">
        <v>385</v>
      </c>
    </row>
    <row r="1556" spans="1:9">
      <c r="A1556" s="620">
        <f t="shared" si="24"/>
        <v>1552</v>
      </c>
      <c r="B1556" s="621" t="s">
        <v>1780</v>
      </c>
      <c r="C1556" s="621" t="str">
        <f>"13849"</f>
        <v>13849</v>
      </c>
      <c r="D1556" s="621" t="s">
        <v>18</v>
      </c>
      <c r="E1556" s="621">
        <v>16</v>
      </c>
      <c r="F1556" s="622">
        <v>42993</v>
      </c>
      <c r="G1556" s="622">
        <v>44453</v>
      </c>
      <c r="H1556" s="621" t="s">
        <v>23</v>
      </c>
      <c r="I1556" s="621" t="s">
        <v>385</v>
      </c>
    </row>
    <row r="1557" spans="1:9">
      <c r="A1557" s="617">
        <f t="shared" si="24"/>
        <v>1553</v>
      </c>
      <c r="B1557" s="618" t="s">
        <v>1777</v>
      </c>
      <c r="C1557" s="618" t="str">
        <f>"13852"</f>
        <v>13852</v>
      </c>
      <c r="D1557" s="618" t="s">
        <v>18</v>
      </c>
      <c r="E1557" s="618">
        <v>9</v>
      </c>
      <c r="F1557" s="619">
        <v>43220</v>
      </c>
      <c r="G1557" s="619">
        <v>44680</v>
      </c>
      <c r="H1557" s="618" t="s">
        <v>180</v>
      </c>
      <c r="I1557" s="618" t="s">
        <v>385</v>
      </c>
    </row>
    <row r="1558" spans="1:9">
      <c r="A1558" s="620">
        <f t="shared" si="24"/>
        <v>1554</v>
      </c>
      <c r="B1558" s="621" t="s">
        <v>1777</v>
      </c>
      <c r="C1558" s="621" t="str">
        <f>"13853"</f>
        <v>13853</v>
      </c>
      <c r="D1558" s="621" t="s">
        <v>18</v>
      </c>
      <c r="E1558" s="621">
        <v>9</v>
      </c>
      <c r="F1558" s="622">
        <v>43220</v>
      </c>
      <c r="G1558" s="622">
        <v>44680</v>
      </c>
      <c r="H1558" s="621" t="s">
        <v>180</v>
      </c>
      <c r="I1558" s="621" t="s">
        <v>385</v>
      </c>
    </row>
    <row r="1559" spans="1:9">
      <c r="A1559" s="617">
        <f t="shared" si="24"/>
        <v>1555</v>
      </c>
      <c r="B1559" s="618" t="s">
        <v>1777</v>
      </c>
      <c r="C1559" s="618" t="str">
        <f>"13854"</f>
        <v>13854</v>
      </c>
      <c r="D1559" s="618" t="s">
        <v>18</v>
      </c>
      <c r="E1559" s="618">
        <v>9</v>
      </c>
      <c r="F1559" s="619">
        <v>43220</v>
      </c>
      <c r="G1559" s="619">
        <v>44680</v>
      </c>
      <c r="H1559" s="618" t="s">
        <v>180</v>
      </c>
      <c r="I1559" s="618" t="s">
        <v>385</v>
      </c>
    </row>
    <row r="1560" spans="1:9">
      <c r="A1560" s="620">
        <f t="shared" si="24"/>
        <v>1556</v>
      </c>
      <c r="B1560" s="621" t="s">
        <v>177</v>
      </c>
      <c r="C1560" s="621" t="str">
        <f>"13860"</f>
        <v>13860</v>
      </c>
      <c r="D1560" s="621" t="s">
        <v>13</v>
      </c>
      <c r="E1560" s="621">
        <v>8</v>
      </c>
      <c r="F1560" s="622">
        <v>42811</v>
      </c>
      <c r="G1560" s="622">
        <v>53767</v>
      </c>
      <c r="H1560" s="621" t="s">
        <v>20</v>
      </c>
      <c r="I1560" s="621" t="s">
        <v>51</v>
      </c>
    </row>
    <row r="1561" spans="1:9">
      <c r="A1561" s="617">
        <f t="shared" si="24"/>
        <v>1557</v>
      </c>
      <c r="B1561" s="618" t="s">
        <v>6882</v>
      </c>
      <c r="C1561" s="618" t="str">
        <f>"13861"</f>
        <v>13861</v>
      </c>
      <c r="D1561" s="618" t="s">
        <v>18</v>
      </c>
      <c r="E1561" s="618">
        <v>114</v>
      </c>
      <c r="F1561" s="619">
        <v>42992</v>
      </c>
      <c r="G1561" s="619">
        <v>44817</v>
      </c>
      <c r="H1561" s="618" t="s">
        <v>56</v>
      </c>
      <c r="I1561" s="618" t="s">
        <v>6863</v>
      </c>
    </row>
    <row r="1562" spans="1:9">
      <c r="A1562" s="620">
        <f t="shared" si="24"/>
        <v>1558</v>
      </c>
      <c r="B1562" s="621" t="s">
        <v>6882</v>
      </c>
      <c r="C1562" s="621" t="str">
        <f>"13862"</f>
        <v>13862</v>
      </c>
      <c r="D1562" s="621" t="s">
        <v>18</v>
      </c>
      <c r="E1562" s="621">
        <v>135</v>
      </c>
      <c r="F1562" s="622">
        <v>42992</v>
      </c>
      <c r="G1562" s="622">
        <v>44817</v>
      </c>
      <c r="H1562" s="621" t="s">
        <v>56</v>
      </c>
      <c r="I1562" s="621" t="s">
        <v>6867</v>
      </c>
    </row>
    <row r="1563" spans="1:9">
      <c r="A1563" s="617">
        <f t="shared" si="24"/>
        <v>1559</v>
      </c>
      <c r="B1563" s="618" t="s">
        <v>179</v>
      </c>
      <c r="C1563" s="618" t="str">
        <f>"13870"</f>
        <v>13870</v>
      </c>
      <c r="D1563" s="618" t="s">
        <v>18</v>
      </c>
      <c r="E1563" s="618">
        <v>21</v>
      </c>
      <c r="F1563" s="619">
        <v>43133</v>
      </c>
      <c r="G1563" s="619">
        <v>44958</v>
      </c>
      <c r="H1563" s="618" t="s">
        <v>19</v>
      </c>
      <c r="I1563" s="618" t="s">
        <v>6874</v>
      </c>
    </row>
    <row r="1564" spans="1:9">
      <c r="A1564" s="620">
        <f t="shared" si="24"/>
        <v>1560</v>
      </c>
      <c r="B1564" s="621" t="s">
        <v>179</v>
      </c>
      <c r="C1564" s="621" t="str">
        <f>"13871"</f>
        <v>13871</v>
      </c>
      <c r="D1564" s="621" t="s">
        <v>18</v>
      </c>
      <c r="E1564" s="621">
        <v>18</v>
      </c>
      <c r="F1564" s="622">
        <v>43133</v>
      </c>
      <c r="G1564" s="622">
        <v>44958</v>
      </c>
      <c r="H1564" s="621" t="s">
        <v>19</v>
      </c>
      <c r="I1564" s="621" t="s">
        <v>6874</v>
      </c>
    </row>
    <row r="1565" spans="1:9">
      <c r="A1565" s="617">
        <f t="shared" si="24"/>
        <v>1561</v>
      </c>
      <c r="B1565" s="618" t="s">
        <v>179</v>
      </c>
      <c r="C1565" s="618" t="str">
        <f>"13872"</f>
        <v>13872</v>
      </c>
      <c r="D1565" s="618" t="s">
        <v>18</v>
      </c>
      <c r="E1565" s="618">
        <v>73</v>
      </c>
      <c r="F1565" s="619">
        <v>43133</v>
      </c>
      <c r="G1565" s="619">
        <v>44958</v>
      </c>
      <c r="H1565" s="618" t="s">
        <v>19</v>
      </c>
      <c r="I1565" s="618" t="s">
        <v>6874</v>
      </c>
    </row>
    <row r="1566" spans="1:9">
      <c r="A1566" s="620">
        <f t="shared" si="24"/>
        <v>1562</v>
      </c>
      <c r="B1566" s="621" t="s">
        <v>173</v>
      </c>
      <c r="C1566" s="621" t="str">
        <f>"13873"</f>
        <v>13873</v>
      </c>
      <c r="D1566" s="621" t="s">
        <v>18</v>
      </c>
      <c r="E1566" s="621">
        <v>11</v>
      </c>
      <c r="F1566" s="622">
        <v>43137</v>
      </c>
      <c r="G1566" s="622">
        <v>44597</v>
      </c>
      <c r="H1566" s="621" t="s">
        <v>23</v>
      </c>
      <c r="I1566" s="621" t="s">
        <v>385</v>
      </c>
    </row>
    <row r="1567" spans="1:9">
      <c r="A1567" s="617">
        <f t="shared" si="24"/>
        <v>1563</v>
      </c>
      <c r="B1567" s="618" t="s">
        <v>173</v>
      </c>
      <c r="C1567" s="618" t="str">
        <f>"13874"</f>
        <v>13874</v>
      </c>
      <c r="D1567" s="618" t="s">
        <v>18</v>
      </c>
      <c r="E1567" s="618">
        <v>60</v>
      </c>
      <c r="F1567" s="619">
        <v>43153</v>
      </c>
      <c r="G1567" s="619">
        <v>44613</v>
      </c>
      <c r="H1567" s="618" t="s">
        <v>23</v>
      </c>
      <c r="I1567" s="618" t="s">
        <v>385</v>
      </c>
    </row>
    <row r="1568" spans="1:9">
      <c r="A1568" s="620">
        <f t="shared" si="24"/>
        <v>1564</v>
      </c>
      <c r="B1568" s="621" t="s">
        <v>117</v>
      </c>
      <c r="C1568" s="621" t="str">
        <f>"13878"</f>
        <v>13878</v>
      </c>
      <c r="D1568" s="621" t="s">
        <v>18</v>
      </c>
      <c r="E1568" s="621">
        <v>16</v>
      </c>
      <c r="F1568" s="622">
        <v>43159</v>
      </c>
      <c r="G1568" s="622">
        <v>44984</v>
      </c>
      <c r="H1568" s="621" t="s">
        <v>20</v>
      </c>
      <c r="I1568" s="621" t="s">
        <v>6859</v>
      </c>
    </row>
    <row r="1569" spans="1:9">
      <c r="A1569" s="617">
        <f t="shared" si="24"/>
        <v>1565</v>
      </c>
      <c r="B1569" s="618" t="s">
        <v>117</v>
      </c>
      <c r="C1569" s="618" t="str">
        <f>"13879"</f>
        <v>13879</v>
      </c>
      <c r="D1569" s="618" t="s">
        <v>18</v>
      </c>
      <c r="E1569" s="618">
        <v>12</v>
      </c>
      <c r="F1569" s="619">
        <v>43159</v>
      </c>
      <c r="G1569" s="619">
        <v>44984</v>
      </c>
      <c r="H1569" s="618" t="s">
        <v>20</v>
      </c>
      <c r="I1569" s="618" t="s">
        <v>6859</v>
      </c>
    </row>
    <row r="1570" spans="1:9">
      <c r="A1570" s="620">
        <f t="shared" si="24"/>
        <v>1566</v>
      </c>
      <c r="B1570" s="621" t="s">
        <v>1021</v>
      </c>
      <c r="C1570" s="621" t="str">
        <f>"13881"</f>
        <v>13881</v>
      </c>
      <c r="D1570" s="621" t="s">
        <v>18</v>
      </c>
      <c r="E1570" s="621">
        <v>16</v>
      </c>
      <c r="F1570" s="622">
        <v>43047</v>
      </c>
      <c r="G1570" s="622">
        <v>44872</v>
      </c>
      <c r="H1570" s="621" t="s">
        <v>28</v>
      </c>
      <c r="I1570" s="621" t="s">
        <v>6874</v>
      </c>
    </row>
    <row r="1571" spans="1:9">
      <c r="A1571" s="617">
        <f t="shared" si="24"/>
        <v>1567</v>
      </c>
      <c r="B1571" s="618" t="s">
        <v>117</v>
      </c>
      <c r="C1571" s="618" t="str">
        <f>"13886"</f>
        <v>13886</v>
      </c>
      <c r="D1571" s="618" t="s">
        <v>18</v>
      </c>
      <c r="E1571" s="618">
        <v>15</v>
      </c>
      <c r="F1571" s="619">
        <v>43159</v>
      </c>
      <c r="G1571" s="619">
        <v>44984</v>
      </c>
      <c r="H1571" s="618" t="s">
        <v>180</v>
      </c>
      <c r="I1571" s="618" t="s">
        <v>6859</v>
      </c>
    </row>
    <row r="1572" spans="1:9">
      <c r="A1572" s="620">
        <f t="shared" si="24"/>
        <v>1568</v>
      </c>
      <c r="B1572" s="621" t="s">
        <v>117</v>
      </c>
      <c r="C1572" s="621" t="str">
        <f>"13887"</f>
        <v>13887</v>
      </c>
      <c r="D1572" s="621" t="s">
        <v>18</v>
      </c>
      <c r="E1572" s="621">
        <v>20</v>
      </c>
      <c r="F1572" s="622">
        <v>43159</v>
      </c>
      <c r="G1572" s="622">
        <v>44984</v>
      </c>
      <c r="H1572" s="621" t="s">
        <v>20</v>
      </c>
      <c r="I1572" s="621" t="s">
        <v>6868</v>
      </c>
    </row>
    <row r="1573" spans="1:9">
      <c r="A1573" s="617">
        <f t="shared" si="24"/>
        <v>1569</v>
      </c>
      <c r="B1573" s="618" t="s">
        <v>181</v>
      </c>
      <c r="C1573" s="618" t="str">
        <f>"13888"</f>
        <v>13888</v>
      </c>
      <c r="D1573" s="618" t="s">
        <v>13</v>
      </c>
      <c r="E1573" s="618">
        <v>12</v>
      </c>
      <c r="F1573" s="619">
        <v>42817</v>
      </c>
      <c r="G1573" s="619">
        <v>53767</v>
      </c>
      <c r="H1573" s="618" t="s">
        <v>20</v>
      </c>
      <c r="I1573" s="618" t="s">
        <v>51</v>
      </c>
    </row>
    <row r="1574" spans="1:9">
      <c r="A1574" s="620">
        <f t="shared" si="24"/>
        <v>1570</v>
      </c>
      <c r="B1574" s="621" t="s">
        <v>1781</v>
      </c>
      <c r="C1574" s="621" t="str">
        <f>"13890"</f>
        <v>13890</v>
      </c>
      <c r="D1574" s="621" t="s">
        <v>18</v>
      </c>
      <c r="E1574" s="621">
        <v>12</v>
      </c>
      <c r="F1574" s="622">
        <v>43159</v>
      </c>
      <c r="G1574" s="622">
        <v>44619</v>
      </c>
      <c r="H1574" s="621" t="s">
        <v>21</v>
      </c>
      <c r="I1574" s="621" t="s">
        <v>385</v>
      </c>
    </row>
    <row r="1575" spans="1:9">
      <c r="A1575" s="617">
        <f t="shared" si="24"/>
        <v>1571</v>
      </c>
      <c r="B1575" s="618" t="s">
        <v>1782</v>
      </c>
      <c r="C1575" s="618" t="str">
        <f>"13892"</f>
        <v>13892</v>
      </c>
      <c r="D1575" s="618" t="s">
        <v>18</v>
      </c>
      <c r="E1575" s="618">
        <v>2</v>
      </c>
      <c r="F1575" s="619">
        <v>43222</v>
      </c>
      <c r="G1575" s="619">
        <v>45047</v>
      </c>
      <c r="H1575" s="618" t="s">
        <v>66</v>
      </c>
      <c r="I1575" s="618" t="s">
        <v>385</v>
      </c>
    </row>
    <row r="1576" spans="1:9">
      <c r="A1576" s="620">
        <f t="shared" si="24"/>
        <v>1572</v>
      </c>
      <c r="B1576" s="621" t="s">
        <v>197</v>
      </c>
      <c r="C1576" s="621" t="str">
        <f>"13893"</f>
        <v>13893</v>
      </c>
      <c r="D1576" s="621" t="s">
        <v>18</v>
      </c>
      <c r="E1576" s="621">
        <v>15</v>
      </c>
      <c r="F1576" s="622">
        <v>43028</v>
      </c>
      <c r="G1576" s="622">
        <v>44853</v>
      </c>
      <c r="H1576" s="621" t="s">
        <v>29</v>
      </c>
      <c r="I1576" s="621" t="s">
        <v>6874</v>
      </c>
    </row>
    <row r="1577" spans="1:9">
      <c r="A1577" s="617">
        <f t="shared" si="24"/>
        <v>1573</v>
      </c>
      <c r="B1577" s="618" t="s">
        <v>170</v>
      </c>
      <c r="C1577" s="618" t="str">
        <f>"13900"</f>
        <v>13900</v>
      </c>
      <c r="D1577" s="618" t="s">
        <v>18</v>
      </c>
      <c r="E1577" s="618">
        <v>10</v>
      </c>
      <c r="F1577" s="619">
        <v>43137</v>
      </c>
      <c r="G1577" s="619">
        <v>44962</v>
      </c>
      <c r="H1577" s="618" t="s">
        <v>14</v>
      </c>
      <c r="I1577" s="618" t="s">
        <v>6874</v>
      </c>
    </row>
    <row r="1578" spans="1:9">
      <c r="A1578" s="620">
        <f t="shared" si="24"/>
        <v>1574</v>
      </c>
      <c r="B1578" s="621" t="s">
        <v>170</v>
      </c>
      <c r="C1578" s="621" t="str">
        <f>"13901"</f>
        <v>13901</v>
      </c>
      <c r="D1578" s="621" t="s">
        <v>18</v>
      </c>
      <c r="E1578" s="621">
        <v>42</v>
      </c>
      <c r="F1578" s="622">
        <v>43137</v>
      </c>
      <c r="G1578" s="622">
        <v>44962</v>
      </c>
      <c r="H1578" s="621" t="s">
        <v>14</v>
      </c>
      <c r="I1578" s="621" t="s">
        <v>6874</v>
      </c>
    </row>
    <row r="1579" spans="1:9">
      <c r="A1579" s="617">
        <f t="shared" si="24"/>
        <v>1575</v>
      </c>
      <c r="B1579" s="618" t="s">
        <v>170</v>
      </c>
      <c r="C1579" s="618" t="str">
        <f>"13903"</f>
        <v>13903</v>
      </c>
      <c r="D1579" s="618" t="s">
        <v>18</v>
      </c>
      <c r="E1579" s="618">
        <v>6</v>
      </c>
      <c r="F1579" s="619">
        <v>43222</v>
      </c>
      <c r="G1579" s="619">
        <v>45047</v>
      </c>
      <c r="H1579" s="618" t="s">
        <v>16</v>
      </c>
      <c r="I1579" s="618" t="s">
        <v>6874</v>
      </c>
    </row>
    <row r="1580" spans="1:9">
      <c r="A1580" s="620">
        <f t="shared" si="24"/>
        <v>1576</v>
      </c>
      <c r="B1580" s="621" t="s">
        <v>170</v>
      </c>
      <c r="C1580" s="621" t="str">
        <f>"13904"</f>
        <v>13904</v>
      </c>
      <c r="D1580" s="621" t="s">
        <v>18</v>
      </c>
      <c r="E1580" s="621">
        <v>30</v>
      </c>
      <c r="F1580" s="622">
        <v>43222</v>
      </c>
      <c r="G1580" s="622">
        <v>45047</v>
      </c>
      <c r="H1580" s="621" t="s">
        <v>16</v>
      </c>
      <c r="I1580" s="621" t="s">
        <v>6874</v>
      </c>
    </row>
    <row r="1581" spans="1:9">
      <c r="A1581" s="617">
        <f t="shared" si="24"/>
        <v>1577</v>
      </c>
      <c r="B1581" s="618" t="s">
        <v>170</v>
      </c>
      <c r="C1581" s="618" t="str">
        <f>"13905"</f>
        <v>13905</v>
      </c>
      <c r="D1581" s="618" t="s">
        <v>18</v>
      </c>
      <c r="E1581" s="618">
        <v>12</v>
      </c>
      <c r="F1581" s="619">
        <v>43222</v>
      </c>
      <c r="G1581" s="619">
        <v>45047</v>
      </c>
      <c r="H1581" s="618" t="s">
        <v>16</v>
      </c>
      <c r="I1581" s="618" t="s">
        <v>6874</v>
      </c>
    </row>
    <row r="1582" spans="1:9">
      <c r="A1582" s="620">
        <f t="shared" si="24"/>
        <v>1578</v>
      </c>
      <c r="B1582" s="621" t="s">
        <v>170</v>
      </c>
      <c r="C1582" s="621" t="str">
        <f>"13907"</f>
        <v>13907</v>
      </c>
      <c r="D1582" s="621" t="s">
        <v>18</v>
      </c>
      <c r="E1582" s="621">
        <v>6</v>
      </c>
      <c r="F1582" s="622">
        <v>43222</v>
      </c>
      <c r="G1582" s="622">
        <v>45047</v>
      </c>
      <c r="H1582" s="621" t="s">
        <v>16</v>
      </c>
      <c r="I1582" s="621" t="s">
        <v>6874</v>
      </c>
    </row>
    <row r="1583" spans="1:9">
      <c r="A1583" s="617">
        <f t="shared" si="24"/>
        <v>1579</v>
      </c>
      <c r="B1583" s="618" t="s">
        <v>170</v>
      </c>
      <c r="C1583" s="618" t="str">
        <f>"13908"</f>
        <v>13908</v>
      </c>
      <c r="D1583" s="618" t="s">
        <v>18</v>
      </c>
      <c r="E1583" s="618">
        <v>24</v>
      </c>
      <c r="F1583" s="619">
        <v>43137</v>
      </c>
      <c r="G1583" s="619">
        <v>44962</v>
      </c>
      <c r="H1583" s="618" t="s">
        <v>16</v>
      </c>
      <c r="I1583" s="618" t="s">
        <v>6874</v>
      </c>
    </row>
    <row r="1584" spans="1:9">
      <c r="A1584" s="620">
        <f t="shared" si="24"/>
        <v>1580</v>
      </c>
      <c r="B1584" s="621" t="s">
        <v>170</v>
      </c>
      <c r="C1584" s="621" t="str">
        <f>"13909"</f>
        <v>13909</v>
      </c>
      <c r="D1584" s="621" t="s">
        <v>18</v>
      </c>
      <c r="E1584" s="621">
        <v>8</v>
      </c>
      <c r="F1584" s="622">
        <v>43137</v>
      </c>
      <c r="G1584" s="622">
        <v>44962</v>
      </c>
      <c r="H1584" s="621" t="s">
        <v>14</v>
      </c>
      <c r="I1584" s="621" t="s">
        <v>6874</v>
      </c>
    </row>
    <row r="1585" spans="1:9">
      <c r="A1585" s="617">
        <f t="shared" si="24"/>
        <v>1581</v>
      </c>
      <c r="B1585" s="618" t="s">
        <v>170</v>
      </c>
      <c r="C1585" s="618" t="str">
        <f>"13910"</f>
        <v>13910</v>
      </c>
      <c r="D1585" s="618" t="s">
        <v>18</v>
      </c>
      <c r="E1585" s="618">
        <v>2</v>
      </c>
      <c r="F1585" s="619">
        <v>43137</v>
      </c>
      <c r="G1585" s="619">
        <v>44962</v>
      </c>
      <c r="H1585" s="618" t="s">
        <v>16</v>
      </c>
      <c r="I1585" s="618" t="s">
        <v>6874</v>
      </c>
    </row>
    <row r="1586" spans="1:9">
      <c r="A1586" s="620">
        <f t="shared" si="24"/>
        <v>1582</v>
      </c>
      <c r="B1586" s="621" t="s">
        <v>170</v>
      </c>
      <c r="C1586" s="621" t="str">
        <f>"13911"</f>
        <v>13911</v>
      </c>
      <c r="D1586" s="621" t="s">
        <v>18</v>
      </c>
      <c r="E1586" s="621">
        <v>6</v>
      </c>
      <c r="F1586" s="622">
        <v>43222</v>
      </c>
      <c r="G1586" s="622">
        <v>45047</v>
      </c>
      <c r="H1586" s="621" t="s">
        <v>16</v>
      </c>
      <c r="I1586" s="621" t="s">
        <v>6874</v>
      </c>
    </row>
    <row r="1587" spans="1:9">
      <c r="A1587" s="617">
        <f t="shared" si="24"/>
        <v>1583</v>
      </c>
      <c r="B1587" s="618" t="s">
        <v>170</v>
      </c>
      <c r="C1587" s="618" t="str">
        <f>"13912"</f>
        <v>13912</v>
      </c>
      <c r="D1587" s="618" t="s">
        <v>18</v>
      </c>
      <c r="E1587" s="618">
        <v>23</v>
      </c>
      <c r="F1587" s="619">
        <v>43137</v>
      </c>
      <c r="G1587" s="619">
        <v>44962</v>
      </c>
      <c r="H1587" s="618" t="s">
        <v>16</v>
      </c>
      <c r="I1587" s="618" t="s">
        <v>6874</v>
      </c>
    </row>
    <row r="1588" spans="1:9">
      <c r="A1588" s="620">
        <f t="shared" si="24"/>
        <v>1584</v>
      </c>
      <c r="B1588" s="621" t="s">
        <v>170</v>
      </c>
      <c r="C1588" s="621" t="str">
        <f>"13913"</f>
        <v>13913</v>
      </c>
      <c r="D1588" s="621" t="s">
        <v>18</v>
      </c>
      <c r="E1588" s="621">
        <v>42</v>
      </c>
      <c r="F1588" s="622">
        <v>43137</v>
      </c>
      <c r="G1588" s="622">
        <v>44962</v>
      </c>
      <c r="H1588" s="621" t="s">
        <v>56</v>
      </c>
      <c r="I1588" s="621" t="s">
        <v>6874</v>
      </c>
    </row>
    <row r="1589" spans="1:9">
      <c r="A1589" s="617">
        <f t="shared" si="24"/>
        <v>1585</v>
      </c>
      <c r="B1589" s="618" t="s">
        <v>170</v>
      </c>
      <c r="C1589" s="618" t="str">
        <f>"13914"</f>
        <v>13914</v>
      </c>
      <c r="D1589" s="618" t="s">
        <v>18</v>
      </c>
      <c r="E1589" s="618">
        <v>4</v>
      </c>
      <c r="F1589" s="619">
        <v>43585</v>
      </c>
      <c r="G1589" s="619">
        <v>45411</v>
      </c>
      <c r="H1589" s="618" t="s">
        <v>14</v>
      </c>
      <c r="I1589" s="618" t="s">
        <v>51</v>
      </c>
    </row>
    <row r="1590" spans="1:9">
      <c r="A1590" s="620">
        <f t="shared" si="24"/>
        <v>1586</v>
      </c>
      <c r="B1590" s="621" t="s">
        <v>183</v>
      </c>
      <c r="C1590" s="621" t="str">
        <f>"13929"</f>
        <v>13929</v>
      </c>
      <c r="D1590" s="621" t="s">
        <v>18</v>
      </c>
      <c r="E1590" s="621">
        <v>8</v>
      </c>
      <c r="F1590" s="622">
        <v>43222</v>
      </c>
      <c r="G1590" s="622">
        <v>45047</v>
      </c>
      <c r="H1590" s="621" t="s">
        <v>180</v>
      </c>
      <c r="I1590" s="621" t="s">
        <v>6859</v>
      </c>
    </row>
    <row r="1591" spans="1:9">
      <c r="A1591" s="617">
        <f t="shared" si="24"/>
        <v>1587</v>
      </c>
      <c r="B1591" s="618" t="s">
        <v>1770</v>
      </c>
      <c r="C1591" s="618" t="str">
        <f>"13931"</f>
        <v>13931</v>
      </c>
      <c r="D1591" s="618" t="s">
        <v>18</v>
      </c>
      <c r="E1591" s="618">
        <v>6</v>
      </c>
      <c r="F1591" s="619">
        <v>43137</v>
      </c>
      <c r="G1591" s="619">
        <v>44962</v>
      </c>
      <c r="H1591" s="618" t="s">
        <v>16</v>
      </c>
      <c r="I1591" s="618" t="s">
        <v>6859</v>
      </c>
    </row>
    <row r="1592" spans="1:9">
      <c r="A1592" s="620">
        <f t="shared" si="24"/>
        <v>1588</v>
      </c>
      <c r="B1592" s="621" t="s">
        <v>186</v>
      </c>
      <c r="C1592" s="621" t="str">
        <f>"13944"</f>
        <v>13944</v>
      </c>
      <c r="D1592" s="621" t="s">
        <v>18</v>
      </c>
      <c r="E1592" s="621">
        <v>418</v>
      </c>
      <c r="F1592" s="622">
        <v>42992</v>
      </c>
      <c r="G1592" s="622">
        <v>44817</v>
      </c>
      <c r="H1592" s="621" t="s">
        <v>43</v>
      </c>
      <c r="I1592" s="621" t="s">
        <v>6868</v>
      </c>
    </row>
    <row r="1593" spans="1:9">
      <c r="A1593" s="617">
        <f t="shared" si="24"/>
        <v>1589</v>
      </c>
      <c r="B1593" s="618" t="s">
        <v>170</v>
      </c>
      <c r="C1593" s="618" t="str">
        <f>"13947"</f>
        <v>13947</v>
      </c>
      <c r="D1593" s="618" t="s">
        <v>18</v>
      </c>
      <c r="E1593" s="618">
        <v>54</v>
      </c>
      <c r="F1593" s="619">
        <v>43137</v>
      </c>
      <c r="G1593" s="619">
        <v>44597</v>
      </c>
      <c r="H1593" s="618" t="s">
        <v>47</v>
      </c>
      <c r="I1593" s="618" t="s">
        <v>6868</v>
      </c>
    </row>
    <row r="1594" spans="1:9">
      <c r="A1594" s="620">
        <f t="shared" si="24"/>
        <v>1590</v>
      </c>
      <c r="B1594" s="621" t="s">
        <v>170</v>
      </c>
      <c r="C1594" s="621" t="str">
        <f>"13950"</f>
        <v>13950</v>
      </c>
      <c r="D1594" s="621" t="s">
        <v>18</v>
      </c>
      <c r="E1594" s="621">
        <v>344</v>
      </c>
      <c r="F1594" s="622">
        <v>43137</v>
      </c>
      <c r="G1594" s="622">
        <v>44962</v>
      </c>
      <c r="H1594" s="621" t="s">
        <v>41</v>
      </c>
      <c r="I1594" s="621" t="s">
        <v>6874</v>
      </c>
    </row>
    <row r="1595" spans="1:9">
      <c r="A1595" s="617">
        <f t="shared" si="24"/>
        <v>1591</v>
      </c>
      <c r="B1595" s="618" t="s">
        <v>170</v>
      </c>
      <c r="C1595" s="618" t="str">
        <f>"13952"</f>
        <v>13952</v>
      </c>
      <c r="D1595" s="618" t="s">
        <v>18</v>
      </c>
      <c r="E1595" s="618">
        <v>80</v>
      </c>
      <c r="F1595" s="619">
        <v>43137</v>
      </c>
      <c r="G1595" s="619">
        <v>44597</v>
      </c>
      <c r="H1595" s="618" t="s">
        <v>180</v>
      </c>
      <c r="I1595" s="618" t="s">
        <v>6868</v>
      </c>
    </row>
    <row r="1596" spans="1:9">
      <c r="A1596" s="620">
        <f t="shared" si="24"/>
        <v>1592</v>
      </c>
      <c r="B1596" s="621" t="s">
        <v>170</v>
      </c>
      <c r="C1596" s="621" t="str">
        <f>"13954"</f>
        <v>13954</v>
      </c>
      <c r="D1596" s="621" t="s">
        <v>18</v>
      </c>
      <c r="E1596" s="621">
        <v>248</v>
      </c>
      <c r="F1596" s="622">
        <v>43222</v>
      </c>
      <c r="G1596" s="622">
        <v>45047</v>
      </c>
      <c r="H1596" s="621" t="s">
        <v>41</v>
      </c>
      <c r="I1596" s="621" t="s">
        <v>6874</v>
      </c>
    </row>
    <row r="1597" spans="1:9">
      <c r="A1597" s="617">
        <f t="shared" si="24"/>
        <v>1593</v>
      </c>
      <c r="B1597" s="618" t="s">
        <v>170</v>
      </c>
      <c r="C1597" s="618" t="str">
        <f>"13958"</f>
        <v>13958</v>
      </c>
      <c r="D1597" s="618" t="s">
        <v>18</v>
      </c>
      <c r="E1597" s="618">
        <v>14</v>
      </c>
      <c r="F1597" s="619">
        <v>43222</v>
      </c>
      <c r="G1597" s="619">
        <v>45047</v>
      </c>
      <c r="H1597" s="618" t="s">
        <v>16</v>
      </c>
      <c r="I1597" s="618" t="s">
        <v>6874</v>
      </c>
    </row>
    <row r="1598" spans="1:9">
      <c r="A1598" s="620">
        <f t="shared" si="24"/>
        <v>1594</v>
      </c>
      <c r="B1598" s="621" t="s">
        <v>185</v>
      </c>
      <c r="C1598" s="621" t="str">
        <f>"13961"</f>
        <v>13961</v>
      </c>
      <c r="D1598" s="621" t="s">
        <v>18</v>
      </c>
      <c r="E1598" s="621">
        <v>90</v>
      </c>
      <c r="F1598" s="622">
        <v>43374</v>
      </c>
      <c r="G1598" s="622">
        <v>45199</v>
      </c>
      <c r="H1598" s="621" t="s">
        <v>22</v>
      </c>
      <c r="I1598" s="621" t="s">
        <v>6868</v>
      </c>
    </row>
    <row r="1599" spans="1:9">
      <c r="A1599" s="617">
        <f t="shared" si="24"/>
        <v>1595</v>
      </c>
      <c r="B1599" s="618" t="s">
        <v>1783</v>
      </c>
      <c r="C1599" s="618" t="str">
        <f>"13976"</f>
        <v>13976</v>
      </c>
      <c r="D1599" s="618" t="s">
        <v>18</v>
      </c>
      <c r="E1599" s="618">
        <v>122</v>
      </c>
      <c r="F1599" s="619">
        <v>43153</v>
      </c>
      <c r="G1599" s="619">
        <v>44613</v>
      </c>
      <c r="H1599" s="618" t="s">
        <v>23</v>
      </c>
      <c r="I1599" s="618" t="s">
        <v>385</v>
      </c>
    </row>
    <row r="1600" spans="1:9">
      <c r="A1600" s="620">
        <f t="shared" si="24"/>
        <v>1596</v>
      </c>
      <c r="B1600" s="621" t="s">
        <v>369</v>
      </c>
      <c r="C1600" s="621" t="str">
        <f>"13989"</f>
        <v>13989</v>
      </c>
      <c r="D1600" s="621" t="s">
        <v>18</v>
      </c>
      <c r="E1600" s="621">
        <v>7</v>
      </c>
      <c r="F1600" s="622">
        <v>42979</v>
      </c>
      <c r="G1600" s="622">
        <v>44804</v>
      </c>
      <c r="H1600" s="621" t="s">
        <v>19</v>
      </c>
      <c r="I1600" s="621" t="s">
        <v>6868</v>
      </c>
    </row>
    <row r="1601" spans="1:9">
      <c r="A1601" s="617">
        <f t="shared" si="24"/>
        <v>1597</v>
      </c>
      <c r="B1601" s="618" t="s">
        <v>369</v>
      </c>
      <c r="C1601" s="618" t="str">
        <f>"13990"</f>
        <v>13990</v>
      </c>
      <c r="D1601" s="618" t="s">
        <v>18</v>
      </c>
      <c r="E1601" s="618">
        <v>42</v>
      </c>
      <c r="F1601" s="619">
        <v>42979</v>
      </c>
      <c r="G1601" s="619">
        <v>44804</v>
      </c>
      <c r="H1601" s="618" t="s">
        <v>19</v>
      </c>
      <c r="I1601" s="618" t="s">
        <v>6868</v>
      </c>
    </row>
    <row r="1602" spans="1:9">
      <c r="A1602" s="620">
        <f t="shared" si="24"/>
        <v>1598</v>
      </c>
      <c r="B1602" s="621" t="s">
        <v>369</v>
      </c>
      <c r="C1602" s="621" t="str">
        <f>"13991"</f>
        <v>13991</v>
      </c>
      <c r="D1602" s="621" t="s">
        <v>18</v>
      </c>
      <c r="E1602" s="621">
        <v>74</v>
      </c>
      <c r="F1602" s="622">
        <v>42979</v>
      </c>
      <c r="G1602" s="622">
        <v>44804</v>
      </c>
      <c r="H1602" s="621" t="s">
        <v>56</v>
      </c>
      <c r="I1602" s="621" t="s">
        <v>6868</v>
      </c>
    </row>
    <row r="1603" spans="1:9">
      <c r="A1603" s="617">
        <f t="shared" si="24"/>
        <v>1599</v>
      </c>
      <c r="B1603" s="618" t="s">
        <v>369</v>
      </c>
      <c r="C1603" s="618" t="str">
        <f>"13992"</f>
        <v>13992</v>
      </c>
      <c r="D1603" s="618" t="s">
        <v>18</v>
      </c>
      <c r="E1603" s="618">
        <v>181</v>
      </c>
      <c r="F1603" s="619">
        <v>42979</v>
      </c>
      <c r="G1603" s="619">
        <v>44804</v>
      </c>
      <c r="H1603" s="618" t="s">
        <v>19</v>
      </c>
      <c r="I1603" s="618" t="s">
        <v>6868</v>
      </c>
    </row>
    <row r="1604" spans="1:9">
      <c r="A1604" s="620">
        <f t="shared" si="24"/>
        <v>1600</v>
      </c>
      <c r="B1604" s="621" t="s">
        <v>186</v>
      </c>
      <c r="C1604" s="621" t="str">
        <f>"13993"</f>
        <v>13993</v>
      </c>
      <c r="D1604" s="621" t="s">
        <v>18</v>
      </c>
      <c r="E1604" s="621">
        <v>104</v>
      </c>
      <c r="F1604" s="622">
        <v>43000</v>
      </c>
      <c r="G1604" s="622">
        <v>44825</v>
      </c>
      <c r="H1604" s="621" t="s">
        <v>16</v>
      </c>
      <c r="I1604" s="621" t="s">
        <v>6868</v>
      </c>
    </row>
    <row r="1605" spans="1:9">
      <c r="A1605" s="617">
        <f t="shared" si="24"/>
        <v>1601</v>
      </c>
      <c r="B1605" s="618" t="s">
        <v>1405</v>
      </c>
      <c r="C1605" s="618" t="str">
        <f>"14004"</f>
        <v>14004</v>
      </c>
      <c r="D1605" s="618" t="s">
        <v>18</v>
      </c>
      <c r="E1605" s="618">
        <v>3</v>
      </c>
      <c r="F1605" s="619">
        <v>43220</v>
      </c>
      <c r="G1605" s="619">
        <v>45045</v>
      </c>
      <c r="H1605" s="618" t="s">
        <v>28</v>
      </c>
      <c r="I1605" s="618" t="s">
        <v>6862</v>
      </c>
    </row>
    <row r="1606" spans="1:9">
      <c r="A1606" s="620">
        <f t="shared" si="24"/>
        <v>1602</v>
      </c>
      <c r="B1606" s="621" t="s">
        <v>1405</v>
      </c>
      <c r="C1606" s="621" t="str">
        <f>"14005"</f>
        <v>14005</v>
      </c>
      <c r="D1606" s="621" t="s">
        <v>18</v>
      </c>
      <c r="E1606" s="621">
        <v>25</v>
      </c>
      <c r="F1606" s="622">
        <v>43220</v>
      </c>
      <c r="G1606" s="622">
        <v>45045</v>
      </c>
      <c r="H1606" s="621" t="s">
        <v>29</v>
      </c>
      <c r="I1606" s="621" t="s">
        <v>6862</v>
      </c>
    </row>
    <row r="1607" spans="1:9">
      <c r="A1607" s="617">
        <f t="shared" ref="A1607:A1670" si="25">+A1606+1</f>
        <v>1603</v>
      </c>
      <c r="B1607" s="618" t="s">
        <v>1405</v>
      </c>
      <c r="C1607" s="618" t="str">
        <f>"14006"</f>
        <v>14006</v>
      </c>
      <c r="D1607" s="618" t="s">
        <v>18</v>
      </c>
      <c r="E1607" s="618">
        <v>123</v>
      </c>
      <c r="F1607" s="619">
        <v>43220</v>
      </c>
      <c r="G1607" s="619">
        <v>45045</v>
      </c>
      <c r="H1607" s="618" t="s">
        <v>21</v>
      </c>
      <c r="I1607" s="618" t="s">
        <v>6862</v>
      </c>
    </row>
    <row r="1608" spans="1:9">
      <c r="A1608" s="620">
        <f t="shared" si="25"/>
        <v>1604</v>
      </c>
      <c r="B1608" s="621" t="s">
        <v>1405</v>
      </c>
      <c r="C1608" s="621" t="str">
        <f>"14008"</f>
        <v>14008</v>
      </c>
      <c r="D1608" s="621" t="s">
        <v>18</v>
      </c>
      <c r="E1608" s="621">
        <v>23</v>
      </c>
      <c r="F1608" s="622">
        <v>43220</v>
      </c>
      <c r="G1608" s="622">
        <v>45045</v>
      </c>
      <c r="H1608" s="621" t="s">
        <v>29</v>
      </c>
      <c r="I1608" s="621" t="s">
        <v>6862</v>
      </c>
    </row>
    <row r="1609" spans="1:9">
      <c r="A1609" s="617">
        <f t="shared" si="25"/>
        <v>1605</v>
      </c>
      <c r="B1609" s="618" t="s">
        <v>187</v>
      </c>
      <c r="C1609" s="618" t="str">
        <f>"14032"</f>
        <v>14032</v>
      </c>
      <c r="D1609" s="618" t="s">
        <v>18</v>
      </c>
      <c r="E1609" s="618">
        <v>41</v>
      </c>
      <c r="F1609" s="619">
        <v>43220</v>
      </c>
      <c r="G1609" s="619">
        <v>45045</v>
      </c>
      <c r="H1609" s="618" t="s">
        <v>43</v>
      </c>
      <c r="I1609" s="618" t="s">
        <v>6874</v>
      </c>
    </row>
    <row r="1610" spans="1:9">
      <c r="A1610" s="620">
        <f t="shared" si="25"/>
        <v>1606</v>
      </c>
      <c r="B1610" s="621" t="s">
        <v>187</v>
      </c>
      <c r="C1610" s="621" t="str">
        <f>"14034"</f>
        <v>14034</v>
      </c>
      <c r="D1610" s="621" t="s">
        <v>18</v>
      </c>
      <c r="E1610" s="621">
        <v>104</v>
      </c>
      <c r="F1610" s="622">
        <v>43222</v>
      </c>
      <c r="G1610" s="622">
        <v>45047</v>
      </c>
      <c r="H1610" s="621" t="s">
        <v>14</v>
      </c>
      <c r="I1610" s="621" t="s">
        <v>6874</v>
      </c>
    </row>
    <row r="1611" spans="1:9">
      <c r="A1611" s="617">
        <f t="shared" si="25"/>
        <v>1607</v>
      </c>
      <c r="B1611" s="618" t="s">
        <v>187</v>
      </c>
      <c r="C1611" s="618" t="str">
        <f>"14035"</f>
        <v>14035</v>
      </c>
      <c r="D1611" s="618" t="s">
        <v>18</v>
      </c>
      <c r="E1611" s="618">
        <v>75</v>
      </c>
      <c r="F1611" s="619">
        <v>43222</v>
      </c>
      <c r="G1611" s="619">
        <v>45047</v>
      </c>
      <c r="H1611" s="618" t="s">
        <v>43</v>
      </c>
      <c r="I1611" s="618" t="s">
        <v>385</v>
      </c>
    </row>
    <row r="1612" spans="1:9">
      <c r="A1612" s="620">
        <f t="shared" si="25"/>
        <v>1608</v>
      </c>
      <c r="B1612" s="621" t="s">
        <v>188</v>
      </c>
      <c r="C1612" s="621" t="str">
        <f>"14044"</f>
        <v>14044</v>
      </c>
      <c r="D1612" s="621" t="s">
        <v>13</v>
      </c>
      <c r="E1612" s="621">
        <v>74</v>
      </c>
      <c r="F1612" s="622">
        <v>43046</v>
      </c>
      <c r="G1612" s="622">
        <v>54002</v>
      </c>
      <c r="H1612" s="621" t="s">
        <v>16</v>
      </c>
      <c r="I1612" s="621" t="s">
        <v>51</v>
      </c>
    </row>
    <row r="1613" spans="1:9">
      <c r="A1613" s="617">
        <f t="shared" si="25"/>
        <v>1609</v>
      </c>
      <c r="B1613" s="618" t="s">
        <v>189</v>
      </c>
      <c r="C1613" s="618" t="str">
        <f>"14048"</f>
        <v>14048</v>
      </c>
      <c r="D1613" s="618" t="s">
        <v>27</v>
      </c>
      <c r="E1613" s="618">
        <v>78</v>
      </c>
      <c r="F1613" s="619">
        <v>44074</v>
      </c>
      <c r="G1613" s="619">
        <v>45899</v>
      </c>
      <c r="H1613" s="618" t="s">
        <v>56</v>
      </c>
      <c r="I1613" s="618" t="s">
        <v>6862</v>
      </c>
    </row>
    <row r="1614" spans="1:9">
      <c r="A1614" s="620">
        <f t="shared" si="25"/>
        <v>1610</v>
      </c>
      <c r="B1614" s="621" t="s">
        <v>1049</v>
      </c>
      <c r="C1614" s="621" t="str">
        <f>"14049"</f>
        <v>14049</v>
      </c>
      <c r="D1614" s="621" t="s">
        <v>18</v>
      </c>
      <c r="E1614" s="621">
        <v>24</v>
      </c>
      <c r="F1614" s="622">
        <v>43169</v>
      </c>
      <c r="G1614" s="622">
        <v>44629</v>
      </c>
      <c r="H1614" s="621" t="s">
        <v>20</v>
      </c>
      <c r="I1614" s="621" t="s">
        <v>6874</v>
      </c>
    </row>
    <row r="1615" spans="1:9">
      <c r="A1615" s="617">
        <f t="shared" si="25"/>
        <v>1611</v>
      </c>
      <c r="B1615" s="618" t="s">
        <v>190</v>
      </c>
      <c r="C1615" s="618" t="str">
        <f>"14050"</f>
        <v>14050</v>
      </c>
      <c r="D1615" s="618" t="s">
        <v>13</v>
      </c>
      <c r="E1615" s="618">
        <v>8</v>
      </c>
      <c r="F1615" s="619">
        <v>43711</v>
      </c>
      <c r="G1615" s="619">
        <v>52842</v>
      </c>
      <c r="H1615" s="618" t="s">
        <v>16</v>
      </c>
      <c r="I1615" s="618" t="s">
        <v>51</v>
      </c>
    </row>
    <row r="1616" spans="1:9">
      <c r="A1616" s="620">
        <f t="shared" si="25"/>
        <v>1612</v>
      </c>
      <c r="B1616" s="621" t="s">
        <v>73</v>
      </c>
      <c r="C1616" s="621" t="str">
        <f>"14051"</f>
        <v>14051</v>
      </c>
      <c r="D1616" s="621" t="s">
        <v>13</v>
      </c>
      <c r="E1616" s="621">
        <v>16</v>
      </c>
      <c r="F1616" s="622">
        <v>42999</v>
      </c>
      <c r="G1616" s="622">
        <v>45385</v>
      </c>
      <c r="H1616" s="621" t="s">
        <v>16</v>
      </c>
      <c r="I1616" s="621" t="s">
        <v>6858</v>
      </c>
    </row>
    <row r="1617" spans="1:9">
      <c r="A1617" s="617">
        <f t="shared" si="25"/>
        <v>1613</v>
      </c>
      <c r="B1617" s="618" t="s">
        <v>36</v>
      </c>
      <c r="C1617" s="618" t="str">
        <f>"14052"</f>
        <v>14052</v>
      </c>
      <c r="D1617" s="618" t="s">
        <v>13</v>
      </c>
      <c r="E1617" s="618">
        <v>14</v>
      </c>
      <c r="F1617" s="619">
        <v>43000</v>
      </c>
      <c r="G1617" s="619">
        <v>51202</v>
      </c>
      <c r="H1617" s="618" t="s">
        <v>14</v>
      </c>
      <c r="I1617" s="618" t="s">
        <v>51</v>
      </c>
    </row>
    <row r="1618" spans="1:9">
      <c r="A1618" s="620">
        <f t="shared" si="25"/>
        <v>1614</v>
      </c>
      <c r="B1618" s="621" t="s">
        <v>73</v>
      </c>
      <c r="C1618" s="621" t="str">
        <f>"14053"</f>
        <v>14053</v>
      </c>
      <c r="D1618" s="621" t="s">
        <v>13</v>
      </c>
      <c r="E1618" s="621">
        <v>18</v>
      </c>
      <c r="F1618" s="622">
        <v>43000</v>
      </c>
      <c r="G1618" s="622">
        <v>51202</v>
      </c>
      <c r="H1618" s="621" t="s">
        <v>14</v>
      </c>
      <c r="I1618" s="621" t="s">
        <v>51</v>
      </c>
    </row>
    <row r="1619" spans="1:9">
      <c r="A1619" s="617">
        <f t="shared" si="25"/>
        <v>1615</v>
      </c>
      <c r="B1619" s="618" t="s">
        <v>369</v>
      </c>
      <c r="C1619" s="618" t="str">
        <f>"14057"</f>
        <v>14057</v>
      </c>
      <c r="D1619" s="618" t="s">
        <v>18</v>
      </c>
      <c r="E1619" s="618">
        <v>25</v>
      </c>
      <c r="F1619" s="619">
        <v>43169</v>
      </c>
      <c r="G1619" s="619">
        <v>44994</v>
      </c>
      <c r="H1619" s="618" t="s">
        <v>56</v>
      </c>
      <c r="I1619" s="618" t="s">
        <v>6868</v>
      </c>
    </row>
    <row r="1620" spans="1:9">
      <c r="A1620" s="620">
        <f t="shared" si="25"/>
        <v>1616</v>
      </c>
      <c r="B1620" s="621" t="s">
        <v>191</v>
      </c>
      <c r="C1620" s="621" t="str">
        <f>"14059"</f>
        <v>14059</v>
      </c>
      <c r="D1620" s="621" t="s">
        <v>18</v>
      </c>
      <c r="E1620" s="621">
        <v>25</v>
      </c>
      <c r="F1620" s="622">
        <v>43132</v>
      </c>
      <c r="G1620" s="622">
        <v>44592</v>
      </c>
      <c r="H1620" s="621" t="s">
        <v>43</v>
      </c>
      <c r="I1620" s="621" t="s">
        <v>51</v>
      </c>
    </row>
    <row r="1621" spans="1:9">
      <c r="A1621" s="617">
        <f t="shared" si="25"/>
        <v>1617</v>
      </c>
      <c r="B1621" s="618" t="s">
        <v>192</v>
      </c>
      <c r="C1621" s="618" t="str">
        <f>"14073"</f>
        <v>14073</v>
      </c>
      <c r="D1621" s="618" t="s">
        <v>18</v>
      </c>
      <c r="E1621" s="618">
        <v>20</v>
      </c>
      <c r="F1621" s="619">
        <v>43531</v>
      </c>
      <c r="G1621" s="619">
        <v>45357</v>
      </c>
      <c r="H1621" s="618" t="s">
        <v>45</v>
      </c>
      <c r="I1621" s="618" t="s">
        <v>51</v>
      </c>
    </row>
    <row r="1622" spans="1:9">
      <c r="A1622" s="620">
        <f t="shared" si="25"/>
        <v>1618</v>
      </c>
      <c r="B1622" s="621" t="s">
        <v>192</v>
      </c>
      <c r="C1622" s="621" t="str">
        <f>"14074"</f>
        <v>14074</v>
      </c>
      <c r="D1622" s="621" t="s">
        <v>18</v>
      </c>
      <c r="E1622" s="621">
        <v>14</v>
      </c>
      <c r="F1622" s="622">
        <v>43531</v>
      </c>
      <c r="G1622" s="622">
        <v>45357</v>
      </c>
      <c r="H1622" s="621" t="s">
        <v>16</v>
      </c>
      <c r="I1622" s="621" t="s">
        <v>51</v>
      </c>
    </row>
    <row r="1623" spans="1:9">
      <c r="A1623" s="617">
        <f t="shared" si="25"/>
        <v>1619</v>
      </c>
      <c r="B1623" s="618" t="s">
        <v>193</v>
      </c>
      <c r="C1623" s="618" t="str">
        <f>"14076"</f>
        <v>14076</v>
      </c>
      <c r="D1623" s="618" t="s">
        <v>18</v>
      </c>
      <c r="E1623" s="618">
        <v>14</v>
      </c>
      <c r="F1623" s="619">
        <v>43169</v>
      </c>
      <c r="G1623" s="619">
        <v>44994</v>
      </c>
      <c r="H1623" s="618" t="s">
        <v>14</v>
      </c>
      <c r="I1623" s="618" t="s">
        <v>6868</v>
      </c>
    </row>
    <row r="1624" spans="1:9">
      <c r="A1624" s="620">
        <f t="shared" si="25"/>
        <v>1620</v>
      </c>
      <c r="B1624" s="621" t="s">
        <v>194</v>
      </c>
      <c r="C1624" s="621" t="str">
        <f>"14079"</f>
        <v>14079</v>
      </c>
      <c r="D1624" s="621" t="s">
        <v>18</v>
      </c>
      <c r="E1624" s="621">
        <v>13</v>
      </c>
      <c r="F1624" s="622">
        <v>43169</v>
      </c>
      <c r="G1624" s="622">
        <v>44994</v>
      </c>
      <c r="H1624" s="621" t="s">
        <v>45</v>
      </c>
      <c r="I1624" s="621" t="s">
        <v>6868</v>
      </c>
    </row>
    <row r="1625" spans="1:9">
      <c r="A1625" s="617">
        <f t="shared" si="25"/>
        <v>1621</v>
      </c>
      <c r="B1625" s="618" t="s">
        <v>194</v>
      </c>
      <c r="C1625" s="618" t="str">
        <f>"14081"</f>
        <v>14081</v>
      </c>
      <c r="D1625" s="618" t="s">
        <v>18</v>
      </c>
      <c r="E1625" s="618">
        <v>12</v>
      </c>
      <c r="F1625" s="619">
        <v>43169</v>
      </c>
      <c r="G1625" s="619">
        <v>44994</v>
      </c>
      <c r="H1625" s="618" t="s">
        <v>45</v>
      </c>
      <c r="I1625" s="618" t="s">
        <v>6868</v>
      </c>
    </row>
    <row r="1626" spans="1:9">
      <c r="A1626" s="620">
        <f t="shared" si="25"/>
        <v>1622</v>
      </c>
      <c r="B1626" s="621" t="s">
        <v>1784</v>
      </c>
      <c r="C1626" s="621" t="str">
        <f>"14084"</f>
        <v>14084</v>
      </c>
      <c r="D1626" s="621" t="s">
        <v>18</v>
      </c>
      <c r="E1626" s="621">
        <v>10</v>
      </c>
      <c r="F1626" s="622">
        <v>43169</v>
      </c>
      <c r="G1626" s="622">
        <v>44629</v>
      </c>
      <c r="H1626" s="621" t="s">
        <v>22</v>
      </c>
      <c r="I1626" s="621" t="s">
        <v>6868</v>
      </c>
    </row>
    <row r="1627" spans="1:9">
      <c r="A1627" s="617">
        <f t="shared" si="25"/>
        <v>1623</v>
      </c>
      <c r="B1627" s="618" t="s">
        <v>1784</v>
      </c>
      <c r="C1627" s="618" t="str">
        <f>"14085"</f>
        <v>14085</v>
      </c>
      <c r="D1627" s="618" t="s">
        <v>18</v>
      </c>
      <c r="E1627" s="618">
        <v>10</v>
      </c>
      <c r="F1627" s="619">
        <v>43169</v>
      </c>
      <c r="G1627" s="619">
        <v>44629</v>
      </c>
      <c r="H1627" s="618" t="s">
        <v>22</v>
      </c>
      <c r="I1627" s="618" t="s">
        <v>6868</v>
      </c>
    </row>
    <row r="1628" spans="1:9">
      <c r="A1628" s="620">
        <f t="shared" si="25"/>
        <v>1624</v>
      </c>
      <c r="B1628" s="621" t="s">
        <v>1408</v>
      </c>
      <c r="C1628" s="621" t="str">
        <f>"14089"</f>
        <v>14089</v>
      </c>
      <c r="D1628" s="621" t="s">
        <v>18</v>
      </c>
      <c r="E1628" s="621">
        <v>16</v>
      </c>
      <c r="F1628" s="622">
        <v>43222</v>
      </c>
      <c r="G1628" s="622">
        <v>45047</v>
      </c>
      <c r="H1628" s="621" t="s">
        <v>14</v>
      </c>
      <c r="I1628" s="621" t="s">
        <v>6874</v>
      </c>
    </row>
    <row r="1629" spans="1:9">
      <c r="A1629" s="617">
        <f t="shared" si="25"/>
        <v>1625</v>
      </c>
      <c r="B1629" s="618" t="s">
        <v>194</v>
      </c>
      <c r="C1629" s="618" t="str">
        <f>"14090"</f>
        <v>14090</v>
      </c>
      <c r="D1629" s="618" t="s">
        <v>18</v>
      </c>
      <c r="E1629" s="618">
        <v>10</v>
      </c>
      <c r="F1629" s="619">
        <v>43169</v>
      </c>
      <c r="G1629" s="619">
        <v>44994</v>
      </c>
      <c r="H1629" s="618" t="s">
        <v>28</v>
      </c>
      <c r="I1629" s="618" t="s">
        <v>6868</v>
      </c>
    </row>
    <row r="1630" spans="1:9">
      <c r="A1630" s="620">
        <f t="shared" si="25"/>
        <v>1626</v>
      </c>
      <c r="B1630" s="621" t="s">
        <v>194</v>
      </c>
      <c r="C1630" s="621" t="str">
        <f>"14091"</f>
        <v>14091</v>
      </c>
      <c r="D1630" s="621" t="s">
        <v>18</v>
      </c>
      <c r="E1630" s="621">
        <v>4</v>
      </c>
      <c r="F1630" s="622">
        <v>43169</v>
      </c>
      <c r="G1630" s="622">
        <v>44994</v>
      </c>
      <c r="H1630" s="621" t="s">
        <v>28</v>
      </c>
      <c r="I1630" s="621" t="s">
        <v>6868</v>
      </c>
    </row>
    <row r="1631" spans="1:9">
      <c r="A1631" s="617">
        <f t="shared" si="25"/>
        <v>1627</v>
      </c>
      <c r="B1631" s="618" t="s">
        <v>195</v>
      </c>
      <c r="C1631" s="618" t="str">
        <f>"14092"</f>
        <v>14092</v>
      </c>
      <c r="D1631" s="618" t="s">
        <v>13</v>
      </c>
      <c r="E1631" s="618">
        <v>15</v>
      </c>
      <c r="F1631" s="619">
        <v>43783</v>
      </c>
      <c r="G1631" s="619">
        <v>52914</v>
      </c>
      <c r="H1631" s="618" t="s">
        <v>19</v>
      </c>
      <c r="I1631" s="618" t="s">
        <v>51</v>
      </c>
    </row>
    <row r="1632" spans="1:9">
      <c r="A1632" s="620">
        <f t="shared" si="25"/>
        <v>1628</v>
      </c>
      <c r="B1632" s="621" t="s">
        <v>195</v>
      </c>
      <c r="C1632" s="621" t="str">
        <f>"14093"</f>
        <v>14093</v>
      </c>
      <c r="D1632" s="621" t="s">
        <v>13</v>
      </c>
      <c r="E1632" s="621">
        <v>8</v>
      </c>
      <c r="F1632" s="622">
        <v>43783</v>
      </c>
      <c r="G1632" s="622">
        <v>52914</v>
      </c>
      <c r="H1632" s="621" t="s">
        <v>56</v>
      </c>
      <c r="I1632" s="621" t="s">
        <v>51</v>
      </c>
    </row>
    <row r="1633" spans="1:9">
      <c r="A1633" s="617">
        <f t="shared" si="25"/>
        <v>1629</v>
      </c>
      <c r="B1633" s="618" t="s">
        <v>290</v>
      </c>
      <c r="C1633" s="618" t="str">
        <f>"14094"</f>
        <v>14094</v>
      </c>
      <c r="D1633" s="618" t="s">
        <v>18</v>
      </c>
      <c r="E1633" s="618">
        <v>6</v>
      </c>
      <c r="F1633" s="619">
        <v>43169</v>
      </c>
      <c r="G1633" s="619">
        <v>44994</v>
      </c>
      <c r="H1633" s="618" t="s">
        <v>19</v>
      </c>
      <c r="I1633" s="618" t="s">
        <v>385</v>
      </c>
    </row>
    <row r="1634" spans="1:9">
      <c r="A1634" s="620">
        <f t="shared" si="25"/>
        <v>1630</v>
      </c>
      <c r="B1634" s="621" t="s">
        <v>196</v>
      </c>
      <c r="C1634" s="621" t="str">
        <f>"14096"</f>
        <v>14096</v>
      </c>
      <c r="D1634" s="621" t="s">
        <v>13</v>
      </c>
      <c r="E1634" s="621">
        <v>20</v>
      </c>
      <c r="F1634" s="622">
        <v>43169</v>
      </c>
      <c r="G1634" s="622">
        <v>44994</v>
      </c>
      <c r="H1634" s="621" t="s">
        <v>41</v>
      </c>
      <c r="I1634" s="621" t="s">
        <v>1710</v>
      </c>
    </row>
    <row r="1635" spans="1:9">
      <c r="A1635" s="617">
        <f t="shared" si="25"/>
        <v>1631</v>
      </c>
      <c r="B1635" s="618" t="s">
        <v>24</v>
      </c>
      <c r="C1635" s="618" t="str">
        <f>"14102"</f>
        <v>14102</v>
      </c>
      <c r="D1635" s="618" t="s">
        <v>18</v>
      </c>
      <c r="E1635" s="618">
        <v>39</v>
      </c>
      <c r="F1635" s="619">
        <v>43510</v>
      </c>
      <c r="G1635" s="619">
        <v>45335</v>
      </c>
      <c r="H1635" s="618" t="s">
        <v>14</v>
      </c>
      <c r="I1635" s="618" t="s">
        <v>6871</v>
      </c>
    </row>
    <row r="1636" spans="1:9">
      <c r="A1636" s="620">
        <f t="shared" si="25"/>
        <v>1632</v>
      </c>
      <c r="B1636" s="621" t="s">
        <v>1314</v>
      </c>
      <c r="C1636" s="621" t="str">
        <f>"14104"</f>
        <v>14104</v>
      </c>
      <c r="D1636" s="621" t="s">
        <v>18</v>
      </c>
      <c r="E1636" s="621">
        <v>8</v>
      </c>
      <c r="F1636" s="622">
        <v>43402</v>
      </c>
      <c r="G1636" s="622">
        <v>45227</v>
      </c>
      <c r="H1636" s="621" t="s">
        <v>56</v>
      </c>
      <c r="I1636" s="621" t="s">
        <v>385</v>
      </c>
    </row>
    <row r="1637" spans="1:9">
      <c r="A1637" s="617">
        <f t="shared" si="25"/>
        <v>1633</v>
      </c>
      <c r="B1637" s="618" t="s">
        <v>199</v>
      </c>
      <c r="C1637" s="618" t="str">
        <f>"14107"</f>
        <v>14107</v>
      </c>
      <c r="D1637" s="618" t="s">
        <v>18</v>
      </c>
      <c r="E1637" s="618">
        <v>15</v>
      </c>
      <c r="F1637" s="619">
        <v>43510</v>
      </c>
      <c r="G1637" s="619">
        <v>45335</v>
      </c>
      <c r="H1637" s="618" t="s">
        <v>16</v>
      </c>
      <c r="I1637" s="618" t="s">
        <v>6862</v>
      </c>
    </row>
    <row r="1638" spans="1:9">
      <c r="A1638" s="620">
        <f t="shared" si="25"/>
        <v>1634</v>
      </c>
      <c r="B1638" s="621" t="s">
        <v>200</v>
      </c>
      <c r="C1638" s="621" t="str">
        <f>"14110"</f>
        <v>14110</v>
      </c>
      <c r="D1638" s="621" t="s">
        <v>18</v>
      </c>
      <c r="E1638" s="621">
        <v>105</v>
      </c>
      <c r="F1638" s="622">
        <v>43222</v>
      </c>
      <c r="G1638" s="622">
        <v>45047</v>
      </c>
      <c r="H1638" s="621" t="s">
        <v>45</v>
      </c>
      <c r="I1638" s="621" t="s">
        <v>6868</v>
      </c>
    </row>
    <row r="1639" spans="1:9">
      <c r="A1639" s="617">
        <f t="shared" si="25"/>
        <v>1635</v>
      </c>
      <c r="B1639" s="618" t="s">
        <v>202</v>
      </c>
      <c r="C1639" s="618" t="str">
        <f>"14131"</f>
        <v>14131</v>
      </c>
      <c r="D1639" s="618" t="s">
        <v>13</v>
      </c>
      <c r="E1639" s="618">
        <v>67</v>
      </c>
      <c r="F1639" s="619">
        <v>43744</v>
      </c>
      <c r="G1639" s="619">
        <v>49222</v>
      </c>
      <c r="H1639" s="618" t="s">
        <v>14</v>
      </c>
      <c r="I1639" s="618" t="s">
        <v>51</v>
      </c>
    </row>
    <row r="1640" spans="1:9">
      <c r="A1640" s="620">
        <f t="shared" si="25"/>
        <v>1636</v>
      </c>
      <c r="B1640" s="621" t="s">
        <v>204</v>
      </c>
      <c r="C1640" s="621" t="str">
        <f>"14142"</f>
        <v>14142</v>
      </c>
      <c r="D1640" s="621" t="s">
        <v>18</v>
      </c>
      <c r="E1640" s="621">
        <v>16</v>
      </c>
      <c r="F1640" s="622">
        <v>43169</v>
      </c>
      <c r="G1640" s="622">
        <v>44994</v>
      </c>
      <c r="H1640" s="621" t="s">
        <v>14</v>
      </c>
      <c r="I1640" s="621" t="s">
        <v>6868</v>
      </c>
    </row>
    <row r="1641" spans="1:9">
      <c r="A1641" s="617">
        <f t="shared" si="25"/>
        <v>1637</v>
      </c>
      <c r="B1641" s="618" t="s">
        <v>205</v>
      </c>
      <c r="C1641" s="618" t="str">
        <f>"14154"</f>
        <v>14154</v>
      </c>
      <c r="D1641" s="618" t="s">
        <v>18</v>
      </c>
      <c r="E1641" s="618">
        <v>4</v>
      </c>
      <c r="F1641" s="619">
        <v>43711</v>
      </c>
      <c r="G1641" s="619">
        <v>45537</v>
      </c>
      <c r="H1641" s="618" t="s">
        <v>45</v>
      </c>
      <c r="I1641" s="618" t="s">
        <v>51</v>
      </c>
    </row>
    <row r="1642" spans="1:9">
      <c r="A1642" s="620">
        <f t="shared" si="25"/>
        <v>1638</v>
      </c>
      <c r="B1642" s="621" t="s">
        <v>206</v>
      </c>
      <c r="C1642" s="621" t="str">
        <f>"14159"</f>
        <v>14159</v>
      </c>
      <c r="D1642" s="621" t="s">
        <v>18</v>
      </c>
      <c r="E1642" s="621">
        <v>30</v>
      </c>
      <c r="F1642" s="622">
        <v>43615</v>
      </c>
      <c r="G1642" s="622">
        <v>45441</v>
      </c>
      <c r="H1642" s="621" t="s">
        <v>21</v>
      </c>
      <c r="I1642" s="621" t="s">
        <v>6874</v>
      </c>
    </row>
    <row r="1643" spans="1:9">
      <c r="A1643" s="617">
        <f t="shared" si="25"/>
        <v>1639</v>
      </c>
      <c r="B1643" s="618" t="s">
        <v>207</v>
      </c>
      <c r="C1643" s="618" t="str">
        <f>"14167"</f>
        <v>14167</v>
      </c>
      <c r="D1643" s="618" t="s">
        <v>18</v>
      </c>
      <c r="E1643" s="618">
        <v>5</v>
      </c>
      <c r="F1643" s="619">
        <v>43510</v>
      </c>
      <c r="G1643" s="619">
        <v>45335</v>
      </c>
      <c r="H1643" s="618" t="s">
        <v>16</v>
      </c>
      <c r="I1643" s="618" t="s">
        <v>51</v>
      </c>
    </row>
    <row r="1644" spans="1:9">
      <c r="A1644" s="620">
        <f t="shared" si="25"/>
        <v>1640</v>
      </c>
      <c r="B1644" s="621" t="s">
        <v>207</v>
      </c>
      <c r="C1644" s="621" t="str">
        <f>"14168"</f>
        <v>14168</v>
      </c>
      <c r="D1644" s="621" t="s">
        <v>18</v>
      </c>
      <c r="E1644" s="621">
        <v>5</v>
      </c>
      <c r="F1644" s="622">
        <v>43546</v>
      </c>
      <c r="G1644" s="622">
        <v>45372</v>
      </c>
      <c r="H1644" s="621" t="s">
        <v>14</v>
      </c>
      <c r="I1644" s="621" t="s">
        <v>51</v>
      </c>
    </row>
    <row r="1645" spans="1:9">
      <c r="A1645" s="617">
        <f t="shared" si="25"/>
        <v>1641</v>
      </c>
      <c r="B1645" s="618" t="s">
        <v>208</v>
      </c>
      <c r="C1645" s="618" t="str">
        <f>"14169"</f>
        <v>14169</v>
      </c>
      <c r="D1645" s="618" t="s">
        <v>13</v>
      </c>
      <c r="E1645" s="618">
        <v>30</v>
      </c>
      <c r="F1645" s="619">
        <v>44218</v>
      </c>
      <c r="G1645" s="619">
        <v>53348</v>
      </c>
      <c r="H1645" s="618" t="s">
        <v>43</v>
      </c>
      <c r="I1645" s="618" t="s">
        <v>51</v>
      </c>
    </row>
    <row r="1646" spans="1:9">
      <c r="A1646" s="620">
        <f t="shared" si="25"/>
        <v>1642</v>
      </c>
      <c r="B1646" s="621" t="s">
        <v>1785</v>
      </c>
      <c r="C1646" s="621" t="str">
        <f>"14172"</f>
        <v>14172</v>
      </c>
      <c r="D1646" s="621" t="s">
        <v>18</v>
      </c>
      <c r="E1646" s="621">
        <v>8</v>
      </c>
      <c r="F1646" s="622">
        <v>43493</v>
      </c>
      <c r="G1646" s="622">
        <v>45318</v>
      </c>
      <c r="H1646" s="621" t="s">
        <v>47</v>
      </c>
      <c r="I1646" s="621" t="s">
        <v>385</v>
      </c>
    </row>
    <row r="1647" spans="1:9">
      <c r="A1647" s="617">
        <f t="shared" si="25"/>
        <v>1643</v>
      </c>
      <c r="B1647" s="618" t="s">
        <v>1785</v>
      </c>
      <c r="C1647" s="618" t="str">
        <f>"14173"</f>
        <v>14173</v>
      </c>
      <c r="D1647" s="618" t="s">
        <v>18</v>
      </c>
      <c r="E1647" s="618">
        <v>13</v>
      </c>
      <c r="F1647" s="619">
        <v>43493</v>
      </c>
      <c r="G1647" s="619">
        <v>45318</v>
      </c>
      <c r="H1647" s="618" t="s">
        <v>47</v>
      </c>
      <c r="I1647" s="618" t="s">
        <v>385</v>
      </c>
    </row>
    <row r="1648" spans="1:9">
      <c r="A1648" s="620">
        <f t="shared" si="25"/>
        <v>1644</v>
      </c>
      <c r="B1648" s="621" t="s">
        <v>1786</v>
      </c>
      <c r="C1648" s="621" t="str">
        <f>"14180"</f>
        <v>14180</v>
      </c>
      <c r="D1648" s="621" t="s">
        <v>18</v>
      </c>
      <c r="E1648" s="621">
        <v>29</v>
      </c>
      <c r="F1648" s="622">
        <v>43153</v>
      </c>
      <c r="G1648" s="622">
        <v>44978</v>
      </c>
      <c r="H1648" s="621" t="s">
        <v>16</v>
      </c>
      <c r="I1648" s="621" t="s">
        <v>385</v>
      </c>
    </row>
    <row r="1649" spans="1:9">
      <c r="A1649" s="617">
        <f t="shared" si="25"/>
        <v>1645</v>
      </c>
      <c r="B1649" s="618" t="s">
        <v>1786</v>
      </c>
      <c r="C1649" s="618" t="str">
        <f>"14181"</f>
        <v>14181</v>
      </c>
      <c r="D1649" s="618" t="s">
        <v>18</v>
      </c>
      <c r="E1649" s="618">
        <v>7</v>
      </c>
      <c r="F1649" s="619">
        <v>43153</v>
      </c>
      <c r="G1649" s="619">
        <v>44978</v>
      </c>
      <c r="H1649" s="618" t="s">
        <v>16</v>
      </c>
      <c r="I1649" s="618" t="s">
        <v>385</v>
      </c>
    </row>
    <row r="1650" spans="1:9">
      <c r="A1650" s="620">
        <f t="shared" si="25"/>
        <v>1646</v>
      </c>
      <c r="B1650" s="621" t="s">
        <v>198</v>
      </c>
      <c r="C1650" s="621" t="str">
        <f>"14189"</f>
        <v>14189</v>
      </c>
      <c r="D1650" s="621" t="s">
        <v>13</v>
      </c>
      <c r="E1650" s="621">
        <v>56</v>
      </c>
      <c r="F1650" s="622">
        <v>43444</v>
      </c>
      <c r="G1650" s="622">
        <v>52574</v>
      </c>
      <c r="H1650" s="621" t="s">
        <v>14</v>
      </c>
      <c r="I1650" s="621" t="s">
        <v>51</v>
      </c>
    </row>
    <row r="1651" spans="1:9">
      <c r="A1651" s="617">
        <f t="shared" si="25"/>
        <v>1647</v>
      </c>
      <c r="B1651" s="618" t="s">
        <v>209</v>
      </c>
      <c r="C1651" s="618" t="str">
        <f>"14190"</f>
        <v>14190</v>
      </c>
      <c r="D1651" s="618" t="s">
        <v>18</v>
      </c>
      <c r="E1651" s="618">
        <v>6</v>
      </c>
      <c r="F1651" s="619">
        <v>43560</v>
      </c>
      <c r="G1651" s="619">
        <v>45386</v>
      </c>
      <c r="H1651" s="618" t="s">
        <v>41</v>
      </c>
      <c r="I1651" s="618" t="s">
        <v>51</v>
      </c>
    </row>
    <row r="1652" spans="1:9">
      <c r="A1652" s="620">
        <f t="shared" si="25"/>
        <v>1648</v>
      </c>
      <c r="B1652" s="621" t="s">
        <v>209</v>
      </c>
      <c r="C1652" s="621" t="str">
        <f>"14191"</f>
        <v>14191</v>
      </c>
      <c r="D1652" s="621" t="s">
        <v>18</v>
      </c>
      <c r="E1652" s="621">
        <v>5</v>
      </c>
      <c r="F1652" s="622">
        <v>43560</v>
      </c>
      <c r="G1652" s="622">
        <v>45386</v>
      </c>
      <c r="H1652" s="621" t="s">
        <v>41</v>
      </c>
      <c r="I1652" s="621" t="s">
        <v>51</v>
      </c>
    </row>
    <row r="1653" spans="1:9">
      <c r="A1653" s="617">
        <f t="shared" si="25"/>
        <v>1649</v>
      </c>
      <c r="B1653" s="618" t="s">
        <v>209</v>
      </c>
      <c r="C1653" s="618" t="str">
        <f>"14192"</f>
        <v>14192</v>
      </c>
      <c r="D1653" s="618" t="s">
        <v>18</v>
      </c>
      <c r="E1653" s="618">
        <v>4</v>
      </c>
      <c r="F1653" s="619">
        <v>43560</v>
      </c>
      <c r="G1653" s="619">
        <v>45386</v>
      </c>
      <c r="H1653" s="618" t="s">
        <v>41</v>
      </c>
      <c r="I1653" s="618" t="s">
        <v>51</v>
      </c>
    </row>
    <row r="1654" spans="1:9">
      <c r="A1654" s="620">
        <f t="shared" si="25"/>
        <v>1650</v>
      </c>
      <c r="B1654" s="621" t="s">
        <v>97</v>
      </c>
      <c r="C1654" s="621" t="str">
        <f>"14198"</f>
        <v>14198</v>
      </c>
      <c r="D1654" s="621" t="s">
        <v>18</v>
      </c>
      <c r="E1654" s="621">
        <v>19</v>
      </c>
      <c r="F1654" s="622">
        <v>43493</v>
      </c>
      <c r="G1654" s="622">
        <v>45318</v>
      </c>
      <c r="H1654" s="621" t="s">
        <v>16</v>
      </c>
      <c r="I1654" s="621" t="s">
        <v>51</v>
      </c>
    </row>
    <row r="1655" spans="1:9">
      <c r="A1655" s="617">
        <f t="shared" si="25"/>
        <v>1651</v>
      </c>
      <c r="B1655" s="618" t="s">
        <v>210</v>
      </c>
      <c r="C1655" s="618" t="str">
        <f>"14199"</f>
        <v>14199</v>
      </c>
      <c r="D1655" s="618" t="s">
        <v>18</v>
      </c>
      <c r="E1655" s="618">
        <v>3</v>
      </c>
      <c r="F1655" s="619">
        <v>43493</v>
      </c>
      <c r="G1655" s="619">
        <v>45318</v>
      </c>
      <c r="H1655" s="618" t="s">
        <v>14</v>
      </c>
      <c r="I1655" s="618" t="s">
        <v>51</v>
      </c>
    </row>
    <row r="1656" spans="1:9">
      <c r="A1656" s="620">
        <f t="shared" si="25"/>
        <v>1652</v>
      </c>
      <c r="B1656" s="621" t="s">
        <v>211</v>
      </c>
      <c r="C1656" s="621" t="str">
        <f>"14209"</f>
        <v>14209</v>
      </c>
      <c r="D1656" s="621" t="s">
        <v>18</v>
      </c>
      <c r="E1656" s="621">
        <v>1</v>
      </c>
      <c r="F1656" s="622">
        <v>43493</v>
      </c>
      <c r="G1656" s="622">
        <v>45318</v>
      </c>
      <c r="H1656" s="621" t="s">
        <v>21</v>
      </c>
      <c r="I1656" s="621" t="s">
        <v>51</v>
      </c>
    </row>
    <row r="1657" spans="1:9">
      <c r="A1657" s="617">
        <f t="shared" si="25"/>
        <v>1653</v>
      </c>
      <c r="B1657" s="618" t="s">
        <v>211</v>
      </c>
      <c r="C1657" s="618" t="str">
        <f>"14210"</f>
        <v>14210</v>
      </c>
      <c r="D1657" s="618" t="s">
        <v>18</v>
      </c>
      <c r="E1657" s="618">
        <v>1</v>
      </c>
      <c r="F1657" s="619">
        <v>43493</v>
      </c>
      <c r="G1657" s="619">
        <v>45318</v>
      </c>
      <c r="H1657" s="618" t="s">
        <v>21</v>
      </c>
      <c r="I1657" s="618" t="s">
        <v>51</v>
      </c>
    </row>
    <row r="1658" spans="1:9">
      <c r="A1658" s="620">
        <f t="shared" si="25"/>
        <v>1654</v>
      </c>
      <c r="B1658" s="621" t="s">
        <v>211</v>
      </c>
      <c r="C1658" s="621" t="str">
        <f>"14211"</f>
        <v>14211</v>
      </c>
      <c r="D1658" s="621" t="s">
        <v>18</v>
      </c>
      <c r="E1658" s="621">
        <v>1</v>
      </c>
      <c r="F1658" s="622">
        <v>43493</v>
      </c>
      <c r="G1658" s="622">
        <v>45318</v>
      </c>
      <c r="H1658" s="621" t="s">
        <v>22</v>
      </c>
      <c r="I1658" s="621" t="s">
        <v>51</v>
      </c>
    </row>
    <row r="1659" spans="1:9">
      <c r="A1659" s="617">
        <f t="shared" si="25"/>
        <v>1655</v>
      </c>
      <c r="B1659" s="618" t="s">
        <v>211</v>
      </c>
      <c r="C1659" s="618" t="str">
        <f>"14212"</f>
        <v>14212</v>
      </c>
      <c r="D1659" s="618" t="s">
        <v>18</v>
      </c>
      <c r="E1659" s="618">
        <v>1</v>
      </c>
      <c r="F1659" s="619">
        <v>43493</v>
      </c>
      <c r="G1659" s="619">
        <v>45318</v>
      </c>
      <c r="H1659" s="618" t="s">
        <v>22</v>
      </c>
      <c r="I1659" s="618" t="s">
        <v>51</v>
      </c>
    </row>
    <row r="1660" spans="1:9">
      <c r="A1660" s="620">
        <f t="shared" si="25"/>
        <v>1656</v>
      </c>
      <c r="B1660" s="621" t="s">
        <v>211</v>
      </c>
      <c r="C1660" s="621" t="str">
        <f>"14213"</f>
        <v>14213</v>
      </c>
      <c r="D1660" s="621" t="s">
        <v>18</v>
      </c>
      <c r="E1660" s="621">
        <v>2</v>
      </c>
      <c r="F1660" s="622">
        <v>43493</v>
      </c>
      <c r="G1660" s="622">
        <v>45318</v>
      </c>
      <c r="H1660" s="621" t="s">
        <v>21</v>
      </c>
      <c r="I1660" s="621" t="s">
        <v>51</v>
      </c>
    </row>
    <row r="1661" spans="1:9">
      <c r="A1661" s="617">
        <f t="shared" si="25"/>
        <v>1657</v>
      </c>
      <c r="B1661" s="618" t="s">
        <v>1787</v>
      </c>
      <c r="C1661" s="618" t="str">
        <f>"14214"</f>
        <v>14214</v>
      </c>
      <c r="D1661" s="618" t="s">
        <v>18</v>
      </c>
      <c r="E1661" s="618">
        <v>3</v>
      </c>
      <c r="F1661" s="619">
        <v>43493</v>
      </c>
      <c r="G1661" s="619">
        <v>45318</v>
      </c>
      <c r="H1661" s="618" t="s">
        <v>14</v>
      </c>
      <c r="I1661" s="618" t="s">
        <v>6862</v>
      </c>
    </row>
    <row r="1662" spans="1:9">
      <c r="A1662" s="620">
        <f t="shared" si="25"/>
        <v>1658</v>
      </c>
      <c r="B1662" s="621" t="s">
        <v>1787</v>
      </c>
      <c r="C1662" s="621" t="str">
        <f>"14220"</f>
        <v>14220</v>
      </c>
      <c r="D1662" s="621" t="s">
        <v>18</v>
      </c>
      <c r="E1662" s="621">
        <v>1</v>
      </c>
      <c r="F1662" s="622">
        <v>43493</v>
      </c>
      <c r="G1662" s="622">
        <v>45318</v>
      </c>
      <c r="H1662" s="621" t="s">
        <v>14</v>
      </c>
      <c r="I1662" s="621" t="s">
        <v>6862</v>
      </c>
    </row>
    <row r="1663" spans="1:9">
      <c r="A1663" s="617">
        <f t="shared" si="25"/>
        <v>1659</v>
      </c>
      <c r="B1663" s="618" t="s">
        <v>1427</v>
      </c>
      <c r="C1663" s="618" t="str">
        <f>"14221"</f>
        <v>14221</v>
      </c>
      <c r="D1663" s="618" t="s">
        <v>18</v>
      </c>
      <c r="E1663" s="618">
        <v>5</v>
      </c>
      <c r="F1663" s="619">
        <v>43529</v>
      </c>
      <c r="G1663" s="619">
        <v>45355</v>
      </c>
      <c r="H1663" s="618" t="s">
        <v>14</v>
      </c>
      <c r="I1663" s="618" t="s">
        <v>385</v>
      </c>
    </row>
    <row r="1664" spans="1:9">
      <c r="A1664" s="620">
        <f t="shared" si="25"/>
        <v>1660</v>
      </c>
      <c r="B1664" s="621" t="s">
        <v>212</v>
      </c>
      <c r="C1664" s="621" t="str">
        <f>"14222"</f>
        <v>14222</v>
      </c>
      <c r="D1664" s="621" t="s">
        <v>18</v>
      </c>
      <c r="E1664" s="621">
        <v>2</v>
      </c>
      <c r="F1664" s="622">
        <v>43550</v>
      </c>
      <c r="G1664" s="622">
        <v>45376</v>
      </c>
      <c r="H1664" s="621" t="s">
        <v>23</v>
      </c>
      <c r="I1664" s="621" t="s">
        <v>51</v>
      </c>
    </row>
    <row r="1665" spans="1:9">
      <c r="A1665" s="617">
        <f t="shared" si="25"/>
        <v>1661</v>
      </c>
      <c r="B1665" s="618" t="s">
        <v>213</v>
      </c>
      <c r="C1665" s="618" t="str">
        <f>"14223"</f>
        <v>14223</v>
      </c>
      <c r="D1665" s="618" t="s">
        <v>18</v>
      </c>
      <c r="E1665" s="618">
        <v>2</v>
      </c>
      <c r="F1665" s="619">
        <v>43493</v>
      </c>
      <c r="G1665" s="619">
        <v>45318</v>
      </c>
      <c r="H1665" s="618" t="s">
        <v>28</v>
      </c>
      <c r="I1665" s="618" t="s">
        <v>51</v>
      </c>
    </row>
    <row r="1666" spans="1:9">
      <c r="A1666" s="620">
        <f t="shared" si="25"/>
        <v>1662</v>
      </c>
      <c r="B1666" s="621" t="s">
        <v>215</v>
      </c>
      <c r="C1666" s="621" t="str">
        <f>"14231"</f>
        <v>14231</v>
      </c>
      <c r="D1666" s="621" t="s">
        <v>18</v>
      </c>
      <c r="E1666" s="621">
        <v>12</v>
      </c>
      <c r="F1666" s="622">
        <v>43493</v>
      </c>
      <c r="G1666" s="622">
        <v>45318</v>
      </c>
      <c r="H1666" s="621" t="s">
        <v>14</v>
      </c>
      <c r="I1666" s="621" t="s">
        <v>51</v>
      </c>
    </row>
    <row r="1667" spans="1:9">
      <c r="A1667" s="617">
        <f t="shared" si="25"/>
        <v>1663</v>
      </c>
      <c r="B1667" s="618" t="s">
        <v>216</v>
      </c>
      <c r="C1667" s="618" t="str">
        <f>"14232"</f>
        <v>14232</v>
      </c>
      <c r="D1667" s="618" t="s">
        <v>18</v>
      </c>
      <c r="E1667" s="618">
        <v>3</v>
      </c>
      <c r="F1667" s="619">
        <v>43493</v>
      </c>
      <c r="G1667" s="619">
        <v>45318</v>
      </c>
      <c r="H1667" s="618" t="s">
        <v>14</v>
      </c>
      <c r="I1667" s="618" t="s">
        <v>51</v>
      </c>
    </row>
    <row r="1668" spans="1:9">
      <c r="A1668" s="620">
        <f t="shared" si="25"/>
        <v>1664</v>
      </c>
      <c r="B1668" s="621" t="s">
        <v>211</v>
      </c>
      <c r="C1668" s="621" t="str">
        <f>"14234"</f>
        <v>14234</v>
      </c>
      <c r="D1668" s="621" t="s">
        <v>18</v>
      </c>
      <c r="E1668" s="621">
        <v>4</v>
      </c>
      <c r="F1668" s="622">
        <v>43493</v>
      </c>
      <c r="G1668" s="622">
        <v>45318</v>
      </c>
      <c r="H1668" s="621" t="s">
        <v>28</v>
      </c>
      <c r="I1668" s="621" t="s">
        <v>51</v>
      </c>
    </row>
    <row r="1669" spans="1:9">
      <c r="A1669" s="617">
        <f t="shared" si="25"/>
        <v>1665</v>
      </c>
      <c r="B1669" s="618" t="s">
        <v>1773</v>
      </c>
      <c r="C1669" s="618" t="str">
        <f>"14237"</f>
        <v>14237</v>
      </c>
      <c r="D1669" s="618" t="s">
        <v>18</v>
      </c>
      <c r="E1669" s="618">
        <v>4</v>
      </c>
      <c r="F1669" s="619">
        <v>43585</v>
      </c>
      <c r="G1669" s="619">
        <v>45411</v>
      </c>
      <c r="H1669" s="618" t="s">
        <v>14</v>
      </c>
      <c r="I1669" s="618" t="s">
        <v>6862</v>
      </c>
    </row>
    <row r="1670" spans="1:9">
      <c r="A1670" s="620">
        <f t="shared" si="25"/>
        <v>1666</v>
      </c>
      <c r="B1670" s="621" t="s">
        <v>216</v>
      </c>
      <c r="C1670" s="621" t="str">
        <f>"14238"</f>
        <v>14238</v>
      </c>
      <c r="D1670" s="621" t="s">
        <v>18</v>
      </c>
      <c r="E1670" s="621">
        <v>6</v>
      </c>
      <c r="F1670" s="622">
        <v>43493</v>
      </c>
      <c r="G1670" s="622">
        <v>45318</v>
      </c>
      <c r="H1670" s="621" t="s">
        <v>14</v>
      </c>
      <c r="I1670" s="621" t="s">
        <v>51</v>
      </c>
    </row>
    <row r="1671" spans="1:9">
      <c r="A1671" s="617">
        <f t="shared" ref="A1671:A1734" si="26">+A1670+1</f>
        <v>1667</v>
      </c>
      <c r="B1671" s="618" t="s">
        <v>1788</v>
      </c>
      <c r="C1671" s="618" t="str">
        <f>"14240"</f>
        <v>14240</v>
      </c>
      <c r="D1671" s="618" t="s">
        <v>18</v>
      </c>
      <c r="E1671" s="618">
        <v>11</v>
      </c>
      <c r="F1671" s="619">
        <v>43493</v>
      </c>
      <c r="G1671" s="619">
        <v>45318</v>
      </c>
      <c r="H1671" s="618" t="s">
        <v>16</v>
      </c>
      <c r="I1671" s="618" t="s">
        <v>385</v>
      </c>
    </row>
    <row r="1672" spans="1:9">
      <c r="A1672" s="620">
        <f t="shared" si="26"/>
        <v>1668</v>
      </c>
      <c r="B1672" s="621" t="s">
        <v>1788</v>
      </c>
      <c r="C1672" s="621" t="str">
        <f>"14242"</f>
        <v>14242</v>
      </c>
      <c r="D1672" s="621" t="s">
        <v>18</v>
      </c>
      <c r="E1672" s="621">
        <v>10</v>
      </c>
      <c r="F1672" s="622">
        <v>43493</v>
      </c>
      <c r="G1672" s="622">
        <v>45318</v>
      </c>
      <c r="H1672" s="621" t="s">
        <v>16</v>
      </c>
      <c r="I1672" s="621" t="s">
        <v>385</v>
      </c>
    </row>
    <row r="1673" spans="1:9">
      <c r="A1673" s="617">
        <f t="shared" si="26"/>
        <v>1669</v>
      </c>
      <c r="B1673" s="618" t="s">
        <v>217</v>
      </c>
      <c r="C1673" s="618" t="str">
        <f>"14243"</f>
        <v>14243</v>
      </c>
      <c r="D1673" s="618" t="s">
        <v>18</v>
      </c>
      <c r="E1673" s="618">
        <v>7</v>
      </c>
      <c r="F1673" s="619">
        <v>43419</v>
      </c>
      <c r="G1673" s="619">
        <v>45244</v>
      </c>
      <c r="H1673" s="618" t="s">
        <v>19</v>
      </c>
      <c r="I1673" s="618" t="s">
        <v>385</v>
      </c>
    </row>
    <row r="1674" spans="1:9">
      <c r="A1674" s="620">
        <f t="shared" si="26"/>
        <v>1670</v>
      </c>
      <c r="B1674" s="621" t="s">
        <v>88</v>
      </c>
      <c r="C1674" s="621" t="str">
        <f>"14247"</f>
        <v>14247</v>
      </c>
      <c r="D1674" s="621" t="s">
        <v>13</v>
      </c>
      <c r="E1674" s="621">
        <v>25</v>
      </c>
      <c r="F1674" s="622">
        <v>43496</v>
      </c>
      <c r="G1674" s="622">
        <v>52626</v>
      </c>
      <c r="H1674" s="621" t="s">
        <v>16</v>
      </c>
      <c r="I1674" s="621" t="s">
        <v>51</v>
      </c>
    </row>
    <row r="1675" spans="1:9">
      <c r="A1675" s="617">
        <f t="shared" si="26"/>
        <v>1671</v>
      </c>
      <c r="B1675" s="618" t="s">
        <v>1789</v>
      </c>
      <c r="C1675" s="618" t="str">
        <f>"14248"</f>
        <v>14248</v>
      </c>
      <c r="D1675" s="618" t="s">
        <v>18</v>
      </c>
      <c r="E1675" s="618">
        <v>4</v>
      </c>
      <c r="F1675" s="619">
        <v>43493</v>
      </c>
      <c r="G1675" s="619">
        <v>45318</v>
      </c>
      <c r="H1675" s="618" t="s">
        <v>41</v>
      </c>
      <c r="I1675" s="618" t="s">
        <v>6862</v>
      </c>
    </row>
    <row r="1676" spans="1:9">
      <c r="A1676" s="620">
        <f t="shared" si="26"/>
        <v>1672</v>
      </c>
      <c r="B1676" s="621" t="s">
        <v>97</v>
      </c>
      <c r="C1676" s="621" t="str">
        <f>"14251"</f>
        <v>14251</v>
      </c>
      <c r="D1676" s="621" t="s">
        <v>18</v>
      </c>
      <c r="E1676" s="621">
        <v>16</v>
      </c>
      <c r="F1676" s="622">
        <v>43493</v>
      </c>
      <c r="G1676" s="622">
        <v>45318</v>
      </c>
      <c r="H1676" s="621" t="s">
        <v>16</v>
      </c>
      <c r="I1676" s="621" t="s">
        <v>51</v>
      </c>
    </row>
    <row r="1677" spans="1:9">
      <c r="A1677" s="617">
        <f t="shared" si="26"/>
        <v>1673</v>
      </c>
      <c r="B1677" s="618" t="s">
        <v>97</v>
      </c>
      <c r="C1677" s="618" t="str">
        <f>"14252"</f>
        <v>14252</v>
      </c>
      <c r="D1677" s="618" t="s">
        <v>18</v>
      </c>
      <c r="E1677" s="618">
        <v>20</v>
      </c>
      <c r="F1677" s="619">
        <v>43493</v>
      </c>
      <c r="G1677" s="619">
        <v>45318</v>
      </c>
      <c r="H1677" s="618" t="s">
        <v>14</v>
      </c>
      <c r="I1677" s="618" t="s">
        <v>51</v>
      </c>
    </row>
    <row r="1678" spans="1:9">
      <c r="A1678" s="620">
        <f t="shared" si="26"/>
        <v>1674</v>
      </c>
      <c r="B1678" s="621" t="s">
        <v>97</v>
      </c>
      <c r="C1678" s="621" t="str">
        <f>"14253"</f>
        <v>14253</v>
      </c>
      <c r="D1678" s="621" t="s">
        <v>18</v>
      </c>
      <c r="E1678" s="621">
        <v>21</v>
      </c>
      <c r="F1678" s="622">
        <v>43493</v>
      </c>
      <c r="G1678" s="622">
        <v>45318</v>
      </c>
      <c r="H1678" s="621" t="s">
        <v>14</v>
      </c>
      <c r="I1678" s="621" t="s">
        <v>51</v>
      </c>
    </row>
    <row r="1679" spans="1:9">
      <c r="A1679" s="617">
        <f t="shared" si="26"/>
        <v>1675</v>
      </c>
      <c r="B1679" s="618" t="s">
        <v>218</v>
      </c>
      <c r="C1679" s="618" t="str">
        <f>"14254"</f>
        <v>14254</v>
      </c>
      <c r="D1679" s="618" t="s">
        <v>18</v>
      </c>
      <c r="E1679" s="618">
        <v>5</v>
      </c>
      <c r="F1679" s="619">
        <v>43550</v>
      </c>
      <c r="G1679" s="619">
        <v>45376</v>
      </c>
      <c r="H1679" s="618" t="s">
        <v>16</v>
      </c>
      <c r="I1679" s="618" t="s">
        <v>51</v>
      </c>
    </row>
    <row r="1680" spans="1:9">
      <c r="A1680" s="620">
        <f t="shared" si="26"/>
        <v>1676</v>
      </c>
      <c r="B1680" s="621" t="s">
        <v>219</v>
      </c>
      <c r="C1680" s="621" t="str">
        <f>"14256"</f>
        <v>14256</v>
      </c>
      <c r="D1680" s="621" t="s">
        <v>18</v>
      </c>
      <c r="E1680" s="621">
        <v>2</v>
      </c>
      <c r="F1680" s="622">
        <v>43419</v>
      </c>
      <c r="G1680" s="622">
        <v>45244</v>
      </c>
      <c r="H1680" s="621" t="s">
        <v>56</v>
      </c>
      <c r="I1680" s="621" t="s">
        <v>6871</v>
      </c>
    </row>
    <row r="1681" spans="1:9">
      <c r="A1681" s="617">
        <f t="shared" si="26"/>
        <v>1677</v>
      </c>
      <c r="B1681" s="618" t="s">
        <v>220</v>
      </c>
      <c r="C1681" s="618" t="str">
        <f>"14257"</f>
        <v>14257</v>
      </c>
      <c r="D1681" s="618" t="s">
        <v>18</v>
      </c>
      <c r="E1681" s="618">
        <v>10</v>
      </c>
      <c r="F1681" s="619">
        <v>43585</v>
      </c>
      <c r="G1681" s="619">
        <v>45411</v>
      </c>
      <c r="H1681" s="618" t="s">
        <v>14</v>
      </c>
      <c r="I1681" s="618" t="s">
        <v>51</v>
      </c>
    </row>
    <row r="1682" spans="1:9">
      <c r="A1682" s="620">
        <f t="shared" si="26"/>
        <v>1678</v>
      </c>
      <c r="B1682" s="621" t="s">
        <v>220</v>
      </c>
      <c r="C1682" s="621" t="str">
        <f>"14258"</f>
        <v>14258</v>
      </c>
      <c r="D1682" s="621" t="s">
        <v>18</v>
      </c>
      <c r="E1682" s="621">
        <v>10</v>
      </c>
      <c r="F1682" s="622">
        <v>43585</v>
      </c>
      <c r="G1682" s="622">
        <v>45411</v>
      </c>
      <c r="H1682" s="621" t="s">
        <v>14</v>
      </c>
      <c r="I1682" s="621" t="s">
        <v>51</v>
      </c>
    </row>
    <row r="1683" spans="1:9">
      <c r="A1683" s="617">
        <f t="shared" si="26"/>
        <v>1679</v>
      </c>
      <c r="B1683" s="618" t="s">
        <v>1789</v>
      </c>
      <c r="C1683" s="618" t="str">
        <f>"14259"</f>
        <v>14259</v>
      </c>
      <c r="D1683" s="618" t="s">
        <v>18</v>
      </c>
      <c r="E1683" s="618">
        <v>2</v>
      </c>
      <c r="F1683" s="619">
        <v>43493</v>
      </c>
      <c r="G1683" s="619">
        <v>45318</v>
      </c>
      <c r="H1683" s="618" t="s">
        <v>41</v>
      </c>
      <c r="I1683" s="618" t="s">
        <v>6862</v>
      </c>
    </row>
    <row r="1684" spans="1:9">
      <c r="A1684" s="620">
        <f t="shared" si="26"/>
        <v>1680</v>
      </c>
      <c r="B1684" s="621" t="s">
        <v>1790</v>
      </c>
      <c r="C1684" s="621" t="str">
        <f>"14263"</f>
        <v>14263</v>
      </c>
      <c r="D1684" s="621" t="s">
        <v>18</v>
      </c>
      <c r="E1684" s="621">
        <v>8</v>
      </c>
      <c r="F1684" s="622">
        <v>43451</v>
      </c>
      <c r="G1684" s="622">
        <v>45276</v>
      </c>
      <c r="H1684" s="621" t="s">
        <v>16</v>
      </c>
      <c r="I1684" s="621" t="s">
        <v>385</v>
      </c>
    </row>
    <row r="1685" spans="1:9">
      <c r="A1685" s="617">
        <f t="shared" si="26"/>
        <v>1681</v>
      </c>
      <c r="B1685" s="618" t="s">
        <v>221</v>
      </c>
      <c r="C1685" s="618" t="str">
        <f>"14264"</f>
        <v>14264</v>
      </c>
      <c r="D1685" s="618" t="s">
        <v>18</v>
      </c>
      <c r="E1685" s="618">
        <v>6</v>
      </c>
      <c r="F1685" s="619">
        <v>43510</v>
      </c>
      <c r="G1685" s="619">
        <v>45335</v>
      </c>
      <c r="H1685" s="618" t="s">
        <v>14</v>
      </c>
      <c r="I1685" s="618" t="s">
        <v>51</v>
      </c>
    </row>
    <row r="1686" spans="1:9">
      <c r="A1686" s="620">
        <f t="shared" si="26"/>
        <v>1682</v>
      </c>
      <c r="B1686" s="621" t="s">
        <v>221</v>
      </c>
      <c r="C1686" s="621" t="str">
        <f>"14265"</f>
        <v>14265</v>
      </c>
      <c r="D1686" s="621" t="s">
        <v>18</v>
      </c>
      <c r="E1686" s="621">
        <v>10</v>
      </c>
      <c r="F1686" s="622">
        <v>43510</v>
      </c>
      <c r="G1686" s="622">
        <v>45335</v>
      </c>
      <c r="H1686" s="621" t="s">
        <v>16</v>
      </c>
      <c r="I1686" s="621" t="s">
        <v>51</v>
      </c>
    </row>
    <row r="1687" spans="1:9">
      <c r="A1687" s="617">
        <f t="shared" si="26"/>
        <v>1683</v>
      </c>
      <c r="B1687" s="618" t="s">
        <v>221</v>
      </c>
      <c r="C1687" s="618" t="str">
        <f>"14266"</f>
        <v>14266</v>
      </c>
      <c r="D1687" s="618" t="s">
        <v>18</v>
      </c>
      <c r="E1687" s="618">
        <v>2</v>
      </c>
      <c r="F1687" s="619">
        <v>43510</v>
      </c>
      <c r="G1687" s="619">
        <v>45335</v>
      </c>
      <c r="H1687" s="618" t="s">
        <v>14</v>
      </c>
      <c r="I1687" s="618" t="s">
        <v>51</v>
      </c>
    </row>
    <row r="1688" spans="1:9">
      <c r="A1688" s="620">
        <f t="shared" si="26"/>
        <v>1684</v>
      </c>
      <c r="B1688" s="621" t="s">
        <v>221</v>
      </c>
      <c r="C1688" s="621" t="str">
        <f>"14267"</f>
        <v>14267</v>
      </c>
      <c r="D1688" s="621" t="s">
        <v>18</v>
      </c>
      <c r="E1688" s="621">
        <v>19</v>
      </c>
      <c r="F1688" s="622">
        <v>43510</v>
      </c>
      <c r="G1688" s="622">
        <v>45335</v>
      </c>
      <c r="H1688" s="621" t="s">
        <v>16</v>
      </c>
      <c r="I1688" s="621" t="s">
        <v>51</v>
      </c>
    </row>
    <row r="1689" spans="1:9">
      <c r="A1689" s="617">
        <f t="shared" si="26"/>
        <v>1685</v>
      </c>
      <c r="B1689" s="618" t="s">
        <v>221</v>
      </c>
      <c r="C1689" s="618" t="str">
        <f>"14268"</f>
        <v>14268</v>
      </c>
      <c r="D1689" s="618" t="s">
        <v>18</v>
      </c>
      <c r="E1689" s="618">
        <v>8</v>
      </c>
      <c r="F1689" s="619">
        <v>43510</v>
      </c>
      <c r="G1689" s="619">
        <v>45335</v>
      </c>
      <c r="H1689" s="618" t="s">
        <v>16</v>
      </c>
      <c r="I1689" s="618" t="s">
        <v>51</v>
      </c>
    </row>
    <row r="1690" spans="1:9">
      <c r="A1690" s="620">
        <f t="shared" si="26"/>
        <v>1686</v>
      </c>
      <c r="B1690" s="621" t="s">
        <v>207</v>
      </c>
      <c r="C1690" s="621" t="str">
        <f>"14269"</f>
        <v>14269</v>
      </c>
      <c r="D1690" s="621" t="s">
        <v>18</v>
      </c>
      <c r="E1690" s="621">
        <v>8</v>
      </c>
      <c r="F1690" s="622">
        <v>43546</v>
      </c>
      <c r="G1690" s="622">
        <v>45372</v>
      </c>
      <c r="H1690" s="621" t="s">
        <v>14</v>
      </c>
      <c r="I1690" s="621" t="s">
        <v>51</v>
      </c>
    </row>
    <row r="1691" spans="1:9">
      <c r="A1691" s="617">
        <f t="shared" si="26"/>
        <v>1687</v>
      </c>
      <c r="B1691" s="618" t="s">
        <v>222</v>
      </c>
      <c r="C1691" s="618" t="str">
        <f>"14272"</f>
        <v>14272</v>
      </c>
      <c r="D1691" s="618" t="s">
        <v>18</v>
      </c>
      <c r="E1691" s="618">
        <v>7</v>
      </c>
      <c r="F1691" s="619">
        <v>43543</v>
      </c>
      <c r="G1691" s="619">
        <v>45369</v>
      </c>
      <c r="H1691" s="618" t="s">
        <v>14</v>
      </c>
      <c r="I1691" s="618" t="s">
        <v>51</v>
      </c>
    </row>
    <row r="1692" spans="1:9">
      <c r="A1692" s="620">
        <f t="shared" si="26"/>
        <v>1688</v>
      </c>
      <c r="B1692" s="621" t="s">
        <v>223</v>
      </c>
      <c r="C1692" s="621" t="str">
        <f>"14273"</f>
        <v>14273</v>
      </c>
      <c r="D1692" s="621" t="s">
        <v>18</v>
      </c>
      <c r="E1692" s="621">
        <v>10</v>
      </c>
      <c r="F1692" s="622">
        <v>43650</v>
      </c>
      <c r="G1692" s="622">
        <v>45476</v>
      </c>
      <c r="H1692" s="621" t="s">
        <v>31</v>
      </c>
      <c r="I1692" s="621" t="s">
        <v>51</v>
      </c>
    </row>
    <row r="1693" spans="1:9">
      <c r="A1693" s="617">
        <f t="shared" si="26"/>
        <v>1689</v>
      </c>
      <c r="B1693" s="618" t="s">
        <v>198</v>
      </c>
      <c r="C1693" s="618" t="str">
        <f>"14274"</f>
        <v>14274</v>
      </c>
      <c r="D1693" s="618" t="s">
        <v>18</v>
      </c>
      <c r="E1693" s="618">
        <v>60</v>
      </c>
      <c r="F1693" s="619">
        <v>43585</v>
      </c>
      <c r="G1693" s="619">
        <v>45411</v>
      </c>
      <c r="H1693" s="618" t="s">
        <v>43</v>
      </c>
      <c r="I1693" s="618" t="s">
        <v>51</v>
      </c>
    </row>
    <row r="1694" spans="1:9">
      <c r="A1694" s="620">
        <f t="shared" si="26"/>
        <v>1690</v>
      </c>
      <c r="B1694" s="621" t="s">
        <v>198</v>
      </c>
      <c r="C1694" s="621" t="str">
        <f>"14275"</f>
        <v>14275</v>
      </c>
      <c r="D1694" s="621" t="s">
        <v>18</v>
      </c>
      <c r="E1694" s="621">
        <v>6</v>
      </c>
      <c r="F1694" s="622">
        <v>43585</v>
      </c>
      <c r="G1694" s="622">
        <v>45411</v>
      </c>
      <c r="H1694" s="621" t="s">
        <v>16</v>
      </c>
      <c r="I1694" s="621" t="s">
        <v>51</v>
      </c>
    </row>
    <row r="1695" spans="1:9">
      <c r="A1695" s="617">
        <f t="shared" si="26"/>
        <v>1691</v>
      </c>
      <c r="B1695" s="618" t="s">
        <v>367</v>
      </c>
      <c r="C1695" s="618" t="str">
        <f>"14276"</f>
        <v>14276</v>
      </c>
      <c r="D1695" s="618" t="s">
        <v>13</v>
      </c>
      <c r="E1695" s="618">
        <v>27</v>
      </c>
      <c r="F1695" s="619">
        <v>43425</v>
      </c>
      <c r="G1695" s="619">
        <v>47260</v>
      </c>
      <c r="H1695" s="618" t="s">
        <v>43</v>
      </c>
      <c r="I1695" s="618" t="s">
        <v>51</v>
      </c>
    </row>
    <row r="1696" spans="1:9">
      <c r="A1696" s="620">
        <f t="shared" si="26"/>
        <v>1692</v>
      </c>
      <c r="B1696" s="621" t="s">
        <v>224</v>
      </c>
      <c r="C1696" s="621" t="str">
        <f>"14277"</f>
        <v>14277</v>
      </c>
      <c r="D1696" s="621" t="s">
        <v>18</v>
      </c>
      <c r="E1696" s="621">
        <v>6</v>
      </c>
      <c r="F1696" s="622">
        <v>43550</v>
      </c>
      <c r="G1696" s="622">
        <v>45376</v>
      </c>
      <c r="H1696" s="621" t="s">
        <v>14</v>
      </c>
      <c r="I1696" s="621" t="s">
        <v>6883</v>
      </c>
    </row>
    <row r="1697" spans="1:9">
      <c r="A1697" s="617">
        <f t="shared" si="26"/>
        <v>1693</v>
      </c>
      <c r="B1697" s="618" t="s">
        <v>224</v>
      </c>
      <c r="C1697" s="618" t="str">
        <f>"14278"</f>
        <v>14278</v>
      </c>
      <c r="D1697" s="618" t="s">
        <v>18</v>
      </c>
      <c r="E1697" s="618">
        <v>6</v>
      </c>
      <c r="F1697" s="619">
        <v>44194</v>
      </c>
      <c r="G1697" s="619">
        <v>46019</v>
      </c>
      <c r="H1697" s="618" t="s">
        <v>14</v>
      </c>
      <c r="I1697" s="618" t="s">
        <v>51</v>
      </c>
    </row>
    <row r="1698" spans="1:9">
      <c r="A1698" s="620">
        <f t="shared" si="26"/>
        <v>1694</v>
      </c>
      <c r="B1698" s="621" t="s">
        <v>223</v>
      </c>
      <c r="C1698" s="621" t="str">
        <f>"14279"</f>
        <v>14279</v>
      </c>
      <c r="D1698" s="621" t="s">
        <v>18</v>
      </c>
      <c r="E1698" s="621">
        <v>6</v>
      </c>
      <c r="F1698" s="622">
        <v>43550</v>
      </c>
      <c r="G1698" s="622">
        <v>45376</v>
      </c>
      <c r="H1698" s="621" t="s">
        <v>14</v>
      </c>
      <c r="I1698" s="621" t="s">
        <v>6862</v>
      </c>
    </row>
    <row r="1699" spans="1:9">
      <c r="A1699" s="617">
        <f t="shared" si="26"/>
        <v>1695</v>
      </c>
      <c r="B1699" s="618" t="s">
        <v>197</v>
      </c>
      <c r="C1699" s="618" t="str">
        <f>"14280"</f>
        <v>14280</v>
      </c>
      <c r="D1699" s="618" t="s">
        <v>18</v>
      </c>
      <c r="E1699" s="618">
        <v>4</v>
      </c>
      <c r="F1699" s="619">
        <v>43577</v>
      </c>
      <c r="G1699" s="619">
        <v>45403</v>
      </c>
      <c r="H1699" s="618" t="s">
        <v>16</v>
      </c>
      <c r="I1699" s="618" t="s">
        <v>51</v>
      </c>
    </row>
    <row r="1700" spans="1:9">
      <c r="A1700" s="620">
        <f t="shared" si="26"/>
        <v>1696</v>
      </c>
      <c r="B1700" s="621" t="s">
        <v>88</v>
      </c>
      <c r="C1700" s="621" t="str">
        <f>"14286"</f>
        <v>14286</v>
      </c>
      <c r="D1700" s="621" t="s">
        <v>18</v>
      </c>
      <c r="E1700" s="621">
        <v>1</v>
      </c>
      <c r="F1700" s="622">
        <v>43543</v>
      </c>
      <c r="G1700" s="622">
        <v>45369</v>
      </c>
      <c r="H1700" s="621" t="s">
        <v>16</v>
      </c>
      <c r="I1700" s="621" t="s">
        <v>6868</v>
      </c>
    </row>
    <row r="1701" spans="1:9">
      <c r="A1701" s="617">
        <f t="shared" si="26"/>
        <v>1697</v>
      </c>
      <c r="B1701" s="618" t="s">
        <v>194</v>
      </c>
      <c r="C1701" s="618" t="str">
        <f>"14287"</f>
        <v>14287</v>
      </c>
      <c r="D1701" s="618" t="s">
        <v>18</v>
      </c>
      <c r="E1701" s="618">
        <v>9</v>
      </c>
      <c r="F1701" s="619">
        <v>43550</v>
      </c>
      <c r="G1701" s="619">
        <v>45376</v>
      </c>
      <c r="H1701" s="618" t="s">
        <v>28</v>
      </c>
      <c r="I1701" s="618" t="s">
        <v>6868</v>
      </c>
    </row>
    <row r="1702" spans="1:9">
      <c r="A1702" s="620">
        <f t="shared" si="26"/>
        <v>1698</v>
      </c>
      <c r="B1702" s="621" t="s">
        <v>1784</v>
      </c>
      <c r="C1702" s="621" t="str">
        <f>"14294"</f>
        <v>14294</v>
      </c>
      <c r="D1702" s="621" t="s">
        <v>18</v>
      </c>
      <c r="E1702" s="621">
        <v>218</v>
      </c>
      <c r="F1702" s="622">
        <v>43516</v>
      </c>
      <c r="G1702" s="622">
        <v>45341</v>
      </c>
      <c r="H1702" s="621" t="s">
        <v>22</v>
      </c>
      <c r="I1702" s="621" t="s">
        <v>6859</v>
      </c>
    </row>
    <row r="1703" spans="1:9">
      <c r="A1703" s="617">
        <f t="shared" si="26"/>
        <v>1699</v>
      </c>
      <c r="B1703" s="618" t="s">
        <v>225</v>
      </c>
      <c r="C1703" s="618" t="str">
        <f>"14295"</f>
        <v>14295</v>
      </c>
      <c r="D1703" s="618" t="s">
        <v>18</v>
      </c>
      <c r="E1703" s="618">
        <v>4</v>
      </c>
      <c r="F1703" s="619">
        <v>43493</v>
      </c>
      <c r="G1703" s="619">
        <v>45318</v>
      </c>
      <c r="H1703" s="618" t="s">
        <v>14</v>
      </c>
      <c r="I1703" s="618" t="s">
        <v>51</v>
      </c>
    </row>
    <row r="1704" spans="1:9">
      <c r="A1704" s="620">
        <f t="shared" si="26"/>
        <v>1700</v>
      </c>
      <c r="B1704" s="621" t="s">
        <v>225</v>
      </c>
      <c r="C1704" s="621" t="str">
        <f>"14296"</f>
        <v>14296</v>
      </c>
      <c r="D1704" s="621" t="s">
        <v>18</v>
      </c>
      <c r="E1704" s="621">
        <v>4</v>
      </c>
      <c r="F1704" s="622">
        <v>43493</v>
      </c>
      <c r="G1704" s="622">
        <v>45318</v>
      </c>
      <c r="H1704" s="621" t="s">
        <v>14</v>
      </c>
      <c r="I1704" s="621" t="s">
        <v>51</v>
      </c>
    </row>
    <row r="1705" spans="1:9">
      <c r="A1705" s="617">
        <f t="shared" si="26"/>
        <v>1701</v>
      </c>
      <c r="B1705" s="618" t="s">
        <v>256</v>
      </c>
      <c r="C1705" s="618" t="str">
        <f>"14297"</f>
        <v>14297</v>
      </c>
      <c r="D1705" s="618" t="s">
        <v>18</v>
      </c>
      <c r="E1705" s="618">
        <v>7</v>
      </c>
      <c r="F1705" s="619">
        <v>43614</v>
      </c>
      <c r="G1705" s="619">
        <v>45440</v>
      </c>
      <c r="H1705" s="618" t="s">
        <v>14</v>
      </c>
      <c r="I1705" s="618" t="s">
        <v>385</v>
      </c>
    </row>
    <row r="1706" spans="1:9">
      <c r="A1706" s="620">
        <f t="shared" si="26"/>
        <v>1702</v>
      </c>
      <c r="B1706" s="621" t="s">
        <v>226</v>
      </c>
      <c r="C1706" s="621" t="str">
        <f>"14298"</f>
        <v>14298</v>
      </c>
      <c r="D1706" s="621" t="s">
        <v>18</v>
      </c>
      <c r="E1706" s="621">
        <v>7</v>
      </c>
      <c r="F1706" s="622">
        <v>43496</v>
      </c>
      <c r="G1706" s="622">
        <v>45321</v>
      </c>
      <c r="H1706" s="621" t="s">
        <v>16</v>
      </c>
      <c r="I1706" s="621" t="s">
        <v>6862</v>
      </c>
    </row>
    <row r="1707" spans="1:9">
      <c r="A1707" s="617">
        <f t="shared" si="26"/>
        <v>1703</v>
      </c>
      <c r="B1707" s="618" t="s">
        <v>226</v>
      </c>
      <c r="C1707" s="618" t="str">
        <f>"14299"</f>
        <v>14299</v>
      </c>
      <c r="D1707" s="618" t="s">
        <v>18</v>
      </c>
      <c r="E1707" s="618">
        <v>9</v>
      </c>
      <c r="F1707" s="619">
        <v>43496</v>
      </c>
      <c r="G1707" s="619">
        <v>45321</v>
      </c>
      <c r="H1707" s="618" t="s">
        <v>14</v>
      </c>
      <c r="I1707" s="618" t="s">
        <v>6862</v>
      </c>
    </row>
    <row r="1708" spans="1:9">
      <c r="A1708" s="620">
        <f t="shared" si="26"/>
        <v>1704</v>
      </c>
      <c r="B1708" s="621" t="s">
        <v>227</v>
      </c>
      <c r="C1708" s="621" t="str">
        <f>"14300"</f>
        <v>14300</v>
      </c>
      <c r="D1708" s="621" t="s">
        <v>18</v>
      </c>
      <c r="E1708" s="621">
        <v>3</v>
      </c>
      <c r="F1708" s="622">
        <v>43670</v>
      </c>
      <c r="G1708" s="622">
        <v>45496</v>
      </c>
      <c r="H1708" s="621" t="s">
        <v>14</v>
      </c>
      <c r="I1708" s="621" t="s">
        <v>51</v>
      </c>
    </row>
    <row r="1709" spans="1:9">
      <c r="A1709" s="617">
        <f t="shared" si="26"/>
        <v>1705</v>
      </c>
      <c r="B1709" s="618" t="s">
        <v>227</v>
      </c>
      <c r="C1709" s="618" t="str">
        <f>"14301"</f>
        <v>14301</v>
      </c>
      <c r="D1709" s="618" t="s">
        <v>18</v>
      </c>
      <c r="E1709" s="618">
        <v>6</v>
      </c>
      <c r="F1709" s="619">
        <v>43670</v>
      </c>
      <c r="G1709" s="619">
        <v>45496</v>
      </c>
      <c r="H1709" s="618" t="s">
        <v>16</v>
      </c>
      <c r="I1709" s="618" t="s">
        <v>6862</v>
      </c>
    </row>
    <row r="1710" spans="1:9">
      <c r="A1710" s="620">
        <f t="shared" si="26"/>
        <v>1706</v>
      </c>
      <c r="B1710" s="621" t="s">
        <v>228</v>
      </c>
      <c r="C1710" s="621" t="str">
        <f>"14302"</f>
        <v>14302</v>
      </c>
      <c r="D1710" s="621" t="s">
        <v>18</v>
      </c>
      <c r="E1710" s="621">
        <v>16</v>
      </c>
      <c r="F1710" s="622">
        <v>43510</v>
      </c>
      <c r="G1710" s="622">
        <v>45335</v>
      </c>
      <c r="H1710" s="621" t="s">
        <v>16</v>
      </c>
      <c r="I1710" s="621" t="s">
        <v>6862</v>
      </c>
    </row>
    <row r="1711" spans="1:9">
      <c r="A1711" s="617">
        <f t="shared" si="26"/>
        <v>1707</v>
      </c>
      <c r="B1711" s="618" t="s">
        <v>228</v>
      </c>
      <c r="C1711" s="618" t="str">
        <f>"14303"</f>
        <v>14303</v>
      </c>
      <c r="D1711" s="618" t="s">
        <v>18</v>
      </c>
      <c r="E1711" s="618">
        <v>1</v>
      </c>
      <c r="F1711" s="619">
        <v>43510</v>
      </c>
      <c r="G1711" s="619">
        <v>45335</v>
      </c>
      <c r="H1711" s="618" t="s">
        <v>14</v>
      </c>
      <c r="I1711" s="618" t="s">
        <v>6862</v>
      </c>
    </row>
    <row r="1712" spans="1:9">
      <c r="A1712" s="620">
        <f t="shared" si="26"/>
        <v>1708</v>
      </c>
      <c r="B1712" s="621" t="s">
        <v>228</v>
      </c>
      <c r="C1712" s="621" t="str">
        <f>"14304"</f>
        <v>14304</v>
      </c>
      <c r="D1712" s="621" t="s">
        <v>18</v>
      </c>
      <c r="E1712" s="621">
        <v>5</v>
      </c>
      <c r="F1712" s="622">
        <v>43510</v>
      </c>
      <c r="G1712" s="622">
        <v>45335</v>
      </c>
      <c r="H1712" s="621" t="s">
        <v>14</v>
      </c>
      <c r="I1712" s="621" t="s">
        <v>6862</v>
      </c>
    </row>
    <row r="1713" spans="1:9">
      <c r="A1713" s="617">
        <f t="shared" si="26"/>
        <v>1709</v>
      </c>
      <c r="B1713" s="618" t="s">
        <v>228</v>
      </c>
      <c r="C1713" s="618" t="str">
        <f>"14305"</f>
        <v>14305</v>
      </c>
      <c r="D1713" s="618" t="s">
        <v>18</v>
      </c>
      <c r="E1713" s="618">
        <v>7</v>
      </c>
      <c r="F1713" s="619">
        <v>43510</v>
      </c>
      <c r="G1713" s="619">
        <v>45335</v>
      </c>
      <c r="H1713" s="618" t="s">
        <v>16</v>
      </c>
      <c r="I1713" s="618" t="s">
        <v>6868</v>
      </c>
    </row>
    <row r="1714" spans="1:9">
      <c r="A1714" s="620">
        <f t="shared" si="26"/>
        <v>1710</v>
      </c>
      <c r="B1714" s="621" t="s">
        <v>229</v>
      </c>
      <c r="C1714" s="621" t="str">
        <f>"14306"</f>
        <v>14306</v>
      </c>
      <c r="D1714" s="621" t="s">
        <v>18</v>
      </c>
      <c r="E1714" s="621">
        <v>1</v>
      </c>
      <c r="F1714" s="622">
        <v>43585</v>
      </c>
      <c r="G1714" s="622">
        <v>45411</v>
      </c>
      <c r="H1714" s="621" t="s">
        <v>16</v>
      </c>
      <c r="I1714" s="621" t="s">
        <v>51</v>
      </c>
    </row>
    <row r="1715" spans="1:9">
      <c r="A1715" s="617">
        <f t="shared" si="26"/>
        <v>1711</v>
      </c>
      <c r="B1715" s="618" t="s">
        <v>200</v>
      </c>
      <c r="C1715" s="618" t="str">
        <f>"14312"</f>
        <v>14312</v>
      </c>
      <c r="D1715" s="618" t="s">
        <v>18</v>
      </c>
      <c r="E1715" s="618">
        <v>68</v>
      </c>
      <c r="F1715" s="619">
        <v>43650</v>
      </c>
      <c r="G1715" s="619">
        <v>45476</v>
      </c>
      <c r="H1715" s="618" t="s">
        <v>19</v>
      </c>
      <c r="I1715" s="618" t="s">
        <v>51</v>
      </c>
    </row>
    <row r="1716" spans="1:9">
      <c r="A1716" s="620">
        <f t="shared" si="26"/>
        <v>1712</v>
      </c>
      <c r="B1716" s="621" t="s">
        <v>222</v>
      </c>
      <c r="C1716" s="621" t="str">
        <f>"14313"</f>
        <v>14313</v>
      </c>
      <c r="D1716" s="621" t="s">
        <v>18</v>
      </c>
      <c r="E1716" s="621">
        <v>20</v>
      </c>
      <c r="F1716" s="622">
        <v>43543</v>
      </c>
      <c r="G1716" s="622">
        <v>45369</v>
      </c>
      <c r="H1716" s="621" t="s">
        <v>16</v>
      </c>
      <c r="I1716" s="621" t="s">
        <v>51</v>
      </c>
    </row>
    <row r="1717" spans="1:9">
      <c r="A1717" s="617">
        <f t="shared" si="26"/>
        <v>1713</v>
      </c>
      <c r="B1717" s="618" t="s">
        <v>222</v>
      </c>
      <c r="C1717" s="618" t="str">
        <f>"14314"</f>
        <v>14314</v>
      </c>
      <c r="D1717" s="618" t="s">
        <v>18</v>
      </c>
      <c r="E1717" s="618">
        <v>18</v>
      </c>
      <c r="F1717" s="619">
        <v>43543</v>
      </c>
      <c r="G1717" s="619">
        <v>45369</v>
      </c>
      <c r="H1717" s="618" t="s">
        <v>16</v>
      </c>
      <c r="I1717" s="618" t="s">
        <v>51</v>
      </c>
    </row>
    <row r="1718" spans="1:9">
      <c r="A1718" s="620">
        <f t="shared" si="26"/>
        <v>1714</v>
      </c>
      <c r="B1718" s="621" t="s">
        <v>230</v>
      </c>
      <c r="C1718" s="621" t="str">
        <f>"14315"</f>
        <v>14315</v>
      </c>
      <c r="D1718" s="621" t="s">
        <v>18</v>
      </c>
      <c r="E1718" s="621">
        <v>10</v>
      </c>
      <c r="F1718" s="622">
        <v>43493</v>
      </c>
      <c r="G1718" s="622">
        <v>45318</v>
      </c>
      <c r="H1718" s="621" t="s">
        <v>14</v>
      </c>
      <c r="I1718" s="621" t="s">
        <v>51</v>
      </c>
    </row>
    <row r="1719" spans="1:9">
      <c r="A1719" s="617">
        <f t="shared" si="26"/>
        <v>1715</v>
      </c>
      <c r="B1719" s="618" t="s">
        <v>1027</v>
      </c>
      <c r="C1719" s="618" t="str">
        <f>"14318"</f>
        <v>14318</v>
      </c>
      <c r="D1719" s="618" t="s">
        <v>18</v>
      </c>
      <c r="E1719" s="618">
        <v>1</v>
      </c>
      <c r="F1719" s="619">
        <v>43508</v>
      </c>
      <c r="G1719" s="619">
        <v>45333</v>
      </c>
      <c r="H1719" s="618" t="s">
        <v>16</v>
      </c>
      <c r="I1719" s="618" t="s">
        <v>385</v>
      </c>
    </row>
    <row r="1720" spans="1:9">
      <c r="A1720" s="620">
        <f t="shared" si="26"/>
        <v>1716</v>
      </c>
      <c r="B1720" s="621" t="s">
        <v>1027</v>
      </c>
      <c r="C1720" s="621" t="str">
        <f>"14319"</f>
        <v>14319</v>
      </c>
      <c r="D1720" s="621" t="s">
        <v>18</v>
      </c>
      <c r="E1720" s="621">
        <v>4</v>
      </c>
      <c r="F1720" s="622">
        <v>43493</v>
      </c>
      <c r="G1720" s="622">
        <v>45318</v>
      </c>
      <c r="H1720" s="621" t="s">
        <v>16</v>
      </c>
      <c r="I1720" s="621" t="s">
        <v>385</v>
      </c>
    </row>
    <row r="1721" spans="1:9">
      <c r="A1721" s="617">
        <f t="shared" si="26"/>
        <v>1717</v>
      </c>
      <c r="B1721" s="618" t="s">
        <v>198</v>
      </c>
      <c r="C1721" s="618" t="str">
        <f>"14322"</f>
        <v>14322</v>
      </c>
      <c r="D1721" s="618" t="s">
        <v>18</v>
      </c>
      <c r="E1721" s="618">
        <v>15</v>
      </c>
      <c r="F1721" s="619">
        <v>43542</v>
      </c>
      <c r="G1721" s="619">
        <v>45368</v>
      </c>
      <c r="H1721" s="618" t="s">
        <v>28</v>
      </c>
      <c r="I1721" s="618" t="s">
        <v>51</v>
      </c>
    </row>
    <row r="1722" spans="1:9">
      <c r="A1722" s="620">
        <f t="shared" si="26"/>
        <v>1718</v>
      </c>
      <c r="B1722" s="621" t="s">
        <v>228</v>
      </c>
      <c r="C1722" s="621" t="str">
        <f>"14323"</f>
        <v>14323</v>
      </c>
      <c r="D1722" s="621" t="s">
        <v>18</v>
      </c>
      <c r="E1722" s="621">
        <v>4</v>
      </c>
      <c r="F1722" s="622">
        <v>43510</v>
      </c>
      <c r="G1722" s="622">
        <v>45335</v>
      </c>
      <c r="H1722" s="621" t="s">
        <v>14</v>
      </c>
      <c r="I1722" s="621" t="s">
        <v>6862</v>
      </c>
    </row>
    <row r="1723" spans="1:9">
      <c r="A1723" s="617">
        <f t="shared" si="26"/>
        <v>1719</v>
      </c>
      <c r="B1723" s="618" t="s">
        <v>229</v>
      </c>
      <c r="C1723" s="618" t="str">
        <f>"14324"</f>
        <v>14324</v>
      </c>
      <c r="D1723" s="618" t="s">
        <v>18</v>
      </c>
      <c r="E1723" s="618">
        <v>3</v>
      </c>
      <c r="F1723" s="619">
        <v>43585</v>
      </c>
      <c r="G1723" s="619">
        <v>45411</v>
      </c>
      <c r="H1723" s="618" t="s">
        <v>14</v>
      </c>
      <c r="I1723" s="618" t="s">
        <v>51</v>
      </c>
    </row>
    <row r="1724" spans="1:9">
      <c r="A1724" s="620">
        <f t="shared" si="26"/>
        <v>1720</v>
      </c>
      <c r="B1724" s="621" t="s">
        <v>231</v>
      </c>
      <c r="C1724" s="621" t="str">
        <f>"14325"</f>
        <v>14325</v>
      </c>
      <c r="D1724" s="621" t="s">
        <v>18</v>
      </c>
      <c r="E1724" s="621">
        <v>100</v>
      </c>
      <c r="F1724" s="622">
        <v>43577</v>
      </c>
      <c r="G1724" s="622">
        <v>45403</v>
      </c>
      <c r="H1724" s="621" t="s">
        <v>29</v>
      </c>
      <c r="I1724" s="621" t="s">
        <v>6861</v>
      </c>
    </row>
    <row r="1725" spans="1:9">
      <c r="A1725" s="617">
        <f t="shared" si="26"/>
        <v>1721</v>
      </c>
      <c r="B1725" s="618" t="s">
        <v>231</v>
      </c>
      <c r="C1725" s="618" t="str">
        <f>"14326"</f>
        <v>14326</v>
      </c>
      <c r="D1725" s="618" t="s">
        <v>18</v>
      </c>
      <c r="E1725" s="618">
        <v>92</v>
      </c>
      <c r="F1725" s="619">
        <v>43493</v>
      </c>
      <c r="G1725" s="619">
        <v>45318</v>
      </c>
      <c r="H1725" s="618" t="s">
        <v>29</v>
      </c>
      <c r="I1725" s="618" t="s">
        <v>6861</v>
      </c>
    </row>
    <row r="1726" spans="1:9">
      <c r="A1726" s="620">
        <f t="shared" si="26"/>
        <v>1722</v>
      </c>
      <c r="B1726" s="621" t="s">
        <v>231</v>
      </c>
      <c r="C1726" s="621" t="str">
        <f>"14327"</f>
        <v>14327</v>
      </c>
      <c r="D1726" s="621" t="s">
        <v>18</v>
      </c>
      <c r="E1726" s="621">
        <v>9</v>
      </c>
      <c r="F1726" s="622">
        <v>43550</v>
      </c>
      <c r="G1726" s="622">
        <v>45376</v>
      </c>
      <c r="H1726" s="621" t="s">
        <v>29</v>
      </c>
      <c r="I1726" s="621" t="s">
        <v>6861</v>
      </c>
    </row>
    <row r="1727" spans="1:9">
      <c r="A1727" s="617">
        <f t="shared" si="26"/>
        <v>1723</v>
      </c>
      <c r="B1727" s="618" t="s">
        <v>232</v>
      </c>
      <c r="C1727" s="618" t="str">
        <f>"14328"</f>
        <v>14328</v>
      </c>
      <c r="D1727" s="618" t="s">
        <v>18</v>
      </c>
      <c r="E1727" s="618">
        <v>21</v>
      </c>
      <c r="F1727" s="619">
        <v>43563</v>
      </c>
      <c r="G1727" s="619">
        <v>45389</v>
      </c>
      <c r="H1727" s="618" t="s">
        <v>233</v>
      </c>
      <c r="I1727" s="618" t="s">
        <v>51</v>
      </c>
    </row>
    <row r="1728" spans="1:9">
      <c r="A1728" s="620">
        <f t="shared" si="26"/>
        <v>1724</v>
      </c>
      <c r="B1728" s="621" t="s">
        <v>222</v>
      </c>
      <c r="C1728" s="621" t="str">
        <f>"14331"</f>
        <v>14331</v>
      </c>
      <c r="D1728" s="621" t="s">
        <v>18</v>
      </c>
      <c r="E1728" s="621">
        <v>9</v>
      </c>
      <c r="F1728" s="622">
        <v>43508</v>
      </c>
      <c r="G1728" s="622">
        <v>45333</v>
      </c>
      <c r="H1728" s="621" t="s">
        <v>14</v>
      </c>
      <c r="I1728" s="621" t="s">
        <v>51</v>
      </c>
    </row>
    <row r="1729" spans="1:9">
      <c r="A1729" s="617">
        <f t="shared" si="26"/>
        <v>1725</v>
      </c>
      <c r="B1729" s="618" t="s">
        <v>222</v>
      </c>
      <c r="C1729" s="618" t="str">
        <f>"14332"</f>
        <v>14332</v>
      </c>
      <c r="D1729" s="618" t="s">
        <v>18</v>
      </c>
      <c r="E1729" s="618">
        <v>25</v>
      </c>
      <c r="F1729" s="619">
        <v>43543</v>
      </c>
      <c r="G1729" s="619">
        <v>45369</v>
      </c>
      <c r="H1729" s="618" t="s">
        <v>14</v>
      </c>
      <c r="I1729" s="618" t="s">
        <v>51</v>
      </c>
    </row>
    <row r="1730" spans="1:9">
      <c r="A1730" s="620">
        <f t="shared" si="26"/>
        <v>1726</v>
      </c>
      <c r="B1730" s="621" t="s">
        <v>222</v>
      </c>
      <c r="C1730" s="621" t="str">
        <f>"14333"</f>
        <v>14333</v>
      </c>
      <c r="D1730" s="621" t="s">
        <v>18</v>
      </c>
      <c r="E1730" s="621">
        <v>12</v>
      </c>
      <c r="F1730" s="622">
        <v>43535</v>
      </c>
      <c r="G1730" s="622">
        <v>45361</v>
      </c>
      <c r="H1730" s="621" t="s">
        <v>14</v>
      </c>
      <c r="I1730" s="621" t="s">
        <v>51</v>
      </c>
    </row>
    <row r="1731" spans="1:9">
      <c r="A1731" s="617">
        <f t="shared" si="26"/>
        <v>1727</v>
      </c>
      <c r="B1731" s="618" t="s">
        <v>222</v>
      </c>
      <c r="C1731" s="618" t="str">
        <f>"14334"</f>
        <v>14334</v>
      </c>
      <c r="D1731" s="618" t="s">
        <v>18</v>
      </c>
      <c r="E1731" s="618">
        <v>8</v>
      </c>
      <c r="F1731" s="619">
        <v>43543</v>
      </c>
      <c r="G1731" s="619">
        <v>45369</v>
      </c>
      <c r="H1731" s="618" t="s">
        <v>14</v>
      </c>
      <c r="I1731" s="618" t="s">
        <v>51</v>
      </c>
    </row>
    <row r="1732" spans="1:9">
      <c r="A1732" s="620">
        <f t="shared" si="26"/>
        <v>1728</v>
      </c>
      <c r="B1732" s="621" t="s">
        <v>222</v>
      </c>
      <c r="C1732" s="621" t="str">
        <f>"14335"</f>
        <v>14335</v>
      </c>
      <c r="D1732" s="621" t="s">
        <v>18</v>
      </c>
      <c r="E1732" s="621">
        <v>10</v>
      </c>
      <c r="F1732" s="622">
        <v>43557</v>
      </c>
      <c r="G1732" s="622">
        <v>45383</v>
      </c>
      <c r="H1732" s="621" t="s">
        <v>14</v>
      </c>
      <c r="I1732" s="621" t="s">
        <v>51</v>
      </c>
    </row>
    <row r="1733" spans="1:9">
      <c r="A1733" s="617">
        <f t="shared" si="26"/>
        <v>1729</v>
      </c>
      <c r="B1733" s="618" t="s">
        <v>222</v>
      </c>
      <c r="C1733" s="618" t="str">
        <f>"14336"</f>
        <v>14336</v>
      </c>
      <c r="D1733" s="618" t="s">
        <v>18</v>
      </c>
      <c r="E1733" s="618">
        <v>10</v>
      </c>
      <c r="F1733" s="619">
        <v>43543</v>
      </c>
      <c r="G1733" s="619">
        <v>45369</v>
      </c>
      <c r="H1733" s="618" t="s">
        <v>16</v>
      </c>
      <c r="I1733" s="618" t="s">
        <v>51</v>
      </c>
    </row>
    <row r="1734" spans="1:9">
      <c r="A1734" s="620">
        <f t="shared" si="26"/>
        <v>1730</v>
      </c>
      <c r="B1734" s="621" t="s">
        <v>222</v>
      </c>
      <c r="C1734" s="621" t="str">
        <f>"14337"</f>
        <v>14337</v>
      </c>
      <c r="D1734" s="621" t="s">
        <v>18</v>
      </c>
      <c r="E1734" s="621">
        <v>8</v>
      </c>
      <c r="F1734" s="622">
        <v>43535</v>
      </c>
      <c r="G1734" s="622">
        <v>45361</v>
      </c>
      <c r="H1734" s="621" t="s">
        <v>14</v>
      </c>
      <c r="I1734" s="621" t="s">
        <v>51</v>
      </c>
    </row>
    <row r="1735" spans="1:9">
      <c r="A1735" s="617">
        <f t="shared" ref="A1735:A1798" si="27">+A1734+1</f>
        <v>1731</v>
      </c>
      <c r="B1735" s="618" t="s">
        <v>222</v>
      </c>
      <c r="C1735" s="618" t="str">
        <f>"14338"</f>
        <v>14338</v>
      </c>
      <c r="D1735" s="618" t="s">
        <v>18</v>
      </c>
      <c r="E1735" s="618">
        <v>12</v>
      </c>
      <c r="F1735" s="619">
        <v>43543</v>
      </c>
      <c r="G1735" s="619">
        <v>45369</v>
      </c>
      <c r="H1735" s="618" t="s">
        <v>16</v>
      </c>
      <c r="I1735" s="618" t="s">
        <v>51</v>
      </c>
    </row>
    <row r="1736" spans="1:9">
      <c r="A1736" s="620">
        <f t="shared" si="27"/>
        <v>1732</v>
      </c>
      <c r="B1736" s="621" t="s">
        <v>222</v>
      </c>
      <c r="C1736" s="621" t="str">
        <f>"14339"</f>
        <v>14339</v>
      </c>
      <c r="D1736" s="621" t="s">
        <v>18</v>
      </c>
      <c r="E1736" s="621">
        <v>18</v>
      </c>
      <c r="F1736" s="622">
        <v>43535</v>
      </c>
      <c r="G1736" s="622">
        <v>45361</v>
      </c>
      <c r="H1736" s="621" t="s">
        <v>16</v>
      </c>
      <c r="I1736" s="621" t="s">
        <v>51</v>
      </c>
    </row>
    <row r="1737" spans="1:9">
      <c r="A1737" s="617">
        <f t="shared" si="27"/>
        <v>1733</v>
      </c>
      <c r="B1737" s="618" t="s">
        <v>222</v>
      </c>
      <c r="C1737" s="618" t="str">
        <f>"14340"</f>
        <v>14340</v>
      </c>
      <c r="D1737" s="618" t="s">
        <v>18</v>
      </c>
      <c r="E1737" s="618">
        <v>18</v>
      </c>
      <c r="F1737" s="619">
        <v>43543</v>
      </c>
      <c r="G1737" s="619">
        <v>45369</v>
      </c>
      <c r="H1737" s="618" t="s">
        <v>14</v>
      </c>
      <c r="I1737" s="618" t="s">
        <v>51</v>
      </c>
    </row>
    <row r="1738" spans="1:9">
      <c r="A1738" s="620">
        <f t="shared" si="27"/>
        <v>1734</v>
      </c>
      <c r="B1738" s="621" t="s">
        <v>222</v>
      </c>
      <c r="C1738" s="621" t="str">
        <f>"14341"</f>
        <v>14341</v>
      </c>
      <c r="D1738" s="621" t="s">
        <v>18</v>
      </c>
      <c r="E1738" s="621">
        <v>14</v>
      </c>
      <c r="F1738" s="622">
        <v>43535</v>
      </c>
      <c r="G1738" s="622">
        <v>45361</v>
      </c>
      <c r="H1738" s="621" t="s">
        <v>14</v>
      </c>
      <c r="I1738" s="621" t="s">
        <v>51</v>
      </c>
    </row>
    <row r="1739" spans="1:9">
      <c r="A1739" s="617">
        <f t="shared" si="27"/>
        <v>1735</v>
      </c>
      <c r="B1739" s="618" t="s">
        <v>230</v>
      </c>
      <c r="C1739" s="618" t="str">
        <f>"14343"</f>
        <v>14343</v>
      </c>
      <c r="D1739" s="618" t="s">
        <v>18</v>
      </c>
      <c r="E1739" s="618">
        <v>10</v>
      </c>
      <c r="F1739" s="619">
        <v>43493</v>
      </c>
      <c r="G1739" s="619">
        <v>45318</v>
      </c>
      <c r="H1739" s="618" t="s">
        <v>14</v>
      </c>
      <c r="I1739" s="618" t="s">
        <v>51</v>
      </c>
    </row>
    <row r="1740" spans="1:9">
      <c r="A1740" s="620">
        <f t="shared" si="27"/>
        <v>1736</v>
      </c>
      <c r="B1740" s="621" t="s">
        <v>1791</v>
      </c>
      <c r="C1740" s="621" t="str">
        <f>"14344"</f>
        <v>14344</v>
      </c>
      <c r="D1740" s="621" t="s">
        <v>18</v>
      </c>
      <c r="E1740" s="621">
        <v>14</v>
      </c>
      <c r="F1740" s="622">
        <v>43560</v>
      </c>
      <c r="G1740" s="622">
        <v>45386</v>
      </c>
      <c r="H1740" s="621" t="s">
        <v>16</v>
      </c>
      <c r="I1740" s="621" t="s">
        <v>385</v>
      </c>
    </row>
    <row r="1741" spans="1:9">
      <c r="A1741" s="617">
        <f t="shared" si="27"/>
        <v>1737</v>
      </c>
      <c r="B1741" s="618" t="s">
        <v>1791</v>
      </c>
      <c r="C1741" s="618" t="str">
        <f>"14345"</f>
        <v>14345</v>
      </c>
      <c r="D1741" s="618" t="s">
        <v>18</v>
      </c>
      <c r="E1741" s="618">
        <v>40</v>
      </c>
      <c r="F1741" s="619">
        <v>43550</v>
      </c>
      <c r="G1741" s="619">
        <v>45376</v>
      </c>
      <c r="H1741" s="618" t="s">
        <v>43</v>
      </c>
      <c r="I1741" s="618" t="s">
        <v>385</v>
      </c>
    </row>
    <row r="1742" spans="1:9">
      <c r="A1742" s="620">
        <f t="shared" si="27"/>
        <v>1738</v>
      </c>
      <c r="B1742" s="621" t="s">
        <v>1791</v>
      </c>
      <c r="C1742" s="621" t="str">
        <f>"14347"</f>
        <v>14347</v>
      </c>
      <c r="D1742" s="621" t="s">
        <v>18</v>
      </c>
      <c r="E1742" s="621">
        <v>14</v>
      </c>
      <c r="F1742" s="622">
        <v>43560</v>
      </c>
      <c r="G1742" s="622">
        <v>45386</v>
      </c>
      <c r="H1742" s="621" t="s">
        <v>16</v>
      </c>
      <c r="I1742" s="621" t="s">
        <v>385</v>
      </c>
    </row>
    <row r="1743" spans="1:9">
      <c r="A1743" s="617">
        <f t="shared" si="27"/>
        <v>1739</v>
      </c>
      <c r="B1743" s="618" t="s">
        <v>234</v>
      </c>
      <c r="C1743" s="618" t="str">
        <f>"14354"</f>
        <v>14354</v>
      </c>
      <c r="D1743" s="618" t="s">
        <v>18</v>
      </c>
      <c r="E1743" s="618">
        <v>12</v>
      </c>
      <c r="F1743" s="619">
        <v>43441</v>
      </c>
      <c r="G1743" s="619">
        <v>45266</v>
      </c>
      <c r="H1743" s="618" t="s">
        <v>14</v>
      </c>
      <c r="I1743" s="618" t="s">
        <v>6868</v>
      </c>
    </row>
    <row r="1744" spans="1:9">
      <c r="A1744" s="620">
        <f t="shared" si="27"/>
        <v>1740</v>
      </c>
      <c r="B1744" s="621" t="s">
        <v>226</v>
      </c>
      <c r="C1744" s="621" t="str">
        <f>"14355"</f>
        <v>14355</v>
      </c>
      <c r="D1744" s="621" t="s">
        <v>18</v>
      </c>
      <c r="E1744" s="621">
        <v>10</v>
      </c>
      <c r="F1744" s="622">
        <v>43577</v>
      </c>
      <c r="G1744" s="622">
        <v>45403</v>
      </c>
      <c r="H1744" s="621" t="s">
        <v>16</v>
      </c>
      <c r="I1744" s="621" t="s">
        <v>51</v>
      </c>
    </row>
    <row r="1745" spans="1:9">
      <c r="A1745" s="617">
        <f t="shared" si="27"/>
        <v>1741</v>
      </c>
      <c r="B1745" s="618" t="s">
        <v>226</v>
      </c>
      <c r="C1745" s="618" t="str">
        <f>"14356"</f>
        <v>14356</v>
      </c>
      <c r="D1745" s="618" t="s">
        <v>18</v>
      </c>
      <c r="E1745" s="618">
        <v>6</v>
      </c>
      <c r="F1745" s="619">
        <v>43577</v>
      </c>
      <c r="G1745" s="619">
        <v>45403</v>
      </c>
      <c r="H1745" s="618" t="s">
        <v>16</v>
      </c>
      <c r="I1745" s="618" t="s">
        <v>51</v>
      </c>
    </row>
    <row r="1746" spans="1:9">
      <c r="A1746" s="620">
        <f t="shared" si="27"/>
        <v>1742</v>
      </c>
      <c r="B1746" s="621" t="s">
        <v>235</v>
      </c>
      <c r="C1746" s="621" t="str">
        <f>"14357"</f>
        <v>14357</v>
      </c>
      <c r="D1746" s="621" t="s">
        <v>18</v>
      </c>
      <c r="E1746" s="621">
        <v>2</v>
      </c>
      <c r="F1746" s="622">
        <v>43529</v>
      </c>
      <c r="G1746" s="622">
        <v>45355</v>
      </c>
      <c r="H1746" s="621" t="s">
        <v>180</v>
      </c>
      <c r="I1746" s="621" t="s">
        <v>51</v>
      </c>
    </row>
    <row r="1747" spans="1:9">
      <c r="A1747" s="617">
        <f t="shared" si="27"/>
        <v>1743</v>
      </c>
      <c r="B1747" s="618" t="s">
        <v>36</v>
      </c>
      <c r="C1747" s="618" t="str">
        <f>"14366"</f>
        <v>14366</v>
      </c>
      <c r="D1747" s="618" t="s">
        <v>13</v>
      </c>
      <c r="E1747" s="618">
        <v>3</v>
      </c>
      <c r="F1747" s="619">
        <v>43486</v>
      </c>
      <c r="G1747" s="619">
        <v>45384</v>
      </c>
      <c r="H1747" s="618" t="s">
        <v>14</v>
      </c>
      <c r="I1747" s="618" t="s">
        <v>6858</v>
      </c>
    </row>
    <row r="1748" spans="1:9">
      <c r="A1748" s="620">
        <f t="shared" si="27"/>
        <v>1744</v>
      </c>
      <c r="B1748" s="621" t="s">
        <v>36</v>
      </c>
      <c r="C1748" s="621" t="str">
        <f>"14367"</f>
        <v>14367</v>
      </c>
      <c r="D1748" s="621" t="s">
        <v>37</v>
      </c>
      <c r="E1748" s="621">
        <v>3</v>
      </c>
      <c r="F1748" s="622">
        <v>44673</v>
      </c>
      <c r="G1748" s="622">
        <v>46498</v>
      </c>
      <c r="H1748" s="621" t="s">
        <v>16</v>
      </c>
      <c r="I1748" s="621" t="s">
        <v>51</v>
      </c>
    </row>
    <row r="1749" spans="1:9">
      <c r="A1749" s="617">
        <f t="shared" si="27"/>
        <v>1745</v>
      </c>
      <c r="B1749" s="618" t="s">
        <v>236</v>
      </c>
      <c r="C1749" s="618" t="str">
        <f>"14368"</f>
        <v>14368</v>
      </c>
      <c r="D1749" s="618" t="s">
        <v>18</v>
      </c>
      <c r="E1749" s="618">
        <v>24</v>
      </c>
      <c r="F1749" s="619">
        <v>43508</v>
      </c>
      <c r="G1749" s="619">
        <v>45333</v>
      </c>
      <c r="H1749" s="618" t="s">
        <v>16</v>
      </c>
      <c r="I1749" s="618" t="s">
        <v>51</v>
      </c>
    </row>
    <row r="1750" spans="1:9">
      <c r="A1750" s="620">
        <f t="shared" si="27"/>
        <v>1746</v>
      </c>
      <c r="B1750" s="621" t="s">
        <v>236</v>
      </c>
      <c r="C1750" s="621" t="str">
        <f>"14369"</f>
        <v>14369</v>
      </c>
      <c r="D1750" s="621" t="s">
        <v>18</v>
      </c>
      <c r="E1750" s="621">
        <v>88</v>
      </c>
      <c r="F1750" s="622">
        <v>43508</v>
      </c>
      <c r="G1750" s="622">
        <v>45333</v>
      </c>
      <c r="H1750" s="621" t="s">
        <v>16</v>
      </c>
      <c r="I1750" s="621" t="s">
        <v>51</v>
      </c>
    </row>
    <row r="1751" spans="1:9">
      <c r="A1751" s="617">
        <f t="shared" si="27"/>
        <v>1747</v>
      </c>
      <c r="B1751" s="618" t="s">
        <v>236</v>
      </c>
      <c r="C1751" s="618" t="str">
        <f>"14370"</f>
        <v>14370</v>
      </c>
      <c r="D1751" s="618" t="s">
        <v>18</v>
      </c>
      <c r="E1751" s="618">
        <v>24</v>
      </c>
      <c r="F1751" s="619">
        <v>43508</v>
      </c>
      <c r="G1751" s="619">
        <v>45333</v>
      </c>
      <c r="H1751" s="618" t="s">
        <v>16</v>
      </c>
      <c r="I1751" s="618" t="s">
        <v>51</v>
      </c>
    </row>
    <row r="1752" spans="1:9">
      <c r="A1752" s="620">
        <f t="shared" si="27"/>
        <v>1748</v>
      </c>
      <c r="B1752" s="621" t="s">
        <v>236</v>
      </c>
      <c r="C1752" s="621" t="str">
        <f>"14371"</f>
        <v>14371</v>
      </c>
      <c r="D1752" s="621" t="s">
        <v>18</v>
      </c>
      <c r="E1752" s="621">
        <v>82</v>
      </c>
      <c r="F1752" s="622">
        <v>43508</v>
      </c>
      <c r="G1752" s="622">
        <v>45333</v>
      </c>
      <c r="H1752" s="621" t="s">
        <v>16</v>
      </c>
      <c r="I1752" s="621" t="s">
        <v>51</v>
      </c>
    </row>
    <row r="1753" spans="1:9">
      <c r="A1753" s="617">
        <f t="shared" si="27"/>
        <v>1749</v>
      </c>
      <c r="B1753" s="618" t="s">
        <v>236</v>
      </c>
      <c r="C1753" s="618" t="str">
        <f>"14372"</f>
        <v>14372</v>
      </c>
      <c r="D1753" s="618" t="s">
        <v>18</v>
      </c>
      <c r="E1753" s="618">
        <v>42</v>
      </c>
      <c r="F1753" s="619">
        <v>43508</v>
      </c>
      <c r="G1753" s="619">
        <v>45333</v>
      </c>
      <c r="H1753" s="618" t="s">
        <v>14</v>
      </c>
      <c r="I1753" s="618" t="s">
        <v>51</v>
      </c>
    </row>
    <row r="1754" spans="1:9">
      <c r="A1754" s="620">
        <f t="shared" si="27"/>
        <v>1750</v>
      </c>
      <c r="B1754" s="621" t="s">
        <v>236</v>
      </c>
      <c r="C1754" s="621" t="str">
        <f>"14373"</f>
        <v>14373</v>
      </c>
      <c r="D1754" s="621" t="s">
        <v>18</v>
      </c>
      <c r="E1754" s="621">
        <v>35</v>
      </c>
      <c r="F1754" s="622">
        <v>43508</v>
      </c>
      <c r="G1754" s="622">
        <v>45333</v>
      </c>
      <c r="H1754" s="621" t="s">
        <v>14</v>
      </c>
      <c r="I1754" s="621" t="s">
        <v>51</v>
      </c>
    </row>
    <row r="1755" spans="1:9">
      <c r="A1755" s="617">
        <f t="shared" si="27"/>
        <v>1751</v>
      </c>
      <c r="B1755" s="618" t="s">
        <v>237</v>
      </c>
      <c r="C1755" s="618" t="str">
        <f>"14374"</f>
        <v>14374</v>
      </c>
      <c r="D1755" s="618" t="s">
        <v>18</v>
      </c>
      <c r="E1755" s="618">
        <v>22</v>
      </c>
      <c r="F1755" s="619">
        <v>43508</v>
      </c>
      <c r="G1755" s="619">
        <v>45333</v>
      </c>
      <c r="H1755" s="618" t="s">
        <v>16</v>
      </c>
      <c r="I1755" s="618" t="s">
        <v>51</v>
      </c>
    </row>
    <row r="1756" spans="1:9">
      <c r="A1756" s="620">
        <f t="shared" si="27"/>
        <v>1752</v>
      </c>
      <c r="B1756" s="621" t="s">
        <v>237</v>
      </c>
      <c r="C1756" s="621" t="str">
        <f>"14375"</f>
        <v>14375</v>
      </c>
      <c r="D1756" s="621" t="s">
        <v>18</v>
      </c>
      <c r="E1756" s="621">
        <v>28</v>
      </c>
      <c r="F1756" s="622">
        <v>43508</v>
      </c>
      <c r="G1756" s="622">
        <v>45333</v>
      </c>
      <c r="H1756" s="621" t="s">
        <v>16</v>
      </c>
      <c r="I1756" s="621" t="s">
        <v>51</v>
      </c>
    </row>
    <row r="1757" spans="1:9">
      <c r="A1757" s="617">
        <f t="shared" si="27"/>
        <v>1753</v>
      </c>
      <c r="B1757" s="618" t="s">
        <v>238</v>
      </c>
      <c r="C1757" s="618" t="str">
        <f>"14376"</f>
        <v>14376</v>
      </c>
      <c r="D1757" s="618" t="s">
        <v>18</v>
      </c>
      <c r="E1757" s="618">
        <v>106</v>
      </c>
      <c r="F1757" s="619">
        <v>43516</v>
      </c>
      <c r="G1757" s="619">
        <v>45341</v>
      </c>
      <c r="H1757" s="618" t="s">
        <v>16</v>
      </c>
      <c r="I1757" s="618" t="s">
        <v>6868</v>
      </c>
    </row>
    <row r="1758" spans="1:9">
      <c r="A1758" s="620">
        <f t="shared" si="27"/>
        <v>1754</v>
      </c>
      <c r="B1758" s="621" t="s">
        <v>238</v>
      </c>
      <c r="C1758" s="621" t="str">
        <f>"14377"</f>
        <v>14377</v>
      </c>
      <c r="D1758" s="621" t="s">
        <v>18</v>
      </c>
      <c r="E1758" s="621">
        <v>113</v>
      </c>
      <c r="F1758" s="622">
        <v>43516</v>
      </c>
      <c r="G1758" s="622">
        <v>45341</v>
      </c>
      <c r="H1758" s="621" t="s">
        <v>16</v>
      </c>
      <c r="I1758" s="621" t="s">
        <v>6868</v>
      </c>
    </row>
    <row r="1759" spans="1:9">
      <c r="A1759" s="617">
        <f t="shared" si="27"/>
        <v>1755</v>
      </c>
      <c r="B1759" s="618" t="s">
        <v>1834</v>
      </c>
      <c r="C1759" s="618" t="str">
        <f>"14378"</f>
        <v>14378</v>
      </c>
      <c r="D1759" s="618" t="s">
        <v>18</v>
      </c>
      <c r="E1759" s="618">
        <v>73</v>
      </c>
      <c r="F1759" s="619">
        <v>43508</v>
      </c>
      <c r="G1759" s="619">
        <v>45333</v>
      </c>
      <c r="H1759" s="618" t="s">
        <v>16</v>
      </c>
      <c r="I1759" s="618" t="s">
        <v>6867</v>
      </c>
    </row>
    <row r="1760" spans="1:9">
      <c r="A1760" s="620">
        <f t="shared" si="27"/>
        <v>1756</v>
      </c>
      <c r="B1760" s="621" t="s">
        <v>238</v>
      </c>
      <c r="C1760" s="621" t="str">
        <f>"14379"</f>
        <v>14379</v>
      </c>
      <c r="D1760" s="621" t="s">
        <v>18</v>
      </c>
      <c r="E1760" s="621">
        <v>30</v>
      </c>
      <c r="F1760" s="622">
        <v>43546</v>
      </c>
      <c r="G1760" s="622">
        <v>45372</v>
      </c>
      <c r="H1760" s="621" t="s">
        <v>16</v>
      </c>
      <c r="I1760" s="621" t="s">
        <v>6868</v>
      </c>
    </row>
    <row r="1761" spans="1:9">
      <c r="A1761" s="617">
        <f t="shared" si="27"/>
        <v>1757</v>
      </c>
      <c r="B1761" s="618" t="s">
        <v>238</v>
      </c>
      <c r="C1761" s="618" t="str">
        <f>"14380"</f>
        <v>14380</v>
      </c>
      <c r="D1761" s="618" t="s">
        <v>18</v>
      </c>
      <c r="E1761" s="618">
        <v>6</v>
      </c>
      <c r="F1761" s="619">
        <v>43546</v>
      </c>
      <c r="G1761" s="619">
        <v>45372</v>
      </c>
      <c r="H1761" s="618" t="s">
        <v>16</v>
      </c>
      <c r="I1761" s="618" t="s">
        <v>6868</v>
      </c>
    </row>
    <row r="1762" spans="1:9">
      <c r="A1762" s="620">
        <f t="shared" si="27"/>
        <v>1758</v>
      </c>
      <c r="B1762" s="621" t="s">
        <v>238</v>
      </c>
      <c r="C1762" s="621" t="str">
        <f>"14381"</f>
        <v>14381</v>
      </c>
      <c r="D1762" s="621" t="s">
        <v>18</v>
      </c>
      <c r="E1762" s="621">
        <v>20</v>
      </c>
      <c r="F1762" s="622">
        <v>43546</v>
      </c>
      <c r="G1762" s="622">
        <v>45372</v>
      </c>
      <c r="H1762" s="621" t="s">
        <v>16</v>
      </c>
      <c r="I1762" s="621" t="s">
        <v>6868</v>
      </c>
    </row>
    <row r="1763" spans="1:9">
      <c r="A1763" s="617">
        <f t="shared" si="27"/>
        <v>1759</v>
      </c>
      <c r="B1763" s="618" t="s">
        <v>239</v>
      </c>
      <c r="C1763" s="618" t="str">
        <f>"14382"</f>
        <v>14382</v>
      </c>
      <c r="D1763" s="618" t="s">
        <v>18</v>
      </c>
      <c r="E1763" s="618">
        <v>10</v>
      </c>
      <c r="F1763" s="619">
        <v>43508</v>
      </c>
      <c r="G1763" s="619">
        <v>45333</v>
      </c>
      <c r="H1763" s="618" t="s">
        <v>16</v>
      </c>
      <c r="I1763" s="618" t="s">
        <v>51</v>
      </c>
    </row>
    <row r="1764" spans="1:9">
      <c r="A1764" s="620">
        <f t="shared" si="27"/>
        <v>1760</v>
      </c>
      <c r="B1764" s="621" t="s">
        <v>239</v>
      </c>
      <c r="C1764" s="621" t="str">
        <f>"14383"</f>
        <v>14383</v>
      </c>
      <c r="D1764" s="621" t="s">
        <v>18</v>
      </c>
      <c r="E1764" s="621">
        <v>5</v>
      </c>
      <c r="F1764" s="622">
        <v>43508</v>
      </c>
      <c r="G1764" s="622">
        <v>45333</v>
      </c>
      <c r="H1764" s="621" t="s">
        <v>16</v>
      </c>
      <c r="I1764" s="621" t="s">
        <v>51</v>
      </c>
    </row>
    <row r="1765" spans="1:9">
      <c r="A1765" s="617">
        <f t="shared" si="27"/>
        <v>1761</v>
      </c>
      <c r="B1765" s="618" t="s">
        <v>268</v>
      </c>
      <c r="C1765" s="618" t="str">
        <f>"14384"</f>
        <v>14384</v>
      </c>
      <c r="D1765" s="618" t="s">
        <v>18</v>
      </c>
      <c r="E1765" s="618">
        <v>18</v>
      </c>
      <c r="F1765" s="619">
        <v>43529</v>
      </c>
      <c r="G1765" s="619">
        <v>45355</v>
      </c>
      <c r="H1765" s="618" t="s">
        <v>14</v>
      </c>
      <c r="I1765" s="618" t="s">
        <v>385</v>
      </c>
    </row>
    <row r="1766" spans="1:9">
      <c r="A1766" s="620">
        <f t="shared" si="27"/>
        <v>1762</v>
      </c>
      <c r="B1766" s="621" t="s">
        <v>356</v>
      </c>
      <c r="C1766" s="621" t="str">
        <f>"14386"</f>
        <v>14386</v>
      </c>
      <c r="D1766" s="621" t="s">
        <v>13</v>
      </c>
      <c r="E1766" s="621">
        <v>5</v>
      </c>
      <c r="F1766" s="622">
        <v>45007</v>
      </c>
      <c r="G1766" s="622">
        <v>54138</v>
      </c>
      <c r="H1766" s="621" t="s">
        <v>14</v>
      </c>
      <c r="I1766" s="621" t="s">
        <v>51</v>
      </c>
    </row>
    <row r="1767" spans="1:9">
      <c r="A1767" s="617">
        <f t="shared" si="27"/>
        <v>1763</v>
      </c>
      <c r="B1767" s="618" t="s">
        <v>240</v>
      </c>
      <c r="C1767" s="618" t="str">
        <f>"14387"</f>
        <v>14387</v>
      </c>
      <c r="D1767" s="618" t="s">
        <v>18</v>
      </c>
      <c r="E1767" s="618">
        <v>10</v>
      </c>
      <c r="F1767" s="619">
        <v>43529</v>
      </c>
      <c r="G1767" s="619">
        <v>45355</v>
      </c>
      <c r="H1767" s="618" t="s">
        <v>16</v>
      </c>
      <c r="I1767" s="618" t="s">
        <v>6868</v>
      </c>
    </row>
    <row r="1768" spans="1:9">
      <c r="A1768" s="620">
        <f t="shared" si="27"/>
        <v>1764</v>
      </c>
      <c r="B1768" s="621" t="s">
        <v>240</v>
      </c>
      <c r="C1768" s="621" t="str">
        <f>"14388"</f>
        <v>14388</v>
      </c>
      <c r="D1768" s="621" t="s">
        <v>18</v>
      </c>
      <c r="E1768" s="621">
        <v>9</v>
      </c>
      <c r="F1768" s="622">
        <v>43529</v>
      </c>
      <c r="G1768" s="622">
        <v>45355</v>
      </c>
      <c r="H1768" s="621" t="s">
        <v>14</v>
      </c>
      <c r="I1768" s="621" t="s">
        <v>6868</v>
      </c>
    </row>
    <row r="1769" spans="1:9">
      <c r="A1769" s="617">
        <f t="shared" si="27"/>
        <v>1765</v>
      </c>
      <c r="B1769" s="618" t="s">
        <v>240</v>
      </c>
      <c r="C1769" s="618" t="str">
        <f>"14389"</f>
        <v>14389</v>
      </c>
      <c r="D1769" s="618" t="s">
        <v>18</v>
      </c>
      <c r="E1769" s="618">
        <v>8</v>
      </c>
      <c r="F1769" s="619">
        <v>43529</v>
      </c>
      <c r="G1769" s="619">
        <v>45355</v>
      </c>
      <c r="H1769" s="618" t="s">
        <v>14</v>
      </c>
      <c r="I1769" s="618" t="s">
        <v>6868</v>
      </c>
    </row>
    <row r="1770" spans="1:9">
      <c r="A1770" s="620">
        <f t="shared" si="27"/>
        <v>1766</v>
      </c>
      <c r="B1770" s="621" t="s">
        <v>240</v>
      </c>
      <c r="C1770" s="621" t="str">
        <f>"14390"</f>
        <v>14390</v>
      </c>
      <c r="D1770" s="621" t="s">
        <v>18</v>
      </c>
      <c r="E1770" s="621">
        <v>9</v>
      </c>
      <c r="F1770" s="622">
        <v>43529</v>
      </c>
      <c r="G1770" s="622">
        <v>45355</v>
      </c>
      <c r="H1770" s="621" t="s">
        <v>14</v>
      </c>
      <c r="I1770" s="621" t="s">
        <v>6868</v>
      </c>
    </row>
    <row r="1771" spans="1:9">
      <c r="A1771" s="617">
        <f t="shared" si="27"/>
        <v>1767</v>
      </c>
      <c r="B1771" s="618" t="s">
        <v>249</v>
      </c>
      <c r="C1771" s="618" t="str">
        <f>"14391"</f>
        <v>14391</v>
      </c>
      <c r="D1771" s="618" t="s">
        <v>18</v>
      </c>
      <c r="E1771" s="618">
        <v>5</v>
      </c>
      <c r="F1771" s="619">
        <v>43538</v>
      </c>
      <c r="G1771" s="619">
        <v>45364</v>
      </c>
      <c r="H1771" s="618" t="s">
        <v>16</v>
      </c>
      <c r="I1771" s="618" t="s">
        <v>6861</v>
      </c>
    </row>
    <row r="1772" spans="1:9">
      <c r="A1772" s="620">
        <f t="shared" si="27"/>
        <v>1768</v>
      </c>
      <c r="B1772" s="621" t="s">
        <v>206</v>
      </c>
      <c r="C1772" s="621" t="str">
        <f>"14392"</f>
        <v>14392</v>
      </c>
      <c r="D1772" s="621" t="s">
        <v>18</v>
      </c>
      <c r="E1772" s="621">
        <v>48</v>
      </c>
      <c r="F1772" s="622">
        <v>43529</v>
      </c>
      <c r="G1772" s="622">
        <v>45355</v>
      </c>
      <c r="H1772" s="621" t="s">
        <v>21</v>
      </c>
      <c r="I1772" s="621" t="s">
        <v>51</v>
      </c>
    </row>
    <row r="1773" spans="1:9">
      <c r="A1773" s="617">
        <f t="shared" si="27"/>
        <v>1769</v>
      </c>
      <c r="B1773" s="618" t="s">
        <v>241</v>
      </c>
      <c r="C1773" s="618" t="str">
        <f>"14394"</f>
        <v>14394</v>
      </c>
      <c r="D1773" s="618" t="s">
        <v>27</v>
      </c>
      <c r="E1773" s="618">
        <v>13</v>
      </c>
      <c r="F1773" s="619">
        <v>43529</v>
      </c>
      <c r="G1773" s="619">
        <v>45355</v>
      </c>
      <c r="H1773" s="618" t="s">
        <v>16</v>
      </c>
      <c r="I1773" s="618" t="s">
        <v>6864</v>
      </c>
    </row>
    <row r="1774" spans="1:9">
      <c r="A1774" s="620">
        <f t="shared" si="27"/>
        <v>1770</v>
      </c>
      <c r="B1774" s="621" t="s">
        <v>1792</v>
      </c>
      <c r="C1774" s="621" t="str">
        <f>"14396"</f>
        <v>14396</v>
      </c>
      <c r="D1774" s="621" t="s">
        <v>18</v>
      </c>
      <c r="E1774" s="621">
        <v>5</v>
      </c>
      <c r="F1774" s="622">
        <v>43543</v>
      </c>
      <c r="G1774" s="622">
        <v>45369</v>
      </c>
      <c r="H1774" s="621" t="s">
        <v>14</v>
      </c>
      <c r="I1774" s="621" t="s">
        <v>385</v>
      </c>
    </row>
    <row r="1775" spans="1:9">
      <c r="A1775" s="617">
        <f t="shared" si="27"/>
        <v>1771</v>
      </c>
      <c r="B1775" s="618" t="s">
        <v>1792</v>
      </c>
      <c r="C1775" s="618" t="str">
        <f>"14397"</f>
        <v>14397</v>
      </c>
      <c r="D1775" s="618" t="s">
        <v>18</v>
      </c>
      <c r="E1775" s="618">
        <v>6</v>
      </c>
      <c r="F1775" s="619">
        <v>43550</v>
      </c>
      <c r="G1775" s="619">
        <v>45376</v>
      </c>
      <c r="H1775" s="618" t="s">
        <v>16</v>
      </c>
      <c r="I1775" s="618" t="s">
        <v>385</v>
      </c>
    </row>
    <row r="1776" spans="1:9">
      <c r="A1776" s="620">
        <f t="shared" si="27"/>
        <v>1772</v>
      </c>
      <c r="B1776" s="621" t="s">
        <v>235</v>
      </c>
      <c r="C1776" s="621" t="str">
        <f>"14399"</f>
        <v>14399</v>
      </c>
      <c r="D1776" s="621" t="s">
        <v>18</v>
      </c>
      <c r="E1776" s="621">
        <v>4</v>
      </c>
      <c r="F1776" s="622">
        <v>43529</v>
      </c>
      <c r="G1776" s="622">
        <v>45355</v>
      </c>
      <c r="H1776" s="621" t="s">
        <v>180</v>
      </c>
      <c r="I1776" s="621" t="s">
        <v>51</v>
      </c>
    </row>
    <row r="1777" spans="1:9">
      <c r="A1777" s="617">
        <f t="shared" si="27"/>
        <v>1773</v>
      </c>
      <c r="B1777" s="618" t="s">
        <v>242</v>
      </c>
      <c r="C1777" s="618" t="str">
        <f>"14400"</f>
        <v>14400</v>
      </c>
      <c r="D1777" s="618" t="s">
        <v>18</v>
      </c>
      <c r="E1777" s="618">
        <v>50</v>
      </c>
      <c r="F1777" s="619">
        <v>43560</v>
      </c>
      <c r="G1777" s="619">
        <v>45386</v>
      </c>
      <c r="H1777" s="618" t="s">
        <v>16</v>
      </c>
      <c r="I1777" s="618" t="s">
        <v>51</v>
      </c>
    </row>
    <row r="1778" spans="1:9">
      <c r="A1778" s="620">
        <f t="shared" si="27"/>
        <v>1774</v>
      </c>
      <c r="B1778" s="621" t="s">
        <v>243</v>
      </c>
      <c r="C1778" s="621" t="str">
        <f>"14401"</f>
        <v>14401</v>
      </c>
      <c r="D1778" s="621" t="s">
        <v>18</v>
      </c>
      <c r="E1778" s="621">
        <v>32</v>
      </c>
      <c r="F1778" s="622">
        <v>43535</v>
      </c>
      <c r="G1778" s="622">
        <v>45361</v>
      </c>
      <c r="H1778" s="621" t="s">
        <v>14</v>
      </c>
      <c r="I1778" s="621" t="s">
        <v>51</v>
      </c>
    </row>
    <row r="1779" spans="1:9">
      <c r="A1779" s="617">
        <f t="shared" si="27"/>
        <v>1775</v>
      </c>
      <c r="B1779" s="618" t="s">
        <v>243</v>
      </c>
      <c r="C1779" s="618" t="str">
        <f>"14402"</f>
        <v>14402</v>
      </c>
      <c r="D1779" s="618" t="s">
        <v>18</v>
      </c>
      <c r="E1779" s="618">
        <v>21</v>
      </c>
      <c r="F1779" s="619">
        <v>43535</v>
      </c>
      <c r="G1779" s="619">
        <v>45361</v>
      </c>
      <c r="H1779" s="618" t="s">
        <v>56</v>
      </c>
      <c r="I1779" s="618" t="s">
        <v>51</v>
      </c>
    </row>
    <row r="1780" spans="1:9">
      <c r="A1780" s="620">
        <f t="shared" si="27"/>
        <v>1776</v>
      </c>
      <c r="B1780" s="621" t="s">
        <v>243</v>
      </c>
      <c r="C1780" s="621" t="str">
        <f>"14403"</f>
        <v>14403</v>
      </c>
      <c r="D1780" s="621" t="s">
        <v>18</v>
      </c>
      <c r="E1780" s="621">
        <v>52</v>
      </c>
      <c r="F1780" s="622">
        <v>43535</v>
      </c>
      <c r="G1780" s="622">
        <v>45361</v>
      </c>
      <c r="H1780" s="621" t="s">
        <v>29</v>
      </c>
      <c r="I1780" s="621" t="s">
        <v>51</v>
      </c>
    </row>
    <row r="1781" spans="1:9">
      <c r="A1781" s="617">
        <f t="shared" si="27"/>
        <v>1777</v>
      </c>
      <c r="B1781" s="618" t="s">
        <v>238</v>
      </c>
      <c r="C1781" s="618" t="str">
        <f>"14404"</f>
        <v>14404</v>
      </c>
      <c r="D1781" s="618" t="s">
        <v>18</v>
      </c>
      <c r="E1781" s="618">
        <v>24</v>
      </c>
      <c r="F1781" s="619">
        <v>43585</v>
      </c>
      <c r="G1781" s="619">
        <v>45411</v>
      </c>
      <c r="H1781" s="618" t="s">
        <v>14</v>
      </c>
      <c r="I1781" s="618" t="s">
        <v>51</v>
      </c>
    </row>
    <row r="1782" spans="1:9">
      <c r="A1782" s="620">
        <f t="shared" si="27"/>
        <v>1778</v>
      </c>
      <c r="B1782" s="621" t="s">
        <v>238</v>
      </c>
      <c r="C1782" s="621" t="str">
        <f>"14405"</f>
        <v>14405</v>
      </c>
      <c r="D1782" s="621" t="s">
        <v>18</v>
      </c>
      <c r="E1782" s="621">
        <v>7</v>
      </c>
      <c r="F1782" s="622">
        <v>43585</v>
      </c>
      <c r="G1782" s="622">
        <v>45411</v>
      </c>
      <c r="H1782" s="621" t="s">
        <v>14</v>
      </c>
      <c r="I1782" s="621" t="s">
        <v>51</v>
      </c>
    </row>
    <row r="1783" spans="1:9">
      <c r="A1783" s="617">
        <f t="shared" si="27"/>
        <v>1779</v>
      </c>
      <c r="B1783" s="618" t="s">
        <v>244</v>
      </c>
      <c r="C1783" s="618" t="str">
        <f>"14408"</f>
        <v>14408</v>
      </c>
      <c r="D1783" s="618" t="s">
        <v>18</v>
      </c>
      <c r="E1783" s="618">
        <v>30</v>
      </c>
      <c r="F1783" s="619">
        <v>43539</v>
      </c>
      <c r="G1783" s="619">
        <v>45365</v>
      </c>
      <c r="H1783" s="618" t="s">
        <v>16</v>
      </c>
      <c r="I1783" s="618" t="s">
        <v>6861</v>
      </c>
    </row>
    <row r="1784" spans="1:9">
      <c r="A1784" s="620">
        <f t="shared" si="27"/>
        <v>1780</v>
      </c>
      <c r="B1784" s="621" t="s">
        <v>1793</v>
      </c>
      <c r="C1784" s="621" t="str">
        <f>"14412"</f>
        <v>14412</v>
      </c>
      <c r="D1784" s="621" t="s">
        <v>18</v>
      </c>
      <c r="E1784" s="621">
        <v>26</v>
      </c>
      <c r="F1784" s="622">
        <v>43535</v>
      </c>
      <c r="G1784" s="622">
        <v>45361</v>
      </c>
      <c r="H1784" s="621" t="s">
        <v>21</v>
      </c>
      <c r="I1784" s="621" t="s">
        <v>385</v>
      </c>
    </row>
    <row r="1785" spans="1:9">
      <c r="A1785" s="617">
        <f t="shared" si="27"/>
        <v>1781</v>
      </c>
      <c r="B1785" s="618" t="s">
        <v>232</v>
      </c>
      <c r="C1785" s="618" t="str">
        <f>"14414"</f>
        <v>14414</v>
      </c>
      <c r="D1785" s="618" t="s">
        <v>18</v>
      </c>
      <c r="E1785" s="618">
        <v>22</v>
      </c>
      <c r="F1785" s="619">
        <v>43550</v>
      </c>
      <c r="G1785" s="619">
        <v>45376</v>
      </c>
      <c r="H1785" s="618" t="s">
        <v>233</v>
      </c>
      <c r="I1785" s="618" t="s">
        <v>51</v>
      </c>
    </row>
    <row r="1786" spans="1:9">
      <c r="A1786" s="620">
        <f t="shared" si="27"/>
        <v>1782</v>
      </c>
      <c r="B1786" s="621" t="s">
        <v>1427</v>
      </c>
      <c r="C1786" s="621" t="str">
        <f>"14417"</f>
        <v>14417</v>
      </c>
      <c r="D1786" s="621" t="s">
        <v>18</v>
      </c>
      <c r="E1786" s="621">
        <v>31</v>
      </c>
      <c r="F1786" s="622">
        <v>43560</v>
      </c>
      <c r="G1786" s="622">
        <v>45386</v>
      </c>
      <c r="H1786" s="621" t="s">
        <v>16</v>
      </c>
      <c r="I1786" s="621" t="s">
        <v>385</v>
      </c>
    </row>
    <row r="1787" spans="1:9">
      <c r="A1787" s="617">
        <f t="shared" si="27"/>
        <v>1783</v>
      </c>
      <c r="B1787" s="618" t="s">
        <v>245</v>
      </c>
      <c r="C1787" s="618" t="str">
        <f>"14418"</f>
        <v>14418</v>
      </c>
      <c r="D1787" s="618" t="s">
        <v>18</v>
      </c>
      <c r="E1787" s="618">
        <v>4</v>
      </c>
      <c r="F1787" s="619">
        <v>43543</v>
      </c>
      <c r="G1787" s="619">
        <v>45369</v>
      </c>
      <c r="H1787" s="618" t="s">
        <v>16</v>
      </c>
      <c r="I1787" s="618" t="s">
        <v>51</v>
      </c>
    </row>
    <row r="1788" spans="1:9">
      <c r="A1788" s="620">
        <f t="shared" si="27"/>
        <v>1784</v>
      </c>
      <c r="B1788" s="621" t="s">
        <v>245</v>
      </c>
      <c r="C1788" s="621" t="str">
        <f>"14419"</f>
        <v>14419</v>
      </c>
      <c r="D1788" s="621" t="s">
        <v>18</v>
      </c>
      <c r="E1788" s="621">
        <v>6</v>
      </c>
      <c r="F1788" s="622">
        <v>43543</v>
      </c>
      <c r="G1788" s="622">
        <v>45369</v>
      </c>
      <c r="H1788" s="621" t="s">
        <v>16</v>
      </c>
      <c r="I1788" s="621" t="s">
        <v>51</v>
      </c>
    </row>
    <row r="1789" spans="1:9">
      <c r="A1789" s="617">
        <f t="shared" si="27"/>
        <v>1785</v>
      </c>
      <c r="B1789" s="618" t="s">
        <v>245</v>
      </c>
      <c r="C1789" s="618" t="str">
        <f>"14420"</f>
        <v>14420</v>
      </c>
      <c r="D1789" s="618" t="s">
        <v>18</v>
      </c>
      <c r="E1789" s="618">
        <v>8</v>
      </c>
      <c r="F1789" s="619">
        <v>43543</v>
      </c>
      <c r="G1789" s="619">
        <v>45369</v>
      </c>
      <c r="H1789" s="618" t="s">
        <v>14</v>
      </c>
      <c r="I1789" s="618" t="s">
        <v>51</v>
      </c>
    </row>
    <row r="1790" spans="1:9">
      <c r="A1790" s="620">
        <f t="shared" si="27"/>
        <v>1786</v>
      </c>
      <c r="B1790" s="621" t="s">
        <v>1795</v>
      </c>
      <c r="C1790" s="621" t="str">
        <f>"14437"</f>
        <v>14437</v>
      </c>
      <c r="D1790" s="621" t="s">
        <v>18</v>
      </c>
      <c r="E1790" s="621">
        <v>18</v>
      </c>
      <c r="F1790" s="622">
        <v>43543</v>
      </c>
      <c r="G1790" s="622">
        <v>45369</v>
      </c>
      <c r="H1790" s="621" t="s">
        <v>16</v>
      </c>
      <c r="I1790" s="621" t="s">
        <v>6874</v>
      </c>
    </row>
    <row r="1791" spans="1:9">
      <c r="A1791" s="617">
        <f t="shared" si="27"/>
        <v>1787</v>
      </c>
      <c r="B1791" s="618" t="s">
        <v>245</v>
      </c>
      <c r="C1791" s="618" t="str">
        <f>"14439"</f>
        <v>14439</v>
      </c>
      <c r="D1791" s="618" t="s">
        <v>18</v>
      </c>
      <c r="E1791" s="618">
        <v>5</v>
      </c>
      <c r="F1791" s="619">
        <v>43585</v>
      </c>
      <c r="G1791" s="619">
        <v>45411</v>
      </c>
      <c r="H1791" s="618" t="s">
        <v>14</v>
      </c>
      <c r="I1791" s="618" t="s">
        <v>51</v>
      </c>
    </row>
    <row r="1792" spans="1:9">
      <c r="A1792" s="620">
        <f t="shared" si="27"/>
        <v>1788</v>
      </c>
      <c r="B1792" s="621" t="s">
        <v>245</v>
      </c>
      <c r="C1792" s="621" t="str">
        <f>"14440"</f>
        <v>14440</v>
      </c>
      <c r="D1792" s="621" t="s">
        <v>18</v>
      </c>
      <c r="E1792" s="621">
        <v>8</v>
      </c>
      <c r="F1792" s="622">
        <v>43585</v>
      </c>
      <c r="G1792" s="622">
        <v>45411</v>
      </c>
      <c r="H1792" s="621" t="s">
        <v>14</v>
      </c>
      <c r="I1792" s="621" t="s">
        <v>51</v>
      </c>
    </row>
    <row r="1793" spans="1:9">
      <c r="A1793" s="617">
        <f t="shared" si="27"/>
        <v>1789</v>
      </c>
      <c r="B1793" s="618" t="s">
        <v>421</v>
      </c>
      <c r="C1793" s="618" t="str">
        <f>"14441"</f>
        <v>14441</v>
      </c>
      <c r="D1793" s="618" t="s">
        <v>18</v>
      </c>
      <c r="E1793" s="618">
        <v>2</v>
      </c>
      <c r="F1793" s="619">
        <v>43543</v>
      </c>
      <c r="G1793" s="619">
        <v>45369</v>
      </c>
      <c r="H1793" s="618" t="s">
        <v>56</v>
      </c>
      <c r="I1793" s="618" t="s">
        <v>51</v>
      </c>
    </row>
    <row r="1794" spans="1:9">
      <c r="A1794" s="620">
        <f t="shared" si="27"/>
        <v>1790</v>
      </c>
      <c r="B1794" s="621" t="s">
        <v>421</v>
      </c>
      <c r="C1794" s="621" t="str">
        <f>"14442"</f>
        <v>14442</v>
      </c>
      <c r="D1794" s="621" t="s">
        <v>18</v>
      </c>
      <c r="E1794" s="621">
        <v>2</v>
      </c>
      <c r="F1794" s="622">
        <v>43543</v>
      </c>
      <c r="G1794" s="622">
        <v>45369</v>
      </c>
      <c r="H1794" s="621" t="s">
        <v>56</v>
      </c>
      <c r="I1794" s="621" t="s">
        <v>51</v>
      </c>
    </row>
    <row r="1795" spans="1:9">
      <c r="A1795" s="617">
        <f t="shared" si="27"/>
        <v>1791</v>
      </c>
      <c r="B1795" s="618" t="s">
        <v>246</v>
      </c>
      <c r="C1795" s="618" t="str">
        <f>"14443"</f>
        <v>14443</v>
      </c>
      <c r="D1795" s="618" t="s">
        <v>18</v>
      </c>
      <c r="E1795" s="618">
        <v>7</v>
      </c>
      <c r="F1795" s="619">
        <v>43585</v>
      </c>
      <c r="G1795" s="619">
        <v>45411</v>
      </c>
      <c r="H1795" s="618" t="s">
        <v>29</v>
      </c>
      <c r="I1795" s="618" t="s">
        <v>385</v>
      </c>
    </row>
    <row r="1796" spans="1:9">
      <c r="A1796" s="620">
        <f t="shared" si="27"/>
        <v>1792</v>
      </c>
      <c r="B1796" s="621" t="s">
        <v>246</v>
      </c>
      <c r="C1796" s="621" t="str">
        <f>"14444"</f>
        <v>14444</v>
      </c>
      <c r="D1796" s="621" t="s">
        <v>18</v>
      </c>
      <c r="E1796" s="621">
        <v>3</v>
      </c>
      <c r="F1796" s="622">
        <v>43585</v>
      </c>
      <c r="G1796" s="622">
        <v>45411</v>
      </c>
      <c r="H1796" s="621" t="s">
        <v>29</v>
      </c>
      <c r="I1796" s="621" t="s">
        <v>6862</v>
      </c>
    </row>
    <row r="1797" spans="1:9">
      <c r="A1797" s="617">
        <f t="shared" si="27"/>
        <v>1793</v>
      </c>
      <c r="B1797" s="618" t="s">
        <v>201</v>
      </c>
      <c r="C1797" s="618" t="str">
        <f>"14445"</f>
        <v>14445</v>
      </c>
      <c r="D1797" s="618" t="s">
        <v>18</v>
      </c>
      <c r="E1797" s="618">
        <v>4</v>
      </c>
      <c r="F1797" s="619">
        <v>43546</v>
      </c>
      <c r="G1797" s="619">
        <v>45372</v>
      </c>
      <c r="H1797" s="618" t="s">
        <v>14</v>
      </c>
      <c r="I1797" s="618" t="s">
        <v>51</v>
      </c>
    </row>
    <row r="1798" spans="1:9">
      <c r="A1798" s="620">
        <f t="shared" si="27"/>
        <v>1794</v>
      </c>
      <c r="B1798" s="621" t="s">
        <v>247</v>
      </c>
      <c r="C1798" s="621" t="str">
        <f>"14446"</f>
        <v>14446</v>
      </c>
      <c r="D1798" s="621" t="s">
        <v>18</v>
      </c>
      <c r="E1798" s="621">
        <v>6</v>
      </c>
      <c r="F1798" s="622">
        <v>43684</v>
      </c>
      <c r="G1798" s="622">
        <v>45510</v>
      </c>
      <c r="H1798" s="621" t="s">
        <v>19</v>
      </c>
      <c r="I1798" s="621" t="s">
        <v>51</v>
      </c>
    </row>
    <row r="1799" spans="1:9">
      <c r="A1799" s="617">
        <f t="shared" ref="A1799:A1862" si="28">+A1798+1</f>
        <v>1795</v>
      </c>
      <c r="B1799" s="618" t="s">
        <v>247</v>
      </c>
      <c r="C1799" s="618" t="str">
        <f>"14447"</f>
        <v>14447</v>
      </c>
      <c r="D1799" s="618" t="s">
        <v>18</v>
      </c>
      <c r="E1799" s="618">
        <v>4</v>
      </c>
      <c r="F1799" s="619">
        <v>43711</v>
      </c>
      <c r="G1799" s="619">
        <v>45537</v>
      </c>
      <c r="H1799" s="618" t="s">
        <v>19</v>
      </c>
      <c r="I1799" s="618" t="s">
        <v>51</v>
      </c>
    </row>
    <row r="1800" spans="1:9">
      <c r="A1800" s="620">
        <f t="shared" si="28"/>
        <v>1796</v>
      </c>
      <c r="B1800" s="621" t="s">
        <v>1796</v>
      </c>
      <c r="C1800" s="621" t="str">
        <f>"14449"</f>
        <v>14449</v>
      </c>
      <c r="D1800" s="621" t="s">
        <v>18</v>
      </c>
      <c r="E1800" s="621">
        <v>2</v>
      </c>
      <c r="F1800" s="622">
        <v>43740</v>
      </c>
      <c r="G1800" s="622">
        <v>45566</v>
      </c>
      <c r="H1800" s="621" t="s">
        <v>14</v>
      </c>
      <c r="I1800" s="621" t="s">
        <v>6862</v>
      </c>
    </row>
    <row r="1801" spans="1:9">
      <c r="A1801" s="617">
        <f t="shared" si="28"/>
        <v>1797</v>
      </c>
      <c r="B1801" s="618" t="s">
        <v>1796</v>
      </c>
      <c r="C1801" s="618" t="str">
        <f>"14451"</f>
        <v>14451</v>
      </c>
      <c r="D1801" s="618" t="s">
        <v>18</v>
      </c>
      <c r="E1801" s="618">
        <v>2</v>
      </c>
      <c r="F1801" s="619">
        <v>43543</v>
      </c>
      <c r="G1801" s="619">
        <v>45369</v>
      </c>
      <c r="H1801" s="618" t="s">
        <v>14</v>
      </c>
      <c r="I1801" s="618" t="s">
        <v>6862</v>
      </c>
    </row>
    <row r="1802" spans="1:9">
      <c r="A1802" s="620">
        <f t="shared" si="28"/>
        <v>1798</v>
      </c>
      <c r="B1802" s="621" t="s">
        <v>238</v>
      </c>
      <c r="C1802" s="621" t="str">
        <f>"14452"</f>
        <v>14452</v>
      </c>
      <c r="D1802" s="621" t="s">
        <v>18</v>
      </c>
      <c r="E1802" s="621">
        <v>9</v>
      </c>
      <c r="F1802" s="622">
        <v>43546</v>
      </c>
      <c r="G1802" s="622">
        <v>45372</v>
      </c>
      <c r="H1802" s="621" t="s">
        <v>14</v>
      </c>
      <c r="I1802" s="621" t="s">
        <v>51</v>
      </c>
    </row>
    <row r="1803" spans="1:9">
      <c r="A1803" s="617">
        <f t="shared" si="28"/>
        <v>1799</v>
      </c>
      <c r="B1803" s="618" t="s">
        <v>238</v>
      </c>
      <c r="C1803" s="618" t="str">
        <f>"14453"</f>
        <v>14453</v>
      </c>
      <c r="D1803" s="618" t="s">
        <v>18</v>
      </c>
      <c r="E1803" s="618">
        <v>13</v>
      </c>
      <c r="F1803" s="619">
        <v>43550</v>
      </c>
      <c r="G1803" s="619">
        <v>45376</v>
      </c>
      <c r="H1803" s="618" t="s">
        <v>43</v>
      </c>
      <c r="I1803" s="618" t="s">
        <v>51</v>
      </c>
    </row>
    <row r="1804" spans="1:9">
      <c r="A1804" s="620">
        <f t="shared" si="28"/>
        <v>1800</v>
      </c>
      <c r="B1804" s="621" t="s">
        <v>238</v>
      </c>
      <c r="C1804" s="621" t="str">
        <f>"14454"</f>
        <v>14454</v>
      </c>
      <c r="D1804" s="621" t="s">
        <v>18</v>
      </c>
      <c r="E1804" s="621">
        <v>17</v>
      </c>
      <c r="F1804" s="622">
        <v>43553</v>
      </c>
      <c r="G1804" s="622">
        <v>45379</v>
      </c>
      <c r="H1804" s="621" t="s">
        <v>45</v>
      </c>
      <c r="I1804" s="621" t="s">
        <v>51</v>
      </c>
    </row>
    <row r="1805" spans="1:9">
      <c r="A1805" s="617">
        <f t="shared" si="28"/>
        <v>1801</v>
      </c>
      <c r="B1805" s="618" t="s">
        <v>26</v>
      </c>
      <c r="C1805" s="618" t="str">
        <f>"14455"</f>
        <v>14455</v>
      </c>
      <c r="D1805" s="618" t="s">
        <v>18</v>
      </c>
      <c r="E1805" s="618">
        <v>28</v>
      </c>
      <c r="F1805" s="619">
        <v>43535</v>
      </c>
      <c r="G1805" s="619">
        <v>45361</v>
      </c>
      <c r="H1805" s="618" t="s">
        <v>16</v>
      </c>
      <c r="I1805" s="618" t="s">
        <v>6871</v>
      </c>
    </row>
    <row r="1806" spans="1:9">
      <c r="A1806" s="620">
        <f t="shared" si="28"/>
        <v>1802</v>
      </c>
      <c r="B1806" s="621" t="s">
        <v>26</v>
      </c>
      <c r="C1806" s="621" t="str">
        <f>"14456"</f>
        <v>14456</v>
      </c>
      <c r="D1806" s="621" t="s">
        <v>18</v>
      </c>
      <c r="E1806" s="621">
        <v>23</v>
      </c>
      <c r="F1806" s="622">
        <v>43535</v>
      </c>
      <c r="G1806" s="622">
        <v>45361</v>
      </c>
      <c r="H1806" s="621" t="s">
        <v>14</v>
      </c>
      <c r="I1806" s="621" t="s">
        <v>51</v>
      </c>
    </row>
    <row r="1807" spans="1:9">
      <c r="A1807" s="617">
        <f t="shared" si="28"/>
        <v>1803</v>
      </c>
      <c r="B1807" s="618" t="s">
        <v>1797</v>
      </c>
      <c r="C1807" s="618" t="str">
        <f>"14459"</f>
        <v>14459</v>
      </c>
      <c r="D1807" s="618" t="s">
        <v>18</v>
      </c>
      <c r="E1807" s="618">
        <v>3</v>
      </c>
      <c r="F1807" s="619">
        <v>43560</v>
      </c>
      <c r="G1807" s="619">
        <v>45386</v>
      </c>
      <c r="H1807" s="618" t="s">
        <v>16</v>
      </c>
      <c r="I1807" s="618" t="s">
        <v>385</v>
      </c>
    </row>
    <row r="1808" spans="1:9">
      <c r="A1808" s="620">
        <f t="shared" si="28"/>
        <v>1804</v>
      </c>
      <c r="B1808" s="621" t="s">
        <v>238</v>
      </c>
      <c r="C1808" s="621" t="str">
        <f>"14468"</f>
        <v>14468</v>
      </c>
      <c r="D1808" s="621" t="s">
        <v>18</v>
      </c>
      <c r="E1808" s="621">
        <v>21</v>
      </c>
      <c r="F1808" s="622">
        <v>43546</v>
      </c>
      <c r="G1808" s="622">
        <v>45372</v>
      </c>
      <c r="H1808" s="621" t="s">
        <v>14</v>
      </c>
      <c r="I1808" s="621" t="s">
        <v>51</v>
      </c>
    </row>
    <row r="1809" spans="1:9">
      <c r="A1809" s="617">
        <f t="shared" si="28"/>
        <v>1805</v>
      </c>
      <c r="B1809" s="618" t="s">
        <v>238</v>
      </c>
      <c r="C1809" s="618" t="str">
        <f>"14469"</f>
        <v>14469</v>
      </c>
      <c r="D1809" s="618" t="s">
        <v>18</v>
      </c>
      <c r="E1809" s="618">
        <v>41</v>
      </c>
      <c r="F1809" s="619">
        <v>43550</v>
      </c>
      <c r="G1809" s="619">
        <v>45376</v>
      </c>
      <c r="H1809" s="618" t="s">
        <v>14</v>
      </c>
      <c r="I1809" s="618" t="s">
        <v>51</v>
      </c>
    </row>
    <row r="1810" spans="1:9">
      <c r="A1810" s="620">
        <f t="shared" si="28"/>
        <v>1806</v>
      </c>
      <c r="B1810" s="621" t="s">
        <v>201</v>
      </c>
      <c r="C1810" s="621" t="str">
        <f>"14470"</f>
        <v>14470</v>
      </c>
      <c r="D1810" s="621" t="s">
        <v>18</v>
      </c>
      <c r="E1810" s="621">
        <v>5</v>
      </c>
      <c r="F1810" s="622">
        <v>43570</v>
      </c>
      <c r="G1810" s="622">
        <v>45396</v>
      </c>
      <c r="H1810" s="621" t="s">
        <v>14</v>
      </c>
      <c r="I1810" s="621" t="s">
        <v>51</v>
      </c>
    </row>
    <row r="1811" spans="1:9">
      <c r="A1811" s="617">
        <f t="shared" si="28"/>
        <v>1807</v>
      </c>
      <c r="B1811" s="618" t="s">
        <v>201</v>
      </c>
      <c r="C1811" s="618" t="str">
        <f>"14471"</f>
        <v>14471</v>
      </c>
      <c r="D1811" s="618" t="s">
        <v>18</v>
      </c>
      <c r="E1811" s="618">
        <v>5</v>
      </c>
      <c r="F1811" s="619">
        <v>43570</v>
      </c>
      <c r="G1811" s="619">
        <v>45396</v>
      </c>
      <c r="H1811" s="618" t="s">
        <v>14</v>
      </c>
      <c r="I1811" s="618" t="s">
        <v>51</v>
      </c>
    </row>
    <row r="1812" spans="1:9">
      <c r="A1812" s="620">
        <f t="shared" si="28"/>
        <v>1808</v>
      </c>
      <c r="B1812" s="621" t="s">
        <v>201</v>
      </c>
      <c r="C1812" s="621" t="str">
        <f>"14472"</f>
        <v>14472</v>
      </c>
      <c r="D1812" s="621" t="s">
        <v>18</v>
      </c>
      <c r="E1812" s="621">
        <v>4</v>
      </c>
      <c r="F1812" s="622">
        <v>43560</v>
      </c>
      <c r="G1812" s="622">
        <v>45386</v>
      </c>
      <c r="H1812" s="621" t="s">
        <v>14</v>
      </c>
      <c r="I1812" s="621" t="s">
        <v>51</v>
      </c>
    </row>
    <row r="1813" spans="1:9">
      <c r="A1813" s="617">
        <f t="shared" si="28"/>
        <v>1809</v>
      </c>
      <c r="B1813" s="618" t="s">
        <v>201</v>
      </c>
      <c r="C1813" s="618" t="str">
        <f>"14473"</f>
        <v>14473</v>
      </c>
      <c r="D1813" s="618" t="s">
        <v>18</v>
      </c>
      <c r="E1813" s="618">
        <v>6</v>
      </c>
      <c r="F1813" s="619">
        <v>43613</v>
      </c>
      <c r="G1813" s="619">
        <v>45439</v>
      </c>
      <c r="H1813" s="618" t="s">
        <v>14</v>
      </c>
      <c r="I1813" s="618" t="s">
        <v>51</v>
      </c>
    </row>
    <row r="1814" spans="1:9">
      <c r="A1814" s="620">
        <f t="shared" si="28"/>
        <v>1810</v>
      </c>
      <c r="B1814" s="621" t="s">
        <v>201</v>
      </c>
      <c r="C1814" s="621" t="str">
        <f>"14474"</f>
        <v>14474</v>
      </c>
      <c r="D1814" s="621" t="s">
        <v>18</v>
      </c>
      <c r="E1814" s="621">
        <v>4</v>
      </c>
      <c r="F1814" s="622">
        <v>43557</v>
      </c>
      <c r="G1814" s="622">
        <v>45383</v>
      </c>
      <c r="H1814" s="621" t="s">
        <v>14</v>
      </c>
      <c r="I1814" s="621" t="s">
        <v>51</v>
      </c>
    </row>
    <row r="1815" spans="1:9">
      <c r="A1815" s="617">
        <f t="shared" si="28"/>
        <v>1811</v>
      </c>
      <c r="B1815" s="618" t="s">
        <v>248</v>
      </c>
      <c r="C1815" s="618" t="str">
        <f>"14475"</f>
        <v>14475</v>
      </c>
      <c r="D1815" s="618" t="s">
        <v>18</v>
      </c>
      <c r="E1815" s="618">
        <v>275</v>
      </c>
      <c r="F1815" s="619">
        <v>43529</v>
      </c>
      <c r="G1815" s="619">
        <v>45355</v>
      </c>
      <c r="H1815" s="618" t="s">
        <v>16</v>
      </c>
      <c r="I1815" s="618" t="s">
        <v>51</v>
      </c>
    </row>
    <row r="1816" spans="1:9">
      <c r="A1816" s="620">
        <f t="shared" si="28"/>
        <v>1812</v>
      </c>
      <c r="B1816" s="621" t="s">
        <v>249</v>
      </c>
      <c r="C1816" s="621" t="str">
        <f>"14476"</f>
        <v>14476</v>
      </c>
      <c r="D1816" s="621" t="s">
        <v>18</v>
      </c>
      <c r="E1816" s="621">
        <v>8</v>
      </c>
      <c r="F1816" s="622">
        <v>43546</v>
      </c>
      <c r="G1816" s="622">
        <v>45372</v>
      </c>
      <c r="H1816" s="621" t="s">
        <v>43</v>
      </c>
      <c r="I1816" s="621" t="s">
        <v>51</v>
      </c>
    </row>
    <row r="1817" spans="1:9">
      <c r="A1817" s="617">
        <f t="shared" si="28"/>
        <v>1813</v>
      </c>
      <c r="B1817" s="618" t="s">
        <v>250</v>
      </c>
      <c r="C1817" s="618" t="str">
        <f>"14482"</f>
        <v>14482</v>
      </c>
      <c r="D1817" s="618" t="s">
        <v>18</v>
      </c>
      <c r="E1817" s="618">
        <v>3</v>
      </c>
      <c r="F1817" s="619">
        <v>43557</v>
      </c>
      <c r="G1817" s="619">
        <v>45383</v>
      </c>
      <c r="H1817" s="618" t="s">
        <v>16</v>
      </c>
      <c r="I1817" s="618" t="s">
        <v>51</v>
      </c>
    </row>
    <row r="1818" spans="1:9">
      <c r="A1818" s="620">
        <f t="shared" si="28"/>
        <v>1814</v>
      </c>
      <c r="B1818" s="621" t="s">
        <v>251</v>
      </c>
      <c r="C1818" s="621" t="str">
        <f>"14483"</f>
        <v>14483</v>
      </c>
      <c r="D1818" s="621" t="s">
        <v>18</v>
      </c>
      <c r="E1818" s="621">
        <v>13</v>
      </c>
      <c r="F1818" s="622">
        <v>43557</v>
      </c>
      <c r="G1818" s="622">
        <v>45383</v>
      </c>
      <c r="H1818" s="621" t="s">
        <v>16</v>
      </c>
      <c r="I1818" s="621" t="s">
        <v>51</v>
      </c>
    </row>
    <row r="1819" spans="1:9">
      <c r="A1819" s="617">
        <f t="shared" si="28"/>
        <v>1815</v>
      </c>
      <c r="B1819" s="618" t="s">
        <v>252</v>
      </c>
      <c r="C1819" s="618" t="str">
        <f>"14484"</f>
        <v>14484</v>
      </c>
      <c r="D1819" s="618" t="s">
        <v>18</v>
      </c>
      <c r="E1819" s="618">
        <v>1</v>
      </c>
      <c r="F1819" s="619">
        <v>43560</v>
      </c>
      <c r="G1819" s="619">
        <v>45386</v>
      </c>
      <c r="H1819" s="618" t="s">
        <v>14</v>
      </c>
      <c r="I1819" s="618" t="s">
        <v>51</v>
      </c>
    </row>
    <row r="1820" spans="1:9">
      <c r="A1820" s="620">
        <f t="shared" si="28"/>
        <v>1816</v>
      </c>
      <c r="B1820" s="621" t="s">
        <v>252</v>
      </c>
      <c r="C1820" s="621" t="str">
        <f>"14485"</f>
        <v>14485</v>
      </c>
      <c r="D1820" s="621" t="s">
        <v>18</v>
      </c>
      <c r="E1820" s="621">
        <v>1</v>
      </c>
      <c r="F1820" s="622">
        <v>43560</v>
      </c>
      <c r="G1820" s="622">
        <v>45386</v>
      </c>
      <c r="H1820" s="621" t="s">
        <v>41</v>
      </c>
      <c r="I1820" s="621" t="s">
        <v>51</v>
      </c>
    </row>
    <row r="1821" spans="1:9">
      <c r="A1821" s="617">
        <f t="shared" si="28"/>
        <v>1817</v>
      </c>
      <c r="B1821" s="618" t="s">
        <v>253</v>
      </c>
      <c r="C1821" s="618" t="str">
        <f>"14486"</f>
        <v>14486</v>
      </c>
      <c r="D1821" s="618" t="s">
        <v>18</v>
      </c>
      <c r="E1821" s="618">
        <v>10</v>
      </c>
      <c r="F1821" s="619">
        <v>43585</v>
      </c>
      <c r="G1821" s="619">
        <v>45411</v>
      </c>
      <c r="H1821" s="618" t="s">
        <v>16</v>
      </c>
      <c r="I1821" s="618" t="s">
        <v>51</v>
      </c>
    </row>
    <row r="1822" spans="1:9">
      <c r="A1822" s="620">
        <f t="shared" si="28"/>
        <v>1818</v>
      </c>
      <c r="B1822" s="621" t="s">
        <v>254</v>
      </c>
      <c r="C1822" s="621" t="str">
        <f>"14488"</f>
        <v>14488</v>
      </c>
      <c r="D1822" s="621" t="s">
        <v>18</v>
      </c>
      <c r="E1822" s="621">
        <v>6</v>
      </c>
      <c r="F1822" s="622">
        <v>43585</v>
      </c>
      <c r="G1822" s="622">
        <v>45411</v>
      </c>
      <c r="H1822" s="621" t="s">
        <v>19</v>
      </c>
      <c r="I1822" s="621" t="s">
        <v>51</v>
      </c>
    </row>
    <row r="1823" spans="1:9">
      <c r="A1823" s="617">
        <f t="shared" si="28"/>
        <v>1819</v>
      </c>
      <c r="B1823" s="618" t="s">
        <v>254</v>
      </c>
      <c r="C1823" s="618" t="str">
        <f>"14489"</f>
        <v>14489</v>
      </c>
      <c r="D1823" s="618" t="s">
        <v>18</v>
      </c>
      <c r="E1823" s="618">
        <v>3</v>
      </c>
      <c r="F1823" s="619">
        <v>43585</v>
      </c>
      <c r="G1823" s="619">
        <v>45411</v>
      </c>
      <c r="H1823" s="618" t="s">
        <v>19</v>
      </c>
      <c r="I1823" s="618" t="s">
        <v>51</v>
      </c>
    </row>
    <row r="1824" spans="1:9">
      <c r="A1824" s="620">
        <f t="shared" si="28"/>
        <v>1820</v>
      </c>
      <c r="B1824" s="621" t="s">
        <v>252</v>
      </c>
      <c r="C1824" s="621" t="str">
        <f>"14490"</f>
        <v>14490</v>
      </c>
      <c r="D1824" s="621" t="s">
        <v>18</v>
      </c>
      <c r="E1824" s="621">
        <v>1</v>
      </c>
      <c r="F1824" s="622">
        <v>43560</v>
      </c>
      <c r="G1824" s="622">
        <v>45386</v>
      </c>
      <c r="H1824" s="621" t="s">
        <v>14</v>
      </c>
      <c r="I1824" s="621" t="s">
        <v>51</v>
      </c>
    </row>
    <row r="1825" spans="1:9">
      <c r="A1825" s="617">
        <f t="shared" si="28"/>
        <v>1821</v>
      </c>
      <c r="B1825" s="618" t="s">
        <v>255</v>
      </c>
      <c r="C1825" s="618" t="str">
        <f>"14492"</f>
        <v>14492</v>
      </c>
      <c r="D1825" s="618" t="s">
        <v>18</v>
      </c>
      <c r="E1825" s="618">
        <v>8</v>
      </c>
      <c r="F1825" s="619">
        <v>43550</v>
      </c>
      <c r="G1825" s="619">
        <v>45376</v>
      </c>
      <c r="H1825" s="618" t="s">
        <v>14</v>
      </c>
      <c r="I1825" s="618" t="s">
        <v>51</v>
      </c>
    </row>
    <row r="1826" spans="1:9">
      <c r="A1826" s="620">
        <f t="shared" si="28"/>
        <v>1822</v>
      </c>
      <c r="B1826" s="621" t="s">
        <v>1798</v>
      </c>
      <c r="C1826" s="621" t="str">
        <f>"14493"</f>
        <v>14493</v>
      </c>
      <c r="D1826" s="621" t="s">
        <v>18</v>
      </c>
      <c r="E1826" s="621">
        <v>4</v>
      </c>
      <c r="F1826" s="622">
        <v>43560</v>
      </c>
      <c r="G1826" s="622">
        <v>45386</v>
      </c>
      <c r="H1826" s="621" t="s">
        <v>45</v>
      </c>
      <c r="I1826" s="621" t="s">
        <v>51</v>
      </c>
    </row>
    <row r="1827" spans="1:9">
      <c r="A1827" s="617">
        <f t="shared" si="28"/>
        <v>1823</v>
      </c>
      <c r="B1827" s="618" t="s">
        <v>256</v>
      </c>
      <c r="C1827" s="618" t="str">
        <f>"14495"</f>
        <v>14495</v>
      </c>
      <c r="D1827" s="618" t="s">
        <v>18</v>
      </c>
      <c r="E1827" s="618">
        <v>10</v>
      </c>
      <c r="F1827" s="619">
        <v>43585</v>
      </c>
      <c r="G1827" s="619">
        <v>45411</v>
      </c>
      <c r="H1827" s="618" t="s">
        <v>14</v>
      </c>
      <c r="I1827" s="618" t="s">
        <v>6862</v>
      </c>
    </row>
    <row r="1828" spans="1:9">
      <c r="A1828" s="620">
        <f t="shared" si="28"/>
        <v>1824</v>
      </c>
      <c r="B1828" s="621" t="s">
        <v>257</v>
      </c>
      <c r="C1828" s="621" t="str">
        <f>"14496"</f>
        <v>14496</v>
      </c>
      <c r="D1828" s="621" t="s">
        <v>18</v>
      </c>
      <c r="E1828" s="621">
        <v>154</v>
      </c>
      <c r="F1828" s="622">
        <v>43535</v>
      </c>
      <c r="G1828" s="622">
        <v>45361</v>
      </c>
      <c r="H1828" s="621" t="s">
        <v>16</v>
      </c>
      <c r="I1828" s="621" t="s">
        <v>51</v>
      </c>
    </row>
    <row r="1829" spans="1:9">
      <c r="A1829" s="617">
        <f t="shared" si="28"/>
        <v>1825</v>
      </c>
      <c r="B1829" s="618" t="s">
        <v>257</v>
      </c>
      <c r="C1829" s="618" t="str">
        <f>"14497"</f>
        <v>14497</v>
      </c>
      <c r="D1829" s="618" t="s">
        <v>18</v>
      </c>
      <c r="E1829" s="618">
        <v>99</v>
      </c>
      <c r="F1829" s="619">
        <v>43535</v>
      </c>
      <c r="G1829" s="619">
        <v>45361</v>
      </c>
      <c r="H1829" s="618" t="s">
        <v>16</v>
      </c>
      <c r="I1829" s="618" t="s">
        <v>51</v>
      </c>
    </row>
    <row r="1830" spans="1:9">
      <c r="A1830" s="620">
        <f t="shared" si="28"/>
        <v>1826</v>
      </c>
      <c r="B1830" s="621" t="s">
        <v>257</v>
      </c>
      <c r="C1830" s="621" t="str">
        <f>"14498"</f>
        <v>14498</v>
      </c>
      <c r="D1830" s="621" t="s">
        <v>18</v>
      </c>
      <c r="E1830" s="621">
        <v>117</v>
      </c>
      <c r="F1830" s="622">
        <v>43535</v>
      </c>
      <c r="G1830" s="622">
        <v>45361</v>
      </c>
      <c r="H1830" s="621" t="s">
        <v>16</v>
      </c>
      <c r="I1830" s="621" t="s">
        <v>51</v>
      </c>
    </row>
    <row r="1831" spans="1:9">
      <c r="A1831" s="617">
        <f t="shared" si="28"/>
        <v>1827</v>
      </c>
      <c r="B1831" s="618" t="s">
        <v>1830</v>
      </c>
      <c r="C1831" s="618" t="str">
        <f>"14499"</f>
        <v>14499</v>
      </c>
      <c r="D1831" s="618" t="s">
        <v>18</v>
      </c>
      <c r="E1831" s="618">
        <v>5</v>
      </c>
      <c r="F1831" s="619">
        <v>43614</v>
      </c>
      <c r="G1831" s="619">
        <v>45440</v>
      </c>
      <c r="H1831" s="618" t="s">
        <v>45</v>
      </c>
      <c r="I1831" s="618" t="s">
        <v>51</v>
      </c>
    </row>
    <row r="1832" spans="1:9">
      <c r="A1832" s="620">
        <f t="shared" si="28"/>
        <v>1828</v>
      </c>
      <c r="B1832" s="621" t="s">
        <v>253</v>
      </c>
      <c r="C1832" s="621" t="str">
        <f>"14500"</f>
        <v>14500</v>
      </c>
      <c r="D1832" s="621" t="s">
        <v>18</v>
      </c>
      <c r="E1832" s="621">
        <v>5</v>
      </c>
      <c r="F1832" s="622">
        <v>43614</v>
      </c>
      <c r="G1832" s="622">
        <v>45440</v>
      </c>
      <c r="H1832" s="621" t="s">
        <v>45</v>
      </c>
      <c r="I1832" s="621" t="s">
        <v>51</v>
      </c>
    </row>
    <row r="1833" spans="1:9">
      <c r="A1833" s="617">
        <f t="shared" si="28"/>
        <v>1829</v>
      </c>
      <c r="B1833" s="618" t="s">
        <v>258</v>
      </c>
      <c r="C1833" s="618" t="str">
        <f>"14502"</f>
        <v>14502</v>
      </c>
      <c r="D1833" s="618" t="s">
        <v>18</v>
      </c>
      <c r="E1833" s="618">
        <v>12</v>
      </c>
      <c r="F1833" s="619">
        <v>43623</v>
      </c>
      <c r="G1833" s="619">
        <v>45449</v>
      </c>
      <c r="H1833" s="618" t="s">
        <v>16</v>
      </c>
      <c r="I1833" s="618" t="s">
        <v>51</v>
      </c>
    </row>
    <row r="1834" spans="1:9">
      <c r="A1834" s="620">
        <f t="shared" si="28"/>
        <v>1830</v>
      </c>
      <c r="B1834" s="621" t="s">
        <v>206</v>
      </c>
      <c r="C1834" s="621" t="str">
        <f>"14503"</f>
        <v>14503</v>
      </c>
      <c r="D1834" s="621" t="s">
        <v>18</v>
      </c>
      <c r="E1834" s="621">
        <v>36</v>
      </c>
      <c r="F1834" s="622">
        <v>43557</v>
      </c>
      <c r="G1834" s="622">
        <v>45383</v>
      </c>
      <c r="H1834" s="621" t="s">
        <v>21</v>
      </c>
      <c r="I1834" s="621" t="s">
        <v>51</v>
      </c>
    </row>
    <row r="1835" spans="1:9">
      <c r="A1835" s="617">
        <f t="shared" si="28"/>
        <v>1831</v>
      </c>
      <c r="B1835" s="618" t="s">
        <v>259</v>
      </c>
      <c r="C1835" s="618" t="str">
        <f>"14504"</f>
        <v>14504</v>
      </c>
      <c r="D1835" s="618" t="s">
        <v>18</v>
      </c>
      <c r="E1835" s="618">
        <v>27</v>
      </c>
      <c r="F1835" s="619">
        <v>43557</v>
      </c>
      <c r="G1835" s="619">
        <v>45383</v>
      </c>
      <c r="H1835" s="618" t="s">
        <v>21</v>
      </c>
      <c r="I1835" s="618" t="s">
        <v>51</v>
      </c>
    </row>
    <row r="1836" spans="1:9">
      <c r="A1836" s="620">
        <f t="shared" si="28"/>
        <v>1832</v>
      </c>
      <c r="B1836" s="621" t="s">
        <v>1799</v>
      </c>
      <c r="C1836" s="621" t="str">
        <f>"14505"</f>
        <v>14505</v>
      </c>
      <c r="D1836" s="621" t="s">
        <v>18</v>
      </c>
      <c r="E1836" s="621">
        <v>3</v>
      </c>
      <c r="F1836" s="622">
        <v>43567</v>
      </c>
      <c r="G1836" s="622">
        <v>45393</v>
      </c>
      <c r="H1836" s="621" t="s">
        <v>14</v>
      </c>
      <c r="I1836" s="621" t="s">
        <v>385</v>
      </c>
    </row>
    <row r="1837" spans="1:9">
      <c r="A1837" s="617">
        <f t="shared" si="28"/>
        <v>1833</v>
      </c>
      <c r="B1837" s="618" t="s">
        <v>1799</v>
      </c>
      <c r="C1837" s="618" t="str">
        <f>"14507"</f>
        <v>14507</v>
      </c>
      <c r="D1837" s="618" t="s">
        <v>18</v>
      </c>
      <c r="E1837" s="618">
        <v>4</v>
      </c>
      <c r="F1837" s="619">
        <v>43567</v>
      </c>
      <c r="G1837" s="619">
        <v>45393</v>
      </c>
      <c r="H1837" s="618" t="s">
        <v>14</v>
      </c>
      <c r="I1837" s="618" t="s">
        <v>385</v>
      </c>
    </row>
    <row r="1838" spans="1:9">
      <c r="A1838" s="620">
        <f t="shared" si="28"/>
        <v>1834</v>
      </c>
      <c r="B1838" s="621" t="s">
        <v>88</v>
      </c>
      <c r="C1838" s="621" t="str">
        <f>"14508"</f>
        <v>14508</v>
      </c>
      <c r="D1838" s="621" t="s">
        <v>27</v>
      </c>
      <c r="E1838" s="621">
        <v>2</v>
      </c>
      <c r="F1838" s="622">
        <v>43532</v>
      </c>
      <c r="G1838" s="622">
        <v>45358</v>
      </c>
      <c r="H1838" s="621" t="s">
        <v>16</v>
      </c>
      <c r="I1838" s="621" t="s">
        <v>6864</v>
      </c>
    </row>
    <row r="1839" spans="1:9">
      <c r="A1839" s="617">
        <f t="shared" si="28"/>
        <v>1835</v>
      </c>
      <c r="B1839" s="618" t="s">
        <v>238</v>
      </c>
      <c r="C1839" s="618" t="str">
        <f>"14513"</f>
        <v>14513</v>
      </c>
      <c r="D1839" s="618" t="s">
        <v>18</v>
      </c>
      <c r="E1839" s="618">
        <v>25</v>
      </c>
      <c r="F1839" s="619">
        <v>43550</v>
      </c>
      <c r="G1839" s="619">
        <v>45376</v>
      </c>
      <c r="H1839" s="618" t="s">
        <v>16</v>
      </c>
      <c r="I1839" s="618" t="s">
        <v>6868</v>
      </c>
    </row>
    <row r="1840" spans="1:9">
      <c r="A1840" s="620">
        <f t="shared" si="28"/>
        <v>1836</v>
      </c>
      <c r="B1840" s="621" t="s">
        <v>1836</v>
      </c>
      <c r="C1840" s="621" t="str">
        <f>"14514"</f>
        <v>14514</v>
      </c>
      <c r="D1840" s="621" t="s">
        <v>18</v>
      </c>
      <c r="E1840" s="621">
        <v>135</v>
      </c>
      <c r="F1840" s="622">
        <v>43546</v>
      </c>
      <c r="G1840" s="622">
        <v>45372</v>
      </c>
      <c r="H1840" s="621" t="s">
        <v>16</v>
      </c>
      <c r="I1840" s="621" t="s">
        <v>51</v>
      </c>
    </row>
    <row r="1841" spans="1:9">
      <c r="A1841" s="617">
        <f t="shared" si="28"/>
        <v>1837</v>
      </c>
      <c r="B1841" s="618" t="s">
        <v>1837</v>
      </c>
      <c r="C1841" s="618" t="str">
        <f>"14515"</f>
        <v>14515</v>
      </c>
      <c r="D1841" s="618" t="s">
        <v>18</v>
      </c>
      <c r="E1841" s="618">
        <v>32</v>
      </c>
      <c r="F1841" s="619">
        <v>43550</v>
      </c>
      <c r="G1841" s="619">
        <v>45376</v>
      </c>
      <c r="H1841" s="618" t="s">
        <v>16</v>
      </c>
      <c r="I1841" s="618" t="s">
        <v>51</v>
      </c>
    </row>
    <row r="1842" spans="1:9">
      <c r="A1842" s="620">
        <f t="shared" si="28"/>
        <v>1838</v>
      </c>
      <c r="B1842" s="621" t="s">
        <v>1838</v>
      </c>
      <c r="C1842" s="621" t="str">
        <f>"14516"</f>
        <v>14516</v>
      </c>
      <c r="D1842" s="621" t="s">
        <v>18</v>
      </c>
      <c r="E1842" s="621">
        <v>51</v>
      </c>
      <c r="F1842" s="622">
        <v>43550</v>
      </c>
      <c r="G1842" s="622">
        <v>45376</v>
      </c>
      <c r="H1842" s="621" t="s">
        <v>16</v>
      </c>
      <c r="I1842" s="621" t="s">
        <v>51</v>
      </c>
    </row>
    <row r="1843" spans="1:9">
      <c r="A1843" s="617">
        <f t="shared" si="28"/>
        <v>1839</v>
      </c>
      <c r="B1843" s="618" t="s">
        <v>238</v>
      </c>
      <c r="C1843" s="618" t="str">
        <f>"14517"</f>
        <v>14517</v>
      </c>
      <c r="D1843" s="618" t="s">
        <v>18</v>
      </c>
      <c r="E1843" s="618">
        <v>4</v>
      </c>
      <c r="F1843" s="619">
        <v>43550</v>
      </c>
      <c r="G1843" s="619">
        <v>45376</v>
      </c>
      <c r="H1843" s="618" t="s">
        <v>16</v>
      </c>
      <c r="I1843" s="618" t="s">
        <v>51</v>
      </c>
    </row>
    <row r="1844" spans="1:9">
      <c r="A1844" s="620">
        <f t="shared" si="28"/>
        <v>1840</v>
      </c>
      <c r="B1844" s="621" t="s">
        <v>142</v>
      </c>
      <c r="C1844" s="621" t="str">
        <f>"14518"</f>
        <v>14518</v>
      </c>
      <c r="D1844" s="621" t="s">
        <v>18</v>
      </c>
      <c r="E1844" s="621">
        <v>262</v>
      </c>
      <c r="F1844" s="622">
        <v>44249</v>
      </c>
      <c r="G1844" s="622">
        <v>46074</v>
      </c>
      <c r="H1844" s="621" t="s">
        <v>45</v>
      </c>
      <c r="I1844" s="621" t="s">
        <v>51</v>
      </c>
    </row>
    <row r="1845" spans="1:9">
      <c r="A1845" s="617">
        <f t="shared" si="28"/>
        <v>1841</v>
      </c>
      <c r="B1845" s="618" t="s">
        <v>260</v>
      </c>
      <c r="C1845" s="618" t="str">
        <f>"14519"</f>
        <v>14519</v>
      </c>
      <c r="D1845" s="618" t="s">
        <v>18</v>
      </c>
      <c r="E1845" s="618">
        <v>6</v>
      </c>
      <c r="F1845" s="619">
        <v>43550</v>
      </c>
      <c r="G1845" s="619">
        <v>45376</v>
      </c>
      <c r="H1845" s="618" t="s">
        <v>16</v>
      </c>
      <c r="I1845" s="618" t="s">
        <v>6868</v>
      </c>
    </row>
    <row r="1846" spans="1:9">
      <c r="A1846" s="620">
        <f t="shared" si="28"/>
        <v>1842</v>
      </c>
      <c r="B1846" s="621" t="s">
        <v>260</v>
      </c>
      <c r="C1846" s="621" t="str">
        <f>"14520"</f>
        <v>14520</v>
      </c>
      <c r="D1846" s="621" t="s">
        <v>18</v>
      </c>
      <c r="E1846" s="621">
        <v>6</v>
      </c>
      <c r="F1846" s="622">
        <v>43550</v>
      </c>
      <c r="G1846" s="622">
        <v>45376</v>
      </c>
      <c r="H1846" s="621" t="s">
        <v>16</v>
      </c>
      <c r="I1846" s="621" t="s">
        <v>6868</v>
      </c>
    </row>
    <row r="1847" spans="1:9">
      <c r="A1847" s="617">
        <f t="shared" si="28"/>
        <v>1843</v>
      </c>
      <c r="B1847" s="618" t="s">
        <v>261</v>
      </c>
      <c r="C1847" s="618" t="str">
        <f>"14521"</f>
        <v>14521</v>
      </c>
      <c r="D1847" s="618" t="s">
        <v>18</v>
      </c>
      <c r="E1847" s="618">
        <v>148</v>
      </c>
      <c r="F1847" s="619">
        <v>43550</v>
      </c>
      <c r="G1847" s="619">
        <v>45376</v>
      </c>
      <c r="H1847" s="618" t="s">
        <v>14</v>
      </c>
      <c r="I1847" s="618" t="s">
        <v>51</v>
      </c>
    </row>
    <row r="1848" spans="1:9">
      <c r="A1848" s="620">
        <f t="shared" si="28"/>
        <v>1844</v>
      </c>
      <c r="B1848" s="621" t="s">
        <v>261</v>
      </c>
      <c r="C1848" s="621" t="str">
        <f>"14522"</f>
        <v>14522</v>
      </c>
      <c r="D1848" s="621" t="s">
        <v>18</v>
      </c>
      <c r="E1848" s="621">
        <v>88</v>
      </c>
      <c r="F1848" s="622">
        <v>43550</v>
      </c>
      <c r="G1848" s="622">
        <v>45376</v>
      </c>
      <c r="H1848" s="621" t="s">
        <v>16</v>
      </c>
      <c r="I1848" s="621" t="s">
        <v>51</v>
      </c>
    </row>
    <row r="1849" spans="1:9">
      <c r="A1849" s="617">
        <f t="shared" si="28"/>
        <v>1845</v>
      </c>
      <c r="B1849" s="618" t="s">
        <v>261</v>
      </c>
      <c r="C1849" s="618" t="str">
        <f>"14523"</f>
        <v>14523</v>
      </c>
      <c r="D1849" s="618" t="s">
        <v>18</v>
      </c>
      <c r="E1849" s="618">
        <v>29</v>
      </c>
      <c r="F1849" s="619">
        <v>43550</v>
      </c>
      <c r="G1849" s="619">
        <v>45376</v>
      </c>
      <c r="H1849" s="618" t="s">
        <v>16</v>
      </c>
      <c r="I1849" s="618" t="s">
        <v>51</v>
      </c>
    </row>
    <row r="1850" spans="1:9">
      <c r="A1850" s="620">
        <f t="shared" si="28"/>
        <v>1846</v>
      </c>
      <c r="B1850" s="621" t="s">
        <v>238</v>
      </c>
      <c r="C1850" s="621" t="str">
        <f>"14524"</f>
        <v>14524</v>
      </c>
      <c r="D1850" s="621" t="s">
        <v>18</v>
      </c>
      <c r="E1850" s="621">
        <v>8</v>
      </c>
      <c r="F1850" s="622">
        <v>43550</v>
      </c>
      <c r="G1850" s="622">
        <v>45376</v>
      </c>
      <c r="H1850" s="621" t="s">
        <v>16</v>
      </c>
      <c r="I1850" s="621" t="s">
        <v>6868</v>
      </c>
    </row>
    <row r="1851" spans="1:9">
      <c r="A1851" s="617">
        <f t="shared" si="28"/>
        <v>1847</v>
      </c>
      <c r="B1851" s="618" t="s">
        <v>238</v>
      </c>
      <c r="C1851" s="618" t="str">
        <f>"14525"</f>
        <v>14525</v>
      </c>
      <c r="D1851" s="618" t="s">
        <v>18</v>
      </c>
      <c r="E1851" s="618">
        <v>14</v>
      </c>
      <c r="F1851" s="619">
        <v>43550</v>
      </c>
      <c r="G1851" s="619">
        <v>45376</v>
      </c>
      <c r="H1851" s="618" t="s">
        <v>16</v>
      </c>
      <c r="I1851" s="618" t="s">
        <v>6868</v>
      </c>
    </row>
    <row r="1852" spans="1:9">
      <c r="A1852" s="620">
        <f t="shared" si="28"/>
        <v>1848</v>
      </c>
      <c r="B1852" s="621" t="s">
        <v>238</v>
      </c>
      <c r="C1852" s="621" t="str">
        <f>"14526"</f>
        <v>14526</v>
      </c>
      <c r="D1852" s="621" t="s">
        <v>18</v>
      </c>
      <c r="E1852" s="621">
        <v>34</v>
      </c>
      <c r="F1852" s="622">
        <v>43550</v>
      </c>
      <c r="G1852" s="622">
        <v>45376</v>
      </c>
      <c r="H1852" s="621" t="s">
        <v>16</v>
      </c>
      <c r="I1852" s="621" t="s">
        <v>6868</v>
      </c>
    </row>
    <row r="1853" spans="1:9">
      <c r="A1853" s="617">
        <f t="shared" si="28"/>
        <v>1849</v>
      </c>
      <c r="B1853" s="618" t="s">
        <v>222</v>
      </c>
      <c r="C1853" s="618" t="str">
        <f>"14527"</f>
        <v>14527</v>
      </c>
      <c r="D1853" s="618" t="s">
        <v>18</v>
      </c>
      <c r="E1853" s="618">
        <v>22</v>
      </c>
      <c r="F1853" s="619">
        <v>44392</v>
      </c>
      <c r="G1853" s="619">
        <v>46217</v>
      </c>
      <c r="H1853" s="618" t="s">
        <v>16</v>
      </c>
      <c r="I1853" s="618" t="s">
        <v>51</v>
      </c>
    </row>
    <row r="1854" spans="1:9">
      <c r="A1854" s="620">
        <f t="shared" si="28"/>
        <v>1850</v>
      </c>
      <c r="B1854" s="621" t="s">
        <v>253</v>
      </c>
      <c r="C1854" s="621" t="str">
        <f>"14528"</f>
        <v>14528</v>
      </c>
      <c r="D1854" s="621" t="s">
        <v>18</v>
      </c>
      <c r="E1854" s="621">
        <v>8</v>
      </c>
      <c r="F1854" s="622">
        <v>43614</v>
      </c>
      <c r="G1854" s="622">
        <v>45440</v>
      </c>
      <c r="H1854" s="621" t="s">
        <v>16</v>
      </c>
      <c r="I1854" s="621" t="s">
        <v>51</v>
      </c>
    </row>
    <row r="1855" spans="1:9">
      <c r="A1855" s="617">
        <f t="shared" si="28"/>
        <v>1851</v>
      </c>
      <c r="B1855" s="618" t="s">
        <v>262</v>
      </c>
      <c r="C1855" s="618" t="str">
        <f>"14529"</f>
        <v>14529</v>
      </c>
      <c r="D1855" s="618" t="s">
        <v>18</v>
      </c>
      <c r="E1855" s="618">
        <v>4</v>
      </c>
      <c r="F1855" s="619">
        <v>43560</v>
      </c>
      <c r="G1855" s="619">
        <v>45386</v>
      </c>
      <c r="H1855" s="618" t="s">
        <v>14</v>
      </c>
      <c r="I1855" s="618" t="s">
        <v>6868</v>
      </c>
    </row>
    <row r="1856" spans="1:9">
      <c r="A1856" s="620">
        <f t="shared" si="28"/>
        <v>1852</v>
      </c>
      <c r="B1856" s="621" t="s">
        <v>262</v>
      </c>
      <c r="C1856" s="621" t="str">
        <f>"14530"</f>
        <v>14530</v>
      </c>
      <c r="D1856" s="621" t="s">
        <v>18</v>
      </c>
      <c r="E1856" s="621">
        <v>4</v>
      </c>
      <c r="F1856" s="622">
        <v>43560</v>
      </c>
      <c r="G1856" s="622">
        <v>45386</v>
      </c>
      <c r="H1856" s="621" t="s">
        <v>14</v>
      </c>
      <c r="I1856" s="621" t="s">
        <v>51</v>
      </c>
    </row>
    <row r="1857" spans="1:9">
      <c r="A1857" s="617">
        <f t="shared" si="28"/>
        <v>1853</v>
      </c>
      <c r="B1857" s="618" t="s">
        <v>262</v>
      </c>
      <c r="C1857" s="618" t="str">
        <f>"14531"</f>
        <v>14531</v>
      </c>
      <c r="D1857" s="618" t="s">
        <v>18</v>
      </c>
      <c r="E1857" s="618">
        <v>4</v>
      </c>
      <c r="F1857" s="619">
        <v>43560</v>
      </c>
      <c r="G1857" s="619">
        <v>45386</v>
      </c>
      <c r="H1857" s="618" t="s">
        <v>14</v>
      </c>
      <c r="I1857" s="618" t="s">
        <v>6868</v>
      </c>
    </row>
    <row r="1858" spans="1:9">
      <c r="A1858" s="620">
        <f t="shared" si="28"/>
        <v>1854</v>
      </c>
      <c r="B1858" s="621" t="s">
        <v>6884</v>
      </c>
      <c r="C1858" s="621" t="str">
        <f>"14535"</f>
        <v>14535</v>
      </c>
      <c r="D1858" s="621" t="s">
        <v>18</v>
      </c>
      <c r="E1858" s="621">
        <v>45</v>
      </c>
      <c r="F1858" s="622">
        <v>43531</v>
      </c>
      <c r="G1858" s="622">
        <v>45357</v>
      </c>
      <c r="H1858" s="621" t="s">
        <v>16</v>
      </c>
      <c r="I1858" s="621" t="s">
        <v>6859</v>
      </c>
    </row>
    <row r="1859" spans="1:9">
      <c r="A1859" s="617">
        <f t="shared" si="28"/>
        <v>1855</v>
      </c>
      <c r="B1859" s="618" t="s">
        <v>6884</v>
      </c>
      <c r="C1859" s="618" t="str">
        <f>"14536"</f>
        <v>14536</v>
      </c>
      <c r="D1859" s="618" t="s">
        <v>18</v>
      </c>
      <c r="E1859" s="618">
        <v>39</v>
      </c>
      <c r="F1859" s="619">
        <v>43531</v>
      </c>
      <c r="G1859" s="619">
        <v>45357</v>
      </c>
      <c r="H1859" s="618" t="s">
        <v>19</v>
      </c>
      <c r="I1859" s="618" t="s">
        <v>6859</v>
      </c>
    </row>
    <row r="1860" spans="1:9">
      <c r="A1860" s="620">
        <f t="shared" si="28"/>
        <v>1856</v>
      </c>
      <c r="B1860" s="621" t="s">
        <v>6884</v>
      </c>
      <c r="C1860" s="621" t="str">
        <f>"14537"</f>
        <v>14537</v>
      </c>
      <c r="D1860" s="621" t="s">
        <v>18</v>
      </c>
      <c r="E1860" s="621">
        <v>20</v>
      </c>
      <c r="F1860" s="622">
        <v>43531</v>
      </c>
      <c r="G1860" s="622">
        <v>45357</v>
      </c>
      <c r="H1860" s="621" t="s">
        <v>43</v>
      </c>
      <c r="I1860" s="621" t="s">
        <v>6859</v>
      </c>
    </row>
    <row r="1861" spans="1:9">
      <c r="A1861" s="617">
        <f t="shared" si="28"/>
        <v>1857</v>
      </c>
      <c r="B1861" s="618" t="s">
        <v>6884</v>
      </c>
      <c r="C1861" s="618" t="str">
        <f>"14538"</f>
        <v>14538</v>
      </c>
      <c r="D1861" s="618" t="s">
        <v>18</v>
      </c>
      <c r="E1861" s="618">
        <v>6</v>
      </c>
      <c r="F1861" s="619">
        <v>43531</v>
      </c>
      <c r="G1861" s="619">
        <v>45357</v>
      </c>
      <c r="H1861" s="618" t="s">
        <v>19</v>
      </c>
      <c r="I1861" s="618" t="s">
        <v>6859</v>
      </c>
    </row>
    <row r="1862" spans="1:9">
      <c r="A1862" s="620">
        <f t="shared" si="28"/>
        <v>1858</v>
      </c>
      <c r="B1862" s="621" t="s">
        <v>6884</v>
      </c>
      <c r="C1862" s="621" t="str">
        <f>"14539"</f>
        <v>14539</v>
      </c>
      <c r="D1862" s="621" t="s">
        <v>18</v>
      </c>
      <c r="E1862" s="621">
        <v>39</v>
      </c>
      <c r="F1862" s="622">
        <v>43531</v>
      </c>
      <c r="G1862" s="622">
        <v>45357</v>
      </c>
      <c r="H1862" s="621" t="s">
        <v>45</v>
      </c>
      <c r="I1862" s="621" t="s">
        <v>6859</v>
      </c>
    </row>
    <row r="1863" spans="1:9">
      <c r="A1863" s="617">
        <f t="shared" ref="A1863:A1926" si="29">+A1862+1</f>
        <v>1859</v>
      </c>
      <c r="B1863" s="618" t="s">
        <v>6884</v>
      </c>
      <c r="C1863" s="618" t="str">
        <f>"14540"</f>
        <v>14540</v>
      </c>
      <c r="D1863" s="618" t="s">
        <v>18</v>
      </c>
      <c r="E1863" s="618">
        <v>77</v>
      </c>
      <c r="F1863" s="619">
        <v>43531</v>
      </c>
      <c r="G1863" s="619">
        <v>45357</v>
      </c>
      <c r="H1863" s="618" t="s">
        <v>19</v>
      </c>
      <c r="I1863" s="618" t="s">
        <v>6859</v>
      </c>
    </row>
    <row r="1864" spans="1:9">
      <c r="A1864" s="620">
        <f t="shared" si="29"/>
        <v>1860</v>
      </c>
      <c r="B1864" s="621" t="s">
        <v>6884</v>
      </c>
      <c r="C1864" s="621" t="str">
        <f>"14541"</f>
        <v>14541</v>
      </c>
      <c r="D1864" s="621" t="s">
        <v>18</v>
      </c>
      <c r="E1864" s="621">
        <v>36</v>
      </c>
      <c r="F1864" s="622">
        <v>43531</v>
      </c>
      <c r="G1864" s="622">
        <v>45357</v>
      </c>
      <c r="H1864" s="621" t="s">
        <v>14</v>
      </c>
      <c r="I1864" s="621" t="s">
        <v>6859</v>
      </c>
    </row>
    <row r="1865" spans="1:9">
      <c r="A1865" s="617">
        <f t="shared" si="29"/>
        <v>1861</v>
      </c>
      <c r="B1865" s="618" t="s">
        <v>263</v>
      </c>
      <c r="C1865" s="618" t="str">
        <f>"14543"</f>
        <v>14543</v>
      </c>
      <c r="D1865" s="618" t="s">
        <v>18</v>
      </c>
      <c r="E1865" s="618">
        <v>60</v>
      </c>
      <c r="F1865" s="619">
        <v>43633</v>
      </c>
      <c r="G1865" s="619">
        <v>45459</v>
      </c>
      <c r="H1865" s="618" t="s">
        <v>16</v>
      </c>
      <c r="I1865" s="618" t="s">
        <v>51</v>
      </c>
    </row>
    <row r="1866" spans="1:9">
      <c r="A1866" s="620">
        <f t="shared" si="29"/>
        <v>1862</v>
      </c>
      <c r="B1866" s="621" t="s">
        <v>263</v>
      </c>
      <c r="C1866" s="621" t="str">
        <f>"14544"</f>
        <v>14544</v>
      </c>
      <c r="D1866" s="621" t="s">
        <v>18</v>
      </c>
      <c r="E1866" s="621">
        <v>139</v>
      </c>
      <c r="F1866" s="622">
        <v>43633</v>
      </c>
      <c r="G1866" s="622">
        <v>45459</v>
      </c>
      <c r="H1866" s="621" t="s">
        <v>16</v>
      </c>
      <c r="I1866" s="621" t="s">
        <v>51</v>
      </c>
    </row>
    <row r="1867" spans="1:9">
      <c r="A1867" s="617">
        <f t="shared" si="29"/>
        <v>1863</v>
      </c>
      <c r="B1867" s="618" t="s">
        <v>263</v>
      </c>
      <c r="C1867" s="618" t="str">
        <f>"14545"</f>
        <v>14545</v>
      </c>
      <c r="D1867" s="618" t="s">
        <v>18</v>
      </c>
      <c r="E1867" s="618">
        <v>333</v>
      </c>
      <c r="F1867" s="619">
        <v>43633</v>
      </c>
      <c r="G1867" s="619">
        <v>45459</v>
      </c>
      <c r="H1867" s="618" t="s">
        <v>16</v>
      </c>
      <c r="I1867" s="618" t="s">
        <v>51</v>
      </c>
    </row>
    <row r="1868" spans="1:9">
      <c r="A1868" s="620">
        <f t="shared" si="29"/>
        <v>1864</v>
      </c>
      <c r="B1868" s="621" t="s">
        <v>263</v>
      </c>
      <c r="C1868" s="621" t="str">
        <f>"14546"</f>
        <v>14546</v>
      </c>
      <c r="D1868" s="621" t="s">
        <v>18</v>
      </c>
      <c r="E1868" s="621">
        <v>269</v>
      </c>
      <c r="F1868" s="622">
        <v>43633</v>
      </c>
      <c r="G1868" s="622">
        <v>45459</v>
      </c>
      <c r="H1868" s="621" t="s">
        <v>16</v>
      </c>
      <c r="I1868" s="621" t="s">
        <v>51</v>
      </c>
    </row>
    <row r="1869" spans="1:9">
      <c r="A1869" s="617">
        <f t="shared" si="29"/>
        <v>1865</v>
      </c>
      <c r="B1869" s="618" t="s">
        <v>263</v>
      </c>
      <c r="C1869" s="618" t="str">
        <f>"14547"</f>
        <v>14547</v>
      </c>
      <c r="D1869" s="618" t="s">
        <v>18</v>
      </c>
      <c r="E1869" s="618">
        <v>341</v>
      </c>
      <c r="F1869" s="619">
        <v>43633</v>
      </c>
      <c r="G1869" s="619">
        <v>45459</v>
      </c>
      <c r="H1869" s="618" t="s">
        <v>16</v>
      </c>
      <c r="I1869" s="618" t="s">
        <v>51</v>
      </c>
    </row>
    <row r="1870" spans="1:9">
      <c r="A1870" s="620">
        <f t="shared" si="29"/>
        <v>1866</v>
      </c>
      <c r="B1870" s="621" t="s">
        <v>263</v>
      </c>
      <c r="C1870" s="621" t="str">
        <f>"14548"</f>
        <v>14548</v>
      </c>
      <c r="D1870" s="621" t="s">
        <v>18</v>
      </c>
      <c r="E1870" s="621">
        <v>247</v>
      </c>
      <c r="F1870" s="622">
        <v>43633</v>
      </c>
      <c r="G1870" s="622">
        <v>45459</v>
      </c>
      <c r="H1870" s="621" t="s">
        <v>16</v>
      </c>
      <c r="I1870" s="621" t="s">
        <v>51</v>
      </c>
    </row>
    <row r="1871" spans="1:9">
      <c r="A1871" s="617">
        <f t="shared" si="29"/>
        <v>1867</v>
      </c>
      <c r="B1871" s="618" t="s">
        <v>263</v>
      </c>
      <c r="C1871" s="618" t="str">
        <f>"14549"</f>
        <v>14549</v>
      </c>
      <c r="D1871" s="618" t="s">
        <v>18</v>
      </c>
      <c r="E1871" s="618">
        <v>198</v>
      </c>
      <c r="F1871" s="619">
        <v>43633</v>
      </c>
      <c r="G1871" s="619">
        <v>45459</v>
      </c>
      <c r="H1871" s="618" t="s">
        <v>16</v>
      </c>
      <c r="I1871" s="618" t="s">
        <v>51</v>
      </c>
    </row>
    <row r="1872" spans="1:9">
      <c r="A1872" s="620">
        <f t="shared" si="29"/>
        <v>1868</v>
      </c>
      <c r="B1872" s="621" t="s">
        <v>263</v>
      </c>
      <c r="C1872" s="621" t="str">
        <f>"14550"</f>
        <v>14550</v>
      </c>
      <c r="D1872" s="621" t="s">
        <v>18</v>
      </c>
      <c r="E1872" s="621">
        <v>427</v>
      </c>
      <c r="F1872" s="622">
        <v>43633</v>
      </c>
      <c r="G1872" s="622">
        <v>45459</v>
      </c>
      <c r="H1872" s="621" t="s">
        <v>16</v>
      </c>
      <c r="I1872" s="621" t="s">
        <v>51</v>
      </c>
    </row>
    <row r="1873" spans="1:9">
      <c r="A1873" s="617">
        <f t="shared" si="29"/>
        <v>1869</v>
      </c>
      <c r="B1873" s="618" t="s">
        <v>264</v>
      </c>
      <c r="C1873" s="618" t="str">
        <f>"14551"</f>
        <v>14551</v>
      </c>
      <c r="D1873" s="618" t="s">
        <v>18</v>
      </c>
      <c r="E1873" s="618">
        <v>45</v>
      </c>
      <c r="F1873" s="619">
        <v>43650</v>
      </c>
      <c r="G1873" s="619">
        <v>45476</v>
      </c>
      <c r="H1873" s="618" t="s">
        <v>14</v>
      </c>
      <c r="I1873" s="618" t="s">
        <v>51</v>
      </c>
    </row>
    <row r="1874" spans="1:9">
      <c r="A1874" s="620">
        <f t="shared" si="29"/>
        <v>1870</v>
      </c>
      <c r="B1874" s="621" t="s">
        <v>265</v>
      </c>
      <c r="C1874" s="621" t="str">
        <f>"14553"</f>
        <v>14553</v>
      </c>
      <c r="D1874" s="621" t="s">
        <v>18</v>
      </c>
      <c r="E1874" s="621">
        <v>1</v>
      </c>
      <c r="F1874" s="622">
        <v>43650</v>
      </c>
      <c r="G1874" s="622">
        <v>45476</v>
      </c>
      <c r="H1874" s="621" t="s">
        <v>14</v>
      </c>
      <c r="I1874" s="621" t="s">
        <v>51</v>
      </c>
    </row>
    <row r="1875" spans="1:9">
      <c r="A1875" s="617">
        <f t="shared" si="29"/>
        <v>1871</v>
      </c>
      <c r="B1875" s="618" t="s">
        <v>219</v>
      </c>
      <c r="C1875" s="618" t="str">
        <f>"14554"</f>
        <v>14554</v>
      </c>
      <c r="D1875" s="618" t="s">
        <v>18</v>
      </c>
      <c r="E1875" s="618">
        <v>2</v>
      </c>
      <c r="F1875" s="619">
        <v>43684</v>
      </c>
      <c r="G1875" s="619">
        <v>45510</v>
      </c>
      <c r="H1875" s="618" t="s">
        <v>19</v>
      </c>
      <c r="I1875" s="618" t="s">
        <v>6862</v>
      </c>
    </row>
    <row r="1876" spans="1:9">
      <c r="A1876" s="620">
        <f t="shared" si="29"/>
        <v>1872</v>
      </c>
      <c r="B1876" s="621" t="s">
        <v>214</v>
      </c>
      <c r="C1876" s="621" t="str">
        <f>"14555"</f>
        <v>14555</v>
      </c>
      <c r="D1876" s="621" t="s">
        <v>18</v>
      </c>
      <c r="E1876" s="621">
        <v>2</v>
      </c>
      <c r="F1876" s="622">
        <v>43684</v>
      </c>
      <c r="G1876" s="622">
        <v>45510</v>
      </c>
      <c r="H1876" s="621" t="s">
        <v>41</v>
      </c>
      <c r="I1876" s="621" t="s">
        <v>51</v>
      </c>
    </row>
    <row r="1877" spans="1:9">
      <c r="A1877" s="617">
        <f t="shared" si="29"/>
        <v>1873</v>
      </c>
      <c r="B1877" s="618" t="s">
        <v>253</v>
      </c>
      <c r="C1877" s="618" t="str">
        <f>"14557"</f>
        <v>14557</v>
      </c>
      <c r="D1877" s="618" t="s">
        <v>18</v>
      </c>
      <c r="E1877" s="618">
        <v>4</v>
      </c>
      <c r="F1877" s="619">
        <v>43614</v>
      </c>
      <c r="G1877" s="619">
        <v>45440</v>
      </c>
      <c r="H1877" s="618" t="s">
        <v>16</v>
      </c>
      <c r="I1877" s="618" t="s">
        <v>51</v>
      </c>
    </row>
    <row r="1878" spans="1:9">
      <c r="A1878" s="620">
        <f t="shared" si="29"/>
        <v>1874</v>
      </c>
      <c r="B1878" s="621" t="s">
        <v>1057</v>
      </c>
      <c r="C1878" s="621" t="str">
        <f>"14558"</f>
        <v>14558</v>
      </c>
      <c r="D1878" s="621" t="s">
        <v>18</v>
      </c>
      <c r="E1878" s="621">
        <v>10</v>
      </c>
      <c r="F1878" s="622">
        <v>43634</v>
      </c>
      <c r="G1878" s="622">
        <v>45460</v>
      </c>
      <c r="H1878" s="621" t="s">
        <v>16</v>
      </c>
      <c r="I1878" s="621" t="s">
        <v>6859</v>
      </c>
    </row>
    <row r="1879" spans="1:9">
      <c r="A1879" s="617">
        <f t="shared" si="29"/>
        <v>1875</v>
      </c>
      <c r="B1879" s="618" t="s">
        <v>782</v>
      </c>
      <c r="C1879" s="618" t="str">
        <f>"14559"</f>
        <v>14559</v>
      </c>
      <c r="D1879" s="618" t="s">
        <v>18</v>
      </c>
      <c r="E1879" s="618">
        <v>13</v>
      </c>
      <c r="F1879" s="619">
        <v>43650</v>
      </c>
      <c r="G1879" s="619">
        <v>45476</v>
      </c>
      <c r="H1879" s="618" t="s">
        <v>56</v>
      </c>
      <c r="I1879" s="618" t="s">
        <v>459</v>
      </c>
    </row>
    <row r="1880" spans="1:9">
      <c r="A1880" s="620">
        <f t="shared" si="29"/>
        <v>1876</v>
      </c>
      <c r="B1880" s="621" t="s">
        <v>1800</v>
      </c>
      <c r="C1880" s="621" t="str">
        <f>"14560"</f>
        <v>14560</v>
      </c>
      <c r="D1880" s="621" t="s">
        <v>18</v>
      </c>
      <c r="E1880" s="621">
        <v>4</v>
      </c>
      <c r="F1880" s="622">
        <v>43684</v>
      </c>
      <c r="G1880" s="622">
        <v>45510</v>
      </c>
      <c r="H1880" s="621" t="s">
        <v>14</v>
      </c>
      <c r="I1880" s="621" t="s">
        <v>6862</v>
      </c>
    </row>
    <row r="1881" spans="1:9">
      <c r="A1881" s="617">
        <f t="shared" si="29"/>
        <v>1877</v>
      </c>
      <c r="B1881" s="618" t="s">
        <v>238</v>
      </c>
      <c r="C1881" s="618" t="str">
        <f>"14564"</f>
        <v>14564</v>
      </c>
      <c r="D1881" s="618" t="s">
        <v>18</v>
      </c>
      <c r="E1881" s="618">
        <v>6</v>
      </c>
      <c r="F1881" s="619">
        <v>43711</v>
      </c>
      <c r="G1881" s="619">
        <v>45537</v>
      </c>
      <c r="H1881" s="618" t="s">
        <v>16</v>
      </c>
      <c r="I1881" s="618" t="s">
        <v>6868</v>
      </c>
    </row>
    <row r="1882" spans="1:9">
      <c r="A1882" s="620">
        <f t="shared" si="29"/>
        <v>1878</v>
      </c>
      <c r="B1882" s="621" t="s">
        <v>222</v>
      </c>
      <c r="C1882" s="621" t="str">
        <f>"14565"</f>
        <v>14565</v>
      </c>
      <c r="D1882" s="621" t="s">
        <v>18</v>
      </c>
      <c r="E1882" s="621">
        <v>1</v>
      </c>
      <c r="F1882" s="622">
        <v>43650</v>
      </c>
      <c r="G1882" s="622">
        <v>45476</v>
      </c>
      <c r="H1882" s="621" t="s">
        <v>14</v>
      </c>
      <c r="I1882" s="621" t="s">
        <v>51</v>
      </c>
    </row>
    <row r="1883" spans="1:9">
      <c r="A1883" s="617">
        <f t="shared" si="29"/>
        <v>1879</v>
      </c>
      <c r="B1883" s="618" t="s">
        <v>214</v>
      </c>
      <c r="C1883" s="618" t="str">
        <f>"14566"</f>
        <v>14566</v>
      </c>
      <c r="D1883" s="618" t="s">
        <v>18</v>
      </c>
      <c r="E1883" s="618">
        <v>2</v>
      </c>
      <c r="F1883" s="619">
        <v>43684</v>
      </c>
      <c r="G1883" s="619">
        <v>45510</v>
      </c>
      <c r="H1883" s="618" t="s">
        <v>43</v>
      </c>
      <c r="I1883" s="618" t="s">
        <v>51</v>
      </c>
    </row>
    <row r="1884" spans="1:9">
      <c r="A1884" s="620">
        <f t="shared" si="29"/>
        <v>1880</v>
      </c>
      <c r="B1884" s="621" t="s">
        <v>219</v>
      </c>
      <c r="C1884" s="621" t="str">
        <f>"14567"</f>
        <v>14567</v>
      </c>
      <c r="D1884" s="621" t="s">
        <v>18</v>
      </c>
      <c r="E1884" s="621">
        <v>5</v>
      </c>
      <c r="F1884" s="622">
        <v>43684</v>
      </c>
      <c r="G1884" s="622">
        <v>45510</v>
      </c>
      <c r="H1884" s="621" t="s">
        <v>19</v>
      </c>
      <c r="I1884" s="621" t="s">
        <v>51</v>
      </c>
    </row>
    <row r="1885" spans="1:9">
      <c r="A1885" s="617">
        <f t="shared" si="29"/>
        <v>1881</v>
      </c>
      <c r="B1885" s="618" t="s">
        <v>214</v>
      </c>
      <c r="C1885" s="618" t="str">
        <f>"14568"</f>
        <v>14568</v>
      </c>
      <c r="D1885" s="618" t="s">
        <v>18</v>
      </c>
      <c r="E1885" s="618">
        <v>20</v>
      </c>
      <c r="F1885" s="619">
        <v>43650</v>
      </c>
      <c r="G1885" s="619">
        <v>45476</v>
      </c>
      <c r="H1885" s="618" t="s">
        <v>56</v>
      </c>
      <c r="I1885" s="618" t="s">
        <v>6861</v>
      </c>
    </row>
    <row r="1886" spans="1:9">
      <c r="A1886" s="620">
        <f t="shared" si="29"/>
        <v>1882</v>
      </c>
      <c r="B1886" s="621" t="s">
        <v>266</v>
      </c>
      <c r="C1886" s="621" t="str">
        <f>"14569"</f>
        <v>14569</v>
      </c>
      <c r="D1886" s="621" t="s">
        <v>18</v>
      </c>
      <c r="E1886" s="621">
        <v>7</v>
      </c>
      <c r="F1886" s="622">
        <v>43623</v>
      </c>
      <c r="G1886" s="622">
        <v>45449</v>
      </c>
      <c r="H1886" s="621" t="s">
        <v>14</v>
      </c>
      <c r="I1886" s="621" t="s">
        <v>6862</v>
      </c>
    </row>
    <row r="1887" spans="1:9">
      <c r="A1887" s="617">
        <f t="shared" si="29"/>
        <v>1883</v>
      </c>
      <c r="B1887" s="618" t="s">
        <v>266</v>
      </c>
      <c r="C1887" s="618" t="str">
        <f>"14570"</f>
        <v>14570</v>
      </c>
      <c r="D1887" s="618" t="s">
        <v>18</v>
      </c>
      <c r="E1887" s="618">
        <v>2</v>
      </c>
      <c r="F1887" s="619">
        <v>43623</v>
      </c>
      <c r="G1887" s="619">
        <v>45449</v>
      </c>
      <c r="H1887" s="618" t="s">
        <v>14</v>
      </c>
      <c r="I1887" s="618" t="s">
        <v>6862</v>
      </c>
    </row>
    <row r="1888" spans="1:9">
      <c r="A1888" s="620">
        <f t="shared" si="29"/>
        <v>1884</v>
      </c>
      <c r="B1888" s="621" t="s">
        <v>266</v>
      </c>
      <c r="C1888" s="621" t="str">
        <f>"14571"</f>
        <v>14571</v>
      </c>
      <c r="D1888" s="621" t="s">
        <v>18</v>
      </c>
      <c r="E1888" s="621">
        <v>3</v>
      </c>
      <c r="F1888" s="622">
        <v>43623</v>
      </c>
      <c r="G1888" s="622">
        <v>45449</v>
      </c>
      <c r="H1888" s="621" t="s">
        <v>14</v>
      </c>
      <c r="I1888" s="621" t="s">
        <v>6862</v>
      </c>
    </row>
    <row r="1889" spans="1:9">
      <c r="A1889" s="617">
        <f t="shared" si="29"/>
        <v>1885</v>
      </c>
      <c r="B1889" s="618" t="s">
        <v>240</v>
      </c>
      <c r="C1889" s="618" t="str">
        <f>"14572"</f>
        <v>14572</v>
      </c>
      <c r="D1889" s="618" t="s">
        <v>18</v>
      </c>
      <c r="E1889" s="618">
        <v>8</v>
      </c>
      <c r="F1889" s="619">
        <v>43566</v>
      </c>
      <c r="G1889" s="619">
        <v>45392</v>
      </c>
      <c r="H1889" s="618" t="s">
        <v>16</v>
      </c>
      <c r="I1889" s="618" t="s">
        <v>6868</v>
      </c>
    </row>
    <row r="1890" spans="1:9">
      <c r="A1890" s="620">
        <f t="shared" si="29"/>
        <v>1886</v>
      </c>
      <c r="B1890" s="621" t="s">
        <v>240</v>
      </c>
      <c r="C1890" s="621" t="str">
        <f>"14573"</f>
        <v>14573</v>
      </c>
      <c r="D1890" s="621" t="s">
        <v>18</v>
      </c>
      <c r="E1890" s="621">
        <v>6</v>
      </c>
      <c r="F1890" s="622">
        <v>43566</v>
      </c>
      <c r="G1890" s="622">
        <v>45392</v>
      </c>
      <c r="H1890" s="621" t="s">
        <v>14</v>
      </c>
      <c r="I1890" s="621" t="s">
        <v>6868</v>
      </c>
    </row>
    <row r="1891" spans="1:9">
      <c r="A1891" s="617">
        <f t="shared" si="29"/>
        <v>1887</v>
      </c>
      <c r="B1891" s="618" t="s">
        <v>240</v>
      </c>
      <c r="C1891" s="618" t="str">
        <f>"14574"</f>
        <v>14574</v>
      </c>
      <c r="D1891" s="618" t="s">
        <v>18</v>
      </c>
      <c r="E1891" s="618">
        <v>4</v>
      </c>
      <c r="F1891" s="619">
        <v>43566</v>
      </c>
      <c r="G1891" s="619">
        <v>45392</v>
      </c>
      <c r="H1891" s="618" t="s">
        <v>14</v>
      </c>
      <c r="I1891" s="618" t="s">
        <v>6868</v>
      </c>
    </row>
    <row r="1892" spans="1:9">
      <c r="A1892" s="620">
        <f t="shared" si="29"/>
        <v>1888</v>
      </c>
      <c r="B1892" s="621" t="s">
        <v>240</v>
      </c>
      <c r="C1892" s="621" t="str">
        <f>"14575"</f>
        <v>14575</v>
      </c>
      <c r="D1892" s="621" t="s">
        <v>18</v>
      </c>
      <c r="E1892" s="621">
        <v>4</v>
      </c>
      <c r="F1892" s="622">
        <v>43566</v>
      </c>
      <c r="G1892" s="622">
        <v>45392</v>
      </c>
      <c r="H1892" s="621" t="s">
        <v>14</v>
      </c>
      <c r="I1892" s="621" t="s">
        <v>6868</v>
      </c>
    </row>
    <row r="1893" spans="1:9">
      <c r="A1893" s="617">
        <f t="shared" si="29"/>
        <v>1889</v>
      </c>
      <c r="B1893" s="618" t="s">
        <v>240</v>
      </c>
      <c r="C1893" s="618" t="str">
        <f>"14576"</f>
        <v>14576</v>
      </c>
      <c r="D1893" s="618" t="s">
        <v>18</v>
      </c>
      <c r="E1893" s="618">
        <v>4</v>
      </c>
      <c r="F1893" s="619">
        <v>43566</v>
      </c>
      <c r="G1893" s="619">
        <v>45392</v>
      </c>
      <c r="H1893" s="618" t="s">
        <v>16</v>
      </c>
      <c r="I1893" s="618" t="s">
        <v>6868</v>
      </c>
    </row>
    <row r="1894" spans="1:9">
      <c r="A1894" s="620">
        <f t="shared" si="29"/>
        <v>1890</v>
      </c>
      <c r="B1894" s="621" t="s">
        <v>240</v>
      </c>
      <c r="C1894" s="621" t="str">
        <f>"14577"</f>
        <v>14577</v>
      </c>
      <c r="D1894" s="621" t="s">
        <v>18</v>
      </c>
      <c r="E1894" s="621">
        <v>4</v>
      </c>
      <c r="F1894" s="622">
        <v>43566</v>
      </c>
      <c r="G1894" s="622">
        <v>45392</v>
      </c>
      <c r="H1894" s="621" t="s">
        <v>43</v>
      </c>
      <c r="I1894" s="621" t="s">
        <v>6868</v>
      </c>
    </row>
    <row r="1895" spans="1:9">
      <c r="A1895" s="617">
        <f t="shared" si="29"/>
        <v>1891</v>
      </c>
      <c r="B1895" s="618" t="s">
        <v>240</v>
      </c>
      <c r="C1895" s="618" t="str">
        <f>"14578"</f>
        <v>14578</v>
      </c>
      <c r="D1895" s="618" t="s">
        <v>18</v>
      </c>
      <c r="E1895" s="618">
        <v>4</v>
      </c>
      <c r="F1895" s="619">
        <v>43566</v>
      </c>
      <c r="G1895" s="619">
        <v>45392</v>
      </c>
      <c r="H1895" s="618" t="s">
        <v>43</v>
      </c>
      <c r="I1895" s="618" t="s">
        <v>6868</v>
      </c>
    </row>
    <row r="1896" spans="1:9">
      <c r="A1896" s="620">
        <f t="shared" si="29"/>
        <v>1892</v>
      </c>
      <c r="B1896" s="621" t="s">
        <v>240</v>
      </c>
      <c r="C1896" s="621" t="str">
        <f>"14579"</f>
        <v>14579</v>
      </c>
      <c r="D1896" s="621" t="s">
        <v>18</v>
      </c>
      <c r="E1896" s="621">
        <v>3</v>
      </c>
      <c r="F1896" s="622">
        <v>43566</v>
      </c>
      <c r="G1896" s="622">
        <v>45392</v>
      </c>
      <c r="H1896" s="621" t="s">
        <v>14</v>
      </c>
      <c r="I1896" s="621" t="s">
        <v>6868</v>
      </c>
    </row>
    <row r="1897" spans="1:9">
      <c r="A1897" s="617">
        <f t="shared" si="29"/>
        <v>1893</v>
      </c>
      <c r="B1897" s="618" t="s">
        <v>240</v>
      </c>
      <c r="C1897" s="618" t="str">
        <f>"14580"</f>
        <v>14580</v>
      </c>
      <c r="D1897" s="618" t="s">
        <v>18</v>
      </c>
      <c r="E1897" s="618">
        <v>4</v>
      </c>
      <c r="F1897" s="619">
        <v>43566</v>
      </c>
      <c r="G1897" s="619">
        <v>45392</v>
      </c>
      <c r="H1897" s="618" t="s">
        <v>16</v>
      </c>
      <c r="I1897" s="618" t="s">
        <v>6868</v>
      </c>
    </row>
    <row r="1898" spans="1:9">
      <c r="A1898" s="620">
        <f t="shared" si="29"/>
        <v>1894</v>
      </c>
      <c r="B1898" s="621" t="s">
        <v>240</v>
      </c>
      <c r="C1898" s="621" t="str">
        <f>"14581"</f>
        <v>14581</v>
      </c>
      <c r="D1898" s="621" t="s">
        <v>18</v>
      </c>
      <c r="E1898" s="621">
        <v>4</v>
      </c>
      <c r="F1898" s="622">
        <v>43566</v>
      </c>
      <c r="G1898" s="622">
        <v>45392</v>
      </c>
      <c r="H1898" s="621" t="s">
        <v>14</v>
      </c>
      <c r="I1898" s="621" t="s">
        <v>6868</v>
      </c>
    </row>
    <row r="1899" spans="1:9">
      <c r="A1899" s="617">
        <f t="shared" si="29"/>
        <v>1895</v>
      </c>
      <c r="B1899" s="618" t="s">
        <v>240</v>
      </c>
      <c r="C1899" s="618" t="str">
        <f>"14582"</f>
        <v>14582</v>
      </c>
      <c r="D1899" s="618" t="s">
        <v>18</v>
      </c>
      <c r="E1899" s="618">
        <v>4</v>
      </c>
      <c r="F1899" s="619">
        <v>43566</v>
      </c>
      <c r="G1899" s="619">
        <v>45392</v>
      </c>
      <c r="H1899" s="618" t="s">
        <v>14</v>
      </c>
      <c r="I1899" s="618" t="s">
        <v>6868</v>
      </c>
    </row>
    <row r="1900" spans="1:9">
      <c r="A1900" s="620">
        <f t="shared" si="29"/>
        <v>1896</v>
      </c>
      <c r="B1900" s="621" t="s">
        <v>240</v>
      </c>
      <c r="C1900" s="621" t="str">
        <f>"14583"</f>
        <v>14583</v>
      </c>
      <c r="D1900" s="621" t="s">
        <v>18</v>
      </c>
      <c r="E1900" s="621">
        <v>4</v>
      </c>
      <c r="F1900" s="622">
        <v>43566</v>
      </c>
      <c r="G1900" s="622">
        <v>45392</v>
      </c>
      <c r="H1900" s="621" t="s">
        <v>43</v>
      </c>
      <c r="I1900" s="621" t="s">
        <v>6868</v>
      </c>
    </row>
    <row r="1901" spans="1:9">
      <c r="A1901" s="617">
        <f t="shared" si="29"/>
        <v>1897</v>
      </c>
      <c r="B1901" s="618" t="s">
        <v>240</v>
      </c>
      <c r="C1901" s="618" t="str">
        <f>"14584"</f>
        <v>14584</v>
      </c>
      <c r="D1901" s="618" t="s">
        <v>18</v>
      </c>
      <c r="E1901" s="618">
        <v>4</v>
      </c>
      <c r="F1901" s="619">
        <v>43566</v>
      </c>
      <c r="G1901" s="619">
        <v>45392</v>
      </c>
      <c r="H1901" s="618" t="s">
        <v>43</v>
      </c>
      <c r="I1901" s="618" t="s">
        <v>6868</v>
      </c>
    </row>
    <row r="1902" spans="1:9">
      <c r="A1902" s="620">
        <f t="shared" si="29"/>
        <v>1898</v>
      </c>
      <c r="B1902" s="621" t="s">
        <v>240</v>
      </c>
      <c r="C1902" s="621" t="str">
        <f>"14585"</f>
        <v>14585</v>
      </c>
      <c r="D1902" s="621" t="s">
        <v>18</v>
      </c>
      <c r="E1902" s="621">
        <v>4</v>
      </c>
      <c r="F1902" s="622">
        <v>43566</v>
      </c>
      <c r="G1902" s="622">
        <v>45392</v>
      </c>
      <c r="H1902" s="621" t="s">
        <v>16</v>
      </c>
      <c r="I1902" s="621" t="s">
        <v>6868</v>
      </c>
    </row>
    <row r="1903" spans="1:9">
      <c r="A1903" s="617">
        <f t="shared" si="29"/>
        <v>1899</v>
      </c>
      <c r="B1903" s="618" t="s">
        <v>240</v>
      </c>
      <c r="C1903" s="618" t="str">
        <f>"14586"</f>
        <v>14586</v>
      </c>
      <c r="D1903" s="618" t="s">
        <v>18</v>
      </c>
      <c r="E1903" s="618">
        <v>5</v>
      </c>
      <c r="F1903" s="619">
        <v>43566</v>
      </c>
      <c r="G1903" s="619">
        <v>45392</v>
      </c>
      <c r="H1903" s="618" t="s">
        <v>16</v>
      </c>
      <c r="I1903" s="618" t="s">
        <v>6868</v>
      </c>
    </row>
    <row r="1904" spans="1:9">
      <c r="A1904" s="620">
        <f t="shared" si="29"/>
        <v>1900</v>
      </c>
      <c r="B1904" s="621" t="s">
        <v>240</v>
      </c>
      <c r="C1904" s="621" t="str">
        <f>"14587"</f>
        <v>14587</v>
      </c>
      <c r="D1904" s="621" t="s">
        <v>18</v>
      </c>
      <c r="E1904" s="621">
        <v>4</v>
      </c>
      <c r="F1904" s="622">
        <v>43566</v>
      </c>
      <c r="G1904" s="622">
        <v>45392</v>
      </c>
      <c r="H1904" s="621" t="s">
        <v>16</v>
      </c>
      <c r="I1904" s="621" t="s">
        <v>6868</v>
      </c>
    </row>
    <row r="1905" spans="1:9">
      <c r="A1905" s="617">
        <f t="shared" si="29"/>
        <v>1901</v>
      </c>
      <c r="B1905" s="618" t="s">
        <v>240</v>
      </c>
      <c r="C1905" s="618" t="str">
        <f>"14588"</f>
        <v>14588</v>
      </c>
      <c r="D1905" s="618" t="s">
        <v>18</v>
      </c>
      <c r="E1905" s="618">
        <v>4</v>
      </c>
      <c r="F1905" s="619">
        <v>43566</v>
      </c>
      <c r="G1905" s="619">
        <v>45392</v>
      </c>
      <c r="H1905" s="618" t="s">
        <v>43</v>
      </c>
      <c r="I1905" s="618" t="s">
        <v>6868</v>
      </c>
    </row>
    <row r="1906" spans="1:9">
      <c r="A1906" s="620">
        <f t="shared" si="29"/>
        <v>1902</v>
      </c>
      <c r="B1906" s="621" t="s">
        <v>240</v>
      </c>
      <c r="C1906" s="621" t="str">
        <f>"14589"</f>
        <v>14589</v>
      </c>
      <c r="D1906" s="621" t="s">
        <v>18</v>
      </c>
      <c r="E1906" s="621">
        <v>3</v>
      </c>
      <c r="F1906" s="622">
        <v>43566</v>
      </c>
      <c r="G1906" s="622">
        <v>45392</v>
      </c>
      <c r="H1906" s="621" t="s">
        <v>14</v>
      </c>
      <c r="I1906" s="621" t="s">
        <v>6868</v>
      </c>
    </row>
    <row r="1907" spans="1:9">
      <c r="A1907" s="617">
        <f t="shared" si="29"/>
        <v>1903</v>
      </c>
      <c r="B1907" s="618" t="s">
        <v>240</v>
      </c>
      <c r="C1907" s="618" t="str">
        <f>"14590"</f>
        <v>14590</v>
      </c>
      <c r="D1907" s="618" t="s">
        <v>18</v>
      </c>
      <c r="E1907" s="618">
        <v>4</v>
      </c>
      <c r="F1907" s="619">
        <v>43567</v>
      </c>
      <c r="G1907" s="619">
        <v>45393</v>
      </c>
      <c r="H1907" s="618" t="s">
        <v>43</v>
      </c>
      <c r="I1907" s="618" t="s">
        <v>6868</v>
      </c>
    </row>
    <row r="1908" spans="1:9">
      <c r="A1908" s="620">
        <f t="shared" si="29"/>
        <v>1904</v>
      </c>
      <c r="B1908" s="621" t="s">
        <v>240</v>
      </c>
      <c r="C1908" s="621" t="str">
        <f>"14591"</f>
        <v>14591</v>
      </c>
      <c r="D1908" s="621" t="s">
        <v>18</v>
      </c>
      <c r="E1908" s="621">
        <v>4</v>
      </c>
      <c r="F1908" s="622">
        <v>43567</v>
      </c>
      <c r="G1908" s="622">
        <v>45393</v>
      </c>
      <c r="H1908" s="621" t="s">
        <v>45</v>
      </c>
      <c r="I1908" s="621" t="s">
        <v>6868</v>
      </c>
    </row>
    <row r="1909" spans="1:9">
      <c r="A1909" s="617">
        <f t="shared" si="29"/>
        <v>1905</v>
      </c>
      <c r="B1909" s="618" t="s">
        <v>240</v>
      </c>
      <c r="C1909" s="618" t="str">
        <f>"14592"</f>
        <v>14592</v>
      </c>
      <c r="D1909" s="618" t="s">
        <v>18</v>
      </c>
      <c r="E1909" s="618">
        <v>5</v>
      </c>
      <c r="F1909" s="619">
        <v>43566</v>
      </c>
      <c r="G1909" s="619">
        <v>45392</v>
      </c>
      <c r="H1909" s="618" t="s">
        <v>14</v>
      </c>
      <c r="I1909" s="618" t="s">
        <v>6868</v>
      </c>
    </row>
    <row r="1910" spans="1:9">
      <c r="A1910" s="620">
        <f t="shared" si="29"/>
        <v>1906</v>
      </c>
      <c r="B1910" s="621" t="s">
        <v>240</v>
      </c>
      <c r="C1910" s="621" t="str">
        <f>"14593"</f>
        <v>14593</v>
      </c>
      <c r="D1910" s="621" t="s">
        <v>18</v>
      </c>
      <c r="E1910" s="621">
        <v>4</v>
      </c>
      <c r="F1910" s="622">
        <v>43566</v>
      </c>
      <c r="G1910" s="622">
        <v>45392</v>
      </c>
      <c r="H1910" s="621" t="s">
        <v>14</v>
      </c>
      <c r="I1910" s="621" t="s">
        <v>6868</v>
      </c>
    </row>
    <row r="1911" spans="1:9">
      <c r="A1911" s="617">
        <f t="shared" si="29"/>
        <v>1907</v>
      </c>
      <c r="B1911" s="618" t="s">
        <v>240</v>
      </c>
      <c r="C1911" s="618" t="str">
        <f>"14594"</f>
        <v>14594</v>
      </c>
      <c r="D1911" s="618" t="s">
        <v>18</v>
      </c>
      <c r="E1911" s="618">
        <v>4</v>
      </c>
      <c r="F1911" s="619">
        <v>43566</v>
      </c>
      <c r="G1911" s="619">
        <v>45392</v>
      </c>
      <c r="H1911" s="618" t="s">
        <v>14</v>
      </c>
      <c r="I1911" s="618" t="s">
        <v>6868</v>
      </c>
    </row>
    <row r="1912" spans="1:9">
      <c r="A1912" s="620">
        <f t="shared" si="29"/>
        <v>1908</v>
      </c>
      <c r="B1912" s="621" t="s">
        <v>240</v>
      </c>
      <c r="C1912" s="621" t="str">
        <f>"14595"</f>
        <v>14595</v>
      </c>
      <c r="D1912" s="621" t="s">
        <v>18</v>
      </c>
      <c r="E1912" s="621">
        <v>4</v>
      </c>
      <c r="F1912" s="622">
        <v>43566</v>
      </c>
      <c r="G1912" s="622">
        <v>45392</v>
      </c>
      <c r="H1912" s="621" t="s">
        <v>16</v>
      </c>
      <c r="I1912" s="621" t="s">
        <v>6868</v>
      </c>
    </row>
    <row r="1913" spans="1:9">
      <c r="A1913" s="617">
        <f t="shared" si="29"/>
        <v>1909</v>
      </c>
      <c r="B1913" s="618" t="s">
        <v>240</v>
      </c>
      <c r="C1913" s="618" t="str">
        <f>"14596"</f>
        <v>14596</v>
      </c>
      <c r="D1913" s="618" t="s">
        <v>18</v>
      </c>
      <c r="E1913" s="618">
        <v>4</v>
      </c>
      <c r="F1913" s="619">
        <v>43566</v>
      </c>
      <c r="G1913" s="619">
        <v>45392</v>
      </c>
      <c r="H1913" s="618" t="s">
        <v>16</v>
      </c>
      <c r="I1913" s="618" t="s">
        <v>6868</v>
      </c>
    </row>
    <row r="1914" spans="1:9">
      <c r="A1914" s="620">
        <f t="shared" si="29"/>
        <v>1910</v>
      </c>
      <c r="B1914" s="621" t="s">
        <v>240</v>
      </c>
      <c r="C1914" s="621" t="str">
        <f>"14597"</f>
        <v>14597</v>
      </c>
      <c r="D1914" s="621" t="s">
        <v>18</v>
      </c>
      <c r="E1914" s="621">
        <v>5</v>
      </c>
      <c r="F1914" s="622">
        <v>43566</v>
      </c>
      <c r="G1914" s="622">
        <v>45392</v>
      </c>
      <c r="H1914" s="621" t="s">
        <v>14</v>
      </c>
      <c r="I1914" s="621" t="s">
        <v>6868</v>
      </c>
    </row>
    <row r="1915" spans="1:9">
      <c r="A1915" s="617">
        <f t="shared" si="29"/>
        <v>1911</v>
      </c>
      <c r="B1915" s="618" t="s">
        <v>240</v>
      </c>
      <c r="C1915" s="618" t="str">
        <f>"14598"</f>
        <v>14598</v>
      </c>
      <c r="D1915" s="618" t="s">
        <v>18</v>
      </c>
      <c r="E1915" s="618">
        <v>4</v>
      </c>
      <c r="F1915" s="619">
        <v>43566</v>
      </c>
      <c r="G1915" s="619">
        <v>45392</v>
      </c>
      <c r="H1915" s="618" t="s">
        <v>14</v>
      </c>
      <c r="I1915" s="618" t="s">
        <v>6868</v>
      </c>
    </row>
    <row r="1916" spans="1:9">
      <c r="A1916" s="620">
        <f t="shared" si="29"/>
        <v>1912</v>
      </c>
      <c r="B1916" s="621" t="s">
        <v>240</v>
      </c>
      <c r="C1916" s="621" t="str">
        <f>"14599"</f>
        <v>14599</v>
      </c>
      <c r="D1916" s="621" t="s">
        <v>18</v>
      </c>
      <c r="E1916" s="621">
        <v>4</v>
      </c>
      <c r="F1916" s="622">
        <v>43566</v>
      </c>
      <c r="G1916" s="622">
        <v>45392</v>
      </c>
      <c r="H1916" s="621" t="s">
        <v>14</v>
      </c>
      <c r="I1916" s="621" t="s">
        <v>6858</v>
      </c>
    </row>
    <row r="1917" spans="1:9">
      <c r="A1917" s="617">
        <f t="shared" si="29"/>
        <v>1913</v>
      </c>
      <c r="B1917" s="618" t="s">
        <v>240</v>
      </c>
      <c r="C1917" s="618" t="str">
        <f>"14600"</f>
        <v>14600</v>
      </c>
      <c r="D1917" s="618" t="s">
        <v>18</v>
      </c>
      <c r="E1917" s="618">
        <v>4</v>
      </c>
      <c r="F1917" s="619">
        <v>43566</v>
      </c>
      <c r="G1917" s="619">
        <v>45392</v>
      </c>
      <c r="H1917" s="618" t="s">
        <v>14</v>
      </c>
      <c r="I1917" s="618" t="s">
        <v>6868</v>
      </c>
    </row>
    <row r="1918" spans="1:9">
      <c r="A1918" s="620">
        <f t="shared" si="29"/>
        <v>1914</v>
      </c>
      <c r="B1918" s="621" t="s">
        <v>253</v>
      </c>
      <c r="C1918" s="621" t="str">
        <f>"14601"</f>
        <v>14601</v>
      </c>
      <c r="D1918" s="621" t="s">
        <v>18</v>
      </c>
      <c r="E1918" s="621">
        <v>10</v>
      </c>
      <c r="F1918" s="622">
        <v>43614</v>
      </c>
      <c r="G1918" s="622">
        <v>45440</v>
      </c>
      <c r="H1918" s="621" t="s">
        <v>43</v>
      </c>
      <c r="I1918" s="621" t="s">
        <v>51</v>
      </c>
    </row>
    <row r="1919" spans="1:9">
      <c r="A1919" s="617">
        <f t="shared" si="29"/>
        <v>1915</v>
      </c>
      <c r="B1919" s="618" t="s">
        <v>267</v>
      </c>
      <c r="C1919" s="618" t="str">
        <f>"14607"</f>
        <v>14607</v>
      </c>
      <c r="D1919" s="618" t="s">
        <v>18</v>
      </c>
      <c r="E1919" s="618">
        <v>2</v>
      </c>
      <c r="F1919" s="619">
        <v>43605</v>
      </c>
      <c r="G1919" s="619">
        <v>45431</v>
      </c>
      <c r="H1919" s="618" t="s">
        <v>14</v>
      </c>
      <c r="I1919" s="618" t="s">
        <v>51</v>
      </c>
    </row>
    <row r="1920" spans="1:9">
      <c r="A1920" s="620">
        <f t="shared" si="29"/>
        <v>1916</v>
      </c>
      <c r="B1920" s="621" t="s">
        <v>267</v>
      </c>
      <c r="C1920" s="621" t="str">
        <f>"14608"</f>
        <v>14608</v>
      </c>
      <c r="D1920" s="621" t="s">
        <v>18</v>
      </c>
      <c r="E1920" s="621">
        <v>6</v>
      </c>
      <c r="F1920" s="622">
        <v>43605</v>
      </c>
      <c r="G1920" s="622">
        <v>45431</v>
      </c>
      <c r="H1920" s="621" t="s">
        <v>14</v>
      </c>
      <c r="I1920" s="621" t="s">
        <v>51</v>
      </c>
    </row>
    <row r="1921" spans="1:9">
      <c r="A1921" s="617">
        <f t="shared" si="29"/>
        <v>1917</v>
      </c>
      <c r="B1921" s="618" t="s">
        <v>267</v>
      </c>
      <c r="C1921" s="618" t="str">
        <f>"14609"</f>
        <v>14609</v>
      </c>
      <c r="D1921" s="618" t="s">
        <v>18</v>
      </c>
      <c r="E1921" s="618">
        <v>2</v>
      </c>
      <c r="F1921" s="619">
        <v>43605</v>
      </c>
      <c r="G1921" s="619">
        <v>45431</v>
      </c>
      <c r="H1921" s="618" t="s">
        <v>14</v>
      </c>
      <c r="I1921" s="618" t="s">
        <v>51</v>
      </c>
    </row>
    <row r="1922" spans="1:9">
      <c r="A1922" s="620">
        <f t="shared" si="29"/>
        <v>1918</v>
      </c>
      <c r="B1922" s="621" t="s">
        <v>267</v>
      </c>
      <c r="C1922" s="621" t="str">
        <f>"14610"</f>
        <v>14610</v>
      </c>
      <c r="D1922" s="621" t="s">
        <v>18</v>
      </c>
      <c r="E1922" s="621">
        <v>6</v>
      </c>
      <c r="F1922" s="622">
        <v>43605</v>
      </c>
      <c r="G1922" s="622">
        <v>45431</v>
      </c>
      <c r="H1922" s="621" t="s">
        <v>16</v>
      </c>
      <c r="I1922" s="621" t="s">
        <v>51</v>
      </c>
    </row>
    <row r="1923" spans="1:9">
      <c r="A1923" s="617">
        <f t="shared" si="29"/>
        <v>1919</v>
      </c>
      <c r="B1923" s="618" t="s">
        <v>268</v>
      </c>
      <c r="C1923" s="618" t="str">
        <f>"14613"</f>
        <v>14613</v>
      </c>
      <c r="D1923" s="618" t="s">
        <v>18</v>
      </c>
      <c r="E1923" s="618">
        <v>44</v>
      </c>
      <c r="F1923" s="619">
        <v>43644</v>
      </c>
      <c r="G1923" s="619">
        <v>45470</v>
      </c>
      <c r="H1923" s="618" t="s">
        <v>14</v>
      </c>
      <c r="I1923" s="618" t="s">
        <v>385</v>
      </c>
    </row>
    <row r="1924" spans="1:9">
      <c r="A1924" s="620">
        <f t="shared" si="29"/>
        <v>1920</v>
      </c>
      <c r="B1924" s="621" t="s">
        <v>268</v>
      </c>
      <c r="C1924" s="621" t="str">
        <f>"14614"</f>
        <v>14614</v>
      </c>
      <c r="D1924" s="621" t="s">
        <v>18</v>
      </c>
      <c r="E1924" s="621">
        <v>28</v>
      </c>
      <c r="F1924" s="622">
        <v>43644</v>
      </c>
      <c r="G1924" s="622">
        <v>45470</v>
      </c>
      <c r="H1924" s="621" t="s">
        <v>16</v>
      </c>
      <c r="I1924" s="621" t="s">
        <v>51</v>
      </c>
    </row>
    <row r="1925" spans="1:9">
      <c r="A1925" s="617">
        <f t="shared" si="29"/>
        <v>1921</v>
      </c>
      <c r="B1925" s="618" t="s">
        <v>1018</v>
      </c>
      <c r="C1925" s="618" t="str">
        <f>"14616"</f>
        <v>14616</v>
      </c>
      <c r="D1925" s="618" t="s">
        <v>18</v>
      </c>
      <c r="E1925" s="618">
        <v>16</v>
      </c>
      <c r="F1925" s="619">
        <v>43623</v>
      </c>
      <c r="G1925" s="619">
        <v>45449</v>
      </c>
      <c r="H1925" s="618" t="s">
        <v>16</v>
      </c>
      <c r="I1925" s="618" t="s">
        <v>385</v>
      </c>
    </row>
    <row r="1926" spans="1:9">
      <c r="A1926" s="620">
        <f t="shared" si="29"/>
        <v>1922</v>
      </c>
      <c r="B1926" s="621" t="s">
        <v>457</v>
      </c>
      <c r="C1926" s="621" t="str">
        <f>"14617"</f>
        <v>14617</v>
      </c>
      <c r="D1926" s="621" t="s">
        <v>18</v>
      </c>
      <c r="E1926" s="621">
        <v>12</v>
      </c>
      <c r="F1926" s="622">
        <v>43623</v>
      </c>
      <c r="G1926" s="622">
        <v>45449</v>
      </c>
      <c r="H1926" s="621" t="s">
        <v>16</v>
      </c>
      <c r="I1926" s="621" t="s">
        <v>385</v>
      </c>
    </row>
    <row r="1927" spans="1:9">
      <c r="A1927" s="617">
        <f t="shared" ref="A1927:A1990" si="30">+A1926+1</f>
        <v>1923</v>
      </c>
      <c r="B1927" s="618" t="s">
        <v>457</v>
      </c>
      <c r="C1927" s="618" t="str">
        <f>"14618"</f>
        <v>14618</v>
      </c>
      <c r="D1927" s="618" t="s">
        <v>18</v>
      </c>
      <c r="E1927" s="618">
        <v>6</v>
      </c>
      <c r="F1927" s="619">
        <v>43623</v>
      </c>
      <c r="G1927" s="619">
        <v>45449</v>
      </c>
      <c r="H1927" s="618" t="s">
        <v>16</v>
      </c>
      <c r="I1927" s="618" t="s">
        <v>385</v>
      </c>
    </row>
    <row r="1928" spans="1:9">
      <c r="A1928" s="620">
        <f t="shared" si="30"/>
        <v>1924</v>
      </c>
      <c r="B1928" s="621" t="s">
        <v>457</v>
      </c>
      <c r="C1928" s="621" t="str">
        <f>"14619"</f>
        <v>14619</v>
      </c>
      <c r="D1928" s="621" t="s">
        <v>18</v>
      </c>
      <c r="E1928" s="621">
        <v>11</v>
      </c>
      <c r="F1928" s="622">
        <v>43623</v>
      </c>
      <c r="G1928" s="622">
        <v>45449</v>
      </c>
      <c r="H1928" s="621" t="s">
        <v>16</v>
      </c>
      <c r="I1928" s="621" t="s">
        <v>385</v>
      </c>
    </row>
    <row r="1929" spans="1:9">
      <c r="A1929" s="617">
        <f t="shared" si="30"/>
        <v>1925</v>
      </c>
      <c r="B1929" s="618" t="s">
        <v>269</v>
      </c>
      <c r="C1929" s="618" t="str">
        <f>"14623"</f>
        <v>14623</v>
      </c>
      <c r="D1929" s="618" t="s">
        <v>18</v>
      </c>
      <c r="E1929" s="618">
        <v>62</v>
      </c>
      <c r="F1929" s="619">
        <v>43670</v>
      </c>
      <c r="G1929" s="619">
        <v>45496</v>
      </c>
      <c r="H1929" s="618" t="s">
        <v>28</v>
      </c>
      <c r="I1929" s="618" t="s">
        <v>51</v>
      </c>
    </row>
    <row r="1930" spans="1:9">
      <c r="A1930" s="620">
        <f t="shared" si="30"/>
        <v>1926</v>
      </c>
      <c r="B1930" s="621" t="s">
        <v>269</v>
      </c>
      <c r="C1930" s="621" t="str">
        <f>"14624"</f>
        <v>14624</v>
      </c>
      <c r="D1930" s="621" t="s">
        <v>18</v>
      </c>
      <c r="E1930" s="621">
        <v>54</v>
      </c>
      <c r="F1930" s="622">
        <v>43670</v>
      </c>
      <c r="G1930" s="622">
        <v>45496</v>
      </c>
      <c r="H1930" s="621" t="s">
        <v>28</v>
      </c>
      <c r="I1930" s="621" t="s">
        <v>51</v>
      </c>
    </row>
    <row r="1931" spans="1:9">
      <c r="A1931" s="617">
        <f t="shared" si="30"/>
        <v>1927</v>
      </c>
      <c r="B1931" s="618" t="s">
        <v>269</v>
      </c>
      <c r="C1931" s="618" t="str">
        <f>"14625"</f>
        <v>14625</v>
      </c>
      <c r="D1931" s="618" t="s">
        <v>13</v>
      </c>
      <c r="E1931" s="618">
        <v>38</v>
      </c>
      <c r="F1931" s="619">
        <v>45000</v>
      </c>
      <c r="G1931" s="619">
        <v>54131</v>
      </c>
      <c r="H1931" s="618" t="s">
        <v>28</v>
      </c>
      <c r="I1931" s="618" t="s">
        <v>51</v>
      </c>
    </row>
    <row r="1932" spans="1:9">
      <c r="A1932" s="620">
        <f t="shared" si="30"/>
        <v>1928</v>
      </c>
      <c r="B1932" s="621" t="s">
        <v>79</v>
      </c>
      <c r="C1932" s="621" t="str">
        <f>"14626"</f>
        <v>14626</v>
      </c>
      <c r="D1932" s="621" t="s">
        <v>13</v>
      </c>
      <c r="E1932" s="621">
        <v>47</v>
      </c>
      <c r="F1932" s="622">
        <v>44104</v>
      </c>
      <c r="G1932" s="622">
        <v>53234</v>
      </c>
      <c r="H1932" s="621" t="s">
        <v>16</v>
      </c>
      <c r="I1932" s="621" t="s">
        <v>51</v>
      </c>
    </row>
    <row r="1933" spans="1:9">
      <c r="A1933" s="617">
        <f t="shared" si="30"/>
        <v>1929</v>
      </c>
      <c r="B1933" s="618" t="s">
        <v>79</v>
      </c>
      <c r="C1933" s="618" t="str">
        <f>"14627"</f>
        <v>14627</v>
      </c>
      <c r="D1933" s="618" t="s">
        <v>13</v>
      </c>
      <c r="E1933" s="618">
        <v>63</v>
      </c>
      <c r="F1933" s="619">
        <v>44104</v>
      </c>
      <c r="G1933" s="619">
        <v>53234</v>
      </c>
      <c r="H1933" s="618" t="s">
        <v>16</v>
      </c>
      <c r="I1933" s="618" t="s">
        <v>51</v>
      </c>
    </row>
    <row r="1934" spans="1:9">
      <c r="A1934" s="620">
        <f t="shared" si="30"/>
        <v>1930</v>
      </c>
      <c r="B1934" s="621" t="s">
        <v>1789</v>
      </c>
      <c r="C1934" s="621" t="str">
        <f>"14630"</f>
        <v>14630</v>
      </c>
      <c r="D1934" s="621" t="s">
        <v>18</v>
      </c>
      <c r="E1934" s="621">
        <v>15</v>
      </c>
      <c r="F1934" s="622">
        <v>43731</v>
      </c>
      <c r="G1934" s="622">
        <v>45557</v>
      </c>
      <c r="H1934" s="621" t="s">
        <v>41</v>
      </c>
      <c r="I1934" s="621" t="s">
        <v>6862</v>
      </c>
    </row>
    <row r="1935" spans="1:9">
      <c r="A1935" s="617">
        <f t="shared" si="30"/>
        <v>1931</v>
      </c>
      <c r="B1935" s="618" t="s">
        <v>1795</v>
      </c>
      <c r="C1935" s="618" t="str">
        <f>"14633"</f>
        <v>14633</v>
      </c>
      <c r="D1935" s="618" t="s">
        <v>18</v>
      </c>
      <c r="E1935" s="618">
        <v>16</v>
      </c>
      <c r="F1935" s="619">
        <v>43711</v>
      </c>
      <c r="G1935" s="619">
        <v>45537</v>
      </c>
      <c r="H1935" s="618" t="s">
        <v>16</v>
      </c>
      <c r="I1935" s="618" t="s">
        <v>6874</v>
      </c>
    </row>
    <row r="1936" spans="1:9">
      <c r="A1936" s="620">
        <f t="shared" si="30"/>
        <v>1932</v>
      </c>
      <c r="B1936" s="621" t="s">
        <v>271</v>
      </c>
      <c r="C1936" s="621" t="str">
        <f>"14634"</f>
        <v>14634</v>
      </c>
      <c r="D1936" s="621" t="s">
        <v>18</v>
      </c>
      <c r="E1936" s="621">
        <v>15</v>
      </c>
      <c r="F1936" s="622">
        <v>44256</v>
      </c>
      <c r="G1936" s="622">
        <v>46081</v>
      </c>
      <c r="H1936" s="621" t="s">
        <v>56</v>
      </c>
      <c r="I1936" s="621" t="s">
        <v>51</v>
      </c>
    </row>
    <row r="1937" spans="1:9">
      <c r="A1937" s="617">
        <f t="shared" si="30"/>
        <v>1933</v>
      </c>
      <c r="B1937" s="618" t="s">
        <v>271</v>
      </c>
      <c r="C1937" s="618" t="str">
        <f>"14635"</f>
        <v>14635</v>
      </c>
      <c r="D1937" s="618" t="s">
        <v>18</v>
      </c>
      <c r="E1937" s="618">
        <v>5</v>
      </c>
      <c r="F1937" s="619">
        <v>44256</v>
      </c>
      <c r="G1937" s="619">
        <v>46081</v>
      </c>
      <c r="H1937" s="618" t="s">
        <v>41</v>
      </c>
      <c r="I1937" s="618" t="s">
        <v>51</v>
      </c>
    </row>
    <row r="1938" spans="1:9">
      <c r="A1938" s="620">
        <f t="shared" si="30"/>
        <v>1934</v>
      </c>
      <c r="B1938" s="621" t="s">
        <v>253</v>
      </c>
      <c r="C1938" s="621" t="str">
        <f>"14636"</f>
        <v>14636</v>
      </c>
      <c r="D1938" s="621" t="s">
        <v>18</v>
      </c>
      <c r="E1938" s="621">
        <v>18</v>
      </c>
      <c r="F1938" s="622">
        <v>43829</v>
      </c>
      <c r="G1938" s="622">
        <v>45655</v>
      </c>
      <c r="H1938" s="621" t="s">
        <v>45</v>
      </c>
      <c r="I1938" s="621" t="s">
        <v>51</v>
      </c>
    </row>
    <row r="1939" spans="1:9">
      <c r="A1939" s="617">
        <f t="shared" si="30"/>
        <v>1935</v>
      </c>
      <c r="B1939" s="618" t="s">
        <v>272</v>
      </c>
      <c r="C1939" s="618" t="str">
        <f>"14638"</f>
        <v>14638</v>
      </c>
      <c r="D1939" s="618" t="s">
        <v>18</v>
      </c>
      <c r="E1939" s="618">
        <v>4</v>
      </c>
      <c r="F1939" s="619">
        <v>43711</v>
      </c>
      <c r="G1939" s="619">
        <v>45537</v>
      </c>
      <c r="H1939" s="618" t="s">
        <v>14</v>
      </c>
      <c r="I1939" s="618" t="s">
        <v>51</v>
      </c>
    </row>
    <row r="1940" spans="1:9">
      <c r="A1940" s="620">
        <f t="shared" si="30"/>
        <v>1936</v>
      </c>
      <c r="B1940" s="621" t="s">
        <v>267</v>
      </c>
      <c r="C1940" s="621" t="str">
        <f>"14639"</f>
        <v>14639</v>
      </c>
      <c r="D1940" s="621" t="s">
        <v>18</v>
      </c>
      <c r="E1940" s="621">
        <v>2</v>
      </c>
      <c r="F1940" s="622">
        <v>43728</v>
      </c>
      <c r="G1940" s="622">
        <v>45554</v>
      </c>
      <c r="H1940" s="621" t="s">
        <v>14</v>
      </c>
      <c r="I1940" s="621" t="s">
        <v>51</v>
      </c>
    </row>
    <row r="1941" spans="1:9">
      <c r="A1941" s="617">
        <f t="shared" si="30"/>
        <v>1937</v>
      </c>
      <c r="B1941" s="618" t="s">
        <v>267</v>
      </c>
      <c r="C1941" s="618" t="str">
        <f>"14640"</f>
        <v>14640</v>
      </c>
      <c r="D1941" s="618" t="s">
        <v>18</v>
      </c>
      <c r="E1941" s="618">
        <v>2</v>
      </c>
      <c r="F1941" s="619">
        <v>43728</v>
      </c>
      <c r="G1941" s="619">
        <v>45554</v>
      </c>
      <c r="H1941" s="618" t="s">
        <v>14</v>
      </c>
      <c r="I1941" s="618" t="s">
        <v>51</v>
      </c>
    </row>
    <row r="1942" spans="1:9">
      <c r="A1942" s="620">
        <f t="shared" si="30"/>
        <v>1938</v>
      </c>
      <c r="B1942" s="621" t="s">
        <v>267</v>
      </c>
      <c r="C1942" s="621" t="str">
        <f>"14641"</f>
        <v>14641</v>
      </c>
      <c r="D1942" s="621" t="s">
        <v>18</v>
      </c>
      <c r="E1942" s="621">
        <v>2</v>
      </c>
      <c r="F1942" s="622">
        <v>43728</v>
      </c>
      <c r="G1942" s="622">
        <v>45554</v>
      </c>
      <c r="H1942" s="621" t="s">
        <v>14</v>
      </c>
      <c r="I1942" s="621" t="s">
        <v>51</v>
      </c>
    </row>
    <row r="1943" spans="1:9">
      <c r="A1943" s="617">
        <f t="shared" si="30"/>
        <v>1939</v>
      </c>
      <c r="B1943" s="618" t="s">
        <v>267</v>
      </c>
      <c r="C1943" s="618" t="str">
        <f>"14642"</f>
        <v>14642</v>
      </c>
      <c r="D1943" s="618" t="s">
        <v>18</v>
      </c>
      <c r="E1943" s="618">
        <v>2</v>
      </c>
      <c r="F1943" s="619">
        <v>43728</v>
      </c>
      <c r="G1943" s="619">
        <v>45554</v>
      </c>
      <c r="H1943" s="618" t="s">
        <v>14</v>
      </c>
      <c r="I1943" s="618" t="s">
        <v>51</v>
      </c>
    </row>
    <row r="1944" spans="1:9">
      <c r="A1944" s="620">
        <f t="shared" si="30"/>
        <v>1940</v>
      </c>
      <c r="B1944" s="621" t="s">
        <v>273</v>
      </c>
      <c r="C1944" s="621" t="str">
        <f>"14645"</f>
        <v>14645</v>
      </c>
      <c r="D1944" s="621" t="s">
        <v>18</v>
      </c>
      <c r="E1944" s="621">
        <v>1</v>
      </c>
      <c r="F1944" s="622">
        <v>44056</v>
      </c>
      <c r="G1944" s="622">
        <v>45881</v>
      </c>
      <c r="H1944" s="621" t="s">
        <v>233</v>
      </c>
      <c r="I1944" s="621" t="s">
        <v>51</v>
      </c>
    </row>
    <row r="1945" spans="1:9">
      <c r="A1945" s="617">
        <f t="shared" si="30"/>
        <v>1941</v>
      </c>
      <c r="B1945" s="618" t="s">
        <v>273</v>
      </c>
      <c r="C1945" s="618" t="str">
        <f>"14646"</f>
        <v>14646</v>
      </c>
      <c r="D1945" s="618" t="s">
        <v>18</v>
      </c>
      <c r="E1945" s="618">
        <v>1</v>
      </c>
      <c r="F1945" s="619">
        <v>44040</v>
      </c>
      <c r="G1945" s="619">
        <v>45865</v>
      </c>
      <c r="H1945" s="618" t="s">
        <v>233</v>
      </c>
      <c r="I1945" s="618" t="s">
        <v>51</v>
      </c>
    </row>
    <row r="1946" spans="1:9">
      <c r="A1946" s="620">
        <f t="shared" si="30"/>
        <v>1942</v>
      </c>
      <c r="B1946" s="621" t="s">
        <v>273</v>
      </c>
      <c r="C1946" s="621" t="str">
        <f>"14647"</f>
        <v>14647</v>
      </c>
      <c r="D1946" s="621" t="s">
        <v>18</v>
      </c>
      <c r="E1946" s="621">
        <v>1</v>
      </c>
      <c r="F1946" s="622">
        <v>44040</v>
      </c>
      <c r="G1946" s="622">
        <v>45865</v>
      </c>
      <c r="H1946" s="621" t="s">
        <v>233</v>
      </c>
      <c r="I1946" s="621" t="s">
        <v>51</v>
      </c>
    </row>
    <row r="1947" spans="1:9">
      <c r="A1947" s="617">
        <f t="shared" si="30"/>
        <v>1943</v>
      </c>
      <c r="B1947" s="618" t="s">
        <v>273</v>
      </c>
      <c r="C1947" s="618" t="str">
        <f>"14648"</f>
        <v>14648</v>
      </c>
      <c r="D1947" s="618" t="s">
        <v>18</v>
      </c>
      <c r="E1947" s="618">
        <v>1</v>
      </c>
      <c r="F1947" s="619">
        <v>44040</v>
      </c>
      <c r="G1947" s="619">
        <v>45865</v>
      </c>
      <c r="H1947" s="618" t="s">
        <v>233</v>
      </c>
      <c r="I1947" s="618" t="s">
        <v>51</v>
      </c>
    </row>
    <row r="1948" spans="1:9">
      <c r="A1948" s="620">
        <f t="shared" si="30"/>
        <v>1944</v>
      </c>
      <c r="B1948" s="621" t="s">
        <v>238</v>
      </c>
      <c r="C1948" s="621" t="str">
        <f>"14652"</f>
        <v>14652</v>
      </c>
      <c r="D1948" s="621" t="s">
        <v>18</v>
      </c>
      <c r="E1948" s="621">
        <v>84</v>
      </c>
      <c r="F1948" s="622">
        <v>44432</v>
      </c>
      <c r="G1948" s="622">
        <v>46257</v>
      </c>
      <c r="H1948" s="621" t="s">
        <v>45</v>
      </c>
      <c r="I1948" s="621" t="s">
        <v>51</v>
      </c>
    </row>
    <row r="1949" spans="1:9">
      <c r="A1949" s="617">
        <f t="shared" si="30"/>
        <v>1945</v>
      </c>
      <c r="B1949" s="618" t="s">
        <v>238</v>
      </c>
      <c r="C1949" s="618" t="str">
        <f>"14653"</f>
        <v>14653</v>
      </c>
      <c r="D1949" s="618" t="s">
        <v>18</v>
      </c>
      <c r="E1949" s="618">
        <v>9</v>
      </c>
      <c r="F1949" s="619">
        <v>44434</v>
      </c>
      <c r="G1949" s="619">
        <v>46259</v>
      </c>
      <c r="H1949" s="618" t="s">
        <v>16</v>
      </c>
      <c r="I1949" s="618" t="s">
        <v>6861</v>
      </c>
    </row>
    <row r="1950" spans="1:9">
      <c r="A1950" s="620">
        <f t="shared" si="30"/>
        <v>1946</v>
      </c>
      <c r="B1950" s="621" t="s">
        <v>198</v>
      </c>
      <c r="C1950" s="621" t="str">
        <f>"14655"</f>
        <v>14655</v>
      </c>
      <c r="D1950" s="621" t="s">
        <v>18</v>
      </c>
      <c r="E1950" s="621">
        <v>27</v>
      </c>
      <c r="F1950" s="622">
        <v>43711</v>
      </c>
      <c r="G1950" s="622">
        <v>45537</v>
      </c>
      <c r="H1950" s="621" t="s">
        <v>29</v>
      </c>
      <c r="I1950" s="621" t="s">
        <v>51</v>
      </c>
    </row>
    <row r="1951" spans="1:9">
      <c r="A1951" s="617">
        <f t="shared" si="30"/>
        <v>1947</v>
      </c>
      <c r="B1951" s="618" t="s">
        <v>25</v>
      </c>
      <c r="C1951" s="618" t="str">
        <f>"14658"</f>
        <v>14658</v>
      </c>
      <c r="D1951" s="618" t="s">
        <v>18</v>
      </c>
      <c r="E1951" s="618">
        <v>9</v>
      </c>
      <c r="F1951" s="619">
        <v>43728</v>
      </c>
      <c r="G1951" s="619">
        <v>45554</v>
      </c>
      <c r="H1951" s="618" t="s">
        <v>45</v>
      </c>
      <c r="I1951" s="618" t="s">
        <v>6871</v>
      </c>
    </row>
    <row r="1952" spans="1:9">
      <c r="A1952" s="620">
        <f t="shared" si="30"/>
        <v>1948</v>
      </c>
      <c r="B1952" s="621" t="s">
        <v>25</v>
      </c>
      <c r="C1952" s="621" t="str">
        <f>"14659"</f>
        <v>14659</v>
      </c>
      <c r="D1952" s="621" t="s">
        <v>18</v>
      </c>
      <c r="E1952" s="621">
        <v>35</v>
      </c>
      <c r="F1952" s="622">
        <v>43728</v>
      </c>
      <c r="G1952" s="622">
        <v>45554</v>
      </c>
      <c r="H1952" s="621" t="s">
        <v>45</v>
      </c>
      <c r="I1952" s="621" t="s">
        <v>6871</v>
      </c>
    </row>
    <row r="1953" spans="1:9">
      <c r="A1953" s="617">
        <f t="shared" si="30"/>
        <v>1949</v>
      </c>
      <c r="B1953" s="618" t="s">
        <v>25</v>
      </c>
      <c r="C1953" s="618" t="str">
        <f>"14660"</f>
        <v>14660</v>
      </c>
      <c r="D1953" s="618" t="s">
        <v>18</v>
      </c>
      <c r="E1953" s="618">
        <v>73</v>
      </c>
      <c r="F1953" s="619">
        <v>43728</v>
      </c>
      <c r="G1953" s="619">
        <v>45554</v>
      </c>
      <c r="H1953" s="618" t="s">
        <v>43</v>
      </c>
      <c r="I1953" s="618" t="s">
        <v>6871</v>
      </c>
    </row>
    <row r="1954" spans="1:9">
      <c r="A1954" s="620">
        <f t="shared" si="30"/>
        <v>1950</v>
      </c>
      <c r="B1954" s="621" t="s">
        <v>25</v>
      </c>
      <c r="C1954" s="621" t="str">
        <f>"14664"</f>
        <v>14664</v>
      </c>
      <c r="D1954" s="621" t="s">
        <v>18</v>
      </c>
      <c r="E1954" s="621">
        <v>32</v>
      </c>
      <c r="F1954" s="622">
        <v>43728</v>
      </c>
      <c r="G1954" s="622">
        <v>45554</v>
      </c>
      <c r="H1954" s="621" t="s">
        <v>14</v>
      </c>
      <c r="I1954" s="621" t="s">
        <v>6871</v>
      </c>
    </row>
    <row r="1955" spans="1:9">
      <c r="A1955" s="617">
        <f t="shared" si="30"/>
        <v>1951</v>
      </c>
      <c r="B1955" s="618" t="s">
        <v>25</v>
      </c>
      <c r="C1955" s="618" t="str">
        <f>"14665"</f>
        <v>14665</v>
      </c>
      <c r="D1955" s="618" t="s">
        <v>18</v>
      </c>
      <c r="E1955" s="618">
        <v>81</v>
      </c>
      <c r="F1955" s="619">
        <v>43728</v>
      </c>
      <c r="G1955" s="619">
        <v>45554</v>
      </c>
      <c r="H1955" s="618" t="s">
        <v>45</v>
      </c>
      <c r="I1955" s="618" t="s">
        <v>51</v>
      </c>
    </row>
    <row r="1956" spans="1:9">
      <c r="A1956" s="620">
        <f t="shared" si="30"/>
        <v>1952</v>
      </c>
      <c r="B1956" s="621" t="s">
        <v>25</v>
      </c>
      <c r="C1956" s="621" t="str">
        <f>"14666"</f>
        <v>14666</v>
      </c>
      <c r="D1956" s="621" t="s">
        <v>18</v>
      </c>
      <c r="E1956" s="621">
        <v>13</v>
      </c>
      <c r="F1956" s="622">
        <v>43728</v>
      </c>
      <c r="G1956" s="622">
        <v>45554</v>
      </c>
      <c r="H1956" s="621" t="s">
        <v>14</v>
      </c>
      <c r="I1956" s="621" t="s">
        <v>6871</v>
      </c>
    </row>
    <row r="1957" spans="1:9">
      <c r="A1957" s="617">
        <f t="shared" si="30"/>
        <v>1953</v>
      </c>
      <c r="B1957" s="618" t="s">
        <v>25</v>
      </c>
      <c r="C1957" s="618" t="str">
        <f>"14667"</f>
        <v>14667</v>
      </c>
      <c r="D1957" s="618" t="s">
        <v>18</v>
      </c>
      <c r="E1957" s="618">
        <v>80</v>
      </c>
      <c r="F1957" s="619">
        <v>43728</v>
      </c>
      <c r="G1957" s="619">
        <v>45554</v>
      </c>
      <c r="H1957" s="618" t="s">
        <v>14</v>
      </c>
      <c r="I1957" s="618" t="s">
        <v>6871</v>
      </c>
    </row>
    <row r="1958" spans="1:9">
      <c r="A1958" s="620">
        <f t="shared" si="30"/>
        <v>1954</v>
      </c>
      <c r="B1958" s="621" t="s">
        <v>274</v>
      </c>
      <c r="C1958" s="621" t="str">
        <f>"14668"</f>
        <v>14668</v>
      </c>
      <c r="D1958" s="621" t="s">
        <v>18</v>
      </c>
      <c r="E1958" s="621">
        <v>9</v>
      </c>
      <c r="F1958" s="622">
        <v>44358</v>
      </c>
      <c r="G1958" s="622">
        <v>46183</v>
      </c>
      <c r="H1958" s="621" t="s">
        <v>29</v>
      </c>
      <c r="I1958" s="621" t="s">
        <v>51</v>
      </c>
    </row>
    <row r="1959" spans="1:9">
      <c r="A1959" s="617">
        <f t="shared" si="30"/>
        <v>1955</v>
      </c>
      <c r="B1959" s="618" t="s">
        <v>274</v>
      </c>
      <c r="C1959" s="618" t="str">
        <f>"14669"</f>
        <v>14669</v>
      </c>
      <c r="D1959" s="618" t="s">
        <v>18</v>
      </c>
      <c r="E1959" s="618">
        <v>8</v>
      </c>
      <c r="F1959" s="619">
        <v>44358</v>
      </c>
      <c r="G1959" s="619">
        <v>46183</v>
      </c>
      <c r="H1959" s="618" t="s">
        <v>28</v>
      </c>
      <c r="I1959" s="618" t="s">
        <v>51</v>
      </c>
    </row>
    <row r="1960" spans="1:9">
      <c r="A1960" s="620">
        <f t="shared" si="30"/>
        <v>1956</v>
      </c>
      <c r="B1960" s="621" t="s">
        <v>275</v>
      </c>
      <c r="C1960" s="621" t="str">
        <f>"14670"</f>
        <v>14670</v>
      </c>
      <c r="D1960" s="621" t="s">
        <v>18</v>
      </c>
      <c r="E1960" s="621">
        <v>25</v>
      </c>
      <c r="F1960" s="622">
        <v>44022</v>
      </c>
      <c r="G1960" s="622">
        <v>45847</v>
      </c>
      <c r="H1960" s="621" t="s">
        <v>16</v>
      </c>
      <c r="I1960" s="621" t="s">
        <v>51</v>
      </c>
    </row>
    <row r="1961" spans="1:9">
      <c r="A1961" s="617">
        <f t="shared" si="30"/>
        <v>1957</v>
      </c>
      <c r="B1961" s="618" t="s">
        <v>275</v>
      </c>
      <c r="C1961" s="618" t="str">
        <f>"14671"</f>
        <v>14671</v>
      </c>
      <c r="D1961" s="618" t="s">
        <v>18</v>
      </c>
      <c r="E1961" s="618">
        <v>25</v>
      </c>
      <c r="F1961" s="619">
        <v>44022</v>
      </c>
      <c r="G1961" s="619">
        <v>45847</v>
      </c>
      <c r="H1961" s="618" t="s">
        <v>28</v>
      </c>
      <c r="I1961" s="618" t="s">
        <v>51</v>
      </c>
    </row>
    <row r="1962" spans="1:9">
      <c r="A1962" s="620">
        <f t="shared" si="30"/>
        <v>1958</v>
      </c>
      <c r="B1962" s="621" t="s">
        <v>239</v>
      </c>
      <c r="C1962" s="621" t="str">
        <f>"14674"</f>
        <v>14674</v>
      </c>
      <c r="D1962" s="621" t="s">
        <v>18</v>
      </c>
      <c r="E1962" s="621">
        <v>12</v>
      </c>
      <c r="F1962" s="622">
        <v>43752</v>
      </c>
      <c r="G1962" s="622">
        <v>45578</v>
      </c>
      <c r="H1962" s="621" t="s">
        <v>16</v>
      </c>
      <c r="I1962" s="621" t="s">
        <v>51</v>
      </c>
    </row>
    <row r="1963" spans="1:9">
      <c r="A1963" s="617">
        <f t="shared" si="30"/>
        <v>1959</v>
      </c>
      <c r="B1963" s="618" t="s">
        <v>198</v>
      </c>
      <c r="C1963" s="618" t="str">
        <f>"14675"</f>
        <v>14675</v>
      </c>
      <c r="D1963" s="618" t="s">
        <v>18</v>
      </c>
      <c r="E1963" s="618">
        <v>17</v>
      </c>
      <c r="F1963" s="619">
        <v>43711</v>
      </c>
      <c r="G1963" s="619">
        <v>45537</v>
      </c>
      <c r="H1963" s="618" t="s">
        <v>28</v>
      </c>
      <c r="I1963" s="618" t="s">
        <v>51</v>
      </c>
    </row>
    <row r="1964" spans="1:9">
      <c r="A1964" s="620">
        <f t="shared" si="30"/>
        <v>1960</v>
      </c>
      <c r="B1964" s="621" t="s">
        <v>276</v>
      </c>
      <c r="C1964" s="621" t="str">
        <f>"14676"</f>
        <v>14676</v>
      </c>
      <c r="D1964" s="621" t="s">
        <v>18</v>
      </c>
      <c r="E1964" s="621">
        <v>8</v>
      </c>
      <c r="F1964" s="622">
        <v>43951</v>
      </c>
      <c r="G1964" s="622">
        <v>45776</v>
      </c>
      <c r="H1964" s="621" t="s">
        <v>56</v>
      </c>
      <c r="I1964" s="621" t="s">
        <v>51</v>
      </c>
    </row>
    <row r="1965" spans="1:9">
      <c r="A1965" s="617">
        <f t="shared" si="30"/>
        <v>1961</v>
      </c>
      <c r="B1965" s="618" t="s">
        <v>276</v>
      </c>
      <c r="C1965" s="618" t="str">
        <f>"14677"</f>
        <v>14677</v>
      </c>
      <c r="D1965" s="618" t="s">
        <v>18</v>
      </c>
      <c r="E1965" s="618">
        <v>44</v>
      </c>
      <c r="F1965" s="619">
        <v>43951</v>
      </c>
      <c r="G1965" s="619">
        <v>45776</v>
      </c>
      <c r="H1965" s="618" t="s">
        <v>56</v>
      </c>
      <c r="I1965" s="618" t="s">
        <v>6861</v>
      </c>
    </row>
    <row r="1966" spans="1:9">
      <c r="A1966" s="620">
        <f t="shared" si="30"/>
        <v>1962</v>
      </c>
      <c r="B1966" s="621" t="s">
        <v>276</v>
      </c>
      <c r="C1966" s="621" t="str">
        <f>"14678"</f>
        <v>14678</v>
      </c>
      <c r="D1966" s="621" t="s">
        <v>18</v>
      </c>
      <c r="E1966" s="621">
        <v>33</v>
      </c>
      <c r="F1966" s="622">
        <v>43951</v>
      </c>
      <c r="G1966" s="622">
        <v>45776</v>
      </c>
      <c r="H1966" s="621" t="s">
        <v>56</v>
      </c>
      <c r="I1966" s="621" t="s">
        <v>6861</v>
      </c>
    </row>
    <row r="1967" spans="1:9">
      <c r="A1967" s="617">
        <f t="shared" si="30"/>
        <v>1963</v>
      </c>
      <c r="B1967" s="618" t="s">
        <v>276</v>
      </c>
      <c r="C1967" s="618" t="str">
        <f>"14680"</f>
        <v>14680</v>
      </c>
      <c r="D1967" s="618" t="s">
        <v>18</v>
      </c>
      <c r="E1967" s="618">
        <v>4</v>
      </c>
      <c r="F1967" s="619">
        <v>43951</v>
      </c>
      <c r="G1967" s="619">
        <v>45776</v>
      </c>
      <c r="H1967" s="618" t="s">
        <v>56</v>
      </c>
      <c r="I1967" s="618" t="s">
        <v>6861</v>
      </c>
    </row>
    <row r="1968" spans="1:9">
      <c r="A1968" s="620">
        <f t="shared" si="30"/>
        <v>1964</v>
      </c>
      <c r="B1968" s="621" t="s">
        <v>276</v>
      </c>
      <c r="C1968" s="621" t="str">
        <f>"14681"</f>
        <v>14681</v>
      </c>
      <c r="D1968" s="621" t="s">
        <v>18</v>
      </c>
      <c r="E1968" s="621">
        <v>10</v>
      </c>
      <c r="F1968" s="622">
        <v>43951</v>
      </c>
      <c r="G1968" s="622">
        <v>45776</v>
      </c>
      <c r="H1968" s="621" t="s">
        <v>56</v>
      </c>
      <c r="I1968" s="621" t="s">
        <v>51</v>
      </c>
    </row>
    <row r="1969" spans="1:9">
      <c r="A1969" s="617">
        <f t="shared" si="30"/>
        <v>1965</v>
      </c>
      <c r="B1969" s="618" t="s">
        <v>276</v>
      </c>
      <c r="C1969" s="618" t="str">
        <f>"14682"</f>
        <v>14682</v>
      </c>
      <c r="D1969" s="618" t="s">
        <v>18</v>
      </c>
      <c r="E1969" s="618">
        <v>16</v>
      </c>
      <c r="F1969" s="619">
        <v>43951</v>
      </c>
      <c r="G1969" s="619">
        <v>45776</v>
      </c>
      <c r="H1969" s="618" t="s">
        <v>56</v>
      </c>
      <c r="I1969" s="618" t="s">
        <v>51</v>
      </c>
    </row>
    <row r="1970" spans="1:9">
      <c r="A1970" s="620">
        <f t="shared" si="30"/>
        <v>1966</v>
      </c>
      <c r="B1970" s="621" t="s">
        <v>276</v>
      </c>
      <c r="C1970" s="621" t="str">
        <f>"14683"</f>
        <v>14683</v>
      </c>
      <c r="D1970" s="621" t="s">
        <v>18</v>
      </c>
      <c r="E1970" s="621">
        <v>10</v>
      </c>
      <c r="F1970" s="622">
        <v>43951</v>
      </c>
      <c r="G1970" s="622">
        <v>45776</v>
      </c>
      <c r="H1970" s="621" t="s">
        <v>56</v>
      </c>
      <c r="I1970" s="621" t="s">
        <v>51</v>
      </c>
    </row>
    <row r="1971" spans="1:9">
      <c r="A1971" s="617">
        <f t="shared" si="30"/>
        <v>1967</v>
      </c>
      <c r="B1971" s="618" t="s">
        <v>277</v>
      </c>
      <c r="C1971" s="618" t="str">
        <f>"14687"</f>
        <v>14687</v>
      </c>
      <c r="D1971" s="618" t="s">
        <v>18</v>
      </c>
      <c r="E1971" s="618">
        <v>1</v>
      </c>
      <c r="F1971" s="619">
        <v>44048</v>
      </c>
      <c r="G1971" s="619">
        <v>45873</v>
      </c>
      <c r="H1971" s="618" t="s">
        <v>14</v>
      </c>
      <c r="I1971" s="618" t="s">
        <v>51</v>
      </c>
    </row>
    <row r="1972" spans="1:9">
      <c r="A1972" s="620">
        <f t="shared" si="30"/>
        <v>1968</v>
      </c>
      <c r="B1972" s="621" t="s">
        <v>98</v>
      </c>
      <c r="C1972" s="621" t="str">
        <f>"14692"</f>
        <v>14692</v>
      </c>
      <c r="D1972" s="621" t="s">
        <v>18</v>
      </c>
      <c r="E1972" s="621">
        <v>14</v>
      </c>
      <c r="F1972" s="622">
        <v>44256</v>
      </c>
      <c r="G1972" s="622">
        <v>46081</v>
      </c>
      <c r="H1972" s="621" t="s">
        <v>16</v>
      </c>
      <c r="I1972" s="621" t="s">
        <v>51</v>
      </c>
    </row>
    <row r="1973" spans="1:9">
      <c r="A1973" s="617">
        <f t="shared" si="30"/>
        <v>1969</v>
      </c>
      <c r="B1973" s="618" t="s">
        <v>278</v>
      </c>
      <c r="C1973" s="618" t="str">
        <f>"14693"</f>
        <v>14693</v>
      </c>
      <c r="D1973" s="618" t="s">
        <v>27</v>
      </c>
      <c r="E1973" s="618">
        <v>12</v>
      </c>
      <c r="F1973" s="619">
        <v>43711</v>
      </c>
      <c r="G1973" s="619">
        <v>45537</v>
      </c>
      <c r="H1973" s="618" t="s">
        <v>56</v>
      </c>
      <c r="I1973" s="618" t="s">
        <v>51</v>
      </c>
    </row>
    <row r="1974" spans="1:9">
      <c r="A1974" s="620">
        <f t="shared" si="30"/>
        <v>1970</v>
      </c>
      <c r="B1974" s="621" t="s">
        <v>278</v>
      </c>
      <c r="C1974" s="621" t="str">
        <f>"14694"</f>
        <v>14694</v>
      </c>
      <c r="D1974" s="621" t="s">
        <v>27</v>
      </c>
      <c r="E1974" s="621">
        <v>10</v>
      </c>
      <c r="F1974" s="622">
        <v>43711</v>
      </c>
      <c r="G1974" s="622">
        <v>45537</v>
      </c>
      <c r="H1974" s="621" t="s">
        <v>56</v>
      </c>
      <c r="I1974" s="621" t="s">
        <v>51</v>
      </c>
    </row>
    <row r="1975" spans="1:9">
      <c r="A1975" s="617">
        <f t="shared" si="30"/>
        <v>1971</v>
      </c>
      <c r="B1975" s="618" t="s">
        <v>278</v>
      </c>
      <c r="C1975" s="618" t="str">
        <f>"14695"</f>
        <v>14695</v>
      </c>
      <c r="D1975" s="618" t="s">
        <v>27</v>
      </c>
      <c r="E1975" s="618">
        <v>10</v>
      </c>
      <c r="F1975" s="619">
        <v>43711</v>
      </c>
      <c r="G1975" s="619">
        <v>45537</v>
      </c>
      <c r="H1975" s="618" t="s">
        <v>56</v>
      </c>
      <c r="I1975" s="618" t="s">
        <v>51</v>
      </c>
    </row>
    <row r="1976" spans="1:9">
      <c r="A1976" s="620">
        <f t="shared" si="30"/>
        <v>1972</v>
      </c>
      <c r="B1976" s="621" t="s">
        <v>279</v>
      </c>
      <c r="C1976" s="621" t="str">
        <f>"14697"</f>
        <v>14697</v>
      </c>
      <c r="D1976" s="621" t="s">
        <v>18</v>
      </c>
      <c r="E1976" s="621">
        <v>5</v>
      </c>
      <c r="F1976" s="622">
        <v>43752</v>
      </c>
      <c r="G1976" s="622">
        <v>45578</v>
      </c>
      <c r="H1976" s="621" t="s">
        <v>14</v>
      </c>
      <c r="I1976" s="621" t="s">
        <v>51</v>
      </c>
    </row>
    <row r="1977" spans="1:9">
      <c r="A1977" s="617">
        <f t="shared" si="30"/>
        <v>1973</v>
      </c>
      <c r="B1977" s="618" t="s">
        <v>279</v>
      </c>
      <c r="C1977" s="618" t="str">
        <f>"14698"</f>
        <v>14698</v>
      </c>
      <c r="D1977" s="618" t="s">
        <v>18</v>
      </c>
      <c r="E1977" s="618">
        <v>3</v>
      </c>
      <c r="F1977" s="619">
        <v>43752</v>
      </c>
      <c r="G1977" s="619">
        <v>45578</v>
      </c>
      <c r="H1977" s="618" t="s">
        <v>16</v>
      </c>
      <c r="I1977" s="618" t="s">
        <v>51</v>
      </c>
    </row>
    <row r="1978" spans="1:9">
      <c r="A1978" s="620">
        <f t="shared" si="30"/>
        <v>1974</v>
      </c>
      <c r="B1978" s="621" t="s">
        <v>279</v>
      </c>
      <c r="C1978" s="621" t="str">
        <f>"14699"</f>
        <v>14699</v>
      </c>
      <c r="D1978" s="621" t="s">
        <v>18</v>
      </c>
      <c r="E1978" s="621">
        <v>4</v>
      </c>
      <c r="F1978" s="622">
        <v>43752</v>
      </c>
      <c r="G1978" s="622">
        <v>45578</v>
      </c>
      <c r="H1978" s="621" t="s">
        <v>14</v>
      </c>
      <c r="I1978" s="621" t="s">
        <v>51</v>
      </c>
    </row>
    <row r="1979" spans="1:9">
      <c r="A1979" s="617">
        <f t="shared" si="30"/>
        <v>1975</v>
      </c>
      <c r="B1979" s="618" t="s">
        <v>280</v>
      </c>
      <c r="C1979" s="618" t="str">
        <f>"14700"</f>
        <v>14700</v>
      </c>
      <c r="D1979" s="618" t="s">
        <v>18</v>
      </c>
      <c r="E1979" s="618">
        <v>20</v>
      </c>
      <c r="F1979" s="619">
        <v>43738</v>
      </c>
      <c r="G1979" s="619">
        <v>45564</v>
      </c>
      <c r="H1979" s="618" t="s">
        <v>16</v>
      </c>
      <c r="I1979" s="618" t="s">
        <v>51</v>
      </c>
    </row>
    <row r="1980" spans="1:9">
      <c r="A1980" s="620">
        <f t="shared" si="30"/>
        <v>1976</v>
      </c>
      <c r="B1980" s="621" t="s">
        <v>280</v>
      </c>
      <c r="C1980" s="621" t="str">
        <f>"14701"</f>
        <v>14701</v>
      </c>
      <c r="D1980" s="621" t="s">
        <v>18</v>
      </c>
      <c r="E1980" s="621">
        <v>8</v>
      </c>
      <c r="F1980" s="622">
        <v>43738</v>
      </c>
      <c r="G1980" s="622">
        <v>45564</v>
      </c>
      <c r="H1980" s="621" t="s">
        <v>16</v>
      </c>
      <c r="I1980" s="621" t="s">
        <v>51</v>
      </c>
    </row>
    <row r="1981" spans="1:9">
      <c r="A1981" s="617">
        <f t="shared" si="30"/>
        <v>1977</v>
      </c>
      <c r="B1981" s="618" t="s">
        <v>280</v>
      </c>
      <c r="C1981" s="618" t="str">
        <f>"14702"</f>
        <v>14702</v>
      </c>
      <c r="D1981" s="618" t="s">
        <v>18</v>
      </c>
      <c r="E1981" s="618">
        <v>4</v>
      </c>
      <c r="F1981" s="619">
        <v>43738</v>
      </c>
      <c r="G1981" s="619">
        <v>45564</v>
      </c>
      <c r="H1981" s="618" t="s">
        <v>16</v>
      </c>
      <c r="I1981" s="618" t="s">
        <v>51</v>
      </c>
    </row>
    <row r="1982" spans="1:9">
      <c r="A1982" s="620">
        <f t="shared" si="30"/>
        <v>1978</v>
      </c>
      <c r="B1982" s="621" t="s">
        <v>280</v>
      </c>
      <c r="C1982" s="621" t="str">
        <f>"14703"</f>
        <v>14703</v>
      </c>
      <c r="D1982" s="621" t="s">
        <v>18</v>
      </c>
      <c r="E1982" s="621">
        <v>18</v>
      </c>
      <c r="F1982" s="622">
        <v>43738</v>
      </c>
      <c r="G1982" s="622">
        <v>45564</v>
      </c>
      <c r="H1982" s="621" t="s">
        <v>16</v>
      </c>
      <c r="I1982" s="621" t="s">
        <v>51</v>
      </c>
    </row>
    <row r="1983" spans="1:9">
      <c r="A1983" s="617">
        <f t="shared" si="30"/>
        <v>1979</v>
      </c>
      <c r="B1983" s="618" t="s">
        <v>280</v>
      </c>
      <c r="C1983" s="618" t="str">
        <f>"14704"</f>
        <v>14704</v>
      </c>
      <c r="D1983" s="618" t="s">
        <v>18</v>
      </c>
      <c r="E1983" s="618">
        <v>15</v>
      </c>
      <c r="F1983" s="619">
        <v>43738</v>
      </c>
      <c r="G1983" s="619">
        <v>45564</v>
      </c>
      <c r="H1983" s="618" t="s">
        <v>16</v>
      </c>
      <c r="I1983" s="618" t="s">
        <v>51</v>
      </c>
    </row>
    <row r="1984" spans="1:9">
      <c r="A1984" s="620">
        <f t="shared" si="30"/>
        <v>1980</v>
      </c>
      <c r="B1984" s="621" t="s">
        <v>280</v>
      </c>
      <c r="C1984" s="621" t="str">
        <f>"14705"</f>
        <v>14705</v>
      </c>
      <c r="D1984" s="621" t="s">
        <v>18</v>
      </c>
      <c r="E1984" s="621">
        <v>14</v>
      </c>
      <c r="F1984" s="622">
        <v>43738</v>
      </c>
      <c r="G1984" s="622">
        <v>45564</v>
      </c>
      <c r="H1984" s="621" t="s">
        <v>16</v>
      </c>
      <c r="I1984" s="621" t="s">
        <v>51</v>
      </c>
    </row>
    <row r="1985" spans="1:9">
      <c r="A1985" s="617">
        <f t="shared" si="30"/>
        <v>1981</v>
      </c>
      <c r="B1985" s="618" t="s">
        <v>88</v>
      </c>
      <c r="C1985" s="618" t="str">
        <f>"14710"</f>
        <v>14710</v>
      </c>
      <c r="D1985" s="618" t="s">
        <v>18</v>
      </c>
      <c r="E1985" s="618">
        <v>18</v>
      </c>
      <c r="F1985" s="619">
        <v>43784</v>
      </c>
      <c r="G1985" s="619">
        <v>45610</v>
      </c>
      <c r="H1985" s="618" t="s">
        <v>16</v>
      </c>
      <c r="I1985" s="618" t="s">
        <v>6868</v>
      </c>
    </row>
    <row r="1986" spans="1:9">
      <c r="A1986" s="620">
        <f t="shared" si="30"/>
        <v>1982</v>
      </c>
      <c r="B1986" s="621" t="s">
        <v>1801</v>
      </c>
      <c r="C1986" s="621" t="str">
        <f>"14711"</f>
        <v>14711</v>
      </c>
      <c r="D1986" s="621" t="s">
        <v>18</v>
      </c>
      <c r="E1986" s="621">
        <v>3</v>
      </c>
      <c r="F1986" s="622">
        <v>43718</v>
      </c>
      <c r="G1986" s="622">
        <v>45544</v>
      </c>
      <c r="H1986" s="621" t="s">
        <v>14</v>
      </c>
      <c r="I1986" s="621" t="s">
        <v>6862</v>
      </c>
    </row>
    <row r="1987" spans="1:9">
      <c r="A1987" s="617">
        <f t="shared" si="30"/>
        <v>1983</v>
      </c>
      <c r="B1987" s="618" t="s">
        <v>1801</v>
      </c>
      <c r="C1987" s="618" t="str">
        <f>"14712"</f>
        <v>14712</v>
      </c>
      <c r="D1987" s="618" t="s">
        <v>18</v>
      </c>
      <c r="E1987" s="618">
        <v>2</v>
      </c>
      <c r="F1987" s="619">
        <v>43718</v>
      </c>
      <c r="G1987" s="619">
        <v>45544</v>
      </c>
      <c r="H1987" s="618" t="s">
        <v>41</v>
      </c>
      <c r="I1987" s="618" t="s">
        <v>6862</v>
      </c>
    </row>
    <row r="1988" spans="1:9">
      <c r="A1988" s="620">
        <f t="shared" si="30"/>
        <v>1984</v>
      </c>
      <c r="B1988" s="621" t="s">
        <v>1802</v>
      </c>
      <c r="C1988" s="621" t="str">
        <f>"14713"</f>
        <v>14713</v>
      </c>
      <c r="D1988" s="621" t="s">
        <v>18</v>
      </c>
      <c r="E1988" s="621">
        <v>3</v>
      </c>
      <c r="F1988" s="622">
        <v>43711</v>
      </c>
      <c r="G1988" s="622">
        <v>45537</v>
      </c>
      <c r="H1988" s="621" t="s">
        <v>45</v>
      </c>
      <c r="I1988" s="621" t="s">
        <v>385</v>
      </c>
    </row>
    <row r="1989" spans="1:9">
      <c r="A1989" s="617">
        <f t="shared" si="30"/>
        <v>1985</v>
      </c>
      <c r="B1989" s="618" t="s">
        <v>281</v>
      </c>
      <c r="C1989" s="618" t="str">
        <f>"14714"</f>
        <v>14714</v>
      </c>
      <c r="D1989" s="618" t="s">
        <v>18</v>
      </c>
      <c r="E1989" s="618">
        <v>20</v>
      </c>
      <c r="F1989" s="619">
        <v>44378</v>
      </c>
      <c r="G1989" s="619">
        <v>46203</v>
      </c>
      <c r="H1989" s="618" t="s">
        <v>45</v>
      </c>
      <c r="I1989" s="618" t="s">
        <v>51</v>
      </c>
    </row>
    <row r="1990" spans="1:9">
      <c r="A1990" s="620">
        <f t="shared" si="30"/>
        <v>1986</v>
      </c>
      <c r="B1990" s="621" t="s">
        <v>269</v>
      </c>
      <c r="C1990" s="621" t="str">
        <f>"14717"</f>
        <v>14717</v>
      </c>
      <c r="D1990" s="621" t="s">
        <v>13</v>
      </c>
      <c r="E1990" s="621">
        <v>32</v>
      </c>
      <c r="F1990" s="622">
        <v>44966</v>
      </c>
      <c r="G1990" s="622">
        <v>54096</v>
      </c>
      <c r="H1990" s="621" t="s">
        <v>28</v>
      </c>
      <c r="I1990" s="621" t="s">
        <v>51</v>
      </c>
    </row>
    <row r="1991" spans="1:9">
      <c r="A1991" s="617">
        <f t="shared" ref="A1991:A2054" si="31">+A1990+1</f>
        <v>1987</v>
      </c>
      <c r="B1991" s="618" t="s">
        <v>269</v>
      </c>
      <c r="C1991" s="618" t="str">
        <f>"14718"</f>
        <v>14718</v>
      </c>
      <c r="D1991" s="618" t="s">
        <v>13</v>
      </c>
      <c r="E1991" s="618">
        <v>31</v>
      </c>
      <c r="F1991" s="619">
        <v>44966</v>
      </c>
      <c r="G1991" s="619">
        <v>54096</v>
      </c>
      <c r="H1991" s="618" t="s">
        <v>28</v>
      </c>
      <c r="I1991" s="618" t="s">
        <v>51</v>
      </c>
    </row>
    <row r="1992" spans="1:9">
      <c r="A1992" s="620">
        <f t="shared" si="31"/>
        <v>1988</v>
      </c>
      <c r="B1992" s="621" t="s">
        <v>282</v>
      </c>
      <c r="C1992" s="621" t="str">
        <f>"14719"</f>
        <v>14719</v>
      </c>
      <c r="D1992" s="621" t="s">
        <v>18</v>
      </c>
      <c r="E1992" s="621">
        <v>40</v>
      </c>
      <c r="F1992" s="622">
        <v>43714</v>
      </c>
      <c r="G1992" s="622">
        <v>45540</v>
      </c>
      <c r="H1992" s="621" t="s">
        <v>28</v>
      </c>
      <c r="I1992" s="621" t="s">
        <v>51</v>
      </c>
    </row>
    <row r="1993" spans="1:9">
      <c r="A1993" s="617">
        <f t="shared" si="31"/>
        <v>1989</v>
      </c>
      <c r="B1993" s="618" t="s">
        <v>282</v>
      </c>
      <c r="C1993" s="618" t="str">
        <f>"14720"</f>
        <v>14720</v>
      </c>
      <c r="D1993" s="618" t="s">
        <v>13</v>
      </c>
      <c r="E1993" s="618">
        <v>26</v>
      </c>
      <c r="F1993" s="619">
        <v>44966</v>
      </c>
      <c r="G1993" s="619">
        <v>54096</v>
      </c>
      <c r="H1993" s="618" t="s">
        <v>28</v>
      </c>
      <c r="I1993" s="618" t="s">
        <v>51</v>
      </c>
    </row>
    <row r="1994" spans="1:9">
      <c r="A1994" s="620">
        <f t="shared" si="31"/>
        <v>1990</v>
      </c>
      <c r="B1994" s="621" t="s">
        <v>282</v>
      </c>
      <c r="C1994" s="621" t="str">
        <f>"14721"</f>
        <v>14721</v>
      </c>
      <c r="D1994" s="621" t="s">
        <v>13</v>
      </c>
      <c r="E1994" s="621">
        <v>19</v>
      </c>
      <c r="F1994" s="622">
        <v>44966</v>
      </c>
      <c r="G1994" s="622">
        <v>54096</v>
      </c>
      <c r="H1994" s="621" t="s">
        <v>21</v>
      </c>
      <c r="I1994" s="621" t="s">
        <v>51</v>
      </c>
    </row>
    <row r="1995" spans="1:9">
      <c r="A1995" s="617">
        <f t="shared" si="31"/>
        <v>1991</v>
      </c>
      <c r="B1995" s="618" t="s">
        <v>282</v>
      </c>
      <c r="C1995" s="618" t="str">
        <f>"14722"</f>
        <v>14722</v>
      </c>
      <c r="D1995" s="618" t="s">
        <v>13</v>
      </c>
      <c r="E1995" s="618">
        <v>38</v>
      </c>
      <c r="F1995" s="619">
        <v>43711</v>
      </c>
      <c r="G1995" s="619">
        <v>45537</v>
      </c>
      <c r="H1995" s="618" t="s">
        <v>28</v>
      </c>
      <c r="I1995" s="618" t="s">
        <v>1710</v>
      </c>
    </row>
    <row r="1996" spans="1:9">
      <c r="A1996" s="620">
        <f t="shared" si="31"/>
        <v>1992</v>
      </c>
      <c r="B1996" s="621" t="s">
        <v>282</v>
      </c>
      <c r="C1996" s="621" t="str">
        <f>"14723"</f>
        <v>14723</v>
      </c>
      <c r="D1996" s="621" t="s">
        <v>18</v>
      </c>
      <c r="E1996" s="621">
        <v>14</v>
      </c>
      <c r="F1996" s="622">
        <v>43783</v>
      </c>
      <c r="G1996" s="622">
        <v>45609</v>
      </c>
      <c r="H1996" s="621" t="s">
        <v>28</v>
      </c>
      <c r="I1996" s="621" t="s">
        <v>51</v>
      </c>
    </row>
    <row r="1997" spans="1:9">
      <c r="A1997" s="617">
        <f t="shared" si="31"/>
        <v>1993</v>
      </c>
      <c r="B1997" s="618" t="s">
        <v>282</v>
      </c>
      <c r="C1997" s="618" t="str">
        <f>"14724"</f>
        <v>14724</v>
      </c>
      <c r="D1997" s="618" t="s">
        <v>18</v>
      </c>
      <c r="E1997" s="618">
        <v>36</v>
      </c>
      <c r="F1997" s="619">
        <v>43714</v>
      </c>
      <c r="G1997" s="619">
        <v>45540</v>
      </c>
      <c r="H1997" s="618" t="s">
        <v>28</v>
      </c>
      <c r="I1997" s="618" t="s">
        <v>51</v>
      </c>
    </row>
    <row r="1998" spans="1:9">
      <c r="A1998" s="620">
        <f t="shared" si="31"/>
        <v>1994</v>
      </c>
      <c r="B1998" s="621" t="s">
        <v>282</v>
      </c>
      <c r="C1998" s="621" t="str">
        <f>"14725"</f>
        <v>14725</v>
      </c>
      <c r="D1998" s="621" t="s">
        <v>13</v>
      </c>
      <c r="E1998" s="621">
        <v>25</v>
      </c>
      <c r="F1998" s="622">
        <v>44966</v>
      </c>
      <c r="G1998" s="622">
        <v>54096</v>
      </c>
      <c r="H1998" s="621" t="s">
        <v>28</v>
      </c>
      <c r="I1998" s="621" t="s">
        <v>51</v>
      </c>
    </row>
    <row r="1999" spans="1:9">
      <c r="A1999" s="617">
        <f t="shared" si="31"/>
        <v>1995</v>
      </c>
      <c r="B1999" s="618" t="s">
        <v>282</v>
      </c>
      <c r="C1999" s="618" t="str">
        <f>"14726"</f>
        <v>14726</v>
      </c>
      <c r="D1999" s="618" t="s">
        <v>13</v>
      </c>
      <c r="E1999" s="618">
        <v>38</v>
      </c>
      <c r="F1999" s="619">
        <v>44966</v>
      </c>
      <c r="G1999" s="619">
        <v>54096</v>
      </c>
      <c r="H1999" s="618" t="s">
        <v>28</v>
      </c>
      <c r="I1999" s="618" t="s">
        <v>51</v>
      </c>
    </row>
    <row r="2000" spans="1:9">
      <c r="A2000" s="620">
        <f t="shared" si="31"/>
        <v>1996</v>
      </c>
      <c r="B2000" s="621" t="s">
        <v>282</v>
      </c>
      <c r="C2000" s="621" t="str">
        <f>"14727"</f>
        <v>14727</v>
      </c>
      <c r="D2000" s="621" t="s">
        <v>18</v>
      </c>
      <c r="E2000" s="621">
        <v>81</v>
      </c>
      <c r="F2000" s="622">
        <v>43714</v>
      </c>
      <c r="G2000" s="622">
        <v>45540</v>
      </c>
      <c r="H2000" s="621" t="s">
        <v>28</v>
      </c>
      <c r="I2000" s="621" t="s">
        <v>51</v>
      </c>
    </row>
    <row r="2001" spans="1:9">
      <c r="A2001" s="617">
        <f t="shared" si="31"/>
        <v>1997</v>
      </c>
      <c r="B2001" s="618" t="s">
        <v>283</v>
      </c>
      <c r="C2001" s="618" t="str">
        <f>"14728"</f>
        <v>14728</v>
      </c>
      <c r="D2001" s="618" t="s">
        <v>18</v>
      </c>
      <c r="E2001" s="618">
        <v>4</v>
      </c>
      <c r="F2001" s="619">
        <v>44263</v>
      </c>
      <c r="G2001" s="619">
        <v>46088</v>
      </c>
      <c r="H2001" s="618" t="s">
        <v>14</v>
      </c>
      <c r="I2001" s="618" t="s">
        <v>51</v>
      </c>
    </row>
    <row r="2002" spans="1:9">
      <c r="A2002" s="620">
        <f t="shared" si="31"/>
        <v>1998</v>
      </c>
      <c r="B2002" s="621" t="s">
        <v>198</v>
      </c>
      <c r="C2002" s="621" t="str">
        <f>"14729"</f>
        <v>14729</v>
      </c>
      <c r="D2002" s="621" t="s">
        <v>18</v>
      </c>
      <c r="E2002" s="621">
        <v>23</v>
      </c>
      <c r="F2002" s="622">
        <v>43711</v>
      </c>
      <c r="G2002" s="622">
        <v>45537</v>
      </c>
      <c r="H2002" s="621" t="s">
        <v>28</v>
      </c>
      <c r="I2002" s="621" t="s">
        <v>51</v>
      </c>
    </row>
    <row r="2003" spans="1:9">
      <c r="A2003" s="617">
        <f t="shared" si="31"/>
        <v>1999</v>
      </c>
      <c r="B2003" s="618" t="s">
        <v>284</v>
      </c>
      <c r="C2003" s="618" t="str">
        <f>"14730"</f>
        <v>14730</v>
      </c>
      <c r="D2003" s="618" t="s">
        <v>18</v>
      </c>
      <c r="E2003" s="618">
        <v>12</v>
      </c>
      <c r="F2003" s="619">
        <v>43697</v>
      </c>
      <c r="G2003" s="619">
        <v>45523</v>
      </c>
      <c r="H2003" s="618" t="s">
        <v>45</v>
      </c>
      <c r="I2003" s="618" t="s">
        <v>51</v>
      </c>
    </row>
    <row r="2004" spans="1:9">
      <c r="A2004" s="620">
        <f t="shared" si="31"/>
        <v>2000</v>
      </c>
      <c r="B2004" s="621" t="s">
        <v>282</v>
      </c>
      <c r="C2004" s="621" t="str">
        <f>"14731"</f>
        <v>14731</v>
      </c>
      <c r="D2004" s="621" t="s">
        <v>18</v>
      </c>
      <c r="E2004" s="621">
        <v>310</v>
      </c>
      <c r="F2004" s="622">
        <v>43714</v>
      </c>
      <c r="G2004" s="622">
        <v>45540</v>
      </c>
      <c r="H2004" s="621" t="s">
        <v>56</v>
      </c>
      <c r="I2004" s="621" t="s">
        <v>51</v>
      </c>
    </row>
    <row r="2005" spans="1:9">
      <c r="A2005" s="617">
        <f t="shared" si="31"/>
        <v>2001</v>
      </c>
      <c r="B2005" s="618" t="s">
        <v>282</v>
      </c>
      <c r="C2005" s="618" t="str">
        <f>"14732"</f>
        <v>14732</v>
      </c>
      <c r="D2005" s="618" t="s">
        <v>13</v>
      </c>
      <c r="E2005" s="618">
        <v>27</v>
      </c>
      <c r="F2005" s="619">
        <v>44966</v>
      </c>
      <c r="G2005" s="619">
        <v>54096</v>
      </c>
      <c r="H2005" s="618" t="s">
        <v>56</v>
      </c>
      <c r="I2005" s="618" t="s">
        <v>51</v>
      </c>
    </row>
    <row r="2006" spans="1:9">
      <c r="A2006" s="620">
        <f t="shared" si="31"/>
        <v>2002</v>
      </c>
      <c r="B2006" s="621" t="s">
        <v>282</v>
      </c>
      <c r="C2006" s="621" t="str">
        <f>"14733"</f>
        <v>14733</v>
      </c>
      <c r="D2006" s="621" t="s">
        <v>18</v>
      </c>
      <c r="E2006" s="621">
        <v>282</v>
      </c>
      <c r="F2006" s="622">
        <v>43711</v>
      </c>
      <c r="G2006" s="622">
        <v>45537</v>
      </c>
      <c r="H2006" s="621" t="s">
        <v>56</v>
      </c>
      <c r="I2006" s="621" t="s">
        <v>51</v>
      </c>
    </row>
    <row r="2007" spans="1:9">
      <c r="A2007" s="617">
        <f t="shared" si="31"/>
        <v>2003</v>
      </c>
      <c r="B2007" s="618" t="s">
        <v>282</v>
      </c>
      <c r="C2007" s="618" t="str">
        <f>"14734"</f>
        <v>14734</v>
      </c>
      <c r="D2007" s="618" t="s">
        <v>18</v>
      </c>
      <c r="E2007" s="618">
        <v>18</v>
      </c>
      <c r="F2007" s="619">
        <v>43711</v>
      </c>
      <c r="G2007" s="619">
        <v>45537</v>
      </c>
      <c r="H2007" s="618" t="s">
        <v>56</v>
      </c>
      <c r="I2007" s="618" t="s">
        <v>51</v>
      </c>
    </row>
    <row r="2008" spans="1:9">
      <c r="A2008" s="620">
        <f t="shared" si="31"/>
        <v>2004</v>
      </c>
      <c r="B2008" s="621" t="s">
        <v>285</v>
      </c>
      <c r="C2008" s="621" t="str">
        <f>"14740"</f>
        <v>14740</v>
      </c>
      <c r="D2008" s="621" t="s">
        <v>18</v>
      </c>
      <c r="E2008" s="621">
        <v>5</v>
      </c>
      <c r="F2008" s="622">
        <v>43777</v>
      </c>
      <c r="G2008" s="622">
        <v>45603</v>
      </c>
      <c r="H2008" s="621" t="s">
        <v>16</v>
      </c>
      <c r="I2008" s="621" t="s">
        <v>51</v>
      </c>
    </row>
    <row r="2009" spans="1:9">
      <c r="A2009" s="617">
        <f t="shared" si="31"/>
        <v>2005</v>
      </c>
      <c r="B2009" s="618" t="s">
        <v>286</v>
      </c>
      <c r="C2009" s="618" t="str">
        <f>"14741"</f>
        <v>14741</v>
      </c>
      <c r="D2009" s="618" t="s">
        <v>18</v>
      </c>
      <c r="E2009" s="618">
        <v>45</v>
      </c>
      <c r="F2009" s="619">
        <v>43829</v>
      </c>
      <c r="G2009" s="619">
        <v>45655</v>
      </c>
      <c r="H2009" s="618" t="s">
        <v>21</v>
      </c>
      <c r="I2009" s="618" t="s">
        <v>51</v>
      </c>
    </row>
    <row r="2010" spans="1:9">
      <c r="A2010" s="620">
        <f t="shared" si="31"/>
        <v>2006</v>
      </c>
      <c r="B2010" s="621" t="s">
        <v>287</v>
      </c>
      <c r="C2010" s="621" t="str">
        <f>"14742"</f>
        <v>14742</v>
      </c>
      <c r="D2010" s="621" t="s">
        <v>18</v>
      </c>
      <c r="E2010" s="621">
        <v>124</v>
      </c>
      <c r="F2010" s="622">
        <v>43916</v>
      </c>
      <c r="G2010" s="622">
        <v>45741</v>
      </c>
      <c r="H2010" s="621" t="s">
        <v>16</v>
      </c>
      <c r="I2010" s="621" t="s">
        <v>51</v>
      </c>
    </row>
    <row r="2011" spans="1:9">
      <c r="A2011" s="617">
        <f t="shared" si="31"/>
        <v>2007</v>
      </c>
      <c r="B2011" s="618" t="s">
        <v>287</v>
      </c>
      <c r="C2011" s="618" t="str">
        <f>"14743"</f>
        <v>14743</v>
      </c>
      <c r="D2011" s="618" t="s">
        <v>18</v>
      </c>
      <c r="E2011" s="618">
        <v>74</v>
      </c>
      <c r="F2011" s="619">
        <v>44411</v>
      </c>
      <c r="G2011" s="619">
        <v>46236</v>
      </c>
      <c r="H2011" s="618" t="s">
        <v>16</v>
      </c>
      <c r="I2011" s="618" t="s">
        <v>51</v>
      </c>
    </row>
    <row r="2012" spans="1:9">
      <c r="A2012" s="620">
        <f t="shared" si="31"/>
        <v>2008</v>
      </c>
      <c r="B2012" s="621" t="s">
        <v>287</v>
      </c>
      <c r="C2012" s="621" t="str">
        <f>"14744"</f>
        <v>14744</v>
      </c>
      <c r="D2012" s="621" t="s">
        <v>18</v>
      </c>
      <c r="E2012" s="621">
        <v>63</v>
      </c>
      <c r="F2012" s="622">
        <v>44411</v>
      </c>
      <c r="G2012" s="622">
        <v>46236</v>
      </c>
      <c r="H2012" s="621" t="s">
        <v>16</v>
      </c>
      <c r="I2012" s="621" t="s">
        <v>51</v>
      </c>
    </row>
    <row r="2013" spans="1:9">
      <c r="A2013" s="617">
        <f t="shared" si="31"/>
        <v>2009</v>
      </c>
      <c r="B2013" s="618" t="s">
        <v>25</v>
      </c>
      <c r="C2013" s="618" t="str">
        <f>"14748"</f>
        <v>14748</v>
      </c>
      <c r="D2013" s="618" t="s">
        <v>18</v>
      </c>
      <c r="E2013" s="618">
        <v>125</v>
      </c>
      <c r="F2013" s="619">
        <v>43951</v>
      </c>
      <c r="G2013" s="619">
        <v>45776</v>
      </c>
      <c r="H2013" s="618" t="s">
        <v>45</v>
      </c>
      <c r="I2013" s="618" t="s">
        <v>6871</v>
      </c>
    </row>
    <row r="2014" spans="1:9">
      <c r="A2014" s="620">
        <f t="shared" si="31"/>
        <v>2010</v>
      </c>
      <c r="B2014" s="621" t="s">
        <v>288</v>
      </c>
      <c r="C2014" s="621" t="str">
        <f>"14752"</f>
        <v>14752</v>
      </c>
      <c r="D2014" s="621" t="s">
        <v>18</v>
      </c>
      <c r="E2014" s="621">
        <v>5</v>
      </c>
      <c r="F2014" s="622">
        <v>43752</v>
      </c>
      <c r="G2014" s="622">
        <v>45578</v>
      </c>
      <c r="H2014" s="621" t="s">
        <v>14</v>
      </c>
      <c r="I2014" s="621" t="s">
        <v>51</v>
      </c>
    </row>
    <row r="2015" spans="1:9">
      <c r="A2015" s="617">
        <f t="shared" si="31"/>
        <v>2011</v>
      </c>
      <c r="B2015" s="618" t="s">
        <v>1803</v>
      </c>
      <c r="C2015" s="618" t="str">
        <f>"14763"</f>
        <v>14763</v>
      </c>
      <c r="D2015" s="618" t="s">
        <v>18</v>
      </c>
      <c r="E2015" s="618">
        <v>20</v>
      </c>
      <c r="F2015" s="619">
        <v>43784</v>
      </c>
      <c r="G2015" s="619">
        <v>45610</v>
      </c>
      <c r="H2015" s="618" t="s">
        <v>21</v>
      </c>
      <c r="I2015" s="618" t="s">
        <v>385</v>
      </c>
    </row>
    <row r="2016" spans="1:9">
      <c r="A2016" s="620">
        <f t="shared" si="31"/>
        <v>2012</v>
      </c>
      <c r="B2016" s="621" t="s">
        <v>1803</v>
      </c>
      <c r="C2016" s="621" t="str">
        <f>"14764"</f>
        <v>14764</v>
      </c>
      <c r="D2016" s="621" t="s">
        <v>18</v>
      </c>
      <c r="E2016" s="621">
        <v>30</v>
      </c>
      <c r="F2016" s="622">
        <v>43784</v>
      </c>
      <c r="G2016" s="622">
        <v>45610</v>
      </c>
      <c r="H2016" s="621" t="s">
        <v>21</v>
      </c>
      <c r="I2016" s="621" t="s">
        <v>385</v>
      </c>
    </row>
    <row r="2017" spans="1:9">
      <c r="A2017" s="617">
        <f t="shared" si="31"/>
        <v>2013</v>
      </c>
      <c r="B2017" s="618" t="s">
        <v>1803</v>
      </c>
      <c r="C2017" s="618" t="str">
        <f>"14765"</f>
        <v>14765</v>
      </c>
      <c r="D2017" s="618" t="s">
        <v>18</v>
      </c>
      <c r="E2017" s="618">
        <v>10</v>
      </c>
      <c r="F2017" s="619">
        <v>43784</v>
      </c>
      <c r="G2017" s="619">
        <v>45610</v>
      </c>
      <c r="H2017" s="618" t="s">
        <v>21</v>
      </c>
      <c r="I2017" s="618" t="s">
        <v>385</v>
      </c>
    </row>
    <row r="2018" spans="1:9">
      <c r="A2018" s="620">
        <f t="shared" si="31"/>
        <v>2014</v>
      </c>
      <c r="B2018" s="621" t="s">
        <v>200</v>
      </c>
      <c r="C2018" s="621" t="str">
        <f>"14767"</f>
        <v>14767</v>
      </c>
      <c r="D2018" s="621" t="s">
        <v>18</v>
      </c>
      <c r="E2018" s="621">
        <v>8</v>
      </c>
      <c r="F2018" s="622">
        <v>44249</v>
      </c>
      <c r="G2018" s="622">
        <v>46074</v>
      </c>
      <c r="H2018" s="621" t="s">
        <v>19</v>
      </c>
      <c r="I2018" s="621" t="s">
        <v>51</v>
      </c>
    </row>
    <row r="2019" spans="1:9">
      <c r="A2019" s="617">
        <f t="shared" si="31"/>
        <v>2015</v>
      </c>
      <c r="B2019" s="618" t="s">
        <v>201</v>
      </c>
      <c r="C2019" s="618" t="str">
        <f>"14768"</f>
        <v>14768</v>
      </c>
      <c r="D2019" s="618" t="s">
        <v>27</v>
      </c>
      <c r="E2019" s="618">
        <v>32</v>
      </c>
      <c r="F2019" s="619">
        <v>44523</v>
      </c>
      <c r="G2019" s="619">
        <v>46348</v>
      </c>
      <c r="H2019" s="618" t="s">
        <v>45</v>
      </c>
      <c r="I2019" s="618" t="s">
        <v>51</v>
      </c>
    </row>
    <row r="2020" spans="1:9">
      <c r="A2020" s="620">
        <f t="shared" si="31"/>
        <v>2016</v>
      </c>
      <c r="B2020" s="621" t="s">
        <v>289</v>
      </c>
      <c r="C2020" s="621" t="str">
        <f>"14772"</f>
        <v>14772</v>
      </c>
      <c r="D2020" s="621" t="s">
        <v>18</v>
      </c>
      <c r="E2020" s="621">
        <v>64</v>
      </c>
      <c r="F2020" s="622">
        <v>44414</v>
      </c>
      <c r="G2020" s="622">
        <v>46239</v>
      </c>
      <c r="H2020" s="621" t="s">
        <v>14</v>
      </c>
      <c r="I2020" s="621" t="s">
        <v>51</v>
      </c>
    </row>
    <row r="2021" spans="1:9">
      <c r="A2021" s="617">
        <f t="shared" si="31"/>
        <v>2017</v>
      </c>
      <c r="B2021" s="618" t="s">
        <v>238</v>
      </c>
      <c r="C2021" s="618" t="str">
        <f>"14773"</f>
        <v>14773</v>
      </c>
      <c r="D2021" s="618" t="s">
        <v>18</v>
      </c>
      <c r="E2021" s="618">
        <v>8</v>
      </c>
      <c r="F2021" s="619">
        <v>43752</v>
      </c>
      <c r="G2021" s="619">
        <v>45578</v>
      </c>
      <c r="H2021" s="618" t="s">
        <v>45</v>
      </c>
      <c r="I2021" s="618" t="s">
        <v>51</v>
      </c>
    </row>
    <row r="2022" spans="1:9">
      <c r="A2022" s="620">
        <f t="shared" si="31"/>
        <v>2018</v>
      </c>
      <c r="B2022" s="621" t="s">
        <v>290</v>
      </c>
      <c r="C2022" s="621" t="str">
        <f>"14776"</f>
        <v>14776</v>
      </c>
      <c r="D2022" s="621" t="s">
        <v>18</v>
      </c>
      <c r="E2022" s="621">
        <v>23</v>
      </c>
      <c r="F2022" s="622">
        <v>43752</v>
      </c>
      <c r="G2022" s="622">
        <v>45578</v>
      </c>
      <c r="H2022" s="621" t="s">
        <v>14</v>
      </c>
      <c r="I2022" s="621" t="s">
        <v>1690</v>
      </c>
    </row>
    <row r="2023" spans="1:9">
      <c r="A2023" s="617">
        <f t="shared" si="31"/>
        <v>2019</v>
      </c>
      <c r="B2023" s="618" t="s">
        <v>291</v>
      </c>
      <c r="C2023" s="618" t="str">
        <f>"14777"</f>
        <v>14777</v>
      </c>
      <c r="D2023" s="618" t="s">
        <v>18</v>
      </c>
      <c r="E2023" s="618">
        <v>6</v>
      </c>
      <c r="F2023" s="619">
        <v>43810</v>
      </c>
      <c r="G2023" s="619">
        <v>45636</v>
      </c>
      <c r="H2023" s="618" t="s">
        <v>14</v>
      </c>
      <c r="I2023" s="618" t="s">
        <v>51</v>
      </c>
    </row>
    <row r="2024" spans="1:9">
      <c r="A2024" s="620">
        <f t="shared" si="31"/>
        <v>2020</v>
      </c>
      <c r="B2024" s="621" t="s">
        <v>291</v>
      </c>
      <c r="C2024" s="621" t="str">
        <f>"14778"</f>
        <v>14778</v>
      </c>
      <c r="D2024" s="621" t="s">
        <v>18</v>
      </c>
      <c r="E2024" s="621">
        <v>6</v>
      </c>
      <c r="F2024" s="622">
        <v>43810</v>
      </c>
      <c r="G2024" s="622">
        <v>45636</v>
      </c>
      <c r="H2024" s="621" t="s">
        <v>16</v>
      </c>
      <c r="I2024" s="621" t="s">
        <v>51</v>
      </c>
    </row>
    <row r="2025" spans="1:9">
      <c r="A2025" s="617">
        <f t="shared" si="31"/>
        <v>2021</v>
      </c>
      <c r="B2025" s="618" t="s">
        <v>291</v>
      </c>
      <c r="C2025" s="618" t="str">
        <f>"14780"</f>
        <v>14780</v>
      </c>
      <c r="D2025" s="618" t="s">
        <v>18</v>
      </c>
      <c r="E2025" s="618">
        <v>6</v>
      </c>
      <c r="F2025" s="619">
        <v>43810</v>
      </c>
      <c r="G2025" s="619">
        <v>45636</v>
      </c>
      <c r="H2025" s="618" t="s">
        <v>29</v>
      </c>
      <c r="I2025" s="618" t="s">
        <v>51</v>
      </c>
    </row>
    <row r="2026" spans="1:9">
      <c r="A2026" s="620">
        <f t="shared" si="31"/>
        <v>2022</v>
      </c>
      <c r="B2026" s="621" t="s">
        <v>291</v>
      </c>
      <c r="C2026" s="621" t="str">
        <f>"14781"</f>
        <v>14781</v>
      </c>
      <c r="D2026" s="621" t="s">
        <v>18</v>
      </c>
      <c r="E2026" s="621">
        <v>6</v>
      </c>
      <c r="F2026" s="622">
        <v>43810</v>
      </c>
      <c r="G2026" s="622">
        <v>45636</v>
      </c>
      <c r="H2026" s="621" t="s">
        <v>47</v>
      </c>
      <c r="I2026" s="621" t="s">
        <v>51</v>
      </c>
    </row>
    <row r="2027" spans="1:9">
      <c r="A2027" s="617">
        <f t="shared" si="31"/>
        <v>2023</v>
      </c>
      <c r="B2027" s="618" t="s">
        <v>291</v>
      </c>
      <c r="C2027" s="618" t="str">
        <f>"14782"</f>
        <v>14782</v>
      </c>
      <c r="D2027" s="618" t="s">
        <v>18</v>
      </c>
      <c r="E2027" s="618">
        <v>6</v>
      </c>
      <c r="F2027" s="619">
        <v>43810</v>
      </c>
      <c r="G2027" s="619">
        <v>45636</v>
      </c>
      <c r="H2027" s="618" t="s">
        <v>23</v>
      </c>
      <c r="I2027" s="618" t="s">
        <v>51</v>
      </c>
    </row>
    <row r="2028" spans="1:9">
      <c r="A2028" s="620">
        <f t="shared" si="31"/>
        <v>2024</v>
      </c>
      <c r="B2028" s="621" t="s">
        <v>291</v>
      </c>
      <c r="C2028" s="621" t="str">
        <f>"14783"</f>
        <v>14783</v>
      </c>
      <c r="D2028" s="621" t="s">
        <v>18</v>
      </c>
      <c r="E2028" s="621">
        <v>3</v>
      </c>
      <c r="F2028" s="622">
        <v>43810</v>
      </c>
      <c r="G2028" s="622">
        <v>45636</v>
      </c>
      <c r="H2028" s="621" t="s">
        <v>66</v>
      </c>
      <c r="I2028" s="621" t="s">
        <v>51</v>
      </c>
    </row>
    <row r="2029" spans="1:9">
      <c r="A2029" s="617">
        <f t="shared" si="31"/>
        <v>2025</v>
      </c>
      <c r="B2029" s="618" t="s">
        <v>292</v>
      </c>
      <c r="C2029" s="618" t="str">
        <f>"14784"</f>
        <v>14784</v>
      </c>
      <c r="D2029" s="618" t="s">
        <v>27</v>
      </c>
      <c r="E2029" s="618">
        <v>17</v>
      </c>
      <c r="F2029" s="619">
        <v>43829</v>
      </c>
      <c r="G2029" s="619">
        <v>45655</v>
      </c>
      <c r="H2029" s="618" t="s">
        <v>14</v>
      </c>
      <c r="I2029" s="618" t="s">
        <v>51</v>
      </c>
    </row>
    <row r="2030" spans="1:9">
      <c r="A2030" s="620">
        <f t="shared" si="31"/>
        <v>2026</v>
      </c>
      <c r="B2030" s="621" t="s">
        <v>1009</v>
      </c>
      <c r="C2030" s="621" t="str">
        <f>"14785"</f>
        <v>14785</v>
      </c>
      <c r="D2030" s="621" t="s">
        <v>18</v>
      </c>
      <c r="E2030" s="621">
        <v>30</v>
      </c>
      <c r="F2030" s="622">
        <v>43839</v>
      </c>
      <c r="G2030" s="622">
        <v>45665</v>
      </c>
      <c r="H2030" s="621" t="s">
        <v>43</v>
      </c>
      <c r="I2030" s="621" t="s">
        <v>6862</v>
      </c>
    </row>
    <row r="2031" spans="1:9">
      <c r="A2031" s="617">
        <f t="shared" si="31"/>
        <v>2027</v>
      </c>
      <c r="B2031" s="618" t="s">
        <v>214</v>
      </c>
      <c r="C2031" s="618" t="str">
        <f>"14786"</f>
        <v>14786</v>
      </c>
      <c r="D2031" s="618" t="s">
        <v>18</v>
      </c>
      <c r="E2031" s="618">
        <v>2</v>
      </c>
      <c r="F2031" s="619">
        <v>44221</v>
      </c>
      <c r="G2031" s="619">
        <v>46046</v>
      </c>
      <c r="H2031" s="618" t="s">
        <v>19</v>
      </c>
      <c r="I2031" s="618" t="s">
        <v>51</v>
      </c>
    </row>
    <row r="2032" spans="1:9">
      <c r="A2032" s="620">
        <f t="shared" si="31"/>
        <v>2028</v>
      </c>
      <c r="B2032" s="621" t="s">
        <v>256</v>
      </c>
      <c r="C2032" s="621" t="str">
        <f>"14790"</f>
        <v>14790</v>
      </c>
      <c r="D2032" s="621" t="s">
        <v>18</v>
      </c>
      <c r="E2032" s="621">
        <v>9</v>
      </c>
      <c r="F2032" s="622">
        <v>44228</v>
      </c>
      <c r="G2032" s="622">
        <v>46053</v>
      </c>
      <c r="H2032" s="621" t="s">
        <v>14</v>
      </c>
      <c r="I2032" s="621" t="s">
        <v>385</v>
      </c>
    </row>
    <row r="2033" spans="1:9">
      <c r="A2033" s="617">
        <f t="shared" si="31"/>
        <v>2029</v>
      </c>
      <c r="B2033" s="618" t="s">
        <v>246</v>
      </c>
      <c r="C2033" s="618" t="str">
        <f>"14795"</f>
        <v>14795</v>
      </c>
      <c r="D2033" s="618" t="s">
        <v>18</v>
      </c>
      <c r="E2033" s="618">
        <v>9</v>
      </c>
      <c r="F2033" s="619">
        <v>44243</v>
      </c>
      <c r="G2033" s="619">
        <v>46068</v>
      </c>
      <c r="H2033" s="618" t="s">
        <v>16</v>
      </c>
      <c r="I2033" s="618" t="s">
        <v>6862</v>
      </c>
    </row>
    <row r="2034" spans="1:9">
      <c r="A2034" s="620">
        <f t="shared" si="31"/>
        <v>2030</v>
      </c>
      <c r="B2034" s="621" t="s">
        <v>253</v>
      </c>
      <c r="C2034" s="621" t="str">
        <f>"14796"</f>
        <v>14796</v>
      </c>
      <c r="D2034" s="621" t="s">
        <v>18</v>
      </c>
      <c r="E2034" s="621">
        <v>10</v>
      </c>
      <c r="F2034" s="622">
        <v>43922</v>
      </c>
      <c r="G2034" s="622">
        <v>45747</v>
      </c>
      <c r="H2034" s="621" t="s">
        <v>293</v>
      </c>
      <c r="I2034" s="621" t="s">
        <v>51</v>
      </c>
    </row>
    <row r="2035" spans="1:9">
      <c r="A2035" s="617">
        <f t="shared" si="31"/>
        <v>2031</v>
      </c>
      <c r="B2035" s="618" t="s">
        <v>294</v>
      </c>
      <c r="C2035" s="618" t="str">
        <f>"14797"</f>
        <v>14797</v>
      </c>
      <c r="D2035" s="618" t="s">
        <v>18</v>
      </c>
      <c r="E2035" s="618">
        <v>1</v>
      </c>
      <c r="F2035" s="619">
        <v>44272</v>
      </c>
      <c r="G2035" s="619">
        <v>46097</v>
      </c>
      <c r="H2035" s="618" t="s">
        <v>16</v>
      </c>
      <c r="I2035" s="618" t="s">
        <v>51</v>
      </c>
    </row>
    <row r="2036" spans="1:9">
      <c r="A2036" s="620">
        <f t="shared" si="31"/>
        <v>2032</v>
      </c>
      <c r="B2036" s="621" t="s">
        <v>1041</v>
      </c>
      <c r="C2036" s="621" t="str">
        <f>"14804"</f>
        <v>14804</v>
      </c>
      <c r="D2036" s="621" t="s">
        <v>18</v>
      </c>
      <c r="E2036" s="621">
        <v>4</v>
      </c>
      <c r="F2036" s="622">
        <v>43900</v>
      </c>
      <c r="G2036" s="622">
        <v>45725</v>
      </c>
      <c r="H2036" s="621" t="s">
        <v>19</v>
      </c>
      <c r="I2036" s="621" t="s">
        <v>51</v>
      </c>
    </row>
    <row r="2037" spans="1:9">
      <c r="A2037" s="617">
        <f t="shared" si="31"/>
        <v>2033</v>
      </c>
      <c r="B2037" s="618" t="s">
        <v>295</v>
      </c>
      <c r="C2037" s="618" t="str">
        <f>"14808"</f>
        <v>14808</v>
      </c>
      <c r="D2037" s="618" t="s">
        <v>18</v>
      </c>
      <c r="E2037" s="618">
        <v>5</v>
      </c>
      <c r="F2037" s="619">
        <v>43922</v>
      </c>
      <c r="G2037" s="619">
        <v>45747</v>
      </c>
      <c r="H2037" s="618" t="s">
        <v>41</v>
      </c>
      <c r="I2037" s="618" t="s">
        <v>51</v>
      </c>
    </row>
    <row r="2038" spans="1:9">
      <c r="A2038" s="620">
        <f t="shared" si="31"/>
        <v>2034</v>
      </c>
      <c r="B2038" s="621" t="s">
        <v>161</v>
      </c>
      <c r="C2038" s="621" t="str">
        <f>"14813"</f>
        <v>14813</v>
      </c>
      <c r="D2038" s="621" t="s">
        <v>13</v>
      </c>
      <c r="E2038" s="621">
        <v>44</v>
      </c>
      <c r="F2038" s="622">
        <v>45099</v>
      </c>
      <c r="G2038" s="622">
        <v>54230</v>
      </c>
      <c r="H2038" s="621" t="s">
        <v>45</v>
      </c>
      <c r="I2038" s="621" t="s">
        <v>1710</v>
      </c>
    </row>
    <row r="2039" spans="1:9">
      <c r="A2039" s="617">
        <f t="shared" si="31"/>
        <v>2035</v>
      </c>
      <c r="B2039" s="618" t="s">
        <v>296</v>
      </c>
      <c r="C2039" s="618" t="str">
        <f>"14814"</f>
        <v>14814</v>
      </c>
      <c r="D2039" s="618" t="s">
        <v>18</v>
      </c>
      <c r="E2039" s="618">
        <v>13</v>
      </c>
      <c r="F2039" s="619">
        <v>44158</v>
      </c>
      <c r="G2039" s="619">
        <v>45983</v>
      </c>
      <c r="H2039" s="618" t="s">
        <v>14</v>
      </c>
      <c r="I2039" s="618" t="s">
        <v>51</v>
      </c>
    </row>
    <row r="2040" spans="1:9">
      <c r="A2040" s="620">
        <f t="shared" si="31"/>
        <v>2036</v>
      </c>
      <c r="B2040" s="621" t="s">
        <v>297</v>
      </c>
      <c r="C2040" s="621" t="str">
        <f>"14815"</f>
        <v>14815</v>
      </c>
      <c r="D2040" s="621" t="s">
        <v>18</v>
      </c>
      <c r="E2040" s="621">
        <v>20</v>
      </c>
      <c r="F2040" s="622">
        <v>44047</v>
      </c>
      <c r="G2040" s="622">
        <v>45872</v>
      </c>
      <c r="H2040" s="621" t="s">
        <v>28</v>
      </c>
      <c r="I2040" s="621" t="s">
        <v>51</v>
      </c>
    </row>
    <row r="2041" spans="1:9">
      <c r="A2041" s="617">
        <f t="shared" si="31"/>
        <v>2037</v>
      </c>
      <c r="B2041" s="618" t="s">
        <v>123</v>
      </c>
      <c r="C2041" s="618" t="str">
        <f>"14820"</f>
        <v>14820</v>
      </c>
      <c r="D2041" s="618" t="s">
        <v>18</v>
      </c>
      <c r="E2041" s="618">
        <v>4</v>
      </c>
      <c r="F2041" s="619">
        <v>44271</v>
      </c>
      <c r="G2041" s="619">
        <v>46096</v>
      </c>
      <c r="H2041" s="618" t="s">
        <v>14</v>
      </c>
      <c r="I2041" s="618" t="s">
        <v>51</v>
      </c>
    </row>
    <row r="2042" spans="1:9">
      <c r="A2042" s="620">
        <f t="shared" si="31"/>
        <v>2038</v>
      </c>
      <c r="B2042" s="621" t="s">
        <v>123</v>
      </c>
      <c r="C2042" s="621" t="str">
        <f>"14821"</f>
        <v>14821</v>
      </c>
      <c r="D2042" s="621" t="s">
        <v>18</v>
      </c>
      <c r="E2042" s="621">
        <v>2</v>
      </c>
      <c r="F2042" s="622">
        <v>44271</v>
      </c>
      <c r="G2042" s="622">
        <v>46096</v>
      </c>
      <c r="H2042" s="621" t="s">
        <v>14</v>
      </c>
      <c r="I2042" s="621" t="s">
        <v>51</v>
      </c>
    </row>
    <row r="2043" spans="1:9">
      <c r="A2043" s="617">
        <f t="shared" si="31"/>
        <v>2039</v>
      </c>
      <c r="B2043" s="618" t="s">
        <v>36</v>
      </c>
      <c r="C2043" s="618" t="str">
        <f>"14822"</f>
        <v>14822</v>
      </c>
      <c r="D2043" s="618" t="s">
        <v>13</v>
      </c>
      <c r="E2043" s="618">
        <v>180</v>
      </c>
      <c r="F2043" s="619">
        <v>43868</v>
      </c>
      <c r="G2043" s="619">
        <v>51325</v>
      </c>
      <c r="H2043" s="618" t="s">
        <v>14</v>
      </c>
      <c r="I2043" s="618" t="s">
        <v>51</v>
      </c>
    </row>
    <row r="2044" spans="1:9">
      <c r="A2044" s="620">
        <f t="shared" si="31"/>
        <v>2040</v>
      </c>
      <c r="B2044" s="621" t="s">
        <v>5685</v>
      </c>
      <c r="C2044" s="621" t="str">
        <f>"14823"</f>
        <v>14823</v>
      </c>
      <c r="D2044" s="621" t="s">
        <v>13</v>
      </c>
      <c r="E2044" s="621">
        <v>184</v>
      </c>
      <c r="F2044" s="622">
        <v>43868</v>
      </c>
      <c r="G2044" s="622">
        <v>51325</v>
      </c>
      <c r="H2044" s="621" t="s">
        <v>14</v>
      </c>
      <c r="I2044" s="621" t="s">
        <v>51</v>
      </c>
    </row>
    <row r="2045" spans="1:9">
      <c r="A2045" s="617">
        <f t="shared" si="31"/>
        <v>2041</v>
      </c>
      <c r="B2045" s="618" t="s">
        <v>298</v>
      </c>
      <c r="C2045" s="618" t="str">
        <f>"14832"</f>
        <v>14832</v>
      </c>
      <c r="D2045" s="618" t="s">
        <v>18</v>
      </c>
      <c r="E2045" s="618">
        <v>10</v>
      </c>
      <c r="F2045" s="619">
        <v>44215</v>
      </c>
      <c r="G2045" s="619">
        <v>46040</v>
      </c>
      <c r="H2045" s="618" t="s">
        <v>14</v>
      </c>
      <c r="I2045" s="618" t="s">
        <v>51</v>
      </c>
    </row>
    <row r="2046" spans="1:9">
      <c r="A2046" s="620">
        <f t="shared" si="31"/>
        <v>2042</v>
      </c>
      <c r="B2046" s="621" t="s">
        <v>277</v>
      </c>
      <c r="C2046" s="621" t="str">
        <f>"14834"</f>
        <v>14834</v>
      </c>
      <c r="D2046" s="621" t="s">
        <v>18</v>
      </c>
      <c r="E2046" s="621">
        <v>1</v>
      </c>
      <c r="F2046" s="622">
        <v>44104</v>
      </c>
      <c r="G2046" s="622">
        <v>45929</v>
      </c>
      <c r="H2046" s="621" t="s">
        <v>45</v>
      </c>
      <c r="I2046" s="621" t="s">
        <v>51</v>
      </c>
    </row>
    <row r="2047" spans="1:9">
      <c r="A2047" s="617">
        <f t="shared" si="31"/>
        <v>2043</v>
      </c>
      <c r="B2047" s="618" t="s">
        <v>299</v>
      </c>
      <c r="C2047" s="618" t="str">
        <f>"14838"</f>
        <v>14838</v>
      </c>
      <c r="D2047" s="618" t="s">
        <v>18</v>
      </c>
      <c r="E2047" s="618">
        <v>7</v>
      </c>
      <c r="F2047" s="619">
        <v>44711</v>
      </c>
      <c r="G2047" s="619">
        <v>46536</v>
      </c>
      <c r="H2047" s="618" t="s">
        <v>14</v>
      </c>
      <c r="I2047" s="618" t="s">
        <v>51</v>
      </c>
    </row>
    <row r="2048" spans="1:9">
      <c r="A2048" s="620">
        <f t="shared" si="31"/>
        <v>2044</v>
      </c>
      <c r="B2048" s="621" t="s">
        <v>236</v>
      </c>
      <c r="C2048" s="621" t="str">
        <f>"14841"</f>
        <v>14841</v>
      </c>
      <c r="D2048" s="621" t="s">
        <v>18</v>
      </c>
      <c r="E2048" s="621">
        <v>7</v>
      </c>
      <c r="F2048" s="622">
        <v>44077</v>
      </c>
      <c r="G2048" s="622">
        <v>45902</v>
      </c>
      <c r="H2048" s="621" t="s">
        <v>16</v>
      </c>
      <c r="I2048" s="621" t="s">
        <v>51</v>
      </c>
    </row>
    <row r="2049" spans="1:9">
      <c r="A2049" s="617">
        <f t="shared" si="31"/>
        <v>2045</v>
      </c>
      <c r="B2049" s="618" t="s">
        <v>236</v>
      </c>
      <c r="C2049" s="618" t="str">
        <f>"14842"</f>
        <v>14842</v>
      </c>
      <c r="D2049" s="618" t="s">
        <v>18</v>
      </c>
      <c r="E2049" s="618">
        <v>6</v>
      </c>
      <c r="F2049" s="619">
        <v>44077</v>
      </c>
      <c r="G2049" s="619">
        <v>45902</v>
      </c>
      <c r="H2049" s="618" t="s">
        <v>16</v>
      </c>
      <c r="I2049" s="618" t="s">
        <v>51</v>
      </c>
    </row>
    <row r="2050" spans="1:9">
      <c r="A2050" s="620">
        <f t="shared" si="31"/>
        <v>2046</v>
      </c>
      <c r="B2050" s="621" t="s">
        <v>236</v>
      </c>
      <c r="C2050" s="621" t="str">
        <f>"14843"</f>
        <v>14843</v>
      </c>
      <c r="D2050" s="621" t="s">
        <v>18</v>
      </c>
      <c r="E2050" s="621">
        <v>10</v>
      </c>
      <c r="F2050" s="622">
        <v>44077</v>
      </c>
      <c r="G2050" s="622">
        <v>45902</v>
      </c>
      <c r="H2050" s="621" t="s">
        <v>16</v>
      </c>
      <c r="I2050" s="621" t="s">
        <v>51</v>
      </c>
    </row>
    <row r="2051" spans="1:9">
      <c r="A2051" s="617">
        <f t="shared" si="31"/>
        <v>2047</v>
      </c>
      <c r="B2051" s="618" t="s">
        <v>236</v>
      </c>
      <c r="C2051" s="618" t="str">
        <f>"14844"</f>
        <v>14844</v>
      </c>
      <c r="D2051" s="618" t="s">
        <v>18</v>
      </c>
      <c r="E2051" s="618">
        <v>8</v>
      </c>
      <c r="F2051" s="619">
        <v>44077</v>
      </c>
      <c r="G2051" s="619">
        <v>45902</v>
      </c>
      <c r="H2051" s="618" t="s">
        <v>16</v>
      </c>
      <c r="I2051" s="618" t="s">
        <v>51</v>
      </c>
    </row>
    <row r="2052" spans="1:9">
      <c r="A2052" s="620">
        <f t="shared" si="31"/>
        <v>2048</v>
      </c>
      <c r="B2052" s="621" t="s">
        <v>236</v>
      </c>
      <c r="C2052" s="621" t="str">
        <f>"14845"</f>
        <v>14845</v>
      </c>
      <c r="D2052" s="621" t="s">
        <v>18</v>
      </c>
      <c r="E2052" s="621">
        <v>12</v>
      </c>
      <c r="F2052" s="622">
        <v>44077</v>
      </c>
      <c r="G2052" s="622">
        <v>45902</v>
      </c>
      <c r="H2052" s="621" t="s">
        <v>16</v>
      </c>
      <c r="I2052" s="621" t="s">
        <v>51</v>
      </c>
    </row>
    <row r="2053" spans="1:9">
      <c r="A2053" s="617">
        <f t="shared" si="31"/>
        <v>2049</v>
      </c>
      <c r="B2053" s="618" t="s">
        <v>236</v>
      </c>
      <c r="C2053" s="618" t="str">
        <f>"14846"</f>
        <v>14846</v>
      </c>
      <c r="D2053" s="618" t="s">
        <v>18</v>
      </c>
      <c r="E2053" s="618">
        <v>20</v>
      </c>
      <c r="F2053" s="619">
        <v>44077</v>
      </c>
      <c r="G2053" s="619">
        <v>45902</v>
      </c>
      <c r="H2053" s="618" t="s">
        <v>28</v>
      </c>
      <c r="I2053" s="618" t="s">
        <v>51</v>
      </c>
    </row>
    <row r="2054" spans="1:9">
      <c r="A2054" s="620">
        <f t="shared" si="31"/>
        <v>2050</v>
      </c>
      <c r="B2054" s="621" t="s">
        <v>236</v>
      </c>
      <c r="C2054" s="621" t="str">
        <f>"14847"</f>
        <v>14847</v>
      </c>
      <c r="D2054" s="621" t="s">
        <v>18</v>
      </c>
      <c r="E2054" s="621">
        <v>21</v>
      </c>
      <c r="F2054" s="622">
        <v>44077</v>
      </c>
      <c r="G2054" s="622">
        <v>45902</v>
      </c>
      <c r="H2054" s="621" t="s">
        <v>28</v>
      </c>
      <c r="I2054" s="621" t="s">
        <v>51</v>
      </c>
    </row>
    <row r="2055" spans="1:9">
      <c r="A2055" s="617">
        <f t="shared" ref="A2055:A2118" si="32">+A2054+1</f>
        <v>2051</v>
      </c>
      <c r="B2055" s="618" t="s">
        <v>300</v>
      </c>
      <c r="C2055" s="618" t="str">
        <f>"14849"</f>
        <v>14849</v>
      </c>
      <c r="D2055" s="618" t="s">
        <v>18</v>
      </c>
      <c r="E2055" s="618">
        <v>2</v>
      </c>
      <c r="F2055" s="619">
        <v>44232</v>
      </c>
      <c r="G2055" s="619">
        <v>46057</v>
      </c>
      <c r="H2055" s="618" t="s">
        <v>56</v>
      </c>
      <c r="I2055" s="618" t="s">
        <v>51</v>
      </c>
    </row>
    <row r="2056" spans="1:9">
      <c r="A2056" s="620">
        <f t="shared" si="32"/>
        <v>2052</v>
      </c>
      <c r="B2056" s="621" t="s">
        <v>300</v>
      </c>
      <c r="C2056" s="621" t="str">
        <f>"14850"</f>
        <v>14850</v>
      </c>
      <c r="D2056" s="621" t="s">
        <v>18</v>
      </c>
      <c r="E2056" s="621">
        <v>8</v>
      </c>
      <c r="F2056" s="622">
        <v>44232</v>
      </c>
      <c r="G2056" s="622">
        <v>46057</v>
      </c>
      <c r="H2056" s="621" t="s">
        <v>56</v>
      </c>
      <c r="I2056" s="621" t="s">
        <v>51</v>
      </c>
    </row>
    <row r="2057" spans="1:9">
      <c r="A2057" s="617">
        <f t="shared" si="32"/>
        <v>2053</v>
      </c>
      <c r="B2057" s="618" t="s">
        <v>300</v>
      </c>
      <c r="C2057" s="618" t="str">
        <f>"14853"</f>
        <v>14853</v>
      </c>
      <c r="D2057" s="618" t="s">
        <v>18</v>
      </c>
      <c r="E2057" s="618">
        <v>6</v>
      </c>
      <c r="F2057" s="619">
        <v>44232</v>
      </c>
      <c r="G2057" s="619">
        <v>46057</v>
      </c>
      <c r="H2057" s="618" t="s">
        <v>29</v>
      </c>
      <c r="I2057" s="618" t="s">
        <v>51</v>
      </c>
    </row>
    <row r="2058" spans="1:9">
      <c r="A2058" s="620">
        <f t="shared" si="32"/>
        <v>2054</v>
      </c>
      <c r="B2058" s="621" t="s">
        <v>300</v>
      </c>
      <c r="C2058" s="621" t="str">
        <f>"14854"</f>
        <v>14854</v>
      </c>
      <c r="D2058" s="621" t="s">
        <v>18</v>
      </c>
      <c r="E2058" s="621">
        <v>9</v>
      </c>
      <c r="F2058" s="622">
        <v>44232</v>
      </c>
      <c r="G2058" s="622">
        <v>46057</v>
      </c>
      <c r="H2058" s="621" t="s">
        <v>29</v>
      </c>
      <c r="I2058" s="621" t="s">
        <v>51</v>
      </c>
    </row>
    <row r="2059" spans="1:9">
      <c r="A2059" s="617">
        <f t="shared" si="32"/>
        <v>2055</v>
      </c>
      <c r="B2059" s="618" t="s">
        <v>301</v>
      </c>
      <c r="C2059" s="618" t="str">
        <f>"14855"</f>
        <v>14855</v>
      </c>
      <c r="D2059" s="618" t="s">
        <v>18</v>
      </c>
      <c r="E2059" s="618">
        <v>83</v>
      </c>
      <c r="F2059" s="619">
        <v>44553</v>
      </c>
      <c r="G2059" s="619">
        <v>46378</v>
      </c>
      <c r="H2059" s="618" t="s">
        <v>56</v>
      </c>
      <c r="I2059" s="618" t="s">
        <v>51</v>
      </c>
    </row>
    <row r="2060" spans="1:9">
      <c r="A2060" s="620">
        <f t="shared" si="32"/>
        <v>2056</v>
      </c>
      <c r="B2060" s="621" t="s">
        <v>302</v>
      </c>
      <c r="C2060" s="621" t="str">
        <f>"14856"</f>
        <v>14856</v>
      </c>
      <c r="D2060" s="621" t="s">
        <v>18</v>
      </c>
      <c r="E2060" s="621">
        <v>10</v>
      </c>
      <c r="F2060" s="622">
        <v>44104</v>
      </c>
      <c r="G2060" s="622">
        <v>45929</v>
      </c>
      <c r="H2060" s="621" t="s">
        <v>16</v>
      </c>
      <c r="I2060" s="621" t="s">
        <v>51</v>
      </c>
    </row>
    <row r="2061" spans="1:9">
      <c r="A2061" s="617">
        <f t="shared" si="32"/>
        <v>2057</v>
      </c>
      <c r="B2061" s="618" t="s">
        <v>289</v>
      </c>
      <c r="C2061" s="618" t="str">
        <f>"14858"</f>
        <v>14858</v>
      </c>
      <c r="D2061" s="618" t="s">
        <v>18</v>
      </c>
      <c r="E2061" s="618">
        <v>16</v>
      </c>
      <c r="F2061" s="619">
        <v>44349</v>
      </c>
      <c r="G2061" s="619">
        <v>46174</v>
      </c>
      <c r="H2061" s="618" t="s">
        <v>43</v>
      </c>
      <c r="I2061" s="618" t="s">
        <v>51</v>
      </c>
    </row>
    <row r="2062" spans="1:9">
      <c r="A2062" s="620">
        <f t="shared" si="32"/>
        <v>2058</v>
      </c>
      <c r="B2062" s="621" t="s">
        <v>303</v>
      </c>
      <c r="C2062" s="621" t="str">
        <f>"14860"</f>
        <v>14860</v>
      </c>
      <c r="D2062" s="621" t="s">
        <v>18</v>
      </c>
      <c r="E2062" s="621">
        <v>2</v>
      </c>
      <c r="F2062" s="622">
        <v>44250</v>
      </c>
      <c r="G2062" s="622">
        <v>46075</v>
      </c>
      <c r="H2062" s="621" t="s">
        <v>233</v>
      </c>
      <c r="I2062" s="621" t="s">
        <v>51</v>
      </c>
    </row>
    <row r="2063" spans="1:9">
      <c r="A2063" s="617">
        <f t="shared" si="32"/>
        <v>2059</v>
      </c>
      <c r="B2063" s="618" t="s">
        <v>304</v>
      </c>
      <c r="C2063" s="618" t="str">
        <f>"14863"</f>
        <v>14863</v>
      </c>
      <c r="D2063" s="618" t="s">
        <v>18</v>
      </c>
      <c r="E2063" s="618">
        <v>41</v>
      </c>
      <c r="F2063" s="619">
        <v>44225</v>
      </c>
      <c r="G2063" s="619">
        <v>46050</v>
      </c>
      <c r="H2063" s="618" t="s">
        <v>56</v>
      </c>
      <c r="I2063" s="618" t="s">
        <v>6867</v>
      </c>
    </row>
    <row r="2064" spans="1:9">
      <c r="A2064" s="620">
        <f t="shared" si="32"/>
        <v>2060</v>
      </c>
      <c r="B2064" s="621" t="s">
        <v>304</v>
      </c>
      <c r="C2064" s="621" t="str">
        <f>"14866"</f>
        <v>14866</v>
      </c>
      <c r="D2064" s="621" t="s">
        <v>18</v>
      </c>
      <c r="E2064" s="621">
        <v>19</v>
      </c>
      <c r="F2064" s="622">
        <v>44133</v>
      </c>
      <c r="G2064" s="622">
        <v>45958</v>
      </c>
      <c r="H2064" s="621" t="s">
        <v>56</v>
      </c>
      <c r="I2064" s="621" t="s">
        <v>51</v>
      </c>
    </row>
    <row r="2065" spans="1:9">
      <c r="A2065" s="617">
        <f t="shared" si="32"/>
        <v>2061</v>
      </c>
      <c r="B2065" s="618" t="s">
        <v>304</v>
      </c>
      <c r="C2065" s="618" t="str">
        <f>"14867"</f>
        <v>14867</v>
      </c>
      <c r="D2065" s="618" t="s">
        <v>18</v>
      </c>
      <c r="E2065" s="618">
        <v>126</v>
      </c>
      <c r="F2065" s="619">
        <v>44260</v>
      </c>
      <c r="G2065" s="619">
        <v>46085</v>
      </c>
      <c r="H2065" s="618" t="s">
        <v>56</v>
      </c>
      <c r="I2065" s="618" t="s">
        <v>51</v>
      </c>
    </row>
    <row r="2066" spans="1:9">
      <c r="A2066" s="620">
        <f t="shared" si="32"/>
        <v>2062</v>
      </c>
      <c r="B2066" s="621" t="s">
        <v>304</v>
      </c>
      <c r="C2066" s="621" t="str">
        <f>"14868"</f>
        <v>14868</v>
      </c>
      <c r="D2066" s="621" t="s">
        <v>18</v>
      </c>
      <c r="E2066" s="621">
        <v>75</v>
      </c>
      <c r="F2066" s="622">
        <v>44133</v>
      </c>
      <c r="G2066" s="622">
        <v>45958</v>
      </c>
      <c r="H2066" s="621" t="s">
        <v>41</v>
      </c>
      <c r="I2066" s="621" t="s">
        <v>6868</v>
      </c>
    </row>
    <row r="2067" spans="1:9">
      <c r="A2067" s="617">
        <f t="shared" si="32"/>
        <v>2063</v>
      </c>
      <c r="B2067" s="618" t="s">
        <v>304</v>
      </c>
      <c r="C2067" s="618" t="str">
        <f>"14869"</f>
        <v>14869</v>
      </c>
      <c r="D2067" s="618" t="s">
        <v>18</v>
      </c>
      <c r="E2067" s="618">
        <v>192</v>
      </c>
      <c r="F2067" s="619">
        <v>44431</v>
      </c>
      <c r="G2067" s="619">
        <v>46256</v>
      </c>
      <c r="H2067" s="618" t="s">
        <v>56</v>
      </c>
      <c r="I2067" s="618" t="s">
        <v>51</v>
      </c>
    </row>
    <row r="2068" spans="1:9">
      <c r="A2068" s="620">
        <f t="shared" si="32"/>
        <v>2064</v>
      </c>
      <c r="B2068" s="621" t="s">
        <v>304</v>
      </c>
      <c r="C2068" s="621" t="str">
        <f>"14870"</f>
        <v>14870</v>
      </c>
      <c r="D2068" s="621" t="s">
        <v>18</v>
      </c>
      <c r="E2068" s="621">
        <v>160</v>
      </c>
      <c r="F2068" s="622">
        <v>44133</v>
      </c>
      <c r="G2068" s="622">
        <v>45958</v>
      </c>
      <c r="H2068" s="621" t="s">
        <v>56</v>
      </c>
      <c r="I2068" s="621" t="s">
        <v>6867</v>
      </c>
    </row>
    <row r="2069" spans="1:9">
      <c r="A2069" s="617">
        <f t="shared" si="32"/>
        <v>2065</v>
      </c>
      <c r="B2069" s="618" t="s">
        <v>304</v>
      </c>
      <c r="C2069" s="618" t="str">
        <f>"14871"</f>
        <v>14871</v>
      </c>
      <c r="D2069" s="618" t="s">
        <v>18</v>
      </c>
      <c r="E2069" s="618">
        <v>248</v>
      </c>
      <c r="F2069" s="619">
        <v>44133</v>
      </c>
      <c r="G2069" s="619">
        <v>45958</v>
      </c>
      <c r="H2069" s="618" t="s">
        <v>56</v>
      </c>
      <c r="I2069" s="618" t="s">
        <v>6867</v>
      </c>
    </row>
    <row r="2070" spans="1:9">
      <c r="A2070" s="620">
        <f t="shared" si="32"/>
        <v>2066</v>
      </c>
      <c r="B2070" s="621" t="s">
        <v>304</v>
      </c>
      <c r="C2070" s="621" t="str">
        <f>"14872"</f>
        <v>14872</v>
      </c>
      <c r="D2070" s="621" t="s">
        <v>18</v>
      </c>
      <c r="E2070" s="621">
        <v>92</v>
      </c>
      <c r="F2070" s="622">
        <v>44133</v>
      </c>
      <c r="G2070" s="622">
        <v>45958</v>
      </c>
      <c r="H2070" s="621" t="s">
        <v>56</v>
      </c>
      <c r="I2070" s="621" t="s">
        <v>6867</v>
      </c>
    </row>
    <row r="2071" spans="1:9">
      <c r="A2071" s="617">
        <f t="shared" si="32"/>
        <v>2067</v>
      </c>
      <c r="B2071" s="618" t="s">
        <v>304</v>
      </c>
      <c r="C2071" s="618" t="str">
        <f>"14873"</f>
        <v>14873</v>
      </c>
      <c r="D2071" s="618" t="s">
        <v>18</v>
      </c>
      <c r="E2071" s="618">
        <v>16</v>
      </c>
      <c r="F2071" s="619">
        <v>44133</v>
      </c>
      <c r="G2071" s="619">
        <v>45958</v>
      </c>
      <c r="H2071" s="618" t="s">
        <v>41</v>
      </c>
      <c r="I2071" s="618" t="s">
        <v>6867</v>
      </c>
    </row>
    <row r="2072" spans="1:9">
      <c r="A2072" s="620">
        <f t="shared" si="32"/>
        <v>2068</v>
      </c>
      <c r="B2072" s="621" t="s">
        <v>304</v>
      </c>
      <c r="C2072" s="621" t="str">
        <f>"14874"</f>
        <v>14874</v>
      </c>
      <c r="D2072" s="621" t="s">
        <v>18</v>
      </c>
      <c r="E2072" s="621">
        <v>32</v>
      </c>
      <c r="F2072" s="622">
        <v>44133</v>
      </c>
      <c r="G2072" s="622">
        <v>45958</v>
      </c>
      <c r="H2072" s="621" t="s">
        <v>56</v>
      </c>
      <c r="I2072" s="621" t="s">
        <v>51</v>
      </c>
    </row>
    <row r="2073" spans="1:9">
      <c r="A2073" s="617">
        <f t="shared" si="32"/>
        <v>2069</v>
      </c>
      <c r="B2073" s="618" t="s">
        <v>304</v>
      </c>
      <c r="C2073" s="618" t="str">
        <f>"14875"</f>
        <v>14875</v>
      </c>
      <c r="D2073" s="618" t="s">
        <v>18</v>
      </c>
      <c r="E2073" s="618">
        <v>82</v>
      </c>
      <c r="F2073" s="619">
        <v>44260</v>
      </c>
      <c r="G2073" s="619">
        <v>46085</v>
      </c>
      <c r="H2073" s="618" t="s">
        <v>56</v>
      </c>
      <c r="I2073" s="618" t="s">
        <v>6867</v>
      </c>
    </row>
    <row r="2074" spans="1:9">
      <c r="A2074" s="620">
        <f t="shared" si="32"/>
        <v>2070</v>
      </c>
      <c r="B2074" s="621" t="s">
        <v>304</v>
      </c>
      <c r="C2074" s="621" t="str">
        <f>"14876"</f>
        <v>14876</v>
      </c>
      <c r="D2074" s="621" t="s">
        <v>18</v>
      </c>
      <c r="E2074" s="621">
        <v>197</v>
      </c>
      <c r="F2074" s="622">
        <v>44260</v>
      </c>
      <c r="G2074" s="622">
        <v>46085</v>
      </c>
      <c r="H2074" s="621" t="s">
        <v>56</v>
      </c>
      <c r="I2074" s="621" t="s">
        <v>6867</v>
      </c>
    </row>
    <row r="2075" spans="1:9">
      <c r="A2075" s="617">
        <f t="shared" si="32"/>
        <v>2071</v>
      </c>
      <c r="B2075" s="618" t="s">
        <v>304</v>
      </c>
      <c r="C2075" s="618" t="str">
        <f>"14877"</f>
        <v>14877</v>
      </c>
      <c r="D2075" s="618" t="s">
        <v>18</v>
      </c>
      <c r="E2075" s="618">
        <v>181</v>
      </c>
      <c r="F2075" s="619">
        <v>44133</v>
      </c>
      <c r="G2075" s="619">
        <v>45958</v>
      </c>
      <c r="H2075" s="618" t="s">
        <v>56</v>
      </c>
      <c r="I2075" s="618" t="s">
        <v>6867</v>
      </c>
    </row>
    <row r="2076" spans="1:9">
      <c r="A2076" s="620">
        <f t="shared" si="32"/>
        <v>2072</v>
      </c>
      <c r="B2076" s="621" t="s">
        <v>282</v>
      </c>
      <c r="C2076" s="621" t="str">
        <f>"14879"</f>
        <v>14879</v>
      </c>
      <c r="D2076" s="621" t="s">
        <v>18</v>
      </c>
      <c r="E2076" s="621">
        <v>20</v>
      </c>
      <c r="F2076" s="622">
        <v>45198</v>
      </c>
      <c r="G2076" s="622">
        <v>47024</v>
      </c>
      <c r="H2076" s="621" t="s">
        <v>56</v>
      </c>
      <c r="I2076" s="621" t="s">
        <v>6879</v>
      </c>
    </row>
    <row r="2077" spans="1:9">
      <c r="A2077" s="617">
        <f t="shared" si="32"/>
        <v>2073</v>
      </c>
      <c r="B2077" s="618" t="s">
        <v>282</v>
      </c>
      <c r="C2077" s="618" t="str">
        <f>"14880"</f>
        <v>14880</v>
      </c>
      <c r="D2077" s="618" t="s">
        <v>18</v>
      </c>
      <c r="E2077" s="618">
        <v>55</v>
      </c>
      <c r="F2077" s="619">
        <v>44189</v>
      </c>
      <c r="G2077" s="619">
        <v>46014</v>
      </c>
      <c r="H2077" s="618" t="s">
        <v>28</v>
      </c>
      <c r="I2077" s="618" t="s">
        <v>51</v>
      </c>
    </row>
    <row r="2078" spans="1:9">
      <c r="A2078" s="620">
        <f t="shared" si="32"/>
        <v>2074</v>
      </c>
      <c r="B2078" s="621" t="s">
        <v>282</v>
      </c>
      <c r="C2078" s="621" t="str">
        <f>"14881"</f>
        <v>14881</v>
      </c>
      <c r="D2078" s="621" t="s">
        <v>18</v>
      </c>
      <c r="E2078" s="621">
        <v>51</v>
      </c>
      <c r="F2078" s="622">
        <v>44189</v>
      </c>
      <c r="G2078" s="622">
        <v>46014</v>
      </c>
      <c r="H2078" s="621" t="s">
        <v>28</v>
      </c>
      <c r="I2078" s="621" t="s">
        <v>51</v>
      </c>
    </row>
    <row r="2079" spans="1:9">
      <c r="A2079" s="617">
        <f t="shared" si="32"/>
        <v>2075</v>
      </c>
      <c r="B2079" s="618" t="s">
        <v>282</v>
      </c>
      <c r="C2079" s="618" t="str">
        <f>"14883"</f>
        <v>14883</v>
      </c>
      <c r="D2079" s="618" t="s">
        <v>18</v>
      </c>
      <c r="E2079" s="618">
        <v>24</v>
      </c>
      <c r="F2079" s="619">
        <v>44189</v>
      </c>
      <c r="G2079" s="619">
        <v>46014</v>
      </c>
      <c r="H2079" s="618" t="s">
        <v>28</v>
      </c>
      <c r="I2079" s="618" t="s">
        <v>51</v>
      </c>
    </row>
    <row r="2080" spans="1:9">
      <c r="A2080" s="620">
        <f t="shared" si="32"/>
        <v>2076</v>
      </c>
      <c r="B2080" s="621" t="s">
        <v>286</v>
      </c>
      <c r="C2080" s="621" t="str">
        <f>"14884"</f>
        <v>14884</v>
      </c>
      <c r="D2080" s="621" t="s">
        <v>18</v>
      </c>
      <c r="E2080" s="621">
        <v>65</v>
      </c>
      <c r="F2080" s="622">
        <v>44245</v>
      </c>
      <c r="G2080" s="622">
        <v>46070</v>
      </c>
      <c r="H2080" s="621" t="s">
        <v>19</v>
      </c>
      <c r="I2080" s="621" t="s">
        <v>51</v>
      </c>
    </row>
    <row r="2081" spans="1:9">
      <c r="A2081" s="617">
        <f t="shared" si="32"/>
        <v>2077</v>
      </c>
      <c r="B2081" s="618" t="s">
        <v>286</v>
      </c>
      <c r="C2081" s="618" t="str">
        <f>"14885"</f>
        <v>14885</v>
      </c>
      <c r="D2081" s="618" t="s">
        <v>18</v>
      </c>
      <c r="E2081" s="618">
        <v>22</v>
      </c>
      <c r="F2081" s="619">
        <v>44245</v>
      </c>
      <c r="G2081" s="619">
        <v>46070</v>
      </c>
      <c r="H2081" s="618" t="s">
        <v>19</v>
      </c>
      <c r="I2081" s="618" t="s">
        <v>51</v>
      </c>
    </row>
    <row r="2082" spans="1:9">
      <c r="A2082" s="620">
        <f t="shared" si="32"/>
        <v>2078</v>
      </c>
      <c r="B2082" s="621" t="s">
        <v>286</v>
      </c>
      <c r="C2082" s="621" t="str">
        <f>"14886"</f>
        <v>14886</v>
      </c>
      <c r="D2082" s="621" t="s">
        <v>18</v>
      </c>
      <c r="E2082" s="621">
        <v>60</v>
      </c>
      <c r="F2082" s="622">
        <v>44267</v>
      </c>
      <c r="G2082" s="622">
        <v>46092</v>
      </c>
      <c r="H2082" s="621" t="s">
        <v>19</v>
      </c>
      <c r="I2082" s="621" t="s">
        <v>51</v>
      </c>
    </row>
    <row r="2083" spans="1:9">
      <c r="A2083" s="617">
        <f t="shared" si="32"/>
        <v>2079</v>
      </c>
      <c r="B2083" s="618" t="s">
        <v>88</v>
      </c>
      <c r="C2083" s="618" t="str">
        <f>"14891"</f>
        <v>14891</v>
      </c>
      <c r="D2083" s="618" t="s">
        <v>18</v>
      </c>
      <c r="E2083" s="618">
        <v>2</v>
      </c>
      <c r="F2083" s="619">
        <v>44182</v>
      </c>
      <c r="G2083" s="619">
        <v>46007</v>
      </c>
      <c r="H2083" s="618" t="s">
        <v>16</v>
      </c>
      <c r="I2083" s="618" t="s">
        <v>6868</v>
      </c>
    </row>
    <row r="2084" spans="1:9">
      <c r="A2084" s="620">
        <f t="shared" si="32"/>
        <v>2080</v>
      </c>
      <c r="B2084" s="621" t="s">
        <v>88</v>
      </c>
      <c r="C2084" s="621" t="str">
        <f>"14892"</f>
        <v>14892</v>
      </c>
      <c r="D2084" s="621" t="s">
        <v>18</v>
      </c>
      <c r="E2084" s="621">
        <v>2</v>
      </c>
      <c r="F2084" s="622">
        <v>44182</v>
      </c>
      <c r="G2084" s="622">
        <v>46007</v>
      </c>
      <c r="H2084" s="621" t="s">
        <v>16</v>
      </c>
      <c r="I2084" s="621" t="s">
        <v>6868</v>
      </c>
    </row>
    <row r="2085" spans="1:9">
      <c r="A2085" s="617">
        <f t="shared" si="32"/>
        <v>2081</v>
      </c>
      <c r="B2085" s="618" t="s">
        <v>282</v>
      </c>
      <c r="C2085" s="618" t="str">
        <f>"14893"</f>
        <v>14893</v>
      </c>
      <c r="D2085" s="618" t="s">
        <v>18</v>
      </c>
      <c r="E2085" s="618">
        <v>85</v>
      </c>
      <c r="F2085" s="619">
        <v>44189</v>
      </c>
      <c r="G2085" s="619">
        <v>46014</v>
      </c>
      <c r="H2085" s="618" t="s">
        <v>21</v>
      </c>
      <c r="I2085" s="618" t="s">
        <v>51</v>
      </c>
    </row>
    <row r="2086" spans="1:9">
      <c r="A2086" s="620">
        <f t="shared" si="32"/>
        <v>2082</v>
      </c>
      <c r="B2086" s="621" t="s">
        <v>304</v>
      </c>
      <c r="C2086" s="621" t="str">
        <f>"14897"</f>
        <v>14897</v>
      </c>
      <c r="D2086" s="621" t="s">
        <v>18</v>
      </c>
      <c r="E2086" s="621">
        <v>11</v>
      </c>
      <c r="F2086" s="622">
        <v>44260</v>
      </c>
      <c r="G2086" s="622">
        <v>46085</v>
      </c>
      <c r="H2086" s="621" t="s">
        <v>56</v>
      </c>
      <c r="I2086" s="621" t="s">
        <v>51</v>
      </c>
    </row>
    <row r="2087" spans="1:9">
      <c r="A2087" s="617">
        <f t="shared" si="32"/>
        <v>2083</v>
      </c>
      <c r="B2087" s="618" t="s">
        <v>304</v>
      </c>
      <c r="C2087" s="618" t="str">
        <f>"14898"</f>
        <v>14898</v>
      </c>
      <c r="D2087" s="618" t="s">
        <v>18</v>
      </c>
      <c r="E2087" s="618">
        <v>43</v>
      </c>
      <c r="F2087" s="619">
        <v>44260</v>
      </c>
      <c r="G2087" s="619">
        <v>46085</v>
      </c>
      <c r="H2087" s="618" t="s">
        <v>56</v>
      </c>
      <c r="I2087" s="618" t="s">
        <v>51</v>
      </c>
    </row>
    <row r="2088" spans="1:9">
      <c r="A2088" s="620">
        <f t="shared" si="32"/>
        <v>2084</v>
      </c>
      <c r="B2088" s="621" t="s">
        <v>71</v>
      </c>
      <c r="C2088" s="621" t="str">
        <f>"14899"</f>
        <v>14899</v>
      </c>
      <c r="D2088" s="621" t="s">
        <v>18</v>
      </c>
      <c r="E2088" s="621">
        <v>31</v>
      </c>
      <c r="F2088" s="622">
        <v>44225</v>
      </c>
      <c r="G2088" s="622">
        <v>46050</v>
      </c>
      <c r="H2088" s="621" t="s">
        <v>16</v>
      </c>
      <c r="I2088" s="621" t="s">
        <v>51</v>
      </c>
    </row>
    <row r="2089" spans="1:9">
      <c r="A2089" s="617">
        <f t="shared" si="32"/>
        <v>2085</v>
      </c>
      <c r="B2089" s="618" t="s">
        <v>71</v>
      </c>
      <c r="C2089" s="618" t="str">
        <f>"14900"</f>
        <v>14900</v>
      </c>
      <c r="D2089" s="618" t="s">
        <v>18</v>
      </c>
      <c r="E2089" s="618">
        <v>22</v>
      </c>
      <c r="F2089" s="619">
        <v>44236</v>
      </c>
      <c r="G2089" s="619">
        <v>46061</v>
      </c>
      <c r="H2089" s="618" t="s">
        <v>16</v>
      </c>
      <c r="I2089" s="618" t="s">
        <v>51</v>
      </c>
    </row>
    <row r="2090" spans="1:9">
      <c r="A2090" s="620">
        <f t="shared" si="32"/>
        <v>2086</v>
      </c>
      <c r="B2090" s="621" t="s">
        <v>305</v>
      </c>
      <c r="C2090" s="621" t="str">
        <f>"14906"</f>
        <v>14906</v>
      </c>
      <c r="D2090" s="621" t="s">
        <v>18</v>
      </c>
      <c r="E2090" s="621">
        <v>12</v>
      </c>
      <c r="F2090" s="622">
        <v>44217</v>
      </c>
      <c r="G2090" s="622">
        <v>46042</v>
      </c>
      <c r="H2090" s="621" t="s">
        <v>16</v>
      </c>
      <c r="I2090" s="621" t="s">
        <v>51</v>
      </c>
    </row>
    <row r="2091" spans="1:9">
      <c r="A2091" s="617">
        <f t="shared" si="32"/>
        <v>2087</v>
      </c>
      <c r="B2091" s="618" t="s">
        <v>306</v>
      </c>
      <c r="C2091" s="618" t="str">
        <f>"14907"</f>
        <v>14907</v>
      </c>
      <c r="D2091" s="618" t="s">
        <v>18</v>
      </c>
      <c r="E2091" s="618">
        <v>129</v>
      </c>
      <c r="F2091" s="619">
        <v>44274</v>
      </c>
      <c r="G2091" s="619">
        <v>46099</v>
      </c>
      <c r="H2091" s="618" t="s">
        <v>43</v>
      </c>
      <c r="I2091" s="618" t="s">
        <v>51</v>
      </c>
    </row>
    <row r="2092" spans="1:9">
      <c r="A2092" s="620">
        <f t="shared" si="32"/>
        <v>2088</v>
      </c>
      <c r="B2092" s="621" t="s">
        <v>201</v>
      </c>
      <c r="C2092" s="621" t="str">
        <f>"14916"</f>
        <v>14916</v>
      </c>
      <c r="D2092" s="621" t="s">
        <v>18</v>
      </c>
      <c r="E2092" s="621">
        <v>10</v>
      </c>
      <c r="F2092" s="622">
        <v>44300</v>
      </c>
      <c r="G2092" s="622">
        <v>46125</v>
      </c>
      <c r="H2092" s="621" t="s">
        <v>14</v>
      </c>
      <c r="I2092" s="621" t="s">
        <v>51</v>
      </c>
    </row>
    <row r="2093" spans="1:9">
      <c r="A2093" s="617">
        <f t="shared" si="32"/>
        <v>2089</v>
      </c>
      <c r="B2093" s="618" t="s">
        <v>307</v>
      </c>
      <c r="C2093" s="618" t="str">
        <f>"14919"</f>
        <v>14919</v>
      </c>
      <c r="D2093" s="618" t="s">
        <v>18</v>
      </c>
      <c r="E2093" s="618">
        <v>4</v>
      </c>
      <c r="F2093" s="619">
        <v>44326</v>
      </c>
      <c r="G2093" s="619">
        <v>46151</v>
      </c>
      <c r="H2093" s="618" t="s">
        <v>20</v>
      </c>
      <c r="I2093" s="618" t="s">
        <v>51</v>
      </c>
    </row>
    <row r="2094" spans="1:9">
      <c r="A2094" s="620">
        <f t="shared" si="32"/>
        <v>2090</v>
      </c>
      <c r="B2094" s="621" t="s">
        <v>304</v>
      </c>
      <c r="C2094" s="621" t="str">
        <f>"14920"</f>
        <v>14920</v>
      </c>
      <c r="D2094" s="621" t="s">
        <v>18</v>
      </c>
      <c r="E2094" s="621">
        <v>150</v>
      </c>
      <c r="F2094" s="622">
        <v>44431</v>
      </c>
      <c r="G2094" s="622">
        <v>46256</v>
      </c>
      <c r="H2094" s="621" t="s">
        <v>21</v>
      </c>
      <c r="I2094" s="621" t="s">
        <v>51</v>
      </c>
    </row>
    <row r="2095" spans="1:9">
      <c r="A2095" s="617">
        <f t="shared" si="32"/>
        <v>2091</v>
      </c>
      <c r="B2095" s="618" t="s">
        <v>304</v>
      </c>
      <c r="C2095" s="618" t="str">
        <f>"14921"</f>
        <v>14921</v>
      </c>
      <c r="D2095" s="618" t="s">
        <v>18</v>
      </c>
      <c r="E2095" s="618">
        <v>141</v>
      </c>
      <c r="F2095" s="619">
        <v>44431</v>
      </c>
      <c r="G2095" s="619">
        <v>46256</v>
      </c>
      <c r="H2095" s="618" t="s">
        <v>21</v>
      </c>
      <c r="I2095" s="618" t="s">
        <v>51</v>
      </c>
    </row>
    <row r="2096" spans="1:9">
      <c r="A2096" s="620">
        <f t="shared" si="32"/>
        <v>2092</v>
      </c>
      <c r="B2096" s="621" t="s">
        <v>277</v>
      </c>
      <c r="C2096" s="621" t="str">
        <f>"14922"</f>
        <v>14922</v>
      </c>
      <c r="D2096" s="621" t="s">
        <v>18</v>
      </c>
      <c r="E2096" s="621">
        <v>1</v>
      </c>
      <c r="F2096" s="622">
        <v>44329</v>
      </c>
      <c r="G2096" s="622">
        <v>46154</v>
      </c>
      <c r="H2096" s="621" t="s">
        <v>45</v>
      </c>
      <c r="I2096" s="621" t="s">
        <v>51</v>
      </c>
    </row>
    <row r="2097" spans="1:9">
      <c r="A2097" s="617">
        <f t="shared" si="32"/>
        <v>2093</v>
      </c>
      <c r="B2097" s="618" t="s">
        <v>308</v>
      </c>
      <c r="C2097" s="618" t="str">
        <f>"14923"</f>
        <v>14923</v>
      </c>
      <c r="D2097" s="618" t="s">
        <v>18</v>
      </c>
      <c r="E2097" s="618">
        <v>4</v>
      </c>
      <c r="F2097" s="619">
        <v>44253</v>
      </c>
      <c r="G2097" s="619">
        <v>46078</v>
      </c>
      <c r="H2097" s="618" t="s">
        <v>19</v>
      </c>
      <c r="I2097" s="618" t="s">
        <v>51</v>
      </c>
    </row>
    <row r="2098" spans="1:9">
      <c r="A2098" s="620">
        <f t="shared" si="32"/>
        <v>2094</v>
      </c>
      <c r="B2098" s="621" t="s">
        <v>309</v>
      </c>
      <c r="C2098" s="621" t="str">
        <f>"14924"</f>
        <v>14924</v>
      </c>
      <c r="D2098" s="621" t="s">
        <v>18</v>
      </c>
      <c r="E2098" s="621">
        <v>2</v>
      </c>
      <c r="F2098" s="622">
        <v>44251</v>
      </c>
      <c r="G2098" s="622">
        <v>46076</v>
      </c>
      <c r="H2098" s="621" t="s">
        <v>43</v>
      </c>
      <c r="I2098" s="621" t="s">
        <v>51</v>
      </c>
    </row>
    <row r="2099" spans="1:9">
      <c r="A2099" s="617">
        <f t="shared" si="32"/>
        <v>2095</v>
      </c>
      <c r="B2099" s="618" t="s">
        <v>309</v>
      </c>
      <c r="C2099" s="618" t="str">
        <f>"14925"</f>
        <v>14925</v>
      </c>
      <c r="D2099" s="618" t="s">
        <v>18</v>
      </c>
      <c r="E2099" s="618">
        <v>2</v>
      </c>
      <c r="F2099" s="619">
        <v>44663</v>
      </c>
      <c r="G2099" s="619">
        <v>46488</v>
      </c>
      <c r="H2099" s="618" t="s">
        <v>43</v>
      </c>
      <c r="I2099" s="618" t="s">
        <v>6862</v>
      </c>
    </row>
    <row r="2100" spans="1:9">
      <c r="A2100" s="620">
        <f t="shared" si="32"/>
        <v>2096</v>
      </c>
      <c r="B2100" s="621" t="s">
        <v>783</v>
      </c>
      <c r="C2100" s="621" t="str">
        <f>"14927"</f>
        <v>14927</v>
      </c>
      <c r="D2100" s="621" t="s">
        <v>18</v>
      </c>
      <c r="E2100" s="621">
        <v>1</v>
      </c>
      <c r="F2100" s="622">
        <v>44300</v>
      </c>
      <c r="G2100" s="622">
        <v>46125</v>
      </c>
      <c r="H2100" s="621" t="s">
        <v>14</v>
      </c>
      <c r="I2100" s="621" t="s">
        <v>51</v>
      </c>
    </row>
    <row r="2101" spans="1:9">
      <c r="A2101" s="617">
        <f t="shared" si="32"/>
        <v>2097</v>
      </c>
      <c r="B2101" s="618" t="s">
        <v>310</v>
      </c>
      <c r="C2101" s="618" t="str">
        <f>"14928"</f>
        <v>14928</v>
      </c>
      <c r="D2101" s="618" t="s">
        <v>18</v>
      </c>
      <c r="E2101" s="618">
        <v>10</v>
      </c>
      <c r="F2101" s="619">
        <v>44272</v>
      </c>
      <c r="G2101" s="619">
        <v>46097</v>
      </c>
      <c r="H2101" s="618" t="s">
        <v>21</v>
      </c>
      <c r="I2101" s="618" t="s">
        <v>51</v>
      </c>
    </row>
    <row r="2102" spans="1:9">
      <c r="A2102" s="620">
        <f t="shared" si="32"/>
        <v>2098</v>
      </c>
      <c r="B2102" s="621" t="s">
        <v>201</v>
      </c>
      <c r="C2102" s="621" t="str">
        <f>"14929"</f>
        <v>14929</v>
      </c>
      <c r="D2102" s="621" t="s">
        <v>18</v>
      </c>
      <c r="E2102" s="621">
        <v>4</v>
      </c>
      <c r="F2102" s="622">
        <v>44300</v>
      </c>
      <c r="G2102" s="622">
        <v>46125</v>
      </c>
      <c r="H2102" s="621" t="s">
        <v>14</v>
      </c>
      <c r="I2102" s="621" t="s">
        <v>51</v>
      </c>
    </row>
    <row r="2103" spans="1:9">
      <c r="A2103" s="617">
        <f t="shared" si="32"/>
        <v>2099</v>
      </c>
      <c r="B2103" s="618" t="s">
        <v>311</v>
      </c>
      <c r="C2103" s="618" t="str">
        <f>"14933"</f>
        <v>14933</v>
      </c>
      <c r="D2103" s="618" t="s">
        <v>18</v>
      </c>
      <c r="E2103" s="618">
        <v>2</v>
      </c>
      <c r="F2103" s="619">
        <v>44280</v>
      </c>
      <c r="G2103" s="619">
        <v>46105</v>
      </c>
      <c r="H2103" s="618" t="s">
        <v>14</v>
      </c>
      <c r="I2103" s="618" t="s">
        <v>51</v>
      </c>
    </row>
    <row r="2104" spans="1:9">
      <c r="A2104" s="620">
        <f t="shared" si="32"/>
        <v>2100</v>
      </c>
      <c r="B2104" s="621" t="s">
        <v>311</v>
      </c>
      <c r="C2104" s="621" t="str">
        <f>"14934"</f>
        <v>14934</v>
      </c>
      <c r="D2104" s="621" t="s">
        <v>18</v>
      </c>
      <c r="E2104" s="621">
        <v>4</v>
      </c>
      <c r="F2104" s="622">
        <v>44280</v>
      </c>
      <c r="G2104" s="622">
        <v>46105</v>
      </c>
      <c r="H2104" s="621" t="s">
        <v>14</v>
      </c>
      <c r="I2104" s="621" t="s">
        <v>51</v>
      </c>
    </row>
    <row r="2105" spans="1:9">
      <c r="A2105" s="617">
        <f t="shared" si="32"/>
        <v>2101</v>
      </c>
      <c r="B2105" s="618" t="s">
        <v>312</v>
      </c>
      <c r="C2105" s="618" t="str">
        <f>"14935"</f>
        <v>14935</v>
      </c>
      <c r="D2105" s="618" t="s">
        <v>18</v>
      </c>
      <c r="E2105" s="618">
        <v>5</v>
      </c>
      <c r="F2105" s="619">
        <v>44271</v>
      </c>
      <c r="G2105" s="619">
        <v>46096</v>
      </c>
      <c r="H2105" s="618" t="s">
        <v>14</v>
      </c>
      <c r="I2105" s="618" t="s">
        <v>51</v>
      </c>
    </row>
    <row r="2106" spans="1:9">
      <c r="A2106" s="620">
        <f t="shared" si="32"/>
        <v>2102</v>
      </c>
      <c r="B2106" s="621" t="s">
        <v>123</v>
      </c>
      <c r="C2106" s="621" t="str">
        <f>"14936"</f>
        <v>14936</v>
      </c>
      <c r="D2106" s="621" t="s">
        <v>18</v>
      </c>
      <c r="E2106" s="621">
        <v>4</v>
      </c>
      <c r="F2106" s="622">
        <v>44281</v>
      </c>
      <c r="G2106" s="622">
        <v>46106</v>
      </c>
      <c r="H2106" s="621" t="s">
        <v>16</v>
      </c>
      <c r="I2106" s="621" t="s">
        <v>51</v>
      </c>
    </row>
    <row r="2107" spans="1:9">
      <c r="A2107" s="617">
        <f t="shared" si="32"/>
        <v>2103</v>
      </c>
      <c r="B2107" s="618" t="s">
        <v>313</v>
      </c>
      <c r="C2107" s="618" t="str">
        <f>"14937"</f>
        <v>14937</v>
      </c>
      <c r="D2107" s="618" t="s">
        <v>18</v>
      </c>
      <c r="E2107" s="618">
        <v>20</v>
      </c>
      <c r="F2107" s="619">
        <v>44342</v>
      </c>
      <c r="G2107" s="619">
        <v>46167</v>
      </c>
      <c r="H2107" s="618" t="s">
        <v>56</v>
      </c>
      <c r="I2107" s="618" t="s">
        <v>51</v>
      </c>
    </row>
    <row r="2108" spans="1:9">
      <c r="A2108" s="620">
        <f t="shared" si="32"/>
        <v>2104</v>
      </c>
      <c r="B2108" s="621" t="s">
        <v>314</v>
      </c>
      <c r="C2108" s="621" t="str">
        <f>"14943"</f>
        <v>14943</v>
      </c>
      <c r="D2108" s="621" t="s">
        <v>18</v>
      </c>
      <c r="E2108" s="621">
        <v>8</v>
      </c>
      <c r="F2108" s="622">
        <v>44544</v>
      </c>
      <c r="G2108" s="622">
        <v>46369</v>
      </c>
      <c r="H2108" s="621" t="s">
        <v>56</v>
      </c>
      <c r="I2108" s="621" t="s">
        <v>51</v>
      </c>
    </row>
    <row r="2109" spans="1:9">
      <c r="A2109" s="617">
        <f t="shared" si="32"/>
        <v>2105</v>
      </c>
      <c r="B2109" s="618" t="s">
        <v>314</v>
      </c>
      <c r="C2109" s="618" t="str">
        <f>"14944"</f>
        <v>14944</v>
      </c>
      <c r="D2109" s="618" t="s">
        <v>18</v>
      </c>
      <c r="E2109" s="618">
        <v>5</v>
      </c>
      <c r="F2109" s="619">
        <v>44643</v>
      </c>
      <c r="G2109" s="619">
        <v>46468</v>
      </c>
      <c r="H2109" s="618" t="s">
        <v>16</v>
      </c>
      <c r="I2109" s="618" t="s">
        <v>51</v>
      </c>
    </row>
    <row r="2110" spans="1:9">
      <c r="A2110" s="620">
        <f t="shared" si="32"/>
        <v>2106</v>
      </c>
      <c r="B2110" s="621" t="s">
        <v>314</v>
      </c>
      <c r="C2110" s="621" t="str">
        <f>"14945"</f>
        <v>14945</v>
      </c>
      <c r="D2110" s="621" t="s">
        <v>18</v>
      </c>
      <c r="E2110" s="621">
        <v>5</v>
      </c>
      <c r="F2110" s="622">
        <v>44265</v>
      </c>
      <c r="G2110" s="622">
        <v>46090</v>
      </c>
      <c r="H2110" s="621" t="s">
        <v>14</v>
      </c>
      <c r="I2110" s="621" t="s">
        <v>51</v>
      </c>
    </row>
    <row r="2111" spans="1:9">
      <c r="A2111" s="617">
        <f t="shared" si="32"/>
        <v>2107</v>
      </c>
      <c r="B2111" s="618" t="s">
        <v>314</v>
      </c>
      <c r="C2111" s="618" t="str">
        <f>"14946"</f>
        <v>14946</v>
      </c>
      <c r="D2111" s="618" t="s">
        <v>18</v>
      </c>
      <c r="E2111" s="618">
        <v>7</v>
      </c>
      <c r="F2111" s="619">
        <v>44265</v>
      </c>
      <c r="G2111" s="619">
        <v>46090</v>
      </c>
      <c r="H2111" s="618" t="s">
        <v>56</v>
      </c>
      <c r="I2111" s="618" t="s">
        <v>51</v>
      </c>
    </row>
    <row r="2112" spans="1:9">
      <c r="A2112" s="620">
        <f t="shared" si="32"/>
        <v>2108</v>
      </c>
      <c r="B2112" s="621" t="s">
        <v>312</v>
      </c>
      <c r="C2112" s="621" t="str">
        <f>"14948"</f>
        <v>14948</v>
      </c>
      <c r="D2112" s="621" t="s">
        <v>18</v>
      </c>
      <c r="E2112" s="621">
        <v>5</v>
      </c>
      <c r="F2112" s="622">
        <v>44298</v>
      </c>
      <c r="G2112" s="622">
        <v>46123</v>
      </c>
      <c r="H2112" s="621" t="s">
        <v>20</v>
      </c>
      <c r="I2112" s="621" t="s">
        <v>51</v>
      </c>
    </row>
    <row r="2113" spans="1:9">
      <c r="A2113" s="617">
        <f t="shared" si="32"/>
        <v>2109</v>
      </c>
      <c r="B2113" s="618" t="s">
        <v>312</v>
      </c>
      <c r="C2113" s="618" t="str">
        <f>"14949"</f>
        <v>14949</v>
      </c>
      <c r="D2113" s="618" t="s">
        <v>18</v>
      </c>
      <c r="E2113" s="618">
        <v>5</v>
      </c>
      <c r="F2113" s="619">
        <v>44298</v>
      </c>
      <c r="G2113" s="619">
        <v>46123</v>
      </c>
      <c r="H2113" s="618" t="s">
        <v>20</v>
      </c>
      <c r="I2113" s="618" t="s">
        <v>51</v>
      </c>
    </row>
    <row r="2114" spans="1:9">
      <c r="A2114" s="620">
        <f t="shared" si="32"/>
        <v>2110</v>
      </c>
      <c r="B2114" s="621" t="s">
        <v>312</v>
      </c>
      <c r="C2114" s="621" t="str">
        <f>"14950"</f>
        <v>14950</v>
      </c>
      <c r="D2114" s="621" t="s">
        <v>18</v>
      </c>
      <c r="E2114" s="621">
        <v>5</v>
      </c>
      <c r="F2114" s="622">
        <v>44298</v>
      </c>
      <c r="G2114" s="622">
        <v>46123</v>
      </c>
      <c r="H2114" s="621" t="s">
        <v>20</v>
      </c>
      <c r="I2114" s="621" t="s">
        <v>51</v>
      </c>
    </row>
    <row r="2115" spans="1:9">
      <c r="A2115" s="617">
        <f t="shared" si="32"/>
        <v>2111</v>
      </c>
      <c r="B2115" s="618" t="s">
        <v>1804</v>
      </c>
      <c r="C2115" s="618" t="str">
        <f>"14951"</f>
        <v>14951</v>
      </c>
      <c r="D2115" s="618" t="s">
        <v>18</v>
      </c>
      <c r="E2115" s="618">
        <v>8</v>
      </c>
      <c r="F2115" s="619">
        <v>44281</v>
      </c>
      <c r="G2115" s="619">
        <v>46106</v>
      </c>
      <c r="H2115" s="618" t="s">
        <v>29</v>
      </c>
      <c r="I2115" s="618" t="s">
        <v>6862</v>
      </c>
    </row>
    <row r="2116" spans="1:9">
      <c r="A2116" s="620">
        <f t="shared" si="32"/>
        <v>2112</v>
      </c>
      <c r="B2116" s="621" t="s">
        <v>315</v>
      </c>
      <c r="C2116" s="621" t="str">
        <f>"14952"</f>
        <v>14952</v>
      </c>
      <c r="D2116" s="621" t="s">
        <v>18</v>
      </c>
      <c r="E2116" s="621">
        <v>36</v>
      </c>
      <c r="F2116" s="622">
        <v>44237</v>
      </c>
      <c r="G2116" s="622">
        <v>45578</v>
      </c>
      <c r="H2116" s="621" t="s">
        <v>14</v>
      </c>
      <c r="I2116" s="621" t="s">
        <v>51</v>
      </c>
    </row>
    <row r="2117" spans="1:9">
      <c r="A2117" s="617">
        <f t="shared" si="32"/>
        <v>2113</v>
      </c>
      <c r="B2117" s="618" t="s">
        <v>302</v>
      </c>
      <c r="C2117" s="618" t="str">
        <f>"14956"</f>
        <v>14956</v>
      </c>
      <c r="D2117" s="618" t="s">
        <v>18</v>
      </c>
      <c r="E2117" s="618">
        <v>10</v>
      </c>
      <c r="F2117" s="619">
        <v>44253</v>
      </c>
      <c r="G2117" s="619">
        <v>46078</v>
      </c>
      <c r="H2117" s="618" t="s">
        <v>16</v>
      </c>
      <c r="I2117" s="618" t="s">
        <v>6868</v>
      </c>
    </row>
    <row r="2118" spans="1:9">
      <c r="A2118" s="620">
        <f t="shared" si="32"/>
        <v>2114</v>
      </c>
      <c r="B2118" s="621" t="s">
        <v>314</v>
      </c>
      <c r="C2118" s="621" t="str">
        <f>"14958"</f>
        <v>14958</v>
      </c>
      <c r="D2118" s="621" t="s">
        <v>18</v>
      </c>
      <c r="E2118" s="621">
        <v>10</v>
      </c>
      <c r="F2118" s="622">
        <v>44265</v>
      </c>
      <c r="G2118" s="622">
        <v>46090</v>
      </c>
      <c r="H2118" s="621" t="s">
        <v>41</v>
      </c>
      <c r="I2118" s="621" t="s">
        <v>51</v>
      </c>
    </row>
    <row r="2119" spans="1:9">
      <c r="A2119" s="617">
        <f t="shared" ref="A2119:A2182" si="33">+A2118+1</f>
        <v>2115</v>
      </c>
      <c r="B2119" s="618" t="s">
        <v>316</v>
      </c>
      <c r="C2119" s="618" t="str">
        <f>"14960"</f>
        <v>14960</v>
      </c>
      <c r="D2119" s="618" t="s">
        <v>18</v>
      </c>
      <c r="E2119" s="618">
        <v>1</v>
      </c>
      <c r="F2119" s="619">
        <v>44299</v>
      </c>
      <c r="G2119" s="619">
        <v>46124</v>
      </c>
      <c r="H2119" s="618" t="s">
        <v>233</v>
      </c>
      <c r="I2119" s="618" t="s">
        <v>51</v>
      </c>
    </row>
    <row r="2120" spans="1:9">
      <c r="A2120" s="620">
        <f t="shared" si="33"/>
        <v>2116</v>
      </c>
      <c r="B2120" s="621" t="s">
        <v>104</v>
      </c>
      <c r="C2120" s="621" t="str">
        <f>"14961"</f>
        <v>14961</v>
      </c>
      <c r="D2120" s="621" t="s">
        <v>18</v>
      </c>
      <c r="E2120" s="621">
        <v>3</v>
      </c>
      <c r="F2120" s="622">
        <v>44342</v>
      </c>
      <c r="G2120" s="622">
        <v>46167</v>
      </c>
      <c r="H2120" s="621" t="s">
        <v>14</v>
      </c>
      <c r="I2120" s="621" t="s">
        <v>51</v>
      </c>
    </row>
    <row r="2121" spans="1:9">
      <c r="A2121" s="617">
        <f t="shared" si="33"/>
        <v>2117</v>
      </c>
      <c r="B2121" s="618" t="s">
        <v>317</v>
      </c>
      <c r="C2121" s="618" t="str">
        <f>"14963"</f>
        <v>14963</v>
      </c>
      <c r="D2121" s="618" t="s">
        <v>18</v>
      </c>
      <c r="E2121" s="618">
        <v>2</v>
      </c>
      <c r="F2121" s="619">
        <v>44309</v>
      </c>
      <c r="G2121" s="619">
        <v>46134</v>
      </c>
      <c r="H2121" s="618" t="s">
        <v>180</v>
      </c>
      <c r="I2121" s="618" t="s">
        <v>51</v>
      </c>
    </row>
    <row r="2122" spans="1:9">
      <c r="A2122" s="620">
        <f t="shared" si="33"/>
        <v>2118</v>
      </c>
      <c r="B2122" s="621" t="s">
        <v>318</v>
      </c>
      <c r="C2122" s="621" t="str">
        <f>"14964"</f>
        <v>14964</v>
      </c>
      <c r="D2122" s="621" t="s">
        <v>18</v>
      </c>
      <c r="E2122" s="621">
        <v>4</v>
      </c>
      <c r="F2122" s="622">
        <v>44341</v>
      </c>
      <c r="G2122" s="622">
        <v>46166</v>
      </c>
      <c r="H2122" s="621" t="s">
        <v>16</v>
      </c>
      <c r="I2122" s="621" t="s">
        <v>51</v>
      </c>
    </row>
    <row r="2123" spans="1:9">
      <c r="A2123" s="617">
        <f t="shared" si="33"/>
        <v>2119</v>
      </c>
      <c r="B2123" s="618" t="s">
        <v>319</v>
      </c>
      <c r="C2123" s="618" t="str">
        <f>"14965"</f>
        <v>14965</v>
      </c>
      <c r="D2123" s="618" t="s">
        <v>18</v>
      </c>
      <c r="E2123" s="618">
        <v>8</v>
      </c>
      <c r="F2123" s="619">
        <v>44294</v>
      </c>
      <c r="G2123" s="619">
        <v>46119</v>
      </c>
      <c r="H2123" s="618" t="s">
        <v>14</v>
      </c>
      <c r="I2123" s="618" t="s">
        <v>51</v>
      </c>
    </row>
    <row r="2124" spans="1:9">
      <c r="A2124" s="620">
        <f t="shared" si="33"/>
        <v>2120</v>
      </c>
      <c r="B2124" s="621" t="s">
        <v>320</v>
      </c>
      <c r="C2124" s="621" t="str">
        <f>"14966"</f>
        <v>14966</v>
      </c>
      <c r="D2124" s="621" t="s">
        <v>18</v>
      </c>
      <c r="E2124" s="621">
        <v>3</v>
      </c>
      <c r="F2124" s="622">
        <v>44242</v>
      </c>
      <c r="G2124" s="622">
        <v>46067</v>
      </c>
      <c r="H2124" s="621" t="s">
        <v>14</v>
      </c>
      <c r="I2124" s="621" t="s">
        <v>51</v>
      </c>
    </row>
    <row r="2125" spans="1:9">
      <c r="A2125" s="617">
        <f t="shared" si="33"/>
        <v>2121</v>
      </c>
      <c r="B2125" s="618" t="s">
        <v>320</v>
      </c>
      <c r="C2125" s="618" t="str">
        <f>"14967"</f>
        <v>14967</v>
      </c>
      <c r="D2125" s="618" t="s">
        <v>18</v>
      </c>
      <c r="E2125" s="618">
        <v>13</v>
      </c>
      <c r="F2125" s="619">
        <v>44242</v>
      </c>
      <c r="G2125" s="619">
        <v>46067</v>
      </c>
      <c r="H2125" s="618" t="s">
        <v>16</v>
      </c>
      <c r="I2125" s="618" t="s">
        <v>51</v>
      </c>
    </row>
    <row r="2126" spans="1:9">
      <c r="A2126" s="620">
        <f t="shared" si="33"/>
        <v>2122</v>
      </c>
      <c r="B2126" s="621" t="s">
        <v>320</v>
      </c>
      <c r="C2126" s="621" t="str">
        <f>"14968"</f>
        <v>14968</v>
      </c>
      <c r="D2126" s="621" t="s">
        <v>18</v>
      </c>
      <c r="E2126" s="621">
        <v>16</v>
      </c>
      <c r="F2126" s="622">
        <v>44242</v>
      </c>
      <c r="G2126" s="622">
        <v>46067</v>
      </c>
      <c r="H2126" s="621" t="s">
        <v>14</v>
      </c>
      <c r="I2126" s="621" t="s">
        <v>51</v>
      </c>
    </row>
    <row r="2127" spans="1:9">
      <c r="A2127" s="617">
        <f t="shared" si="33"/>
        <v>2123</v>
      </c>
      <c r="B2127" s="618" t="s">
        <v>320</v>
      </c>
      <c r="C2127" s="618" t="str">
        <f>"14969"</f>
        <v>14969</v>
      </c>
      <c r="D2127" s="618" t="s">
        <v>18</v>
      </c>
      <c r="E2127" s="618">
        <v>47</v>
      </c>
      <c r="F2127" s="619">
        <v>44270</v>
      </c>
      <c r="G2127" s="619">
        <v>46095</v>
      </c>
      <c r="H2127" s="618" t="s">
        <v>45</v>
      </c>
      <c r="I2127" s="618" t="s">
        <v>51</v>
      </c>
    </row>
    <row r="2128" spans="1:9">
      <c r="A2128" s="620">
        <f t="shared" si="33"/>
        <v>2124</v>
      </c>
      <c r="B2128" s="621" t="s">
        <v>321</v>
      </c>
      <c r="C2128" s="621" t="str">
        <f>"14971"</f>
        <v>14971</v>
      </c>
      <c r="D2128" s="621" t="s">
        <v>18</v>
      </c>
      <c r="E2128" s="621">
        <v>10</v>
      </c>
      <c r="F2128" s="622">
        <v>44236</v>
      </c>
      <c r="G2128" s="622">
        <v>46061</v>
      </c>
      <c r="H2128" s="621" t="s">
        <v>16</v>
      </c>
      <c r="I2128" s="621" t="s">
        <v>51</v>
      </c>
    </row>
    <row r="2129" spans="1:9">
      <c r="A2129" s="617">
        <f t="shared" si="33"/>
        <v>2125</v>
      </c>
      <c r="B2129" s="618" t="s">
        <v>321</v>
      </c>
      <c r="C2129" s="618" t="str">
        <f>"14972"</f>
        <v>14972</v>
      </c>
      <c r="D2129" s="618" t="s">
        <v>18</v>
      </c>
      <c r="E2129" s="618">
        <v>5</v>
      </c>
      <c r="F2129" s="619">
        <v>44236</v>
      </c>
      <c r="G2129" s="619">
        <v>46061</v>
      </c>
      <c r="H2129" s="618" t="s">
        <v>180</v>
      </c>
      <c r="I2129" s="618" t="s">
        <v>51</v>
      </c>
    </row>
    <row r="2130" spans="1:9">
      <c r="A2130" s="620">
        <f t="shared" si="33"/>
        <v>2126</v>
      </c>
      <c r="B2130" s="621" t="s">
        <v>321</v>
      </c>
      <c r="C2130" s="621" t="str">
        <f>"14973"</f>
        <v>14973</v>
      </c>
      <c r="D2130" s="621" t="s">
        <v>18</v>
      </c>
      <c r="E2130" s="621">
        <v>23</v>
      </c>
      <c r="F2130" s="622">
        <v>44236</v>
      </c>
      <c r="G2130" s="622">
        <v>46061</v>
      </c>
      <c r="H2130" s="621" t="s">
        <v>16</v>
      </c>
      <c r="I2130" s="621" t="s">
        <v>51</v>
      </c>
    </row>
    <row r="2131" spans="1:9">
      <c r="A2131" s="617">
        <f t="shared" si="33"/>
        <v>2127</v>
      </c>
      <c r="B2131" s="618" t="s">
        <v>321</v>
      </c>
      <c r="C2131" s="618" t="str">
        <f>"14974"</f>
        <v>14974</v>
      </c>
      <c r="D2131" s="618" t="s">
        <v>18</v>
      </c>
      <c r="E2131" s="618">
        <v>3</v>
      </c>
      <c r="F2131" s="619">
        <v>44236</v>
      </c>
      <c r="G2131" s="619">
        <v>46061</v>
      </c>
      <c r="H2131" s="618" t="s">
        <v>14</v>
      </c>
      <c r="I2131" s="618" t="s">
        <v>51</v>
      </c>
    </row>
    <row r="2132" spans="1:9">
      <c r="A2132" s="620">
        <f t="shared" si="33"/>
        <v>2128</v>
      </c>
      <c r="B2132" s="621" t="s">
        <v>463</v>
      </c>
      <c r="C2132" s="621" t="str">
        <f>"14980"</f>
        <v>14980</v>
      </c>
      <c r="D2132" s="621" t="s">
        <v>18</v>
      </c>
      <c r="E2132" s="621">
        <v>1</v>
      </c>
      <c r="F2132" s="622"/>
      <c r="G2132" s="622"/>
      <c r="H2132" s="621" t="s">
        <v>16</v>
      </c>
      <c r="I2132" s="621" t="s">
        <v>459</v>
      </c>
    </row>
    <row r="2133" spans="1:9">
      <c r="A2133" s="617">
        <f t="shared" si="33"/>
        <v>2129</v>
      </c>
      <c r="B2133" s="618" t="s">
        <v>320</v>
      </c>
      <c r="C2133" s="618" t="str">
        <f>"14985"</f>
        <v>14985</v>
      </c>
      <c r="D2133" s="618" t="s">
        <v>18</v>
      </c>
      <c r="E2133" s="618">
        <v>8</v>
      </c>
      <c r="F2133" s="619">
        <v>44252</v>
      </c>
      <c r="G2133" s="619">
        <v>46077</v>
      </c>
      <c r="H2133" s="618" t="s">
        <v>16</v>
      </c>
      <c r="I2133" s="618" t="s">
        <v>51</v>
      </c>
    </row>
    <row r="2134" spans="1:9">
      <c r="A2134" s="620">
        <f t="shared" si="33"/>
        <v>2130</v>
      </c>
      <c r="B2134" s="621" t="s">
        <v>322</v>
      </c>
      <c r="C2134" s="621" t="str">
        <f>"14986"</f>
        <v>14986</v>
      </c>
      <c r="D2134" s="621" t="s">
        <v>18</v>
      </c>
      <c r="E2134" s="621">
        <v>2</v>
      </c>
      <c r="F2134" s="622">
        <v>44252</v>
      </c>
      <c r="G2134" s="622">
        <v>46077</v>
      </c>
      <c r="H2134" s="621" t="s">
        <v>28</v>
      </c>
      <c r="I2134" s="621" t="s">
        <v>51</v>
      </c>
    </row>
    <row r="2135" spans="1:9">
      <c r="A2135" s="617">
        <f t="shared" si="33"/>
        <v>2131</v>
      </c>
      <c r="B2135" s="618" t="s">
        <v>322</v>
      </c>
      <c r="C2135" s="618" t="str">
        <f>"14987"</f>
        <v>14987</v>
      </c>
      <c r="D2135" s="618" t="s">
        <v>18</v>
      </c>
      <c r="E2135" s="618">
        <v>6</v>
      </c>
      <c r="F2135" s="619">
        <v>44252</v>
      </c>
      <c r="G2135" s="619">
        <v>46077</v>
      </c>
      <c r="H2135" s="618" t="s">
        <v>29</v>
      </c>
      <c r="I2135" s="618" t="s">
        <v>51</v>
      </c>
    </row>
    <row r="2136" spans="1:9">
      <c r="A2136" s="620">
        <f t="shared" si="33"/>
        <v>2132</v>
      </c>
      <c r="B2136" s="621" t="s">
        <v>322</v>
      </c>
      <c r="C2136" s="621" t="str">
        <f>"14988"</f>
        <v>14988</v>
      </c>
      <c r="D2136" s="621" t="s">
        <v>18</v>
      </c>
      <c r="E2136" s="621">
        <v>2</v>
      </c>
      <c r="F2136" s="622">
        <v>44252</v>
      </c>
      <c r="G2136" s="622">
        <v>46077</v>
      </c>
      <c r="H2136" s="621" t="s">
        <v>28</v>
      </c>
      <c r="I2136" s="621" t="s">
        <v>51</v>
      </c>
    </row>
    <row r="2137" spans="1:9">
      <c r="A2137" s="617">
        <f t="shared" si="33"/>
        <v>2133</v>
      </c>
      <c r="B2137" s="618" t="s">
        <v>323</v>
      </c>
      <c r="C2137" s="618" t="str">
        <f>"14990"</f>
        <v>14990</v>
      </c>
      <c r="D2137" s="618" t="s">
        <v>18</v>
      </c>
      <c r="E2137" s="618">
        <v>7</v>
      </c>
      <c r="F2137" s="619">
        <v>44231</v>
      </c>
      <c r="G2137" s="619">
        <v>46056</v>
      </c>
      <c r="H2137" s="618" t="s">
        <v>14</v>
      </c>
      <c r="I2137" s="618" t="s">
        <v>51</v>
      </c>
    </row>
    <row r="2138" spans="1:9">
      <c r="A2138" s="620">
        <f t="shared" si="33"/>
        <v>2134</v>
      </c>
      <c r="B2138" s="621" t="s">
        <v>310</v>
      </c>
      <c r="C2138" s="621" t="str">
        <f>"14991"</f>
        <v>14991</v>
      </c>
      <c r="D2138" s="621" t="s">
        <v>18</v>
      </c>
      <c r="E2138" s="621">
        <v>24</v>
      </c>
      <c r="F2138" s="622">
        <v>44239</v>
      </c>
      <c r="G2138" s="622">
        <v>46064</v>
      </c>
      <c r="H2138" s="621" t="s">
        <v>21</v>
      </c>
      <c r="I2138" s="621" t="s">
        <v>51</v>
      </c>
    </row>
    <row r="2139" spans="1:9">
      <c r="A2139" s="617">
        <f t="shared" si="33"/>
        <v>2135</v>
      </c>
      <c r="B2139" s="618" t="s">
        <v>324</v>
      </c>
      <c r="C2139" s="618" t="str">
        <f>"14992"</f>
        <v>14992</v>
      </c>
      <c r="D2139" s="618" t="s">
        <v>18</v>
      </c>
      <c r="E2139" s="618">
        <v>15</v>
      </c>
      <c r="F2139" s="619">
        <v>44253</v>
      </c>
      <c r="G2139" s="619">
        <v>46078</v>
      </c>
      <c r="H2139" s="618" t="s">
        <v>20</v>
      </c>
      <c r="I2139" s="618" t="s">
        <v>51</v>
      </c>
    </row>
    <row r="2140" spans="1:9">
      <c r="A2140" s="620">
        <f t="shared" si="33"/>
        <v>2136</v>
      </c>
      <c r="B2140" s="621" t="s">
        <v>324</v>
      </c>
      <c r="C2140" s="621" t="str">
        <f>"14993"</f>
        <v>14993</v>
      </c>
      <c r="D2140" s="621" t="s">
        <v>18</v>
      </c>
      <c r="E2140" s="621">
        <v>10</v>
      </c>
      <c r="F2140" s="622">
        <v>44253</v>
      </c>
      <c r="G2140" s="622">
        <v>46078</v>
      </c>
      <c r="H2140" s="621" t="s">
        <v>20</v>
      </c>
      <c r="I2140" s="621" t="s">
        <v>51</v>
      </c>
    </row>
    <row r="2141" spans="1:9">
      <c r="A2141" s="617">
        <f t="shared" si="33"/>
        <v>2137</v>
      </c>
      <c r="B2141" s="618" t="s">
        <v>325</v>
      </c>
      <c r="C2141" s="618" t="str">
        <f>"14994"</f>
        <v>14994</v>
      </c>
      <c r="D2141" s="618" t="s">
        <v>18</v>
      </c>
      <c r="E2141" s="618">
        <v>39</v>
      </c>
      <c r="F2141" s="619">
        <v>44309</v>
      </c>
      <c r="G2141" s="619">
        <v>46134</v>
      </c>
      <c r="H2141" s="618" t="s">
        <v>56</v>
      </c>
      <c r="I2141" s="618" t="s">
        <v>51</v>
      </c>
    </row>
    <row r="2142" spans="1:9">
      <c r="A2142" s="620">
        <f t="shared" si="33"/>
        <v>2138</v>
      </c>
      <c r="B2142" s="621" t="s">
        <v>326</v>
      </c>
      <c r="C2142" s="621" t="str">
        <f>"14995"</f>
        <v>14995</v>
      </c>
      <c r="D2142" s="621" t="s">
        <v>18</v>
      </c>
      <c r="E2142" s="621">
        <v>8</v>
      </c>
      <c r="F2142" s="622">
        <v>44239</v>
      </c>
      <c r="G2142" s="622">
        <v>46064</v>
      </c>
      <c r="H2142" s="621" t="s">
        <v>14</v>
      </c>
      <c r="I2142" s="621" t="s">
        <v>6862</v>
      </c>
    </row>
    <row r="2143" spans="1:9">
      <c r="A2143" s="617">
        <f t="shared" si="33"/>
        <v>2139</v>
      </c>
      <c r="B2143" s="618" t="s">
        <v>224</v>
      </c>
      <c r="C2143" s="618" t="str">
        <f>"14997"</f>
        <v>14997</v>
      </c>
      <c r="D2143" s="618" t="s">
        <v>18</v>
      </c>
      <c r="E2143" s="618">
        <v>4</v>
      </c>
      <c r="F2143" s="619">
        <v>44299</v>
      </c>
      <c r="G2143" s="619">
        <v>46124</v>
      </c>
      <c r="H2143" s="618" t="s">
        <v>16</v>
      </c>
      <c r="I2143" s="618" t="s">
        <v>51</v>
      </c>
    </row>
    <row r="2144" spans="1:9">
      <c r="A2144" s="620">
        <f t="shared" si="33"/>
        <v>2140</v>
      </c>
      <c r="B2144" s="621" t="s">
        <v>327</v>
      </c>
      <c r="C2144" s="621" t="str">
        <f>"15001"</f>
        <v>15001</v>
      </c>
      <c r="D2144" s="621" t="s">
        <v>18</v>
      </c>
      <c r="E2144" s="621">
        <v>54</v>
      </c>
      <c r="F2144" s="622">
        <v>44299</v>
      </c>
      <c r="G2144" s="622">
        <v>46124</v>
      </c>
      <c r="H2144" s="621" t="s">
        <v>41</v>
      </c>
      <c r="I2144" s="621" t="s">
        <v>51</v>
      </c>
    </row>
    <row r="2145" spans="1:9">
      <c r="A2145" s="617">
        <f t="shared" si="33"/>
        <v>2141</v>
      </c>
      <c r="B2145" s="618" t="s">
        <v>328</v>
      </c>
      <c r="C2145" s="618" t="str">
        <f>"15002"</f>
        <v>15002</v>
      </c>
      <c r="D2145" s="618" t="s">
        <v>18</v>
      </c>
      <c r="E2145" s="618">
        <v>2</v>
      </c>
      <c r="F2145" s="619">
        <v>44309</v>
      </c>
      <c r="G2145" s="619">
        <v>46134</v>
      </c>
      <c r="H2145" s="618" t="s">
        <v>19</v>
      </c>
      <c r="I2145" s="618" t="s">
        <v>51</v>
      </c>
    </row>
    <row r="2146" spans="1:9">
      <c r="A2146" s="620">
        <f t="shared" si="33"/>
        <v>2142</v>
      </c>
      <c r="B2146" s="621" t="s">
        <v>6884</v>
      </c>
      <c r="C2146" s="621" t="str">
        <f>"15003"</f>
        <v>15003</v>
      </c>
      <c r="D2146" s="621" t="s">
        <v>18</v>
      </c>
      <c r="E2146" s="621">
        <v>9</v>
      </c>
      <c r="F2146" s="622">
        <v>44299</v>
      </c>
      <c r="G2146" s="622">
        <v>46124</v>
      </c>
      <c r="H2146" s="621" t="s">
        <v>56</v>
      </c>
      <c r="I2146" s="621" t="s">
        <v>6859</v>
      </c>
    </row>
    <row r="2147" spans="1:9">
      <c r="A2147" s="617">
        <f t="shared" si="33"/>
        <v>2143</v>
      </c>
      <c r="B2147" s="618" t="s">
        <v>1805</v>
      </c>
      <c r="C2147" s="618" t="str">
        <f>"15004"</f>
        <v>15004</v>
      </c>
      <c r="D2147" s="618" t="s">
        <v>18</v>
      </c>
      <c r="E2147" s="618">
        <v>2</v>
      </c>
      <c r="F2147" s="619">
        <v>44300</v>
      </c>
      <c r="G2147" s="619">
        <v>46125</v>
      </c>
      <c r="H2147" s="618" t="s">
        <v>20</v>
      </c>
      <c r="I2147" s="618" t="s">
        <v>6862</v>
      </c>
    </row>
    <row r="2148" spans="1:9">
      <c r="A2148" s="620">
        <f t="shared" si="33"/>
        <v>2144</v>
      </c>
      <c r="B2148" s="621" t="s">
        <v>329</v>
      </c>
      <c r="C2148" s="621" t="str">
        <f>"15005"</f>
        <v>15005</v>
      </c>
      <c r="D2148" s="621" t="s">
        <v>18</v>
      </c>
      <c r="E2148" s="621">
        <v>3</v>
      </c>
      <c r="F2148" s="622">
        <v>44560</v>
      </c>
      <c r="G2148" s="622">
        <v>46385</v>
      </c>
      <c r="H2148" s="621" t="s">
        <v>16</v>
      </c>
      <c r="I2148" s="621" t="s">
        <v>51</v>
      </c>
    </row>
    <row r="2149" spans="1:9">
      <c r="A2149" s="617">
        <f t="shared" si="33"/>
        <v>2145</v>
      </c>
      <c r="B2149" s="618" t="s">
        <v>464</v>
      </c>
      <c r="C2149" s="618" t="str">
        <f>"15007"</f>
        <v>15007</v>
      </c>
      <c r="D2149" s="618" t="s">
        <v>18</v>
      </c>
      <c r="E2149" s="618">
        <v>2</v>
      </c>
      <c r="F2149" s="619"/>
      <c r="G2149" s="619"/>
      <c r="H2149" s="618" t="s">
        <v>20</v>
      </c>
      <c r="I2149" s="618" t="s">
        <v>459</v>
      </c>
    </row>
    <row r="2150" spans="1:9">
      <c r="A2150" s="620">
        <f t="shared" si="33"/>
        <v>2146</v>
      </c>
      <c r="B2150" s="621" t="s">
        <v>330</v>
      </c>
      <c r="C2150" s="621" t="str">
        <f>"15010"</f>
        <v>15010</v>
      </c>
      <c r="D2150" s="621" t="s">
        <v>18</v>
      </c>
      <c r="E2150" s="621">
        <v>4</v>
      </c>
      <c r="F2150" s="622">
        <v>44299</v>
      </c>
      <c r="G2150" s="622">
        <v>46124</v>
      </c>
      <c r="H2150" s="621" t="s">
        <v>16</v>
      </c>
      <c r="I2150" s="621" t="s">
        <v>51</v>
      </c>
    </row>
    <row r="2151" spans="1:9">
      <c r="A2151" s="617">
        <f t="shared" si="33"/>
        <v>2147</v>
      </c>
      <c r="B2151" s="618" t="s">
        <v>330</v>
      </c>
      <c r="C2151" s="618" t="str">
        <f>"15011"</f>
        <v>15011</v>
      </c>
      <c r="D2151" s="618" t="s">
        <v>18</v>
      </c>
      <c r="E2151" s="618">
        <v>10</v>
      </c>
      <c r="F2151" s="619">
        <v>44299</v>
      </c>
      <c r="G2151" s="619">
        <v>46124</v>
      </c>
      <c r="H2151" s="618" t="s">
        <v>16</v>
      </c>
      <c r="I2151" s="618" t="s">
        <v>51</v>
      </c>
    </row>
    <row r="2152" spans="1:9">
      <c r="A2152" s="620">
        <f t="shared" si="33"/>
        <v>2148</v>
      </c>
      <c r="B2152" s="621" t="s">
        <v>331</v>
      </c>
      <c r="C2152" s="621" t="str">
        <f>"15012"</f>
        <v>15012</v>
      </c>
      <c r="D2152" s="621" t="s">
        <v>18</v>
      </c>
      <c r="E2152" s="621">
        <v>5</v>
      </c>
      <c r="F2152" s="622">
        <v>44309</v>
      </c>
      <c r="G2152" s="622">
        <v>46134</v>
      </c>
      <c r="H2152" s="621" t="s">
        <v>14</v>
      </c>
      <c r="I2152" s="621" t="s">
        <v>51</v>
      </c>
    </row>
    <row r="2153" spans="1:9">
      <c r="A2153" s="617">
        <f t="shared" si="33"/>
        <v>2149</v>
      </c>
      <c r="B2153" s="618" t="s">
        <v>332</v>
      </c>
      <c r="C2153" s="618" t="str">
        <f>"15013"</f>
        <v>15013</v>
      </c>
      <c r="D2153" s="618" t="s">
        <v>18</v>
      </c>
      <c r="E2153" s="618">
        <v>12</v>
      </c>
      <c r="F2153" s="619">
        <v>44270</v>
      </c>
      <c r="G2153" s="619">
        <v>46095</v>
      </c>
      <c r="H2153" s="618" t="s">
        <v>16</v>
      </c>
      <c r="I2153" s="618" t="s">
        <v>51</v>
      </c>
    </row>
    <row r="2154" spans="1:9">
      <c r="A2154" s="620">
        <f t="shared" si="33"/>
        <v>2150</v>
      </c>
      <c r="B2154" s="621" t="s">
        <v>332</v>
      </c>
      <c r="C2154" s="621" t="str">
        <f>"15014"</f>
        <v>15014</v>
      </c>
      <c r="D2154" s="621" t="s">
        <v>18</v>
      </c>
      <c r="E2154" s="621">
        <v>6</v>
      </c>
      <c r="F2154" s="622">
        <v>44270</v>
      </c>
      <c r="G2154" s="622">
        <v>46095</v>
      </c>
      <c r="H2154" s="621" t="s">
        <v>16</v>
      </c>
      <c r="I2154" s="621" t="s">
        <v>51</v>
      </c>
    </row>
    <row r="2155" spans="1:9">
      <c r="A2155" s="617">
        <f t="shared" si="33"/>
        <v>2151</v>
      </c>
      <c r="B2155" s="618" t="s">
        <v>467</v>
      </c>
      <c r="C2155" s="618" t="str">
        <f>"15015"</f>
        <v>15015</v>
      </c>
      <c r="D2155" s="618" t="s">
        <v>13</v>
      </c>
      <c r="E2155" s="618">
        <v>32</v>
      </c>
      <c r="F2155" s="619">
        <v>45243</v>
      </c>
      <c r="G2155" s="619">
        <v>50721</v>
      </c>
      <c r="H2155" s="618" t="s">
        <v>41</v>
      </c>
      <c r="I2155" s="618" t="s">
        <v>51</v>
      </c>
    </row>
    <row r="2156" spans="1:9">
      <c r="A2156" s="620">
        <f t="shared" si="33"/>
        <v>2152</v>
      </c>
      <c r="B2156" s="621" t="s">
        <v>36</v>
      </c>
      <c r="C2156" s="621" t="str">
        <f>"15017"</f>
        <v>15017</v>
      </c>
      <c r="D2156" s="621" t="s">
        <v>37</v>
      </c>
      <c r="E2156" s="621">
        <v>3</v>
      </c>
      <c r="F2156" s="622">
        <v>45204</v>
      </c>
      <c r="G2156" s="622">
        <v>47030</v>
      </c>
      <c r="H2156" s="621" t="s">
        <v>16</v>
      </c>
      <c r="I2156" s="621" t="s">
        <v>51</v>
      </c>
    </row>
    <row r="2157" spans="1:9">
      <c r="A2157" s="617">
        <f t="shared" si="33"/>
        <v>2153</v>
      </c>
      <c r="B2157" s="618" t="s">
        <v>262</v>
      </c>
      <c r="C2157" s="618" t="str">
        <f>"15019"</f>
        <v>15019</v>
      </c>
      <c r="D2157" s="618" t="s">
        <v>18</v>
      </c>
      <c r="E2157" s="618">
        <v>4</v>
      </c>
      <c r="F2157" s="619">
        <v>44308</v>
      </c>
      <c r="G2157" s="619">
        <v>46133</v>
      </c>
      <c r="H2157" s="618" t="s">
        <v>14</v>
      </c>
      <c r="I2157" s="618" t="s">
        <v>51</v>
      </c>
    </row>
    <row r="2158" spans="1:9">
      <c r="A2158" s="620">
        <f t="shared" si="33"/>
        <v>2154</v>
      </c>
      <c r="B2158" s="621" t="s">
        <v>308</v>
      </c>
      <c r="C2158" s="621" t="str">
        <f>"15021"</f>
        <v>15021</v>
      </c>
      <c r="D2158" s="621" t="s">
        <v>18</v>
      </c>
      <c r="E2158" s="621">
        <v>1</v>
      </c>
      <c r="F2158" s="622">
        <v>44299</v>
      </c>
      <c r="G2158" s="622">
        <v>46124</v>
      </c>
      <c r="H2158" s="621" t="s">
        <v>19</v>
      </c>
      <c r="I2158" s="621" t="s">
        <v>51</v>
      </c>
    </row>
    <row r="2159" spans="1:9">
      <c r="A2159" s="617">
        <f t="shared" si="33"/>
        <v>2155</v>
      </c>
      <c r="B2159" s="618" t="s">
        <v>308</v>
      </c>
      <c r="C2159" s="618" t="str">
        <f>"15022"</f>
        <v>15022</v>
      </c>
      <c r="D2159" s="618" t="s">
        <v>18</v>
      </c>
      <c r="E2159" s="618">
        <v>2</v>
      </c>
      <c r="F2159" s="619">
        <v>44294</v>
      </c>
      <c r="G2159" s="619">
        <v>46119</v>
      </c>
      <c r="H2159" s="618" t="s">
        <v>19</v>
      </c>
      <c r="I2159" s="618" t="s">
        <v>51</v>
      </c>
    </row>
    <row r="2160" spans="1:9">
      <c r="A2160" s="620">
        <f t="shared" si="33"/>
        <v>2156</v>
      </c>
      <c r="B2160" s="621" t="s">
        <v>308</v>
      </c>
      <c r="C2160" s="621" t="str">
        <f>"15023"</f>
        <v>15023</v>
      </c>
      <c r="D2160" s="621" t="s">
        <v>18</v>
      </c>
      <c r="E2160" s="621">
        <v>2</v>
      </c>
      <c r="F2160" s="622">
        <v>44294</v>
      </c>
      <c r="G2160" s="622">
        <v>46119</v>
      </c>
      <c r="H2160" s="621" t="s">
        <v>19</v>
      </c>
      <c r="I2160" s="621" t="s">
        <v>51</v>
      </c>
    </row>
    <row r="2161" spans="1:9">
      <c r="A2161" s="617">
        <f t="shared" si="33"/>
        <v>2157</v>
      </c>
      <c r="B2161" s="618" t="s">
        <v>308</v>
      </c>
      <c r="C2161" s="618" t="str">
        <f>"15024"</f>
        <v>15024</v>
      </c>
      <c r="D2161" s="618" t="s">
        <v>18</v>
      </c>
      <c r="E2161" s="618">
        <v>1</v>
      </c>
      <c r="F2161" s="619">
        <v>44301</v>
      </c>
      <c r="G2161" s="619">
        <v>46126</v>
      </c>
      <c r="H2161" s="618" t="s">
        <v>19</v>
      </c>
      <c r="I2161" s="618" t="s">
        <v>51</v>
      </c>
    </row>
    <row r="2162" spans="1:9">
      <c r="A2162" s="620">
        <f t="shared" si="33"/>
        <v>2158</v>
      </c>
      <c r="B2162" s="621" t="s">
        <v>308</v>
      </c>
      <c r="C2162" s="621" t="str">
        <f>"15025"</f>
        <v>15025</v>
      </c>
      <c r="D2162" s="621" t="s">
        <v>18</v>
      </c>
      <c r="E2162" s="621">
        <v>1</v>
      </c>
      <c r="F2162" s="622">
        <v>44301</v>
      </c>
      <c r="G2162" s="622">
        <v>46126</v>
      </c>
      <c r="H2162" s="621" t="s">
        <v>19</v>
      </c>
      <c r="I2162" s="621" t="s">
        <v>51</v>
      </c>
    </row>
    <row r="2163" spans="1:9">
      <c r="A2163" s="617">
        <f t="shared" si="33"/>
        <v>2159</v>
      </c>
      <c r="B2163" s="618" t="s">
        <v>333</v>
      </c>
      <c r="C2163" s="618" t="str">
        <f>"15026"</f>
        <v>15026</v>
      </c>
      <c r="D2163" s="618" t="s">
        <v>18</v>
      </c>
      <c r="E2163" s="618">
        <v>3</v>
      </c>
      <c r="F2163" s="619">
        <v>44327</v>
      </c>
      <c r="G2163" s="619">
        <v>46152</v>
      </c>
      <c r="H2163" s="618" t="s">
        <v>14</v>
      </c>
      <c r="I2163" s="618" t="s">
        <v>51</v>
      </c>
    </row>
    <row r="2164" spans="1:9">
      <c r="A2164" s="620">
        <f t="shared" si="33"/>
        <v>2160</v>
      </c>
      <c r="B2164" s="621" t="s">
        <v>333</v>
      </c>
      <c r="C2164" s="621" t="str">
        <f>"15027"</f>
        <v>15027</v>
      </c>
      <c r="D2164" s="621" t="s">
        <v>18</v>
      </c>
      <c r="E2164" s="621">
        <v>3</v>
      </c>
      <c r="F2164" s="622">
        <v>44327</v>
      </c>
      <c r="G2164" s="622">
        <v>46152</v>
      </c>
      <c r="H2164" s="621" t="s">
        <v>14</v>
      </c>
      <c r="I2164" s="621" t="s">
        <v>51</v>
      </c>
    </row>
    <row r="2165" spans="1:9">
      <c r="A2165" s="617">
        <f t="shared" si="33"/>
        <v>2161</v>
      </c>
      <c r="B2165" s="618" t="s">
        <v>334</v>
      </c>
      <c r="C2165" s="618" t="str">
        <f>"15029"</f>
        <v>15029</v>
      </c>
      <c r="D2165" s="618" t="s">
        <v>18</v>
      </c>
      <c r="E2165" s="618">
        <v>21</v>
      </c>
      <c r="F2165" s="619">
        <v>44322</v>
      </c>
      <c r="G2165" s="619">
        <v>46147</v>
      </c>
      <c r="H2165" s="618" t="s">
        <v>16</v>
      </c>
      <c r="I2165" s="618" t="s">
        <v>51</v>
      </c>
    </row>
    <row r="2166" spans="1:9">
      <c r="A2166" s="620">
        <f t="shared" si="33"/>
        <v>2162</v>
      </c>
      <c r="B2166" s="621" t="s">
        <v>332</v>
      </c>
      <c r="C2166" s="621" t="str">
        <f>"15032"</f>
        <v>15032</v>
      </c>
      <c r="D2166" s="621" t="s">
        <v>18</v>
      </c>
      <c r="E2166" s="621">
        <v>12</v>
      </c>
      <c r="F2166" s="622">
        <v>44299</v>
      </c>
      <c r="G2166" s="622">
        <v>46124</v>
      </c>
      <c r="H2166" s="621" t="s">
        <v>14</v>
      </c>
      <c r="I2166" s="621" t="s">
        <v>51</v>
      </c>
    </row>
    <row r="2167" spans="1:9">
      <c r="A2167" s="617">
        <f t="shared" si="33"/>
        <v>2163</v>
      </c>
      <c r="B2167" s="618" t="s">
        <v>335</v>
      </c>
      <c r="C2167" s="618" t="str">
        <f>"15033"</f>
        <v>15033</v>
      </c>
      <c r="D2167" s="618" t="s">
        <v>18</v>
      </c>
      <c r="E2167" s="618">
        <v>33</v>
      </c>
      <c r="F2167" s="619">
        <v>44322</v>
      </c>
      <c r="G2167" s="619">
        <v>46147</v>
      </c>
      <c r="H2167" s="618" t="s">
        <v>21</v>
      </c>
      <c r="I2167" s="618" t="s">
        <v>51</v>
      </c>
    </row>
    <row r="2168" spans="1:9">
      <c r="A2168" s="620">
        <f t="shared" si="33"/>
        <v>2164</v>
      </c>
      <c r="B2168" s="621" t="s">
        <v>336</v>
      </c>
      <c r="C2168" s="621" t="str">
        <f>"15034"</f>
        <v>15034</v>
      </c>
      <c r="D2168" s="621" t="s">
        <v>18</v>
      </c>
      <c r="E2168" s="621">
        <v>2</v>
      </c>
      <c r="F2168" s="622">
        <v>44326</v>
      </c>
      <c r="G2168" s="622">
        <v>46151</v>
      </c>
      <c r="H2168" s="621" t="s">
        <v>14</v>
      </c>
      <c r="I2168" s="621" t="s">
        <v>51</v>
      </c>
    </row>
    <row r="2169" spans="1:9">
      <c r="A2169" s="617">
        <f t="shared" si="33"/>
        <v>2165</v>
      </c>
      <c r="B2169" s="618" t="s">
        <v>337</v>
      </c>
      <c r="C2169" s="618" t="str">
        <f>"15036"</f>
        <v>15036</v>
      </c>
      <c r="D2169" s="618" t="s">
        <v>18</v>
      </c>
      <c r="E2169" s="618">
        <v>4</v>
      </c>
      <c r="F2169" s="619">
        <v>44309</v>
      </c>
      <c r="G2169" s="619">
        <v>46134</v>
      </c>
      <c r="H2169" s="618" t="s">
        <v>45</v>
      </c>
      <c r="I2169" s="618" t="s">
        <v>51</v>
      </c>
    </row>
    <row r="2170" spans="1:9">
      <c r="A2170" s="620">
        <f t="shared" si="33"/>
        <v>2166</v>
      </c>
      <c r="B2170" s="621" t="s">
        <v>337</v>
      </c>
      <c r="C2170" s="621" t="str">
        <f>"15037"</f>
        <v>15037</v>
      </c>
      <c r="D2170" s="621" t="s">
        <v>18</v>
      </c>
      <c r="E2170" s="621">
        <v>2</v>
      </c>
      <c r="F2170" s="622">
        <v>44309</v>
      </c>
      <c r="G2170" s="622">
        <v>46134</v>
      </c>
      <c r="H2170" s="621" t="s">
        <v>14</v>
      </c>
      <c r="I2170" s="621" t="s">
        <v>51</v>
      </c>
    </row>
    <row r="2171" spans="1:9">
      <c r="A2171" s="617">
        <f t="shared" si="33"/>
        <v>2167</v>
      </c>
      <c r="B2171" s="618" t="s">
        <v>338</v>
      </c>
      <c r="C2171" s="618" t="str">
        <f>"15038"</f>
        <v>15038</v>
      </c>
      <c r="D2171" s="618" t="s">
        <v>18</v>
      </c>
      <c r="E2171" s="618">
        <v>2</v>
      </c>
      <c r="F2171" s="619">
        <v>44739</v>
      </c>
      <c r="G2171" s="619">
        <v>46564</v>
      </c>
      <c r="H2171" s="618" t="s">
        <v>56</v>
      </c>
      <c r="I2171" s="618" t="s">
        <v>51</v>
      </c>
    </row>
    <row r="2172" spans="1:9">
      <c r="A2172" s="620">
        <f t="shared" si="33"/>
        <v>2168</v>
      </c>
      <c r="B2172" s="621" t="s">
        <v>339</v>
      </c>
      <c r="C2172" s="621" t="str">
        <f>"15042"</f>
        <v>15042</v>
      </c>
      <c r="D2172" s="621" t="s">
        <v>18</v>
      </c>
      <c r="E2172" s="621">
        <v>63</v>
      </c>
      <c r="F2172" s="622">
        <v>44454</v>
      </c>
      <c r="G2172" s="622">
        <v>46279</v>
      </c>
      <c r="H2172" s="621" t="s">
        <v>28</v>
      </c>
      <c r="I2172" s="621" t="s">
        <v>51</v>
      </c>
    </row>
    <row r="2173" spans="1:9">
      <c r="A2173" s="617">
        <f t="shared" si="33"/>
        <v>2169</v>
      </c>
      <c r="B2173" s="618" t="s">
        <v>222</v>
      </c>
      <c r="C2173" s="618" t="str">
        <f>"15043"</f>
        <v>15043</v>
      </c>
      <c r="D2173" s="618" t="s">
        <v>18</v>
      </c>
      <c r="E2173" s="618">
        <v>59</v>
      </c>
      <c r="F2173" s="619">
        <v>44592</v>
      </c>
      <c r="G2173" s="619">
        <v>46417</v>
      </c>
      <c r="H2173" s="618" t="s">
        <v>16</v>
      </c>
      <c r="I2173" s="618" t="s">
        <v>51</v>
      </c>
    </row>
    <row r="2174" spans="1:9">
      <c r="A2174" s="620">
        <f t="shared" si="33"/>
        <v>2170</v>
      </c>
      <c r="B2174" s="621" t="s">
        <v>83</v>
      </c>
      <c r="C2174" s="621" t="str">
        <f>"15046"</f>
        <v>15046</v>
      </c>
      <c r="D2174" s="621" t="s">
        <v>18</v>
      </c>
      <c r="E2174" s="621">
        <v>1</v>
      </c>
      <c r="F2174" s="622">
        <v>44515</v>
      </c>
      <c r="G2174" s="622">
        <v>46340</v>
      </c>
      <c r="H2174" s="621" t="s">
        <v>16</v>
      </c>
      <c r="I2174" s="621" t="s">
        <v>51</v>
      </c>
    </row>
    <row r="2175" spans="1:9">
      <c r="A2175" s="617">
        <f t="shared" si="33"/>
        <v>2171</v>
      </c>
      <c r="B2175" s="618" t="s">
        <v>340</v>
      </c>
      <c r="C2175" s="618" t="str">
        <f>"15047"</f>
        <v>15047</v>
      </c>
      <c r="D2175" s="618" t="s">
        <v>18</v>
      </c>
      <c r="E2175" s="618">
        <v>4</v>
      </c>
      <c r="F2175" s="619">
        <v>44769</v>
      </c>
      <c r="G2175" s="619">
        <v>46594</v>
      </c>
      <c r="H2175" s="618" t="s">
        <v>14</v>
      </c>
      <c r="I2175" s="618" t="s">
        <v>51</v>
      </c>
    </row>
    <row r="2176" spans="1:9">
      <c r="A2176" s="620">
        <f t="shared" si="33"/>
        <v>2172</v>
      </c>
      <c r="B2176" s="621" t="s">
        <v>340</v>
      </c>
      <c r="C2176" s="621" t="str">
        <f>"15049"</f>
        <v>15049</v>
      </c>
      <c r="D2176" s="621" t="s">
        <v>18</v>
      </c>
      <c r="E2176" s="621">
        <v>4</v>
      </c>
      <c r="F2176" s="622">
        <v>44769</v>
      </c>
      <c r="G2176" s="622">
        <v>46594</v>
      </c>
      <c r="H2176" s="621" t="s">
        <v>14</v>
      </c>
      <c r="I2176" s="621" t="s">
        <v>51</v>
      </c>
    </row>
    <row r="2177" spans="1:9">
      <c r="A2177" s="617">
        <f t="shared" si="33"/>
        <v>2173</v>
      </c>
      <c r="B2177" s="618" t="s">
        <v>341</v>
      </c>
      <c r="C2177" s="618" t="str">
        <f>"15053"</f>
        <v>15053</v>
      </c>
      <c r="D2177" s="618" t="s">
        <v>18</v>
      </c>
      <c r="E2177" s="618">
        <v>23</v>
      </c>
      <c r="F2177" s="619">
        <v>44566</v>
      </c>
      <c r="G2177" s="619">
        <v>46391</v>
      </c>
      <c r="H2177" s="618" t="s">
        <v>56</v>
      </c>
      <c r="I2177" s="618" t="s">
        <v>51</v>
      </c>
    </row>
    <row r="2178" spans="1:9">
      <c r="A2178" s="620">
        <f t="shared" si="33"/>
        <v>2174</v>
      </c>
      <c r="B2178" s="621" t="s">
        <v>341</v>
      </c>
      <c r="C2178" s="621" t="str">
        <f>"15054"</f>
        <v>15054</v>
      </c>
      <c r="D2178" s="621" t="s">
        <v>18</v>
      </c>
      <c r="E2178" s="621">
        <v>10</v>
      </c>
      <c r="F2178" s="622">
        <v>44566</v>
      </c>
      <c r="G2178" s="622">
        <v>46391</v>
      </c>
      <c r="H2178" s="621" t="s">
        <v>56</v>
      </c>
      <c r="I2178" s="621" t="s">
        <v>51</v>
      </c>
    </row>
    <row r="2179" spans="1:9">
      <c r="A2179" s="617">
        <f t="shared" si="33"/>
        <v>2175</v>
      </c>
      <c r="B2179" s="618" t="s">
        <v>341</v>
      </c>
      <c r="C2179" s="618" t="str">
        <f>"15055"</f>
        <v>15055</v>
      </c>
      <c r="D2179" s="618" t="s">
        <v>18</v>
      </c>
      <c r="E2179" s="618">
        <v>28</v>
      </c>
      <c r="F2179" s="619">
        <v>44566</v>
      </c>
      <c r="G2179" s="619">
        <v>46391</v>
      </c>
      <c r="H2179" s="618" t="s">
        <v>56</v>
      </c>
      <c r="I2179" s="618" t="s">
        <v>51</v>
      </c>
    </row>
    <row r="2180" spans="1:9">
      <c r="A2180" s="620">
        <f t="shared" si="33"/>
        <v>2176</v>
      </c>
      <c r="B2180" s="621" t="s">
        <v>341</v>
      </c>
      <c r="C2180" s="621" t="str">
        <f>"15056"</f>
        <v>15056</v>
      </c>
      <c r="D2180" s="621" t="s">
        <v>18</v>
      </c>
      <c r="E2180" s="621">
        <v>2</v>
      </c>
      <c r="F2180" s="622">
        <v>44566</v>
      </c>
      <c r="G2180" s="622">
        <v>46391</v>
      </c>
      <c r="H2180" s="621" t="s">
        <v>56</v>
      </c>
      <c r="I2180" s="621" t="s">
        <v>51</v>
      </c>
    </row>
    <row r="2181" spans="1:9">
      <c r="A2181" s="617">
        <f t="shared" si="33"/>
        <v>2177</v>
      </c>
      <c r="B2181" s="618" t="s">
        <v>341</v>
      </c>
      <c r="C2181" s="618" t="str">
        <f>"15057"</f>
        <v>15057</v>
      </c>
      <c r="D2181" s="618" t="s">
        <v>18</v>
      </c>
      <c r="E2181" s="618">
        <v>2</v>
      </c>
      <c r="F2181" s="619">
        <v>44566</v>
      </c>
      <c r="G2181" s="619">
        <v>46391</v>
      </c>
      <c r="H2181" s="618" t="s">
        <v>56</v>
      </c>
      <c r="I2181" s="618" t="s">
        <v>51</v>
      </c>
    </row>
    <row r="2182" spans="1:9">
      <c r="A2182" s="620">
        <f t="shared" si="33"/>
        <v>2178</v>
      </c>
      <c r="B2182" s="621" t="s">
        <v>194</v>
      </c>
      <c r="C2182" s="621" t="str">
        <f>"15058"</f>
        <v>15058</v>
      </c>
      <c r="D2182" s="621" t="s">
        <v>18</v>
      </c>
      <c r="E2182" s="621">
        <v>8</v>
      </c>
      <c r="F2182" s="622">
        <v>44552</v>
      </c>
      <c r="G2182" s="622">
        <v>46377</v>
      </c>
      <c r="H2182" s="621" t="s">
        <v>28</v>
      </c>
      <c r="I2182" s="621" t="s">
        <v>51</v>
      </c>
    </row>
    <row r="2183" spans="1:9">
      <c r="A2183" s="617">
        <f t="shared" ref="A2183:A2246" si="34">+A2182+1</f>
        <v>2179</v>
      </c>
      <c r="B2183" s="618" t="s">
        <v>343</v>
      </c>
      <c r="C2183" s="618" t="str">
        <f>"15062"</f>
        <v>15062</v>
      </c>
      <c r="D2183" s="618" t="s">
        <v>18</v>
      </c>
      <c r="E2183" s="618">
        <v>10</v>
      </c>
      <c r="F2183" s="619">
        <v>44449</v>
      </c>
      <c r="G2183" s="619">
        <v>46274</v>
      </c>
      <c r="H2183" s="618" t="s">
        <v>16</v>
      </c>
      <c r="I2183" s="618" t="s">
        <v>51</v>
      </c>
    </row>
    <row r="2184" spans="1:9">
      <c r="A2184" s="620">
        <f t="shared" si="34"/>
        <v>2180</v>
      </c>
      <c r="B2184" s="621" t="s">
        <v>344</v>
      </c>
      <c r="C2184" s="621" t="str">
        <f>"15063"</f>
        <v>15063</v>
      </c>
      <c r="D2184" s="621" t="s">
        <v>18</v>
      </c>
      <c r="E2184" s="621">
        <v>5</v>
      </c>
      <c r="F2184" s="622">
        <v>44592</v>
      </c>
      <c r="G2184" s="622">
        <v>46417</v>
      </c>
      <c r="H2184" s="621" t="s">
        <v>16</v>
      </c>
      <c r="I2184" s="621" t="s">
        <v>51</v>
      </c>
    </row>
    <row r="2185" spans="1:9">
      <c r="A2185" s="617">
        <f t="shared" si="34"/>
        <v>2181</v>
      </c>
      <c r="B2185" s="618" t="s">
        <v>344</v>
      </c>
      <c r="C2185" s="618" t="str">
        <f>"15064"</f>
        <v>15064</v>
      </c>
      <c r="D2185" s="618" t="s">
        <v>18</v>
      </c>
      <c r="E2185" s="618">
        <v>2</v>
      </c>
      <c r="F2185" s="619">
        <v>44592</v>
      </c>
      <c r="G2185" s="619">
        <v>46417</v>
      </c>
      <c r="H2185" s="618" t="s">
        <v>16</v>
      </c>
      <c r="I2185" s="618" t="s">
        <v>51</v>
      </c>
    </row>
    <row r="2186" spans="1:9">
      <c r="A2186" s="620">
        <f t="shared" si="34"/>
        <v>2182</v>
      </c>
      <c r="B2186" s="621" t="s">
        <v>344</v>
      </c>
      <c r="C2186" s="621" t="str">
        <f>"15065"</f>
        <v>15065</v>
      </c>
      <c r="D2186" s="621" t="s">
        <v>18</v>
      </c>
      <c r="E2186" s="621">
        <v>3</v>
      </c>
      <c r="F2186" s="622">
        <v>44592</v>
      </c>
      <c r="G2186" s="622">
        <v>46417</v>
      </c>
      <c r="H2186" s="621" t="s">
        <v>16</v>
      </c>
      <c r="I2186" s="621" t="s">
        <v>51</v>
      </c>
    </row>
    <row r="2187" spans="1:9">
      <c r="A2187" s="617">
        <f t="shared" si="34"/>
        <v>2183</v>
      </c>
      <c r="B2187" s="618" t="s">
        <v>345</v>
      </c>
      <c r="C2187" s="618" t="str">
        <f>"15069"</f>
        <v>15069</v>
      </c>
      <c r="D2187" s="618" t="s">
        <v>18</v>
      </c>
      <c r="E2187" s="618">
        <v>4</v>
      </c>
      <c r="F2187" s="619">
        <v>44461</v>
      </c>
      <c r="G2187" s="619">
        <v>46286</v>
      </c>
      <c r="H2187" s="618" t="s">
        <v>16</v>
      </c>
      <c r="I2187" s="618" t="s">
        <v>51</v>
      </c>
    </row>
    <row r="2188" spans="1:9">
      <c r="A2188" s="620">
        <f t="shared" si="34"/>
        <v>2184</v>
      </c>
      <c r="B2188" s="621" t="s">
        <v>327</v>
      </c>
      <c r="C2188" s="621" t="str">
        <f>"15070"</f>
        <v>15070</v>
      </c>
      <c r="D2188" s="621" t="s">
        <v>18</v>
      </c>
      <c r="E2188" s="621">
        <v>54</v>
      </c>
      <c r="F2188" s="622">
        <v>44677</v>
      </c>
      <c r="G2188" s="622">
        <v>46502</v>
      </c>
      <c r="H2188" s="621" t="s">
        <v>21</v>
      </c>
      <c r="I2188" s="621" t="s">
        <v>51</v>
      </c>
    </row>
    <row r="2189" spans="1:9">
      <c r="A2189" s="617">
        <f t="shared" si="34"/>
        <v>2185</v>
      </c>
      <c r="B2189" s="618" t="s">
        <v>346</v>
      </c>
      <c r="C2189" s="618" t="str">
        <f>"15071"</f>
        <v>15071</v>
      </c>
      <c r="D2189" s="618" t="s">
        <v>18</v>
      </c>
      <c r="E2189" s="618">
        <v>50</v>
      </c>
      <c r="F2189" s="619">
        <v>44560</v>
      </c>
      <c r="G2189" s="619">
        <v>46385</v>
      </c>
      <c r="H2189" s="618" t="s">
        <v>43</v>
      </c>
      <c r="I2189" s="618" t="s">
        <v>51</v>
      </c>
    </row>
    <row r="2190" spans="1:9">
      <c r="A2190" s="620">
        <f t="shared" si="34"/>
        <v>2186</v>
      </c>
      <c r="B2190" s="621" t="s">
        <v>341</v>
      </c>
      <c r="C2190" s="621" t="str">
        <f>"15075"</f>
        <v>15075</v>
      </c>
      <c r="D2190" s="621" t="s">
        <v>18</v>
      </c>
      <c r="E2190" s="621">
        <v>6</v>
      </c>
      <c r="F2190" s="622">
        <v>44566</v>
      </c>
      <c r="G2190" s="622">
        <v>46391</v>
      </c>
      <c r="H2190" s="621" t="s">
        <v>56</v>
      </c>
      <c r="I2190" s="621" t="s">
        <v>51</v>
      </c>
    </row>
    <row r="2191" spans="1:9">
      <c r="A2191" s="617">
        <f t="shared" si="34"/>
        <v>2187</v>
      </c>
      <c r="B2191" s="618" t="s">
        <v>341</v>
      </c>
      <c r="C2191" s="618" t="str">
        <f>"15076"</f>
        <v>15076</v>
      </c>
      <c r="D2191" s="618" t="s">
        <v>18</v>
      </c>
      <c r="E2191" s="618">
        <v>2</v>
      </c>
      <c r="F2191" s="619">
        <v>44566</v>
      </c>
      <c r="G2191" s="619">
        <v>46391</v>
      </c>
      <c r="H2191" s="618" t="s">
        <v>56</v>
      </c>
      <c r="I2191" s="618" t="s">
        <v>51</v>
      </c>
    </row>
    <row r="2192" spans="1:9">
      <c r="A2192" s="620">
        <f t="shared" si="34"/>
        <v>2188</v>
      </c>
      <c r="B2192" s="621" t="s">
        <v>341</v>
      </c>
      <c r="C2192" s="621" t="str">
        <f>"15077"</f>
        <v>15077</v>
      </c>
      <c r="D2192" s="621" t="s">
        <v>18</v>
      </c>
      <c r="E2192" s="621">
        <v>12</v>
      </c>
      <c r="F2192" s="622">
        <v>44566</v>
      </c>
      <c r="G2192" s="622">
        <v>46391</v>
      </c>
      <c r="H2192" s="621" t="s">
        <v>56</v>
      </c>
      <c r="I2192" s="621" t="s">
        <v>51</v>
      </c>
    </row>
    <row r="2193" spans="1:9">
      <c r="A2193" s="617">
        <f t="shared" si="34"/>
        <v>2189</v>
      </c>
      <c r="B2193" s="618" t="s">
        <v>347</v>
      </c>
      <c r="C2193" s="618" t="str">
        <f>"15081"</f>
        <v>15081</v>
      </c>
      <c r="D2193" s="618" t="s">
        <v>18</v>
      </c>
      <c r="E2193" s="618">
        <v>5</v>
      </c>
      <c r="F2193" s="619">
        <v>44775</v>
      </c>
      <c r="G2193" s="619">
        <v>46600</v>
      </c>
      <c r="H2193" s="618" t="s">
        <v>23</v>
      </c>
      <c r="I2193" s="618" t="s">
        <v>51</v>
      </c>
    </row>
    <row r="2194" spans="1:9">
      <c r="A2194" s="620">
        <f t="shared" si="34"/>
        <v>2190</v>
      </c>
      <c r="B2194" s="621" t="s">
        <v>348</v>
      </c>
      <c r="C2194" s="621" t="str">
        <f>"15082"</f>
        <v>15082</v>
      </c>
      <c r="D2194" s="621" t="s">
        <v>18</v>
      </c>
      <c r="E2194" s="621">
        <v>4</v>
      </c>
      <c r="F2194" s="622">
        <v>44545</v>
      </c>
      <c r="G2194" s="622">
        <v>46370</v>
      </c>
      <c r="H2194" s="621" t="s">
        <v>43</v>
      </c>
      <c r="I2194" s="621" t="s">
        <v>51</v>
      </c>
    </row>
    <row r="2195" spans="1:9">
      <c r="A2195" s="617">
        <f t="shared" si="34"/>
        <v>2191</v>
      </c>
      <c r="B2195" s="618" t="s">
        <v>349</v>
      </c>
      <c r="C2195" s="618" t="str">
        <f>"15090"</f>
        <v>15090</v>
      </c>
      <c r="D2195" s="618" t="s">
        <v>18</v>
      </c>
      <c r="E2195" s="618">
        <v>10</v>
      </c>
      <c r="F2195" s="619">
        <v>44649</v>
      </c>
      <c r="G2195" s="619">
        <v>46474</v>
      </c>
      <c r="H2195" s="618" t="s">
        <v>56</v>
      </c>
      <c r="I2195" s="618" t="s">
        <v>6861</v>
      </c>
    </row>
    <row r="2196" spans="1:9">
      <c r="A2196" s="620">
        <f t="shared" si="34"/>
        <v>2192</v>
      </c>
      <c r="B2196" s="621" t="s">
        <v>349</v>
      </c>
      <c r="C2196" s="621" t="str">
        <f>"15091"</f>
        <v>15091</v>
      </c>
      <c r="D2196" s="621" t="s">
        <v>18</v>
      </c>
      <c r="E2196" s="621">
        <v>22</v>
      </c>
      <c r="F2196" s="622">
        <v>44649</v>
      </c>
      <c r="G2196" s="622">
        <v>46474</v>
      </c>
      <c r="H2196" s="621" t="s">
        <v>56</v>
      </c>
      <c r="I2196" s="621" t="s">
        <v>6861</v>
      </c>
    </row>
    <row r="2197" spans="1:9">
      <c r="A2197" s="617">
        <f t="shared" si="34"/>
        <v>2193</v>
      </c>
      <c r="B2197" s="618" t="s">
        <v>303</v>
      </c>
      <c r="C2197" s="618" t="str">
        <f>"15094"</f>
        <v>15094</v>
      </c>
      <c r="D2197" s="618" t="s">
        <v>18</v>
      </c>
      <c r="E2197" s="618">
        <v>4</v>
      </c>
      <c r="F2197" s="619">
        <v>44467</v>
      </c>
      <c r="G2197" s="619">
        <v>46292</v>
      </c>
      <c r="H2197" s="618" t="s">
        <v>14</v>
      </c>
      <c r="I2197" s="618" t="s">
        <v>51</v>
      </c>
    </row>
    <row r="2198" spans="1:9">
      <c r="A2198" s="620">
        <f t="shared" si="34"/>
        <v>2194</v>
      </c>
      <c r="B2198" s="621" t="s">
        <v>1042</v>
      </c>
      <c r="C2198" s="621" t="str">
        <f>"15099"</f>
        <v>15099</v>
      </c>
      <c r="D2198" s="621" t="s">
        <v>18</v>
      </c>
      <c r="E2198" s="621">
        <v>3</v>
      </c>
      <c r="F2198" s="622">
        <v>44495</v>
      </c>
      <c r="G2198" s="622">
        <v>46320</v>
      </c>
      <c r="H2198" s="621" t="s">
        <v>20</v>
      </c>
      <c r="I2198" s="621" t="s">
        <v>459</v>
      </c>
    </row>
    <row r="2199" spans="1:9">
      <c r="A2199" s="617">
        <f t="shared" si="34"/>
        <v>2195</v>
      </c>
      <c r="B2199" s="618" t="s">
        <v>345</v>
      </c>
      <c r="C2199" s="618" t="str">
        <f>"15102"</f>
        <v>15102</v>
      </c>
      <c r="D2199" s="618" t="s">
        <v>18</v>
      </c>
      <c r="E2199" s="618">
        <v>4</v>
      </c>
      <c r="F2199" s="619">
        <v>44461</v>
      </c>
      <c r="G2199" s="619">
        <v>46286</v>
      </c>
      <c r="H2199" s="618" t="s">
        <v>14</v>
      </c>
      <c r="I2199" s="618" t="s">
        <v>51</v>
      </c>
    </row>
    <row r="2200" spans="1:9">
      <c r="A2200" s="620">
        <f t="shared" si="34"/>
        <v>2196</v>
      </c>
      <c r="B2200" s="621" t="s">
        <v>345</v>
      </c>
      <c r="C2200" s="621" t="str">
        <f>"15103"</f>
        <v>15103</v>
      </c>
      <c r="D2200" s="621" t="s">
        <v>18</v>
      </c>
      <c r="E2200" s="621">
        <v>4</v>
      </c>
      <c r="F2200" s="622">
        <v>44461</v>
      </c>
      <c r="G2200" s="622">
        <v>46286</v>
      </c>
      <c r="H2200" s="621" t="s">
        <v>14</v>
      </c>
      <c r="I2200" s="621" t="s">
        <v>51</v>
      </c>
    </row>
    <row r="2201" spans="1:9">
      <c r="A2201" s="617">
        <f t="shared" si="34"/>
        <v>2197</v>
      </c>
      <c r="B2201" s="618" t="s">
        <v>350</v>
      </c>
      <c r="C2201" s="618" t="str">
        <f>"15104"</f>
        <v>15104</v>
      </c>
      <c r="D2201" s="618" t="s">
        <v>18</v>
      </c>
      <c r="E2201" s="618">
        <v>54</v>
      </c>
      <c r="F2201" s="619">
        <v>44523</v>
      </c>
      <c r="G2201" s="619">
        <v>46348</v>
      </c>
      <c r="H2201" s="618" t="s">
        <v>29</v>
      </c>
      <c r="I2201" s="618" t="s">
        <v>51</v>
      </c>
    </row>
    <row r="2202" spans="1:9">
      <c r="A2202" s="620">
        <f t="shared" si="34"/>
        <v>2198</v>
      </c>
      <c r="B2202" s="621" t="s">
        <v>350</v>
      </c>
      <c r="C2202" s="621" t="str">
        <f>"15105"</f>
        <v>15105</v>
      </c>
      <c r="D2202" s="621" t="s">
        <v>18</v>
      </c>
      <c r="E2202" s="621">
        <v>54</v>
      </c>
      <c r="F2202" s="622">
        <v>44523</v>
      </c>
      <c r="G2202" s="622">
        <v>46348</v>
      </c>
      <c r="H2202" s="621" t="s">
        <v>29</v>
      </c>
      <c r="I2202" s="621" t="s">
        <v>51</v>
      </c>
    </row>
    <row r="2203" spans="1:9">
      <c r="A2203" s="617">
        <f t="shared" si="34"/>
        <v>2199</v>
      </c>
      <c r="B2203" s="618" t="s">
        <v>351</v>
      </c>
      <c r="C2203" s="618" t="str">
        <f>"15106"</f>
        <v>15106</v>
      </c>
      <c r="D2203" s="618" t="s">
        <v>18</v>
      </c>
      <c r="E2203" s="618">
        <v>56</v>
      </c>
      <c r="F2203" s="619">
        <v>44523</v>
      </c>
      <c r="G2203" s="619">
        <v>46348</v>
      </c>
      <c r="H2203" s="618" t="s">
        <v>29</v>
      </c>
      <c r="I2203" s="618" t="s">
        <v>51</v>
      </c>
    </row>
    <row r="2204" spans="1:9">
      <c r="A2204" s="620">
        <f t="shared" si="34"/>
        <v>2200</v>
      </c>
      <c r="B2204" s="621" t="s">
        <v>351</v>
      </c>
      <c r="C2204" s="621" t="str">
        <f>"15107"</f>
        <v>15107</v>
      </c>
      <c r="D2204" s="621" t="s">
        <v>18</v>
      </c>
      <c r="E2204" s="621">
        <v>36</v>
      </c>
      <c r="F2204" s="622">
        <v>44523</v>
      </c>
      <c r="G2204" s="622">
        <v>46348</v>
      </c>
      <c r="H2204" s="621" t="s">
        <v>29</v>
      </c>
      <c r="I2204" s="621" t="s">
        <v>51</v>
      </c>
    </row>
    <row r="2205" spans="1:9">
      <c r="A2205" s="617">
        <f t="shared" si="34"/>
        <v>2201</v>
      </c>
      <c r="B2205" s="618" t="s">
        <v>204</v>
      </c>
      <c r="C2205" s="618" t="str">
        <f>"15108"</f>
        <v>15108</v>
      </c>
      <c r="D2205" s="618" t="s">
        <v>13</v>
      </c>
      <c r="E2205" s="618">
        <v>2</v>
      </c>
      <c r="F2205" s="619">
        <v>44776</v>
      </c>
      <c r="G2205" s="619">
        <v>51013</v>
      </c>
      <c r="H2205" s="618" t="s">
        <v>16</v>
      </c>
      <c r="I2205" s="618" t="s">
        <v>51</v>
      </c>
    </row>
    <row r="2206" spans="1:9">
      <c r="A2206" s="620">
        <f t="shared" si="34"/>
        <v>2202</v>
      </c>
      <c r="B2206" s="621" t="s">
        <v>352</v>
      </c>
      <c r="C2206" s="621" t="str">
        <f>"15111"</f>
        <v>15111</v>
      </c>
      <c r="D2206" s="621" t="s">
        <v>18</v>
      </c>
      <c r="E2206" s="621">
        <v>6</v>
      </c>
      <c r="F2206" s="622">
        <v>44442</v>
      </c>
      <c r="G2206" s="622">
        <v>46267</v>
      </c>
      <c r="H2206" s="621" t="s">
        <v>16</v>
      </c>
      <c r="I2206" s="621" t="s">
        <v>51</v>
      </c>
    </row>
    <row r="2207" spans="1:9">
      <c r="A2207" s="617">
        <f t="shared" si="34"/>
        <v>2203</v>
      </c>
      <c r="B2207" s="618" t="s">
        <v>352</v>
      </c>
      <c r="C2207" s="618" t="str">
        <f>"15112"</f>
        <v>15112</v>
      </c>
      <c r="D2207" s="618" t="s">
        <v>18</v>
      </c>
      <c r="E2207" s="618">
        <v>17</v>
      </c>
      <c r="F2207" s="619">
        <v>44552</v>
      </c>
      <c r="G2207" s="619">
        <v>46377</v>
      </c>
      <c r="H2207" s="618" t="s">
        <v>16</v>
      </c>
      <c r="I2207" s="618" t="s">
        <v>51</v>
      </c>
    </row>
    <row r="2208" spans="1:9">
      <c r="A2208" s="620">
        <f t="shared" si="34"/>
        <v>2204</v>
      </c>
      <c r="B2208" s="621" t="s">
        <v>352</v>
      </c>
      <c r="C2208" s="621" t="str">
        <f>"15113"</f>
        <v>15113</v>
      </c>
      <c r="D2208" s="621" t="s">
        <v>18</v>
      </c>
      <c r="E2208" s="621">
        <v>12</v>
      </c>
      <c r="F2208" s="622">
        <v>44442</v>
      </c>
      <c r="G2208" s="622">
        <v>46267</v>
      </c>
      <c r="H2208" s="621" t="s">
        <v>16</v>
      </c>
      <c r="I2208" s="621" t="s">
        <v>51</v>
      </c>
    </row>
    <row r="2209" spans="1:9">
      <c r="A2209" s="617">
        <f t="shared" si="34"/>
        <v>2205</v>
      </c>
      <c r="B2209" s="618" t="s">
        <v>353</v>
      </c>
      <c r="C2209" s="618" t="str">
        <f>"15115"</f>
        <v>15115</v>
      </c>
      <c r="D2209" s="618" t="s">
        <v>18</v>
      </c>
      <c r="E2209" s="618">
        <v>30</v>
      </c>
      <c r="F2209" s="619">
        <v>44517</v>
      </c>
      <c r="G2209" s="619">
        <v>46342</v>
      </c>
      <c r="H2209" s="618" t="s">
        <v>28</v>
      </c>
      <c r="I2209" s="618" t="s">
        <v>6868</v>
      </c>
    </row>
    <row r="2210" spans="1:9">
      <c r="A2210" s="620">
        <f t="shared" si="34"/>
        <v>2206</v>
      </c>
      <c r="B2210" s="621" t="s">
        <v>355</v>
      </c>
      <c r="C2210" s="621" t="str">
        <f>"15118"</f>
        <v>15118</v>
      </c>
      <c r="D2210" s="621" t="s">
        <v>18</v>
      </c>
      <c r="E2210" s="621">
        <v>9</v>
      </c>
      <c r="F2210" s="622">
        <v>44718</v>
      </c>
      <c r="G2210" s="622">
        <v>46543</v>
      </c>
      <c r="H2210" s="621" t="s">
        <v>28</v>
      </c>
      <c r="I2210" s="621" t="s">
        <v>51</v>
      </c>
    </row>
    <row r="2211" spans="1:9">
      <c r="A2211" s="617">
        <f t="shared" si="34"/>
        <v>2207</v>
      </c>
      <c r="B2211" s="618" t="s">
        <v>355</v>
      </c>
      <c r="C2211" s="618" t="str">
        <f>"15120"</f>
        <v>15120</v>
      </c>
      <c r="D2211" s="618" t="s">
        <v>18</v>
      </c>
      <c r="E2211" s="618">
        <v>7</v>
      </c>
      <c r="F2211" s="619">
        <v>44690</v>
      </c>
      <c r="G2211" s="619">
        <v>46515</v>
      </c>
      <c r="H2211" s="618" t="s">
        <v>28</v>
      </c>
      <c r="I2211" s="618" t="s">
        <v>51</v>
      </c>
    </row>
    <row r="2212" spans="1:9">
      <c r="A2212" s="620">
        <f t="shared" si="34"/>
        <v>2208</v>
      </c>
      <c r="B2212" s="621" t="s">
        <v>355</v>
      </c>
      <c r="C2212" s="621" t="str">
        <f>"15121"</f>
        <v>15121</v>
      </c>
      <c r="D2212" s="621" t="s">
        <v>18</v>
      </c>
      <c r="E2212" s="621">
        <v>6</v>
      </c>
      <c r="F2212" s="622">
        <v>44690</v>
      </c>
      <c r="G2212" s="622">
        <v>46515</v>
      </c>
      <c r="H2212" s="621" t="s">
        <v>28</v>
      </c>
      <c r="I2212" s="621" t="s">
        <v>51</v>
      </c>
    </row>
    <row r="2213" spans="1:9">
      <c r="A2213" s="617">
        <f t="shared" si="34"/>
        <v>2209</v>
      </c>
      <c r="B2213" s="618" t="s">
        <v>355</v>
      </c>
      <c r="C2213" s="618" t="str">
        <f>"15122"</f>
        <v>15122</v>
      </c>
      <c r="D2213" s="618" t="s">
        <v>18</v>
      </c>
      <c r="E2213" s="618">
        <v>9</v>
      </c>
      <c r="F2213" s="619">
        <v>44690</v>
      </c>
      <c r="G2213" s="619">
        <v>46515</v>
      </c>
      <c r="H2213" s="618" t="s">
        <v>28</v>
      </c>
      <c r="I2213" s="618" t="s">
        <v>51</v>
      </c>
    </row>
    <row r="2214" spans="1:9">
      <c r="A2214" s="620">
        <f t="shared" si="34"/>
        <v>2210</v>
      </c>
      <c r="B2214" s="621" t="s">
        <v>356</v>
      </c>
      <c r="C2214" s="621" t="str">
        <f>"15124"</f>
        <v>15124</v>
      </c>
      <c r="D2214" s="621" t="s">
        <v>18</v>
      </c>
      <c r="E2214" s="621">
        <v>1</v>
      </c>
      <c r="F2214" s="622">
        <v>44515</v>
      </c>
      <c r="G2214" s="622">
        <v>46340</v>
      </c>
      <c r="H2214" s="621" t="s">
        <v>14</v>
      </c>
      <c r="I2214" s="621" t="s">
        <v>51</v>
      </c>
    </row>
    <row r="2215" spans="1:9">
      <c r="A2215" s="617">
        <f t="shared" si="34"/>
        <v>2211</v>
      </c>
      <c r="B2215" s="618" t="s">
        <v>320</v>
      </c>
      <c r="C2215" s="618" t="str">
        <f>"15129"</f>
        <v>15129</v>
      </c>
      <c r="D2215" s="618" t="s">
        <v>18</v>
      </c>
      <c r="E2215" s="618">
        <v>8</v>
      </c>
      <c r="F2215" s="619">
        <v>44566</v>
      </c>
      <c r="G2215" s="619">
        <v>46391</v>
      </c>
      <c r="H2215" s="618" t="s">
        <v>16</v>
      </c>
      <c r="I2215" s="618" t="s">
        <v>51</v>
      </c>
    </row>
    <row r="2216" spans="1:9">
      <c r="A2216" s="620">
        <f t="shared" si="34"/>
        <v>2212</v>
      </c>
      <c r="B2216" s="621" t="s">
        <v>357</v>
      </c>
      <c r="C2216" s="621" t="str">
        <f>"15130"</f>
        <v>15130</v>
      </c>
      <c r="D2216" s="621" t="s">
        <v>18</v>
      </c>
      <c r="E2216" s="621">
        <v>9</v>
      </c>
      <c r="F2216" s="622">
        <v>44545</v>
      </c>
      <c r="G2216" s="622">
        <v>46370</v>
      </c>
      <c r="H2216" s="621" t="s">
        <v>19</v>
      </c>
      <c r="I2216" s="621" t="s">
        <v>6861</v>
      </c>
    </row>
    <row r="2217" spans="1:9">
      <c r="A2217" s="617">
        <f t="shared" si="34"/>
        <v>2213</v>
      </c>
      <c r="B2217" s="618" t="s">
        <v>358</v>
      </c>
      <c r="C2217" s="618" t="str">
        <f>"15143"</f>
        <v>15143</v>
      </c>
      <c r="D2217" s="618" t="s">
        <v>18</v>
      </c>
      <c r="E2217" s="618">
        <v>25</v>
      </c>
      <c r="F2217" s="619">
        <v>44531</v>
      </c>
      <c r="G2217" s="619">
        <v>46356</v>
      </c>
      <c r="H2217" s="618" t="s">
        <v>43</v>
      </c>
      <c r="I2217" s="618" t="s">
        <v>51</v>
      </c>
    </row>
    <row r="2218" spans="1:9">
      <c r="A2218" s="620">
        <f t="shared" si="34"/>
        <v>2214</v>
      </c>
      <c r="B2218" s="621" t="s">
        <v>213</v>
      </c>
      <c r="C2218" s="621" t="str">
        <f>"15144"</f>
        <v>15144</v>
      </c>
      <c r="D2218" s="621" t="s">
        <v>18</v>
      </c>
      <c r="E2218" s="621">
        <v>11</v>
      </c>
      <c r="F2218" s="622">
        <v>44706</v>
      </c>
      <c r="G2218" s="622">
        <v>46531</v>
      </c>
      <c r="H2218" s="621" t="s">
        <v>56</v>
      </c>
      <c r="I2218" s="621" t="s">
        <v>51</v>
      </c>
    </row>
    <row r="2219" spans="1:9">
      <c r="A2219" s="617">
        <f t="shared" si="34"/>
        <v>2215</v>
      </c>
      <c r="B2219" s="618" t="s">
        <v>359</v>
      </c>
      <c r="C2219" s="618" t="str">
        <f>"15146"</f>
        <v>15146</v>
      </c>
      <c r="D2219" s="618" t="s">
        <v>18</v>
      </c>
      <c r="E2219" s="618">
        <v>31</v>
      </c>
      <c r="F2219" s="619">
        <v>44659</v>
      </c>
      <c r="G2219" s="619">
        <v>46484</v>
      </c>
      <c r="H2219" s="618" t="s">
        <v>29</v>
      </c>
      <c r="I2219" s="618" t="s">
        <v>51</v>
      </c>
    </row>
    <row r="2220" spans="1:9">
      <c r="A2220" s="620">
        <f t="shared" si="34"/>
        <v>2216</v>
      </c>
      <c r="B2220" s="621" t="s">
        <v>360</v>
      </c>
      <c r="C2220" s="621" t="str">
        <f>"15149"</f>
        <v>15149</v>
      </c>
      <c r="D2220" s="621" t="s">
        <v>18</v>
      </c>
      <c r="E2220" s="621">
        <v>8</v>
      </c>
      <c r="F2220" s="622">
        <v>44739</v>
      </c>
      <c r="G2220" s="622">
        <v>46564</v>
      </c>
      <c r="H2220" s="621" t="s">
        <v>16</v>
      </c>
      <c r="I2220" s="621" t="s">
        <v>51</v>
      </c>
    </row>
    <row r="2221" spans="1:9">
      <c r="A2221" s="617">
        <f t="shared" si="34"/>
        <v>2217</v>
      </c>
      <c r="B2221" s="618" t="s">
        <v>360</v>
      </c>
      <c r="C2221" s="618" t="str">
        <f>"15150"</f>
        <v>15150</v>
      </c>
      <c r="D2221" s="618" t="s">
        <v>18</v>
      </c>
      <c r="E2221" s="618">
        <v>4</v>
      </c>
      <c r="F2221" s="619">
        <v>44739</v>
      </c>
      <c r="G2221" s="619">
        <v>46564</v>
      </c>
      <c r="H2221" s="618" t="s">
        <v>16</v>
      </c>
      <c r="I2221" s="618" t="s">
        <v>51</v>
      </c>
    </row>
    <row r="2222" spans="1:9">
      <c r="A2222" s="620">
        <f t="shared" si="34"/>
        <v>2218</v>
      </c>
      <c r="B2222" s="621" t="s">
        <v>361</v>
      </c>
      <c r="C2222" s="621" t="str">
        <f>"15154"</f>
        <v>15154</v>
      </c>
      <c r="D2222" s="621" t="s">
        <v>18</v>
      </c>
      <c r="E2222" s="621">
        <v>4</v>
      </c>
      <c r="F2222" s="622">
        <v>44707</v>
      </c>
      <c r="G2222" s="622">
        <v>46532</v>
      </c>
      <c r="H2222" s="621" t="s">
        <v>43</v>
      </c>
      <c r="I2222" s="621" t="s">
        <v>6862</v>
      </c>
    </row>
    <row r="2223" spans="1:9">
      <c r="A2223" s="617">
        <f t="shared" si="34"/>
        <v>2219</v>
      </c>
      <c r="B2223" s="618" t="s">
        <v>361</v>
      </c>
      <c r="C2223" s="618" t="str">
        <f>"15155"</f>
        <v>15155</v>
      </c>
      <c r="D2223" s="618" t="s">
        <v>18</v>
      </c>
      <c r="E2223" s="618">
        <v>4</v>
      </c>
      <c r="F2223" s="619"/>
      <c r="G2223" s="619"/>
      <c r="H2223" s="618" t="s">
        <v>43</v>
      </c>
      <c r="I2223" s="618" t="s">
        <v>6862</v>
      </c>
    </row>
    <row r="2224" spans="1:9">
      <c r="A2224" s="620">
        <f t="shared" si="34"/>
        <v>2220</v>
      </c>
      <c r="B2224" s="621" t="s">
        <v>361</v>
      </c>
      <c r="C2224" s="621" t="str">
        <f>"15156"</f>
        <v>15156</v>
      </c>
      <c r="D2224" s="621" t="s">
        <v>18</v>
      </c>
      <c r="E2224" s="621">
        <v>4</v>
      </c>
      <c r="F2224" s="622">
        <v>44707</v>
      </c>
      <c r="G2224" s="622">
        <v>46532</v>
      </c>
      <c r="H2224" s="621" t="s">
        <v>43</v>
      </c>
      <c r="I2224" s="621" t="s">
        <v>6862</v>
      </c>
    </row>
    <row r="2225" spans="1:9">
      <c r="A2225" s="617">
        <f t="shared" si="34"/>
        <v>2221</v>
      </c>
      <c r="B2225" s="618" t="s">
        <v>361</v>
      </c>
      <c r="C2225" s="618" t="str">
        <f>"15157"</f>
        <v>15157</v>
      </c>
      <c r="D2225" s="618" t="s">
        <v>18</v>
      </c>
      <c r="E2225" s="618">
        <v>2</v>
      </c>
      <c r="F2225" s="619">
        <v>44707</v>
      </c>
      <c r="G2225" s="619">
        <v>46532</v>
      </c>
      <c r="H2225" s="618" t="s">
        <v>43</v>
      </c>
      <c r="I2225" s="618" t="s">
        <v>6862</v>
      </c>
    </row>
    <row r="2226" spans="1:9">
      <c r="A2226" s="620">
        <f t="shared" si="34"/>
        <v>2222</v>
      </c>
      <c r="B2226" s="621" t="s">
        <v>362</v>
      </c>
      <c r="C2226" s="621" t="str">
        <f>"15158"</f>
        <v>15158</v>
      </c>
      <c r="D2226" s="621" t="s">
        <v>18</v>
      </c>
      <c r="E2226" s="621">
        <v>22</v>
      </c>
      <c r="F2226" s="622">
        <v>44862</v>
      </c>
      <c r="G2226" s="622">
        <v>46687</v>
      </c>
      <c r="H2226" s="621" t="s">
        <v>41</v>
      </c>
      <c r="I2226" s="621" t="s">
        <v>51</v>
      </c>
    </row>
    <row r="2227" spans="1:9">
      <c r="A2227" s="617">
        <f t="shared" si="34"/>
        <v>2223</v>
      </c>
      <c r="B2227" s="618" t="s">
        <v>362</v>
      </c>
      <c r="C2227" s="618" t="str">
        <f>"15159"</f>
        <v>15159</v>
      </c>
      <c r="D2227" s="618" t="s">
        <v>18</v>
      </c>
      <c r="E2227" s="618">
        <v>10</v>
      </c>
      <c r="F2227" s="619">
        <v>44862</v>
      </c>
      <c r="G2227" s="619">
        <v>46687</v>
      </c>
      <c r="H2227" s="618" t="s">
        <v>41</v>
      </c>
      <c r="I2227" s="618" t="s">
        <v>51</v>
      </c>
    </row>
    <row r="2228" spans="1:9">
      <c r="A2228" s="620">
        <f t="shared" si="34"/>
        <v>2224</v>
      </c>
      <c r="B2228" s="621" t="s">
        <v>363</v>
      </c>
      <c r="C2228" s="621" t="str">
        <f>"15163"</f>
        <v>15163</v>
      </c>
      <c r="D2228" s="621" t="s">
        <v>18</v>
      </c>
      <c r="E2228" s="621">
        <v>7</v>
      </c>
      <c r="F2228" s="622">
        <v>44738</v>
      </c>
      <c r="G2228" s="622">
        <v>46563</v>
      </c>
      <c r="H2228" s="621" t="s">
        <v>16</v>
      </c>
      <c r="I2228" s="621" t="s">
        <v>51</v>
      </c>
    </row>
    <row r="2229" spans="1:9">
      <c r="A2229" s="617">
        <f t="shared" si="34"/>
        <v>2225</v>
      </c>
      <c r="B2229" s="618" t="s">
        <v>364</v>
      </c>
      <c r="C2229" s="618" t="str">
        <f>"15164"</f>
        <v>15164</v>
      </c>
      <c r="D2229" s="618" t="s">
        <v>18</v>
      </c>
      <c r="E2229" s="618">
        <v>30</v>
      </c>
      <c r="F2229" s="619">
        <v>44533</v>
      </c>
      <c r="G2229" s="619">
        <v>46358</v>
      </c>
      <c r="H2229" s="618" t="s">
        <v>14</v>
      </c>
      <c r="I2229" s="618" t="s">
        <v>51</v>
      </c>
    </row>
    <row r="2230" spans="1:9">
      <c r="A2230" s="620">
        <f t="shared" si="34"/>
        <v>2226</v>
      </c>
      <c r="B2230" s="621" t="s">
        <v>364</v>
      </c>
      <c r="C2230" s="621" t="str">
        <f>"15165"</f>
        <v>15165</v>
      </c>
      <c r="D2230" s="621" t="s">
        <v>18</v>
      </c>
      <c r="E2230" s="621">
        <v>77</v>
      </c>
      <c r="F2230" s="622">
        <v>44533</v>
      </c>
      <c r="G2230" s="622">
        <v>46358</v>
      </c>
      <c r="H2230" s="621" t="s">
        <v>14</v>
      </c>
      <c r="I2230" s="621" t="s">
        <v>51</v>
      </c>
    </row>
    <row r="2231" spans="1:9">
      <c r="A2231" s="617">
        <f t="shared" si="34"/>
        <v>2227</v>
      </c>
      <c r="B2231" s="618" t="s">
        <v>336</v>
      </c>
      <c r="C2231" s="618" t="str">
        <f>"15166"</f>
        <v>15166</v>
      </c>
      <c r="D2231" s="618" t="s">
        <v>18</v>
      </c>
      <c r="E2231" s="618">
        <v>11</v>
      </c>
      <c r="F2231" s="619">
        <v>44657</v>
      </c>
      <c r="G2231" s="619">
        <v>46482</v>
      </c>
      <c r="H2231" s="618" t="s">
        <v>14</v>
      </c>
      <c r="I2231" s="618" t="s">
        <v>51</v>
      </c>
    </row>
    <row r="2232" spans="1:9">
      <c r="A2232" s="620">
        <f t="shared" si="34"/>
        <v>2228</v>
      </c>
      <c r="B2232" s="621" t="s">
        <v>365</v>
      </c>
      <c r="C2232" s="621" t="str">
        <f>"15172"</f>
        <v>15172</v>
      </c>
      <c r="D2232" s="621" t="s">
        <v>18</v>
      </c>
      <c r="E2232" s="621">
        <v>9</v>
      </c>
      <c r="F2232" s="622">
        <v>44474</v>
      </c>
      <c r="G2232" s="622">
        <v>46299</v>
      </c>
      <c r="H2232" s="621" t="s">
        <v>66</v>
      </c>
      <c r="I2232" s="621" t="s">
        <v>51</v>
      </c>
    </row>
    <row r="2233" spans="1:9">
      <c r="A2233" s="617">
        <f t="shared" si="34"/>
        <v>2229</v>
      </c>
      <c r="B2233" s="618" t="s">
        <v>320</v>
      </c>
      <c r="C2233" s="618" t="str">
        <f>"15173"</f>
        <v>15173</v>
      </c>
      <c r="D2233" s="618" t="s">
        <v>18</v>
      </c>
      <c r="E2233" s="618">
        <v>5</v>
      </c>
      <c r="F2233" s="619">
        <v>44566</v>
      </c>
      <c r="G2233" s="619">
        <v>46391</v>
      </c>
      <c r="H2233" s="618" t="s">
        <v>43</v>
      </c>
      <c r="I2233" s="618" t="s">
        <v>51</v>
      </c>
    </row>
    <row r="2234" spans="1:9">
      <c r="A2234" s="620">
        <f t="shared" si="34"/>
        <v>2230</v>
      </c>
      <c r="B2234" s="621" t="s">
        <v>366</v>
      </c>
      <c r="C2234" s="621" t="str">
        <f>"15174"</f>
        <v>15174</v>
      </c>
      <c r="D2234" s="621" t="s">
        <v>18</v>
      </c>
      <c r="E2234" s="621">
        <v>41</v>
      </c>
      <c r="F2234" s="622">
        <v>44592</v>
      </c>
      <c r="G2234" s="622">
        <v>46417</v>
      </c>
      <c r="H2234" s="621" t="s">
        <v>28</v>
      </c>
      <c r="I2234" s="621" t="s">
        <v>51</v>
      </c>
    </row>
    <row r="2235" spans="1:9">
      <c r="A2235" s="617">
        <f t="shared" si="34"/>
        <v>2231</v>
      </c>
      <c r="B2235" s="618" t="s">
        <v>366</v>
      </c>
      <c r="C2235" s="618" t="str">
        <f>"15175"</f>
        <v>15175</v>
      </c>
      <c r="D2235" s="618" t="s">
        <v>18</v>
      </c>
      <c r="E2235" s="618">
        <v>130</v>
      </c>
      <c r="F2235" s="619">
        <v>44592</v>
      </c>
      <c r="G2235" s="619">
        <v>46417</v>
      </c>
      <c r="H2235" s="618" t="s">
        <v>29</v>
      </c>
      <c r="I2235" s="618" t="s">
        <v>51</v>
      </c>
    </row>
    <row r="2236" spans="1:9">
      <c r="A2236" s="620">
        <f t="shared" si="34"/>
        <v>2232</v>
      </c>
      <c r="B2236" s="621" t="s">
        <v>333</v>
      </c>
      <c r="C2236" s="621" t="str">
        <f>"15176"</f>
        <v>15176</v>
      </c>
      <c r="D2236" s="621" t="s">
        <v>18</v>
      </c>
      <c r="E2236" s="621">
        <v>8</v>
      </c>
      <c r="F2236" s="622"/>
      <c r="G2236" s="622"/>
      <c r="H2236" s="621" t="s">
        <v>14</v>
      </c>
      <c r="I2236" s="621" t="s">
        <v>459</v>
      </c>
    </row>
    <row r="2237" spans="1:9">
      <c r="A2237" s="617">
        <f t="shared" si="34"/>
        <v>2233</v>
      </c>
      <c r="B2237" s="618" t="s">
        <v>262</v>
      </c>
      <c r="C2237" s="618" t="str">
        <f>"15177"</f>
        <v>15177</v>
      </c>
      <c r="D2237" s="618" t="s">
        <v>18</v>
      </c>
      <c r="E2237" s="618">
        <v>24</v>
      </c>
      <c r="F2237" s="619">
        <v>45239</v>
      </c>
      <c r="G2237" s="619">
        <v>47065</v>
      </c>
      <c r="H2237" s="618" t="s">
        <v>14</v>
      </c>
      <c r="I2237" s="618" t="s">
        <v>51</v>
      </c>
    </row>
    <row r="2238" spans="1:9">
      <c r="A2238" s="620">
        <f t="shared" si="34"/>
        <v>2234</v>
      </c>
      <c r="B2238" s="621" t="s">
        <v>367</v>
      </c>
      <c r="C2238" s="621" t="str">
        <f>"15179"</f>
        <v>15179</v>
      </c>
      <c r="D2238" s="621" t="s">
        <v>18</v>
      </c>
      <c r="E2238" s="621">
        <v>3</v>
      </c>
      <c r="F2238" s="622">
        <v>44741</v>
      </c>
      <c r="G2238" s="622">
        <v>46566</v>
      </c>
      <c r="H2238" s="621" t="s">
        <v>56</v>
      </c>
      <c r="I2238" s="621" t="s">
        <v>6868</v>
      </c>
    </row>
    <row r="2239" spans="1:9">
      <c r="A2239" s="617">
        <f t="shared" si="34"/>
        <v>2235</v>
      </c>
      <c r="B2239" s="618" t="s">
        <v>367</v>
      </c>
      <c r="C2239" s="618" t="str">
        <f>"15180"</f>
        <v>15180</v>
      </c>
      <c r="D2239" s="618" t="s">
        <v>18</v>
      </c>
      <c r="E2239" s="618">
        <v>6</v>
      </c>
      <c r="F2239" s="619">
        <v>44741</v>
      </c>
      <c r="G2239" s="619">
        <v>46566</v>
      </c>
      <c r="H2239" s="618" t="s">
        <v>56</v>
      </c>
      <c r="I2239" s="618" t="s">
        <v>6868</v>
      </c>
    </row>
    <row r="2240" spans="1:9">
      <c r="A2240" s="620">
        <f t="shared" si="34"/>
        <v>2236</v>
      </c>
      <c r="B2240" s="621" t="s">
        <v>367</v>
      </c>
      <c r="C2240" s="621" t="str">
        <f>"15181"</f>
        <v>15181</v>
      </c>
      <c r="D2240" s="621" t="s">
        <v>18</v>
      </c>
      <c r="E2240" s="621">
        <v>19</v>
      </c>
      <c r="F2240" s="622">
        <v>44511</v>
      </c>
      <c r="G2240" s="622">
        <v>46336</v>
      </c>
      <c r="H2240" s="621" t="s">
        <v>56</v>
      </c>
      <c r="I2240" s="621" t="s">
        <v>6868</v>
      </c>
    </row>
    <row r="2241" spans="1:9">
      <c r="A2241" s="617">
        <f t="shared" si="34"/>
        <v>2237</v>
      </c>
      <c r="B2241" s="618" t="s">
        <v>367</v>
      </c>
      <c r="C2241" s="618" t="str">
        <f>"15182"</f>
        <v>15182</v>
      </c>
      <c r="D2241" s="618" t="s">
        <v>18</v>
      </c>
      <c r="E2241" s="618">
        <v>72</v>
      </c>
      <c r="F2241" s="619">
        <v>44614</v>
      </c>
      <c r="G2241" s="619">
        <v>46439</v>
      </c>
      <c r="H2241" s="618" t="s">
        <v>56</v>
      </c>
      <c r="I2241" s="618" t="s">
        <v>6868</v>
      </c>
    </row>
    <row r="2242" spans="1:9">
      <c r="A2242" s="620">
        <f t="shared" si="34"/>
        <v>2238</v>
      </c>
      <c r="B2242" s="621" t="s">
        <v>367</v>
      </c>
      <c r="C2242" s="621" t="str">
        <f>"15183"</f>
        <v>15183</v>
      </c>
      <c r="D2242" s="621" t="s">
        <v>18</v>
      </c>
      <c r="E2242" s="621">
        <v>112</v>
      </c>
      <c r="F2242" s="622">
        <v>44511</v>
      </c>
      <c r="G2242" s="622">
        <v>46336</v>
      </c>
      <c r="H2242" s="621" t="s">
        <v>56</v>
      </c>
      <c r="I2242" s="621" t="s">
        <v>6868</v>
      </c>
    </row>
    <row r="2243" spans="1:9">
      <c r="A2243" s="617">
        <f t="shared" si="34"/>
        <v>2239</v>
      </c>
      <c r="B2243" s="618" t="s">
        <v>121</v>
      </c>
      <c r="C2243" s="618" t="str">
        <f>"15184"</f>
        <v>15184</v>
      </c>
      <c r="D2243" s="618" t="s">
        <v>18</v>
      </c>
      <c r="E2243" s="618">
        <v>157</v>
      </c>
      <c r="F2243" s="619">
        <v>44909</v>
      </c>
      <c r="G2243" s="619">
        <v>46734</v>
      </c>
      <c r="H2243" s="618" t="s">
        <v>56</v>
      </c>
      <c r="I2243" s="618" t="s">
        <v>51</v>
      </c>
    </row>
    <row r="2244" spans="1:9">
      <c r="A2244" s="620">
        <f t="shared" si="34"/>
        <v>2240</v>
      </c>
      <c r="B2244" s="621" t="s">
        <v>121</v>
      </c>
      <c r="C2244" s="621" t="str">
        <f>"15185"</f>
        <v>15185</v>
      </c>
      <c r="D2244" s="621" t="s">
        <v>18</v>
      </c>
      <c r="E2244" s="621">
        <v>107</v>
      </c>
      <c r="F2244" s="622">
        <v>44566</v>
      </c>
      <c r="G2244" s="622">
        <v>46391</v>
      </c>
      <c r="H2244" s="621" t="s">
        <v>56</v>
      </c>
      <c r="I2244" s="621" t="s">
        <v>6874</v>
      </c>
    </row>
    <row r="2245" spans="1:9">
      <c r="A2245" s="617">
        <f t="shared" si="34"/>
        <v>2241</v>
      </c>
      <c r="B2245" s="618" t="s">
        <v>304</v>
      </c>
      <c r="C2245" s="618" t="str">
        <f>"15186"</f>
        <v>15186</v>
      </c>
      <c r="D2245" s="618" t="s">
        <v>18</v>
      </c>
      <c r="E2245" s="618">
        <v>104</v>
      </c>
      <c r="F2245" s="619">
        <v>44566</v>
      </c>
      <c r="G2245" s="619">
        <v>46391</v>
      </c>
      <c r="H2245" s="618" t="s">
        <v>56</v>
      </c>
      <c r="I2245" s="618" t="s">
        <v>6867</v>
      </c>
    </row>
    <row r="2246" spans="1:9">
      <c r="A2246" s="620">
        <f t="shared" si="34"/>
        <v>2242</v>
      </c>
      <c r="B2246" s="621" t="s">
        <v>304</v>
      </c>
      <c r="C2246" s="621" t="str">
        <f>"15187"</f>
        <v>15187</v>
      </c>
      <c r="D2246" s="621" t="s">
        <v>18</v>
      </c>
      <c r="E2246" s="621">
        <v>59</v>
      </c>
      <c r="F2246" s="622">
        <v>44566</v>
      </c>
      <c r="G2246" s="622">
        <v>46391</v>
      </c>
      <c r="H2246" s="621" t="s">
        <v>56</v>
      </c>
      <c r="I2246" s="621" t="s">
        <v>6867</v>
      </c>
    </row>
    <row r="2247" spans="1:9">
      <c r="A2247" s="617">
        <f t="shared" ref="A2247:A2310" si="35">+A2246+1</f>
        <v>2243</v>
      </c>
      <c r="B2247" s="618" t="s">
        <v>368</v>
      </c>
      <c r="C2247" s="618" t="str">
        <f>"15188"</f>
        <v>15188</v>
      </c>
      <c r="D2247" s="618" t="s">
        <v>13</v>
      </c>
      <c r="E2247" s="618">
        <v>72</v>
      </c>
      <c r="F2247" s="619">
        <v>45245</v>
      </c>
      <c r="G2247" s="619">
        <v>54376</v>
      </c>
      <c r="H2247" s="618" t="s">
        <v>56</v>
      </c>
      <c r="I2247" s="618" t="s">
        <v>51</v>
      </c>
    </row>
    <row r="2248" spans="1:9">
      <c r="A2248" s="620">
        <f t="shared" si="35"/>
        <v>2244</v>
      </c>
      <c r="B2248" s="621" t="s">
        <v>368</v>
      </c>
      <c r="C2248" s="621" t="str">
        <f>"15189"</f>
        <v>15189</v>
      </c>
      <c r="D2248" s="621" t="s">
        <v>13</v>
      </c>
      <c r="E2248" s="621">
        <v>55</v>
      </c>
      <c r="F2248" s="622">
        <v>45245</v>
      </c>
      <c r="G2248" s="622">
        <v>54376</v>
      </c>
      <c r="H2248" s="621" t="s">
        <v>56</v>
      </c>
      <c r="I2248" s="621" t="s">
        <v>51</v>
      </c>
    </row>
    <row r="2249" spans="1:9">
      <c r="A2249" s="617">
        <f t="shared" si="35"/>
        <v>2245</v>
      </c>
      <c r="B2249" s="618" t="s">
        <v>368</v>
      </c>
      <c r="C2249" s="618" t="str">
        <f>"15190"</f>
        <v>15190</v>
      </c>
      <c r="D2249" s="618" t="s">
        <v>13</v>
      </c>
      <c r="E2249" s="618">
        <v>29</v>
      </c>
      <c r="F2249" s="619">
        <v>44558</v>
      </c>
      <c r="G2249" s="619">
        <v>46383</v>
      </c>
      <c r="H2249" s="618" t="s">
        <v>56</v>
      </c>
      <c r="I2249" s="618" t="s">
        <v>1710</v>
      </c>
    </row>
    <row r="2250" spans="1:9">
      <c r="A2250" s="620">
        <f t="shared" si="35"/>
        <v>2246</v>
      </c>
      <c r="B2250" s="621" t="s">
        <v>350</v>
      </c>
      <c r="C2250" s="621" t="str">
        <f>"15192"</f>
        <v>15192</v>
      </c>
      <c r="D2250" s="621" t="s">
        <v>18</v>
      </c>
      <c r="E2250" s="621">
        <v>21</v>
      </c>
      <c r="F2250" s="622">
        <v>44670</v>
      </c>
      <c r="G2250" s="622">
        <v>46495</v>
      </c>
      <c r="H2250" s="621" t="s">
        <v>29</v>
      </c>
      <c r="I2250" s="621" t="s">
        <v>51</v>
      </c>
    </row>
    <row r="2251" spans="1:9">
      <c r="A2251" s="617">
        <f t="shared" si="35"/>
        <v>2247</v>
      </c>
      <c r="B2251" s="618" t="s">
        <v>351</v>
      </c>
      <c r="C2251" s="618" t="str">
        <f>"15193"</f>
        <v>15193</v>
      </c>
      <c r="D2251" s="618" t="s">
        <v>18</v>
      </c>
      <c r="E2251" s="618">
        <v>45</v>
      </c>
      <c r="F2251" s="619">
        <v>44659</v>
      </c>
      <c r="G2251" s="619">
        <v>46484</v>
      </c>
      <c r="H2251" s="618" t="s">
        <v>29</v>
      </c>
      <c r="I2251" s="618" t="s">
        <v>51</v>
      </c>
    </row>
    <row r="2252" spans="1:9">
      <c r="A2252" s="620">
        <f t="shared" si="35"/>
        <v>2248</v>
      </c>
      <c r="B2252" s="621" t="s">
        <v>351</v>
      </c>
      <c r="C2252" s="621" t="str">
        <f>"15194"</f>
        <v>15194</v>
      </c>
      <c r="D2252" s="621" t="s">
        <v>18</v>
      </c>
      <c r="E2252" s="621">
        <v>18</v>
      </c>
      <c r="F2252" s="622">
        <v>44659</v>
      </c>
      <c r="G2252" s="622">
        <v>46484</v>
      </c>
      <c r="H2252" s="621" t="s">
        <v>29</v>
      </c>
      <c r="I2252" s="621" t="s">
        <v>51</v>
      </c>
    </row>
    <row r="2253" spans="1:9">
      <c r="A2253" s="617">
        <f t="shared" si="35"/>
        <v>2249</v>
      </c>
      <c r="B2253" s="618" t="s">
        <v>5686</v>
      </c>
      <c r="C2253" s="618" t="str">
        <f>"15200"</f>
        <v>15200</v>
      </c>
      <c r="D2253" s="618" t="s">
        <v>18</v>
      </c>
      <c r="E2253" s="618">
        <v>53</v>
      </c>
      <c r="F2253" s="619">
        <v>45219</v>
      </c>
      <c r="G2253" s="619">
        <v>47045</v>
      </c>
      <c r="H2253" s="618" t="s">
        <v>14</v>
      </c>
      <c r="I2253" s="618" t="s">
        <v>51</v>
      </c>
    </row>
    <row r="2254" spans="1:9">
      <c r="A2254" s="620">
        <f t="shared" si="35"/>
        <v>2250</v>
      </c>
      <c r="B2254" s="621" t="s">
        <v>5687</v>
      </c>
      <c r="C2254" s="621" t="str">
        <f>"15201"</f>
        <v>15201</v>
      </c>
      <c r="D2254" s="621" t="s">
        <v>18</v>
      </c>
      <c r="E2254" s="621">
        <v>20</v>
      </c>
      <c r="F2254" s="622">
        <v>45212</v>
      </c>
      <c r="G2254" s="622">
        <v>47037</v>
      </c>
      <c r="H2254" s="621" t="s">
        <v>14</v>
      </c>
      <c r="I2254" s="621" t="s">
        <v>51</v>
      </c>
    </row>
    <row r="2255" spans="1:9">
      <c r="A2255" s="617">
        <f t="shared" si="35"/>
        <v>2251</v>
      </c>
      <c r="B2255" s="618" t="s">
        <v>369</v>
      </c>
      <c r="C2255" s="618" t="str">
        <f>"15206"</f>
        <v>15206</v>
      </c>
      <c r="D2255" s="618" t="s">
        <v>18</v>
      </c>
      <c r="E2255" s="618">
        <v>2</v>
      </c>
      <c r="F2255" s="619">
        <v>44649</v>
      </c>
      <c r="G2255" s="619">
        <v>46474</v>
      </c>
      <c r="H2255" s="618" t="s">
        <v>56</v>
      </c>
      <c r="I2255" s="618" t="s">
        <v>51</v>
      </c>
    </row>
    <row r="2256" spans="1:9">
      <c r="A2256" s="620">
        <f t="shared" si="35"/>
        <v>2252</v>
      </c>
      <c r="B2256" s="621" t="s">
        <v>370</v>
      </c>
      <c r="C2256" s="621" t="str">
        <f>"15208"</f>
        <v>15208</v>
      </c>
      <c r="D2256" s="621" t="s">
        <v>18</v>
      </c>
      <c r="E2256" s="621">
        <v>4</v>
      </c>
      <c r="F2256" s="622">
        <v>44610</v>
      </c>
      <c r="G2256" s="622">
        <v>46435</v>
      </c>
      <c r="H2256" s="621" t="s">
        <v>16</v>
      </c>
      <c r="I2256" s="621" t="s">
        <v>6862</v>
      </c>
    </row>
    <row r="2257" spans="1:9">
      <c r="A2257" s="617">
        <f t="shared" si="35"/>
        <v>2253</v>
      </c>
      <c r="B2257" s="618" t="s">
        <v>5716</v>
      </c>
      <c r="C2257" s="618" t="str">
        <f>"15212"</f>
        <v>15212</v>
      </c>
      <c r="D2257" s="618" t="s">
        <v>18</v>
      </c>
      <c r="E2257" s="618">
        <v>6</v>
      </c>
      <c r="F2257" s="619">
        <v>44985</v>
      </c>
      <c r="G2257" s="619">
        <v>46810</v>
      </c>
      <c r="H2257" s="618" t="s">
        <v>28</v>
      </c>
      <c r="I2257" s="618" t="s">
        <v>51</v>
      </c>
    </row>
    <row r="2258" spans="1:9">
      <c r="A2258" s="620">
        <f t="shared" si="35"/>
        <v>2254</v>
      </c>
      <c r="B2258" s="621" t="s">
        <v>5716</v>
      </c>
      <c r="C2258" s="621" t="str">
        <f>"15213"</f>
        <v>15213</v>
      </c>
      <c r="D2258" s="621" t="s">
        <v>18</v>
      </c>
      <c r="E2258" s="621">
        <v>24</v>
      </c>
      <c r="F2258" s="622">
        <v>44985</v>
      </c>
      <c r="G2258" s="622">
        <v>46810</v>
      </c>
      <c r="H2258" s="621" t="s">
        <v>28</v>
      </c>
      <c r="I2258" s="621" t="s">
        <v>51</v>
      </c>
    </row>
    <row r="2259" spans="1:9">
      <c r="A2259" s="617">
        <f t="shared" si="35"/>
        <v>2255</v>
      </c>
      <c r="B2259" s="618" t="s">
        <v>121</v>
      </c>
      <c r="C2259" s="618" t="str">
        <f>"15216"</f>
        <v>15216</v>
      </c>
      <c r="D2259" s="618" t="s">
        <v>18</v>
      </c>
      <c r="E2259" s="618">
        <v>89</v>
      </c>
      <c r="F2259" s="619">
        <v>44775</v>
      </c>
      <c r="G2259" s="619">
        <v>46600</v>
      </c>
      <c r="H2259" s="618" t="s">
        <v>56</v>
      </c>
      <c r="I2259" s="618" t="s">
        <v>51</v>
      </c>
    </row>
    <row r="2260" spans="1:9">
      <c r="A2260" s="620">
        <f t="shared" si="35"/>
        <v>2256</v>
      </c>
      <c r="B2260" s="621" t="s">
        <v>221</v>
      </c>
      <c r="C2260" s="621" t="str">
        <f>"15217"</f>
        <v>15217</v>
      </c>
      <c r="D2260" s="621" t="s">
        <v>18</v>
      </c>
      <c r="E2260" s="621">
        <v>4</v>
      </c>
      <c r="F2260" s="622">
        <v>44659</v>
      </c>
      <c r="G2260" s="622">
        <v>46484</v>
      </c>
      <c r="H2260" s="621" t="s">
        <v>21</v>
      </c>
      <c r="I2260" s="621" t="s">
        <v>51</v>
      </c>
    </row>
    <row r="2261" spans="1:9">
      <c r="A2261" s="617">
        <f t="shared" si="35"/>
        <v>2257</v>
      </c>
      <c r="B2261" s="618" t="s">
        <v>221</v>
      </c>
      <c r="C2261" s="618" t="str">
        <f>"15218"</f>
        <v>15218</v>
      </c>
      <c r="D2261" s="618" t="s">
        <v>18</v>
      </c>
      <c r="E2261" s="618">
        <v>30</v>
      </c>
      <c r="F2261" s="619">
        <v>44659</v>
      </c>
      <c r="G2261" s="619">
        <v>46484</v>
      </c>
      <c r="H2261" s="618" t="s">
        <v>21</v>
      </c>
      <c r="I2261" s="618" t="s">
        <v>51</v>
      </c>
    </row>
    <row r="2262" spans="1:9">
      <c r="A2262" s="620">
        <f t="shared" si="35"/>
        <v>2258</v>
      </c>
      <c r="B2262" s="621" t="s">
        <v>221</v>
      </c>
      <c r="C2262" s="621" t="str">
        <f>"15219"</f>
        <v>15219</v>
      </c>
      <c r="D2262" s="621" t="s">
        <v>18</v>
      </c>
      <c r="E2262" s="621">
        <v>35</v>
      </c>
      <c r="F2262" s="622">
        <v>44659</v>
      </c>
      <c r="G2262" s="622">
        <v>46484</v>
      </c>
      <c r="H2262" s="621" t="s">
        <v>21</v>
      </c>
      <c r="I2262" s="621" t="s">
        <v>51</v>
      </c>
    </row>
    <row r="2263" spans="1:9">
      <c r="A2263" s="617">
        <f t="shared" si="35"/>
        <v>2259</v>
      </c>
      <c r="B2263" s="618" t="s">
        <v>221</v>
      </c>
      <c r="C2263" s="618" t="str">
        <f>"15220"</f>
        <v>15220</v>
      </c>
      <c r="D2263" s="618" t="s">
        <v>18</v>
      </c>
      <c r="E2263" s="618">
        <v>16</v>
      </c>
      <c r="F2263" s="619">
        <v>44659</v>
      </c>
      <c r="G2263" s="619">
        <v>46484</v>
      </c>
      <c r="H2263" s="618" t="s">
        <v>21</v>
      </c>
      <c r="I2263" s="618" t="s">
        <v>51</v>
      </c>
    </row>
    <row r="2264" spans="1:9">
      <c r="A2264" s="620">
        <f t="shared" si="35"/>
        <v>2260</v>
      </c>
      <c r="B2264" s="621" t="s">
        <v>371</v>
      </c>
      <c r="C2264" s="621" t="str">
        <f>"15222"</f>
        <v>15222</v>
      </c>
      <c r="D2264" s="621" t="s">
        <v>18</v>
      </c>
      <c r="E2264" s="621">
        <v>30</v>
      </c>
      <c r="F2264" s="622">
        <v>44810</v>
      </c>
      <c r="G2264" s="622">
        <v>46635</v>
      </c>
      <c r="H2264" s="621" t="s">
        <v>29</v>
      </c>
      <c r="I2264" s="621" t="s">
        <v>51</v>
      </c>
    </row>
    <row r="2265" spans="1:9">
      <c r="A2265" s="617">
        <f t="shared" si="35"/>
        <v>2261</v>
      </c>
      <c r="B2265" s="618" t="s">
        <v>327</v>
      </c>
      <c r="C2265" s="618" t="str">
        <f>"15229"</f>
        <v>15229</v>
      </c>
      <c r="D2265" s="618" t="s">
        <v>18</v>
      </c>
      <c r="E2265" s="618">
        <v>24</v>
      </c>
      <c r="F2265" s="619">
        <v>45202</v>
      </c>
      <c r="G2265" s="619">
        <v>47028</v>
      </c>
      <c r="H2265" s="618" t="s">
        <v>41</v>
      </c>
      <c r="I2265" s="618" t="s">
        <v>51</v>
      </c>
    </row>
    <row r="2266" spans="1:9">
      <c r="A2266" s="620">
        <f t="shared" si="35"/>
        <v>2262</v>
      </c>
      <c r="B2266" s="621" t="s">
        <v>83</v>
      </c>
      <c r="C2266" s="621" t="str">
        <f>"15230"</f>
        <v>15230</v>
      </c>
      <c r="D2266" s="621" t="s">
        <v>18</v>
      </c>
      <c r="E2266" s="621">
        <v>15</v>
      </c>
      <c r="F2266" s="622">
        <v>44515</v>
      </c>
      <c r="G2266" s="622">
        <v>46340</v>
      </c>
      <c r="H2266" s="621" t="s">
        <v>16</v>
      </c>
      <c r="I2266" s="621" t="s">
        <v>51</v>
      </c>
    </row>
    <row r="2267" spans="1:9">
      <c r="A2267" s="617">
        <f t="shared" si="35"/>
        <v>2263</v>
      </c>
      <c r="B2267" s="618" t="s">
        <v>371</v>
      </c>
      <c r="C2267" s="618" t="str">
        <f>"15231"</f>
        <v>15231</v>
      </c>
      <c r="D2267" s="618" t="s">
        <v>18</v>
      </c>
      <c r="E2267" s="618">
        <v>4</v>
      </c>
      <c r="F2267" s="619">
        <v>44810</v>
      </c>
      <c r="G2267" s="619">
        <v>46635</v>
      </c>
      <c r="H2267" s="618" t="s">
        <v>16</v>
      </c>
      <c r="I2267" s="618" t="s">
        <v>51</v>
      </c>
    </row>
    <row r="2268" spans="1:9">
      <c r="A2268" s="620">
        <f t="shared" si="35"/>
        <v>2264</v>
      </c>
      <c r="B2268" s="621" t="s">
        <v>121</v>
      </c>
      <c r="C2268" s="621" t="str">
        <f>"15235"</f>
        <v>15235</v>
      </c>
      <c r="D2268" s="621" t="s">
        <v>18</v>
      </c>
      <c r="E2268" s="621">
        <v>43</v>
      </c>
      <c r="F2268" s="622">
        <v>44775</v>
      </c>
      <c r="G2268" s="622">
        <v>46600</v>
      </c>
      <c r="H2268" s="621" t="s">
        <v>56</v>
      </c>
      <c r="I2268" s="621" t="s">
        <v>51</v>
      </c>
    </row>
    <row r="2269" spans="1:9">
      <c r="A2269" s="617">
        <f t="shared" si="35"/>
        <v>2265</v>
      </c>
      <c r="B2269" s="618" t="s">
        <v>121</v>
      </c>
      <c r="C2269" s="618" t="str">
        <f>"15236"</f>
        <v>15236</v>
      </c>
      <c r="D2269" s="618" t="s">
        <v>18</v>
      </c>
      <c r="E2269" s="618">
        <v>7</v>
      </c>
      <c r="F2269" s="619">
        <v>44775</v>
      </c>
      <c r="G2269" s="619">
        <v>46600</v>
      </c>
      <c r="H2269" s="618" t="s">
        <v>56</v>
      </c>
      <c r="I2269" s="618" t="s">
        <v>51</v>
      </c>
    </row>
    <row r="2270" spans="1:9">
      <c r="A2270" s="620">
        <f t="shared" si="35"/>
        <v>2266</v>
      </c>
      <c r="B2270" s="621" t="s">
        <v>303</v>
      </c>
      <c r="C2270" s="621" t="str">
        <f>"15238"</f>
        <v>15238</v>
      </c>
      <c r="D2270" s="621" t="s">
        <v>18</v>
      </c>
      <c r="E2270" s="621">
        <v>6</v>
      </c>
      <c r="F2270" s="622">
        <v>44783</v>
      </c>
      <c r="G2270" s="622">
        <v>46608</v>
      </c>
      <c r="H2270" s="621" t="s">
        <v>233</v>
      </c>
      <c r="I2270" s="621" t="s">
        <v>51</v>
      </c>
    </row>
    <row r="2271" spans="1:9">
      <c r="A2271" s="617">
        <f t="shared" si="35"/>
        <v>2267</v>
      </c>
      <c r="B2271" s="618" t="s">
        <v>303</v>
      </c>
      <c r="C2271" s="618" t="str">
        <f>"15240"</f>
        <v>15240</v>
      </c>
      <c r="D2271" s="618" t="s">
        <v>18</v>
      </c>
      <c r="E2271" s="618">
        <v>18</v>
      </c>
      <c r="F2271" s="619">
        <v>44783</v>
      </c>
      <c r="G2271" s="619">
        <v>46608</v>
      </c>
      <c r="H2271" s="618" t="s">
        <v>233</v>
      </c>
      <c r="I2271" s="618" t="s">
        <v>51</v>
      </c>
    </row>
    <row r="2272" spans="1:9">
      <c r="A2272" s="620">
        <f t="shared" si="35"/>
        <v>2268</v>
      </c>
      <c r="B2272" s="621" t="s">
        <v>5723</v>
      </c>
      <c r="C2272" s="621" t="str">
        <f>"15242"</f>
        <v>15242</v>
      </c>
      <c r="D2272" s="621" t="s">
        <v>18</v>
      </c>
      <c r="E2272" s="621">
        <v>4</v>
      </c>
      <c r="F2272" s="622">
        <v>45194</v>
      </c>
      <c r="G2272" s="622">
        <v>47020</v>
      </c>
      <c r="H2272" s="621" t="s">
        <v>16</v>
      </c>
      <c r="I2272" s="621" t="s">
        <v>51</v>
      </c>
    </row>
    <row r="2273" spans="1:9">
      <c r="A2273" s="617">
        <f t="shared" si="35"/>
        <v>2269</v>
      </c>
      <c r="B2273" s="618" t="s">
        <v>372</v>
      </c>
      <c r="C2273" s="618" t="str">
        <f>"15243"</f>
        <v>15243</v>
      </c>
      <c r="D2273" s="618" t="s">
        <v>18</v>
      </c>
      <c r="E2273" s="618">
        <v>4</v>
      </c>
      <c r="F2273" s="619">
        <v>44888</v>
      </c>
      <c r="G2273" s="619">
        <v>46713</v>
      </c>
      <c r="H2273" s="618" t="s">
        <v>14</v>
      </c>
      <c r="I2273" s="618" t="s">
        <v>51</v>
      </c>
    </row>
    <row r="2274" spans="1:9">
      <c r="A2274" s="620">
        <f t="shared" si="35"/>
        <v>2270</v>
      </c>
      <c r="B2274" s="621" t="s">
        <v>372</v>
      </c>
      <c r="C2274" s="621" t="str">
        <f>"15244"</f>
        <v>15244</v>
      </c>
      <c r="D2274" s="621" t="s">
        <v>18</v>
      </c>
      <c r="E2274" s="621">
        <v>4</v>
      </c>
      <c r="F2274" s="622">
        <v>44888</v>
      </c>
      <c r="G2274" s="622">
        <v>46713</v>
      </c>
      <c r="H2274" s="621" t="s">
        <v>14</v>
      </c>
      <c r="I2274" s="621" t="s">
        <v>51</v>
      </c>
    </row>
    <row r="2275" spans="1:9">
      <c r="A2275" s="617">
        <f t="shared" si="35"/>
        <v>2271</v>
      </c>
      <c r="B2275" s="618" t="s">
        <v>6885</v>
      </c>
      <c r="C2275" s="618" t="str">
        <f>"15245"</f>
        <v>15245</v>
      </c>
      <c r="D2275" s="618" t="s">
        <v>18</v>
      </c>
      <c r="E2275" s="618">
        <v>9</v>
      </c>
      <c r="F2275" s="619"/>
      <c r="G2275" s="619"/>
      <c r="H2275" s="618" t="s">
        <v>28</v>
      </c>
      <c r="I2275" s="618" t="s">
        <v>459</v>
      </c>
    </row>
    <row r="2276" spans="1:9">
      <c r="A2276" s="620">
        <f t="shared" si="35"/>
        <v>2272</v>
      </c>
      <c r="B2276" s="621" t="s">
        <v>350</v>
      </c>
      <c r="C2276" s="621" t="str">
        <f>"15246"</f>
        <v>15246</v>
      </c>
      <c r="D2276" s="621" t="s">
        <v>18</v>
      </c>
      <c r="E2276" s="621">
        <v>53</v>
      </c>
      <c r="F2276" s="622">
        <v>45049</v>
      </c>
      <c r="G2276" s="622">
        <v>46875</v>
      </c>
      <c r="H2276" s="621" t="s">
        <v>29</v>
      </c>
      <c r="I2276" s="621" t="s">
        <v>51</v>
      </c>
    </row>
    <row r="2277" spans="1:9">
      <c r="A2277" s="617">
        <f t="shared" si="35"/>
        <v>2273</v>
      </c>
      <c r="B2277" s="618" t="s">
        <v>351</v>
      </c>
      <c r="C2277" s="618" t="str">
        <f>"15247"</f>
        <v>15247</v>
      </c>
      <c r="D2277" s="618" t="s">
        <v>18</v>
      </c>
      <c r="E2277" s="618">
        <v>58</v>
      </c>
      <c r="F2277" s="619">
        <v>45049</v>
      </c>
      <c r="G2277" s="619">
        <v>46875</v>
      </c>
      <c r="H2277" s="618" t="s">
        <v>29</v>
      </c>
      <c r="I2277" s="618" t="s">
        <v>51</v>
      </c>
    </row>
    <row r="2278" spans="1:9">
      <c r="A2278" s="620">
        <f t="shared" si="35"/>
        <v>2274</v>
      </c>
      <c r="B2278" s="621" t="s">
        <v>373</v>
      </c>
      <c r="C2278" s="621" t="str">
        <f>"15252"</f>
        <v>15252</v>
      </c>
      <c r="D2278" s="621" t="s">
        <v>18</v>
      </c>
      <c r="E2278" s="621">
        <v>6</v>
      </c>
      <c r="F2278" s="622">
        <v>44638</v>
      </c>
      <c r="G2278" s="622">
        <v>46463</v>
      </c>
      <c r="H2278" s="621" t="s">
        <v>47</v>
      </c>
      <c r="I2278" s="621" t="s">
        <v>51</v>
      </c>
    </row>
    <row r="2279" spans="1:9">
      <c r="A2279" s="617">
        <f t="shared" si="35"/>
        <v>2275</v>
      </c>
      <c r="B2279" s="618" t="s">
        <v>373</v>
      </c>
      <c r="C2279" s="618" t="str">
        <f>"15253"</f>
        <v>15253</v>
      </c>
      <c r="D2279" s="618" t="s">
        <v>18</v>
      </c>
      <c r="E2279" s="618">
        <v>4</v>
      </c>
      <c r="F2279" s="619">
        <v>44638</v>
      </c>
      <c r="G2279" s="619">
        <v>46463</v>
      </c>
      <c r="H2279" s="618" t="s">
        <v>47</v>
      </c>
      <c r="I2279" s="618" t="s">
        <v>51</v>
      </c>
    </row>
    <row r="2280" spans="1:9">
      <c r="A2280" s="620">
        <f t="shared" si="35"/>
        <v>2276</v>
      </c>
      <c r="B2280" s="621" t="s">
        <v>374</v>
      </c>
      <c r="C2280" s="621" t="str">
        <f>"15257"</f>
        <v>15257</v>
      </c>
      <c r="D2280" s="621" t="s">
        <v>18</v>
      </c>
      <c r="E2280" s="621">
        <v>8</v>
      </c>
      <c r="F2280" s="622">
        <v>44896</v>
      </c>
      <c r="G2280" s="622">
        <v>46721</v>
      </c>
      <c r="H2280" s="621" t="s">
        <v>233</v>
      </c>
      <c r="I2280" s="621" t="s">
        <v>51</v>
      </c>
    </row>
    <row r="2281" spans="1:9">
      <c r="A2281" s="617">
        <f t="shared" si="35"/>
        <v>2277</v>
      </c>
      <c r="B2281" s="618" t="s">
        <v>374</v>
      </c>
      <c r="C2281" s="618" t="str">
        <f>"15258"</f>
        <v>15258</v>
      </c>
      <c r="D2281" s="618" t="s">
        <v>18</v>
      </c>
      <c r="E2281" s="618">
        <v>5</v>
      </c>
      <c r="F2281" s="619">
        <v>44896</v>
      </c>
      <c r="G2281" s="619">
        <v>46721</v>
      </c>
      <c r="H2281" s="618" t="s">
        <v>233</v>
      </c>
      <c r="I2281" s="618" t="s">
        <v>51</v>
      </c>
    </row>
    <row r="2282" spans="1:9">
      <c r="A2282" s="620">
        <f t="shared" si="35"/>
        <v>2278</v>
      </c>
      <c r="B2282" s="621" t="s">
        <v>221</v>
      </c>
      <c r="C2282" s="621" t="str">
        <f>"15259"</f>
        <v>15259</v>
      </c>
      <c r="D2282" s="621" t="s">
        <v>18</v>
      </c>
      <c r="E2282" s="621">
        <v>3</v>
      </c>
      <c r="F2282" s="622">
        <v>44889</v>
      </c>
      <c r="G2282" s="622">
        <v>46714</v>
      </c>
      <c r="H2282" s="621" t="s">
        <v>41</v>
      </c>
      <c r="I2282" s="621" t="s">
        <v>51</v>
      </c>
    </row>
    <row r="2283" spans="1:9">
      <c r="A2283" s="617">
        <f t="shared" si="35"/>
        <v>2279</v>
      </c>
      <c r="B2283" s="618" t="s">
        <v>221</v>
      </c>
      <c r="C2283" s="618" t="str">
        <f>"15260"</f>
        <v>15260</v>
      </c>
      <c r="D2283" s="618" t="s">
        <v>18</v>
      </c>
      <c r="E2283" s="618">
        <v>5</v>
      </c>
      <c r="F2283" s="619">
        <v>44889</v>
      </c>
      <c r="G2283" s="619">
        <v>46714</v>
      </c>
      <c r="H2283" s="618" t="s">
        <v>43</v>
      </c>
      <c r="I2283" s="618" t="s">
        <v>51</v>
      </c>
    </row>
    <row r="2284" spans="1:9">
      <c r="A2284" s="620">
        <f t="shared" si="35"/>
        <v>2280</v>
      </c>
      <c r="B2284" s="621" t="s">
        <v>375</v>
      </c>
      <c r="C2284" s="621" t="str">
        <f>"15263"</f>
        <v>15263</v>
      </c>
      <c r="D2284" s="621" t="s">
        <v>18</v>
      </c>
      <c r="E2284" s="621">
        <v>15</v>
      </c>
      <c r="F2284" s="622">
        <v>44896</v>
      </c>
      <c r="G2284" s="622">
        <v>46721</v>
      </c>
      <c r="H2284" s="621" t="s">
        <v>14</v>
      </c>
      <c r="I2284" s="621" t="s">
        <v>51</v>
      </c>
    </row>
    <row r="2285" spans="1:9">
      <c r="A2285" s="617">
        <f t="shared" si="35"/>
        <v>2281</v>
      </c>
      <c r="B2285" s="618" t="s">
        <v>375</v>
      </c>
      <c r="C2285" s="618" t="str">
        <f>"15264"</f>
        <v>15264</v>
      </c>
      <c r="D2285" s="618" t="s">
        <v>18</v>
      </c>
      <c r="E2285" s="618">
        <v>5</v>
      </c>
      <c r="F2285" s="619">
        <v>44896</v>
      </c>
      <c r="G2285" s="619">
        <v>46721</v>
      </c>
      <c r="H2285" s="618" t="s">
        <v>14</v>
      </c>
      <c r="I2285" s="618" t="s">
        <v>51</v>
      </c>
    </row>
    <row r="2286" spans="1:9">
      <c r="A2286" s="620">
        <f t="shared" si="35"/>
        <v>2282</v>
      </c>
      <c r="B2286" s="621" t="s">
        <v>375</v>
      </c>
      <c r="C2286" s="621" t="str">
        <f>"15265"</f>
        <v>15265</v>
      </c>
      <c r="D2286" s="621" t="s">
        <v>18</v>
      </c>
      <c r="E2286" s="621">
        <v>8</v>
      </c>
      <c r="F2286" s="622">
        <v>44896</v>
      </c>
      <c r="G2286" s="622">
        <v>46721</v>
      </c>
      <c r="H2286" s="621" t="s">
        <v>14</v>
      </c>
      <c r="I2286" s="621" t="s">
        <v>51</v>
      </c>
    </row>
    <row r="2287" spans="1:9">
      <c r="A2287" s="617">
        <f t="shared" si="35"/>
        <v>2283</v>
      </c>
      <c r="B2287" s="618" t="s">
        <v>161</v>
      </c>
      <c r="C2287" s="618" t="str">
        <f>"15266"</f>
        <v>15266</v>
      </c>
      <c r="D2287" s="618" t="s">
        <v>18</v>
      </c>
      <c r="E2287" s="618">
        <v>8</v>
      </c>
      <c r="F2287" s="619">
        <v>44747</v>
      </c>
      <c r="G2287" s="619">
        <v>46572</v>
      </c>
      <c r="H2287" s="618" t="s">
        <v>14</v>
      </c>
      <c r="I2287" s="618" t="s">
        <v>51</v>
      </c>
    </row>
    <row r="2288" spans="1:9">
      <c r="A2288" s="620">
        <f t="shared" si="35"/>
        <v>2284</v>
      </c>
      <c r="B2288" s="621" t="s">
        <v>6886</v>
      </c>
      <c r="C2288" s="621" t="str">
        <f>"15267"</f>
        <v>15267</v>
      </c>
      <c r="D2288" s="621" t="s">
        <v>13</v>
      </c>
      <c r="E2288" s="621">
        <v>1</v>
      </c>
      <c r="F2288" s="622">
        <v>45148</v>
      </c>
      <c r="G2288" s="622">
        <v>53261</v>
      </c>
      <c r="H2288" s="621" t="s">
        <v>16</v>
      </c>
      <c r="I2288" s="621" t="s">
        <v>6879</v>
      </c>
    </row>
    <row r="2289" spans="1:9">
      <c r="A2289" s="617">
        <f t="shared" si="35"/>
        <v>2285</v>
      </c>
      <c r="B2289" s="618" t="s">
        <v>5724</v>
      </c>
      <c r="C2289" s="618" t="str">
        <f>"15271"</f>
        <v>15271</v>
      </c>
      <c r="D2289" s="618" t="s">
        <v>18</v>
      </c>
      <c r="E2289" s="618">
        <v>115</v>
      </c>
      <c r="F2289" s="619">
        <v>45034</v>
      </c>
      <c r="G2289" s="619">
        <v>46860</v>
      </c>
      <c r="H2289" s="618" t="s">
        <v>16</v>
      </c>
      <c r="I2289" s="618" t="s">
        <v>51</v>
      </c>
    </row>
    <row r="2290" spans="1:9">
      <c r="A2290" s="620">
        <f t="shared" si="35"/>
        <v>2286</v>
      </c>
      <c r="B2290" s="621" t="s">
        <v>376</v>
      </c>
      <c r="C2290" s="621" t="str">
        <f>"15272"</f>
        <v>15272</v>
      </c>
      <c r="D2290" s="621" t="s">
        <v>18</v>
      </c>
      <c r="E2290" s="621">
        <v>9</v>
      </c>
      <c r="F2290" s="622">
        <v>45013</v>
      </c>
      <c r="G2290" s="622">
        <v>46839</v>
      </c>
      <c r="H2290" s="621" t="s">
        <v>14</v>
      </c>
      <c r="I2290" s="621" t="s">
        <v>51</v>
      </c>
    </row>
    <row r="2291" spans="1:9">
      <c r="A2291" s="617">
        <f t="shared" si="35"/>
        <v>2287</v>
      </c>
      <c r="B2291" s="618" t="s">
        <v>376</v>
      </c>
      <c r="C2291" s="618" t="str">
        <f>"15273"</f>
        <v>15273</v>
      </c>
      <c r="D2291" s="618" t="s">
        <v>18</v>
      </c>
      <c r="E2291" s="618">
        <v>13</v>
      </c>
      <c r="F2291" s="619">
        <v>44888</v>
      </c>
      <c r="G2291" s="619">
        <v>46713</v>
      </c>
      <c r="H2291" s="618" t="s">
        <v>14</v>
      </c>
      <c r="I2291" s="618" t="s">
        <v>51</v>
      </c>
    </row>
    <row r="2292" spans="1:9">
      <c r="A2292" s="620">
        <f t="shared" si="35"/>
        <v>2288</v>
      </c>
      <c r="B2292" s="621" t="s">
        <v>376</v>
      </c>
      <c r="C2292" s="621" t="str">
        <f>"15274"</f>
        <v>15274</v>
      </c>
      <c r="D2292" s="621" t="s">
        <v>18</v>
      </c>
      <c r="E2292" s="621">
        <v>12</v>
      </c>
      <c r="F2292" s="622">
        <v>44888</v>
      </c>
      <c r="G2292" s="622">
        <v>46713</v>
      </c>
      <c r="H2292" s="621" t="s">
        <v>14</v>
      </c>
      <c r="I2292" s="621" t="s">
        <v>51</v>
      </c>
    </row>
    <row r="2293" spans="1:9">
      <c r="A2293" s="617">
        <f t="shared" si="35"/>
        <v>2289</v>
      </c>
      <c r="B2293" s="618" t="s">
        <v>376</v>
      </c>
      <c r="C2293" s="618" t="str">
        <f>"15275"</f>
        <v>15275</v>
      </c>
      <c r="D2293" s="618" t="s">
        <v>18</v>
      </c>
      <c r="E2293" s="618">
        <v>34</v>
      </c>
      <c r="F2293" s="619">
        <v>44888</v>
      </c>
      <c r="G2293" s="619">
        <v>46713</v>
      </c>
      <c r="H2293" s="618" t="s">
        <v>14</v>
      </c>
      <c r="I2293" s="618" t="s">
        <v>6874</v>
      </c>
    </row>
    <row r="2294" spans="1:9">
      <c r="A2294" s="620">
        <f t="shared" si="35"/>
        <v>2290</v>
      </c>
      <c r="B2294" s="621" t="s">
        <v>377</v>
      </c>
      <c r="C2294" s="621" t="str">
        <f>"15276"</f>
        <v>15276</v>
      </c>
      <c r="D2294" s="621" t="s">
        <v>18</v>
      </c>
      <c r="E2294" s="621">
        <v>98</v>
      </c>
      <c r="F2294" s="622">
        <v>44893</v>
      </c>
      <c r="G2294" s="622">
        <v>46718</v>
      </c>
      <c r="H2294" s="621" t="s">
        <v>41</v>
      </c>
      <c r="I2294" s="621" t="s">
        <v>51</v>
      </c>
    </row>
    <row r="2295" spans="1:9">
      <c r="A2295" s="617">
        <f t="shared" si="35"/>
        <v>2291</v>
      </c>
      <c r="B2295" s="618" t="s">
        <v>377</v>
      </c>
      <c r="C2295" s="618" t="str">
        <f>"15277"</f>
        <v>15277</v>
      </c>
      <c r="D2295" s="618" t="s">
        <v>18</v>
      </c>
      <c r="E2295" s="618">
        <v>165</v>
      </c>
      <c r="F2295" s="619">
        <v>44893</v>
      </c>
      <c r="G2295" s="619">
        <v>46718</v>
      </c>
      <c r="H2295" s="618" t="s">
        <v>43</v>
      </c>
      <c r="I2295" s="618" t="s">
        <v>51</v>
      </c>
    </row>
    <row r="2296" spans="1:9">
      <c r="A2296" s="620">
        <f t="shared" si="35"/>
        <v>2292</v>
      </c>
      <c r="B2296" s="621" t="s">
        <v>377</v>
      </c>
      <c r="C2296" s="621" t="str">
        <f>"15278"</f>
        <v>15278</v>
      </c>
      <c r="D2296" s="621" t="s">
        <v>18</v>
      </c>
      <c r="E2296" s="621">
        <v>63</v>
      </c>
      <c r="F2296" s="622">
        <v>44893</v>
      </c>
      <c r="G2296" s="622">
        <v>46718</v>
      </c>
      <c r="H2296" s="621" t="s">
        <v>45</v>
      </c>
      <c r="I2296" s="621" t="s">
        <v>51</v>
      </c>
    </row>
    <row r="2297" spans="1:9">
      <c r="A2297" s="617">
        <f t="shared" si="35"/>
        <v>2293</v>
      </c>
      <c r="B2297" s="618" t="s">
        <v>378</v>
      </c>
      <c r="C2297" s="618" t="str">
        <f>"15279"</f>
        <v>15279</v>
      </c>
      <c r="D2297" s="618" t="s">
        <v>18</v>
      </c>
      <c r="E2297" s="618">
        <v>20</v>
      </c>
      <c r="F2297" s="619">
        <v>44889</v>
      </c>
      <c r="G2297" s="619">
        <v>46714</v>
      </c>
      <c r="H2297" s="618" t="s">
        <v>41</v>
      </c>
      <c r="I2297" s="618" t="s">
        <v>51</v>
      </c>
    </row>
    <row r="2298" spans="1:9">
      <c r="A2298" s="620">
        <f t="shared" si="35"/>
        <v>2294</v>
      </c>
      <c r="B2298" s="621" t="s">
        <v>378</v>
      </c>
      <c r="C2298" s="621" t="str">
        <f>"15280"</f>
        <v>15280</v>
      </c>
      <c r="D2298" s="621" t="s">
        <v>18</v>
      </c>
      <c r="E2298" s="621">
        <v>12</v>
      </c>
      <c r="F2298" s="622">
        <v>44889</v>
      </c>
      <c r="G2298" s="622">
        <v>46714</v>
      </c>
      <c r="H2298" s="621" t="s">
        <v>29</v>
      </c>
      <c r="I2298" s="621" t="s">
        <v>51</v>
      </c>
    </row>
    <row r="2299" spans="1:9">
      <c r="A2299" s="617">
        <f t="shared" si="35"/>
        <v>2295</v>
      </c>
      <c r="B2299" s="618" t="s">
        <v>378</v>
      </c>
      <c r="C2299" s="618" t="str">
        <f>"15281"</f>
        <v>15281</v>
      </c>
      <c r="D2299" s="618" t="s">
        <v>18</v>
      </c>
      <c r="E2299" s="618">
        <v>16</v>
      </c>
      <c r="F2299" s="619">
        <v>44889</v>
      </c>
      <c r="G2299" s="619">
        <v>46714</v>
      </c>
      <c r="H2299" s="618" t="s">
        <v>14</v>
      </c>
      <c r="I2299" s="618" t="s">
        <v>51</v>
      </c>
    </row>
    <row r="2300" spans="1:9">
      <c r="A2300" s="620">
        <f t="shared" si="35"/>
        <v>2296</v>
      </c>
      <c r="B2300" s="621" t="s">
        <v>357</v>
      </c>
      <c r="C2300" s="621" t="str">
        <f>"15282"</f>
        <v>15282</v>
      </c>
      <c r="D2300" s="621" t="s">
        <v>18</v>
      </c>
      <c r="E2300" s="621">
        <v>50</v>
      </c>
      <c r="F2300" s="622">
        <v>44946</v>
      </c>
      <c r="G2300" s="622">
        <v>46771</v>
      </c>
      <c r="H2300" s="621" t="s">
        <v>43</v>
      </c>
      <c r="I2300" s="621" t="s">
        <v>51</v>
      </c>
    </row>
    <row r="2301" spans="1:9">
      <c r="A2301" s="617">
        <f t="shared" si="35"/>
        <v>2297</v>
      </c>
      <c r="B2301" s="618" t="s">
        <v>98</v>
      </c>
      <c r="C2301" s="618" t="str">
        <f>"15283"</f>
        <v>15283</v>
      </c>
      <c r="D2301" s="618" t="s">
        <v>18</v>
      </c>
      <c r="E2301" s="618">
        <v>8</v>
      </c>
      <c r="F2301" s="619">
        <v>44946</v>
      </c>
      <c r="G2301" s="619">
        <v>46771</v>
      </c>
      <c r="H2301" s="618" t="s">
        <v>16</v>
      </c>
      <c r="I2301" s="618" t="s">
        <v>51</v>
      </c>
    </row>
    <row r="2302" spans="1:9">
      <c r="A2302" s="620">
        <f t="shared" si="35"/>
        <v>2298</v>
      </c>
      <c r="B2302" s="621" t="s">
        <v>379</v>
      </c>
      <c r="C2302" s="621" t="str">
        <f>"15284"</f>
        <v>15284</v>
      </c>
      <c r="D2302" s="621" t="s">
        <v>18</v>
      </c>
      <c r="E2302" s="621">
        <v>33</v>
      </c>
      <c r="F2302" s="622">
        <v>44900</v>
      </c>
      <c r="G2302" s="622">
        <v>46725</v>
      </c>
      <c r="H2302" s="621" t="s">
        <v>43</v>
      </c>
      <c r="I2302" s="621" t="s">
        <v>51</v>
      </c>
    </row>
    <row r="2303" spans="1:9">
      <c r="A2303" s="617">
        <f t="shared" si="35"/>
        <v>2299</v>
      </c>
      <c r="B2303" s="618" t="s">
        <v>379</v>
      </c>
      <c r="C2303" s="618" t="str">
        <f>"15285"</f>
        <v>15285</v>
      </c>
      <c r="D2303" s="618" t="s">
        <v>18</v>
      </c>
      <c r="E2303" s="618">
        <v>41</v>
      </c>
      <c r="F2303" s="619">
        <v>44900</v>
      </c>
      <c r="G2303" s="619">
        <v>46725</v>
      </c>
      <c r="H2303" s="618" t="s">
        <v>43</v>
      </c>
      <c r="I2303" s="618" t="s">
        <v>51</v>
      </c>
    </row>
    <row r="2304" spans="1:9">
      <c r="A2304" s="620">
        <f t="shared" si="35"/>
        <v>2300</v>
      </c>
      <c r="B2304" s="621" t="s">
        <v>379</v>
      </c>
      <c r="C2304" s="621" t="str">
        <f>"15286"</f>
        <v>15286</v>
      </c>
      <c r="D2304" s="621" t="s">
        <v>18</v>
      </c>
      <c r="E2304" s="621">
        <v>48</v>
      </c>
      <c r="F2304" s="622">
        <v>44900</v>
      </c>
      <c r="G2304" s="622">
        <v>46725</v>
      </c>
      <c r="H2304" s="621" t="s">
        <v>43</v>
      </c>
      <c r="I2304" s="621" t="s">
        <v>51</v>
      </c>
    </row>
    <row r="2305" spans="1:9">
      <c r="A2305" s="617">
        <f t="shared" si="35"/>
        <v>2301</v>
      </c>
      <c r="B2305" s="618" t="s">
        <v>379</v>
      </c>
      <c r="C2305" s="618" t="str">
        <f>"15287"</f>
        <v>15287</v>
      </c>
      <c r="D2305" s="618" t="s">
        <v>18</v>
      </c>
      <c r="E2305" s="618">
        <v>2</v>
      </c>
      <c r="F2305" s="619">
        <v>44900</v>
      </c>
      <c r="G2305" s="619">
        <v>46725</v>
      </c>
      <c r="H2305" s="618" t="s">
        <v>43</v>
      </c>
      <c r="I2305" s="618" t="s">
        <v>51</v>
      </c>
    </row>
    <row r="2306" spans="1:9">
      <c r="A2306" s="620">
        <f t="shared" si="35"/>
        <v>2302</v>
      </c>
      <c r="B2306" s="621" t="s">
        <v>379</v>
      </c>
      <c r="C2306" s="621" t="str">
        <f>"15288"</f>
        <v>15288</v>
      </c>
      <c r="D2306" s="621" t="s">
        <v>18</v>
      </c>
      <c r="E2306" s="621">
        <v>4</v>
      </c>
      <c r="F2306" s="622">
        <v>44900</v>
      </c>
      <c r="G2306" s="622">
        <v>46725</v>
      </c>
      <c r="H2306" s="621" t="s">
        <v>43</v>
      </c>
      <c r="I2306" s="621" t="s">
        <v>51</v>
      </c>
    </row>
    <row r="2307" spans="1:9">
      <c r="A2307" s="617">
        <f t="shared" si="35"/>
        <v>2303</v>
      </c>
      <c r="B2307" s="618" t="s">
        <v>379</v>
      </c>
      <c r="C2307" s="618" t="str">
        <f>"15289"</f>
        <v>15289</v>
      </c>
      <c r="D2307" s="618" t="s">
        <v>18</v>
      </c>
      <c r="E2307" s="618">
        <v>15</v>
      </c>
      <c r="F2307" s="619">
        <v>44900</v>
      </c>
      <c r="G2307" s="619">
        <v>46725</v>
      </c>
      <c r="H2307" s="618" t="s">
        <v>43</v>
      </c>
      <c r="I2307" s="618" t="s">
        <v>51</v>
      </c>
    </row>
    <row r="2308" spans="1:9">
      <c r="A2308" s="620">
        <f t="shared" si="35"/>
        <v>2304</v>
      </c>
      <c r="B2308" s="621" t="s">
        <v>162</v>
      </c>
      <c r="C2308" s="621" t="str">
        <f>"15290"</f>
        <v>15290</v>
      </c>
      <c r="D2308" s="621" t="s">
        <v>18</v>
      </c>
      <c r="E2308" s="621">
        <v>438</v>
      </c>
      <c r="F2308" s="622">
        <v>45006</v>
      </c>
      <c r="G2308" s="622">
        <v>46832</v>
      </c>
      <c r="H2308" s="621" t="s">
        <v>14</v>
      </c>
      <c r="I2308" s="621" t="s">
        <v>51</v>
      </c>
    </row>
    <row r="2309" spans="1:9">
      <c r="A2309" s="617">
        <f t="shared" si="35"/>
        <v>2305</v>
      </c>
      <c r="B2309" s="618" t="s">
        <v>5688</v>
      </c>
      <c r="C2309" s="618" t="str">
        <f>"15291"</f>
        <v>15291</v>
      </c>
      <c r="D2309" s="618" t="s">
        <v>18</v>
      </c>
      <c r="E2309" s="618">
        <v>2</v>
      </c>
      <c r="F2309" s="619">
        <v>45050</v>
      </c>
      <c r="G2309" s="619">
        <v>46876</v>
      </c>
      <c r="H2309" s="618" t="s">
        <v>14</v>
      </c>
      <c r="I2309" s="618" t="s">
        <v>51</v>
      </c>
    </row>
    <row r="2310" spans="1:9">
      <c r="A2310" s="620">
        <f t="shared" si="35"/>
        <v>2306</v>
      </c>
      <c r="B2310" s="621" t="s">
        <v>201</v>
      </c>
      <c r="C2310" s="621" t="str">
        <f>"15292"</f>
        <v>15292</v>
      </c>
      <c r="D2310" s="621" t="s">
        <v>18</v>
      </c>
      <c r="E2310" s="621">
        <v>10</v>
      </c>
      <c r="F2310" s="622">
        <v>44957</v>
      </c>
      <c r="G2310" s="622">
        <v>46782</v>
      </c>
      <c r="H2310" s="621" t="s">
        <v>14</v>
      </c>
      <c r="I2310" s="621" t="s">
        <v>51</v>
      </c>
    </row>
    <row r="2311" spans="1:9">
      <c r="A2311" s="617">
        <f t="shared" ref="A2311:A2374" si="36">+A2310+1</f>
        <v>2307</v>
      </c>
      <c r="B2311" s="618" t="s">
        <v>201</v>
      </c>
      <c r="C2311" s="618" t="str">
        <f>"15293"</f>
        <v>15293</v>
      </c>
      <c r="D2311" s="618" t="s">
        <v>18</v>
      </c>
      <c r="E2311" s="618">
        <v>6</v>
      </c>
      <c r="F2311" s="619">
        <v>44957</v>
      </c>
      <c r="G2311" s="619">
        <v>46782</v>
      </c>
      <c r="H2311" s="618" t="s">
        <v>14</v>
      </c>
      <c r="I2311" s="618" t="s">
        <v>51</v>
      </c>
    </row>
    <row r="2312" spans="1:9">
      <c r="A2312" s="620">
        <f t="shared" si="36"/>
        <v>2308</v>
      </c>
      <c r="B2312" s="621" t="s">
        <v>201</v>
      </c>
      <c r="C2312" s="621" t="str">
        <f>"15294"</f>
        <v>15294</v>
      </c>
      <c r="D2312" s="621" t="s">
        <v>18</v>
      </c>
      <c r="E2312" s="621">
        <v>2</v>
      </c>
      <c r="F2312" s="622">
        <v>44957</v>
      </c>
      <c r="G2312" s="622">
        <v>46782</v>
      </c>
      <c r="H2312" s="621" t="s">
        <v>14</v>
      </c>
      <c r="I2312" s="621" t="s">
        <v>51</v>
      </c>
    </row>
    <row r="2313" spans="1:9">
      <c r="A2313" s="617">
        <f t="shared" si="36"/>
        <v>2309</v>
      </c>
      <c r="B2313" s="618" t="s">
        <v>5689</v>
      </c>
      <c r="C2313" s="618" t="str">
        <f>"15295"</f>
        <v>15295</v>
      </c>
      <c r="D2313" s="618" t="s">
        <v>18</v>
      </c>
      <c r="E2313" s="618">
        <v>3</v>
      </c>
      <c r="F2313" s="619">
        <v>44966</v>
      </c>
      <c r="G2313" s="619">
        <v>46791</v>
      </c>
      <c r="H2313" s="618" t="s">
        <v>14</v>
      </c>
      <c r="I2313" s="618" t="s">
        <v>51</v>
      </c>
    </row>
    <row r="2314" spans="1:9">
      <c r="A2314" s="620">
        <f t="shared" si="36"/>
        <v>2310</v>
      </c>
      <c r="B2314" s="621" t="s">
        <v>5717</v>
      </c>
      <c r="C2314" s="621" t="str">
        <f>"15296"</f>
        <v>15296</v>
      </c>
      <c r="D2314" s="621" t="s">
        <v>18</v>
      </c>
      <c r="E2314" s="621">
        <v>7</v>
      </c>
      <c r="F2314" s="622">
        <v>44566</v>
      </c>
      <c r="G2314" s="622">
        <v>46391</v>
      </c>
      <c r="H2314" s="621" t="s">
        <v>28</v>
      </c>
      <c r="I2314" s="621" t="s">
        <v>51</v>
      </c>
    </row>
    <row r="2315" spans="1:9">
      <c r="A2315" s="617">
        <f t="shared" si="36"/>
        <v>2311</v>
      </c>
      <c r="B2315" s="618" t="s">
        <v>121</v>
      </c>
      <c r="C2315" s="618" t="str">
        <f>"15297"</f>
        <v>15297</v>
      </c>
      <c r="D2315" s="618" t="s">
        <v>18</v>
      </c>
      <c r="E2315" s="618">
        <v>170</v>
      </c>
      <c r="F2315" s="619">
        <v>44931</v>
      </c>
      <c r="G2315" s="619">
        <v>46756</v>
      </c>
      <c r="H2315" s="618" t="s">
        <v>28</v>
      </c>
      <c r="I2315" s="618" t="s">
        <v>51</v>
      </c>
    </row>
    <row r="2316" spans="1:9">
      <c r="A2316" s="620">
        <f t="shared" si="36"/>
        <v>2312</v>
      </c>
      <c r="B2316" s="621" t="s">
        <v>121</v>
      </c>
      <c r="C2316" s="621" t="str">
        <f>"15298"</f>
        <v>15298</v>
      </c>
      <c r="D2316" s="621" t="s">
        <v>18</v>
      </c>
      <c r="E2316" s="621">
        <v>30</v>
      </c>
      <c r="F2316" s="622">
        <v>44931</v>
      </c>
      <c r="G2316" s="622">
        <v>46756</v>
      </c>
      <c r="H2316" s="621" t="s">
        <v>28</v>
      </c>
      <c r="I2316" s="621" t="s">
        <v>51</v>
      </c>
    </row>
    <row r="2317" spans="1:9">
      <c r="A2317" s="617">
        <f t="shared" si="36"/>
        <v>2313</v>
      </c>
      <c r="B2317" s="618" t="s">
        <v>121</v>
      </c>
      <c r="C2317" s="618" t="str">
        <f>"15299"</f>
        <v>15299</v>
      </c>
      <c r="D2317" s="618" t="s">
        <v>18</v>
      </c>
      <c r="E2317" s="618">
        <v>152</v>
      </c>
      <c r="F2317" s="619">
        <v>44931</v>
      </c>
      <c r="G2317" s="619">
        <v>46756</v>
      </c>
      <c r="H2317" s="618" t="s">
        <v>28</v>
      </c>
      <c r="I2317" s="618" t="s">
        <v>51</v>
      </c>
    </row>
    <row r="2318" spans="1:9">
      <c r="A2318" s="620">
        <f t="shared" si="36"/>
        <v>2314</v>
      </c>
      <c r="B2318" s="621" t="s">
        <v>121</v>
      </c>
      <c r="C2318" s="621" t="str">
        <f>"15300"</f>
        <v>15300</v>
      </c>
      <c r="D2318" s="621" t="s">
        <v>18</v>
      </c>
      <c r="E2318" s="621">
        <v>47</v>
      </c>
      <c r="F2318" s="622">
        <v>44888</v>
      </c>
      <c r="G2318" s="622">
        <v>46713</v>
      </c>
      <c r="H2318" s="621" t="s">
        <v>28</v>
      </c>
      <c r="I2318" s="621" t="s">
        <v>51</v>
      </c>
    </row>
    <row r="2319" spans="1:9">
      <c r="A2319" s="617">
        <f t="shared" si="36"/>
        <v>2315</v>
      </c>
      <c r="B2319" s="618" t="s">
        <v>121</v>
      </c>
      <c r="C2319" s="618" t="str">
        <f>"15301"</f>
        <v>15301</v>
      </c>
      <c r="D2319" s="618" t="s">
        <v>18</v>
      </c>
      <c r="E2319" s="618">
        <v>65</v>
      </c>
      <c r="F2319" s="619">
        <v>44931</v>
      </c>
      <c r="G2319" s="619">
        <v>46756</v>
      </c>
      <c r="H2319" s="618" t="s">
        <v>41</v>
      </c>
      <c r="I2319" s="618" t="s">
        <v>51</v>
      </c>
    </row>
    <row r="2320" spans="1:9">
      <c r="A2320" s="620">
        <f t="shared" si="36"/>
        <v>2316</v>
      </c>
      <c r="B2320" s="621" t="s">
        <v>121</v>
      </c>
      <c r="C2320" s="621" t="str">
        <f>"15302"</f>
        <v>15302</v>
      </c>
      <c r="D2320" s="621" t="s">
        <v>18</v>
      </c>
      <c r="E2320" s="621">
        <v>35</v>
      </c>
      <c r="F2320" s="622">
        <v>45007</v>
      </c>
      <c r="G2320" s="622">
        <v>46833</v>
      </c>
      <c r="H2320" s="621" t="s">
        <v>28</v>
      </c>
      <c r="I2320" s="621" t="s">
        <v>51</v>
      </c>
    </row>
    <row r="2321" spans="1:9">
      <c r="A2321" s="617">
        <f t="shared" si="36"/>
        <v>2317</v>
      </c>
      <c r="B2321" s="618" t="s">
        <v>282</v>
      </c>
      <c r="C2321" s="618" t="str">
        <f>"15303"</f>
        <v>15303</v>
      </c>
      <c r="D2321" s="618" t="s">
        <v>18</v>
      </c>
      <c r="E2321" s="618">
        <v>55</v>
      </c>
      <c r="F2321" s="619">
        <v>44566</v>
      </c>
      <c r="G2321" s="619">
        <v>46391</v>
      </c>
      <c r="H2321" s="618" t="s">
        <v>28</v>
      </c>
      <c r="I2321" s="618" t="s">
        <v>51</v>
      </c>
    </row>
    <row r="2322" spans="1:9">
      <c r="A2322" s="620">
        <f t="shared" si="36"/>
        <v>2318</v>
      </c>
      <c r="B2322" s="621" t="s">
        <v>282</v>
      </c>
      <c r="C2322" s="621" t="str">
        <f>"15304"</f>
        <v>15304</v>
      </c>
      <c r="D2322" s="621" t="s">
        <v>18</v>
      </c>
      <c r="E2322" s="621">
        <v>45</v>
      </c>
      <c r="F2322" s="622">
        <v>44566</v>
      </c>
      <c r="G2322" s="622">
        <v>46391</v>
      </c>
      <c r="H2322" s="621" t="s">
        <v>28</v>
      </c>
      <c r="I2322" s="621" t="s">
        <v>51</v>
      </c>
    </row>
    <row r="2323" spans="1:9">
      <c r="A2323" s="617">
        <f t="shared" si="36"/>
        <v>2319</v>
      </c>
      <c r="B2323" s="618" t="s">
        <v>363</v>
      </c>
      <c r="C2323" s="618" t="str">
        <f>"15307"</f>
        <v>15307</v>
      </c>
      <c r="D2323" s="618" t="s">
        <v>18</v>
      </c>
      <c r="E2323" s="618">
        <v>20</v>
      </c>
      <c r="F2323" s="619">
        <v>44966</v>
      </c>
      <c r="G2323" s="619">
        <v>46791</v>
      </c>
      <c r="H2323" s="618" t="s">
        <v>41</v>
      </c>
      <c r="I2323" s="618" t="s">
        <v>51</v>
      </c>
    </row>
    <row r="2324" spans="1:9">
      <c r="A2324" s="620">
        <f t="shared" si="36"/>
        <v>2320</v>
      </c>
      <c r="B2324" s="621" t="s">
        <v>363</v>
      </c>
      <c r="C2324" s="621" t="str">
        <f>"15308"</f>
        <v>15308</v>
      </c>
      <c r="D2324" s="621" t="s">
        <v>18</v>
      </c>
      <c r="E2324" s="621">
        <v>32</v>
      </c>
      <c r="F2324" s="622">
        <v>44966</v>
      </c>
      <c r="G2324" s="622">
        <v>46791</v>
      </c>
      <c r="H2324" s="621" t="s">
        <v>41</v>
      </c>
      <c r="I2324" s="621" t="s">
        <v>51</v>
      </c>
    </row>
    <row r="2325" spans="1:9">
      <c r="A2325" s="617">
        <f t="shared" si="36"/>
        <v>2321</v>
      </c>
      <c r="B2325" s="618" t="s">
        <v>380</v>
      </c>
      <c r="C2325" s="618" t="str">
        <f>"15311"</f>
        <v>15311</v>
      </c>
      <c r="D2325" s="618" t="s">
        <v>18</v>
      </c>
      <c r="E2325" s="618">
        <v>12</v>
      </c>
      <c r="F2325" s="619">
        <v>44900</v>
      </c>
      <c r="G2325" s="619">
        <v>46725</v>
      </c>
      <c r="H2325" s="618" t="s">
        <v>16</v>
      </c>
      <c r="I2325" s="618" t="s">
        <v>6868</v>
      </c>
    </row>
    <row r="2326" spans="1:9">
      <c r="A2326" s="620">
        <f t="shared" si="36"/>
        <v>2322</v>
      </c>
      <c r="B2326" s="621" t="s">
        <v>380</v>
      </c>
      <c r="C2326" s="621" t="str">
        <f>"15312"</f>
        <v>15312</v>
      </c>
      <c r="D2326" s="621" t="s">
        <v>18</v>
      </c>
      <c r="E2326" s="621">
        <v>13</v>
      </c>
      <c r="F2326" s="622">
        <v>44900</v>
      </c>
      <c r="G2326" s="622">
        <v>46725</v>
      </c>
      <c r="H2326" s="621" t="s">
        <v>16</v>
      </c>
      <c r="I2326" s="621" t="s">
        <v>6868</v>
      </c>
    </row>
    <row r="2327" spans="1:9">
      <c r="A2327" s="617">
        <f t="shared" si="36"/>
        <v>2323</v>
      </c>
      <c r="B2327" s="618" t="s">
        <v>381</v>
      </c>
      <c r="C2327" s="618" t="str">
        <f>"15313"</f>
        <v>15313</v>
      </c>
      <c r="D2327" s="618" t="s">
        <v>18</v>
      </c>
      <c r="E2327" s="618">
        <v>29</v>
      </c>
      <c r="F2327" s="619">
        <v>44903</v>
      </c>
      <c r="G2327" s="619">
        <v>46728</v>
      </c>
      <c r="H2327" s="618" t="s">
        <v>29</v>
      </c>
      <c r="I2327" s="618" t="s">
        <v>51</v>
      </c>
    </row>
    <row r="2328" spans="1:9">
      <c r="A2328" s="620">
        <f t="shared" si="36"/>
        <v>2324</v>
      </c>
      <c r="B2328" s="621" t="s">
        <v>382</v>
      </c>
      <c r="C2328" s="621" t="str">
        <f>"15315"</f>
        <v>15315</v>
      </c>
      <c r="D2328" s="621" t="s">
        <v>18</v>
      </c>
      <c r="E2328" s="621">
        <v>5</v>
      </c>
      <c r="F2328" s="622">
        <v>44915</v>
      </c>
      <c r="G2328" s="622">
        <v>46740</v>
      </c>
      <c r="H2328" s="621" t="s">
        <v>14</v>
      </c>
      <c r="I2328" s="621" t="s">
        <v>51</v>
      </c>
    </row>
    <row r="2329" spans="1:9">
      <c r="A2329" s="617">
        <f t="shared" si="36"/>
        <v>2325</v>
      </c>
      <c r="B2329" s="618" t="s">
        <v>382</v>
      </c>
      <c r="C2329" s="618" t="str">
        <f>"15316"</f>
        <v>15316</v>
      </c>
      <c r="D2329" s="618" t="s">
        <v>18</v>
      </c>
      <c r="E2329" s="618">
        <v>20</v>
      </c>
      <c r="F2329" s="619">
        <v>44901</v>
      </c>
      <c r="G2329" s="619">
        <v>46726</v>
      </c>
      <c r="H2329" s="618" t="s">
        <v>14</v>
      </c>
      <c r="I2329" s="618" t="s">
        <v>51</v>
      </c>
    </row>
    <row r="2330" spans="1:9">
      <c r="A2330" s="620">
        <f t="shared" si="36"/>
        <v>2326</v>
      </c>
      <c r="B2330" s="621" t="s">
        <v>382</v>
      </c>
      <c r="C2330" s="621" t="str">
        <f>"15317"</f>
        <v>15317</v>
      </c>
      <c r="D2330" s="621" t="s">
        <v>18</v>
      </c>
      <c r="E2330" s="621">
        <v>8</v>
      </c>
      <c r="F2330" s="622">
        <v>44901</v>
      </c>
      <c r="G2330" s="622">
        <v>46726</v>
      </c>
      <c r="H2330" s="621" t="s">
        <v>14</v>
      </c>
      <c r="I2330" s="621" t="s">
        <v>51</v>
      </c>
    </row>
    <row r="2331" spans="1:9">
      <c r="A2331" s="617">
        <f t="shared" si="36"/>
        <v>2327</v>
      </c>
      <c r="B2331" s="618" t="s">
        <v>320</v>
      </c>
      <c r="C2331" s="618" t="str">
        <f>"15318"</f>
        <v>15318</v>
      </c>
      <c r="D2331" s="618" t="s">
        <v>18</v>
      </c>
      <c r="E2331" s="618">
        <v>34</v>
      </c>
      <c r="F2331" s="619">
        <v>44984</v>
      </c>
      <c r="G2331" s="619">
        <v>46809</v>
      </c>
      <c r="H2331" s="618" t="s">
        <v>16</v>
      </c>
      <c r="I2331" s="618" t="s">
        <v>51</v>
      </c>
    </row>
    <row r="2332" spans="1:9">
      <c r="A2332" s="620">
        <f t="shared" si="36"/>
        <v>2328</v>
      </c>
      <c r="B2332" s="621" t="s">
        <v>161</v>
      </c>
      <c r="C2332" s="621" t="str">
        <f>"15320"</f>
        <v>15320</v>
      </c>
      <c r="D2332" s="621" t="s">
        <v>18</v>
      </c>
      <c r="E2332" s="621">
        <v>6</v>
      </c>
      <c r="F2332" s="622">
        <v>45005</v>
      </c>
      <c r="G2332" s="622">
        <v>46831</v>
      </c>
      <c r="H2332" s="621" t="s">
        <v>14</v>
      </c>
      <c r="I2332" s="621" t="s">
        <v>51</v>
      </c>
    </row>
    <row r="2333" spans="1:9">
      <c r="A2333" s="617">
        <f t="shared" si="36"/>
        <v>2329</v>
      </c>
      <c r="B2333" s="618" t="s">
        <v>5738</v>
      </c>
      <c r="C2333" s="618" t="str">
        <f>"15324"</f>
        <v>15324</v>
      </c>
      <c r="D2333" s="618" t="s">
        <v>18</v>
      </c>
      <c r="E2333" s="618">
        <v>35</v>
      </c>
      <c r="F2333" s="619">
        <v>44967</v>
      </c>
      <c r="G2333" s="619">
        <v>46792</v>
      </c>
      <c r="H2333" s="618" t="s">
        <v>43</v>
      </c>
      <c r="I2333" s="618" t="s">
        <v>51</v>
      </c>
    </row>
    <row r="2334" spans="1:9">
      <c r="A2334" s="620">
        <f t="shared" si="36"/>
        <v>2330</v>
      </c>
      <c r="B2334" s="621" t="s">
        <v>5708</v>
      </c>
      <c r="C2334" s="621" t="str">
        <f>"15325"</f>
        <v>15325</v>
      </c>
      <c r="D2334" s="621" t="s">
        <v>18</v>
      </c>
      <c r="E2334" s="621">
        <v>30</v>
      </c>
      <c r="F2334" s="622">
        <v>44980</v>
      </c>
      <c r="G2334" s="622">
        <v>46805</v>
      </c>
      <c r="H2334" s="621" t="s">
        <v>45</v>
      </c>
      <c r="I2334" s="621" t="s">
        <v>51</v>
      </c>
    </row>
    <row r="2335" spans="1:9">
      <c r="A2335" s="617">
        <f t="shared" si="36"/>
        <v>2331</v>
      </c>
      <c r="B2335" s="618" t="s">
        <v>194</v>
      </c>
      <c r="C2335" s="618" t="str">
        <f>"15327"</f>
        <v>15327</v>
      </c>
      <c r="D2335" s="618" t="s">
        <v>18</v>
      </c>
      <c r="E2335" s="618">
        <v>10</v>
      </c>
      <c r="F2335" s="619">
        <v>45083</v>
      </c>
      <c r="G2335" s="619">
        <v>46909</v>
      </c>
      <c r="H2335" s="618" t="s">
        <v>293</v>
      </c>
      <c r="I2335" s="618" t="s">
        <v>51</v>
      </c>
    </row>
    <row r="2336" spans="1:9">
      <c r="A2336" s="620">
        <f t="shared" si="36"/>
        <v>2332</v>
      </c>
      <c r="B2336" s="621" t="s">
        <v>194</v>
      </c>
      <c r="C2336" s="621" t="str">
        <f>"15328"</f>
        <v>15328</v>
      </c>
      <c r="D2336" s="621" t="s">
        <v>18</v>
      </c>
      <c r="E2336" s="621">
        <v>2</v>
      </c>
      <c r="F2336" s="622">
        <v>45083</v>
      </c>
      <c r="G2336" s="622">
        <v>46909</v>
      </c>
      <c r="H2336" s="621" t="s">
        <v>20</v>
      </c>
      <c r="I2336" s="621" t="s">
        <v>51</v>
      </c>
    </row>
    <row r="2337" spans="1:9">
      <c r="A2337" s="617">
        <f t="shared" si="36"/>
        <v>2333</v>
      </c>
      <c r="B2337" s="618" t="s">
        <v>194</v>
      </c>
      <c r="C2337" s="618" t="str">
        <f>"15330"</f>
        <v>15330</v>
      </c>
      <c r="D2337" s="618" t="s">
        <v>18</v>
      </c>
      <c r="E2337" s="618">
        <v>6</v>
      </c>
      <c r="F2337" s="619">
        <v>45083</v>
      </c>
      <c r="G2337" s="619">
        <v>46909</v>
      </c>
      <c r="H2337" s="618" t="s">
        <v>45</v>
      </c>
      <c r="I2337" s="618" t="s">
        <v>51</v>
      </c>
    </row>
    <row r="2338" spans="1:9">
      <c r="A2338" s="620">
        <f t="shared" si="36"/>
        <v>2334</v>
      </c>
      <c r="B2338" s="621" t="s">
        <v>465</v>
      </c>
      <c r="C2338" s="621" t="str">
        <f>"15332"</f>
        <v>15332</v>
      </c>
      <c r="D2338" s="621" t="s">
        <v>18</v>
      </c>
      <c r="E2338" s="621">
        <v>33</v>
      </c>
      <c r="F2338" s="622">
        <v>45007</v>
      </c>
      <c r="G2338" s="622">
        <v>46833</v>
      </c>
      <c r="H2338" s="621" t="s">
        <v>47</v>
      </c>
      <c r="I2338" s="621" t="s">
        <v>51</v>
      </c>
    </row>
    <row r="2339" spans="1:9">
      <c r="A2339" s="617">
        <f t="shared" si="36"/>
        <v>2335</v>
      </c>
      <c r="B2339" s="618" t="s">
        <v>465</v>
      </c>
      <c r="C2339" s="618" t="str">
        <f>"15333"</f>
        <v>15333</v>
      </c>
      <c r="D2339" s="618" t="s">
        <v>18</v>
      </c>
      <c r="E2339" s="618">
        <v>9</v>
      </c>
      <c r="F2339" s="619">
        <v>44917</v>
      </c>
      <c r="G2339" s="619">
        <v>46742</v>
      </c>
      <c r="H2339" s="618" t="s">
        <v>47</v>
      </c>
      <c r="I2339" s="618" t="s">
        <v>51</v>
      </c>
    </row>
    <row r="2340" spans="1:9">
      <c r="A2340" s="620">
        <f t="shared" si="36"/>
        <v>2336</v>
      </c>
      <c r="B2340" s="621" t="s">
        <v>195</v>
      </c>
      <c r="C2340" s="621" t="str">
        <f>"15337"</f>
        <v>15337</v>
      </c>
      <c r="D2340" s="621" t="s">
        <v>18</v>
      </c>
      <c r="E2340" s="621">
        <v>1</v>
      </c>
      <c r="F2340" s="622">
        <v>45050</v>
      </c>
      <c r="G2340" s="622">
        <v>46876</v>
      </c>
      <c r="H2340" s="621" t="s">
        <v>43</v>
      </c>
      <c r="I2340" s="621" t="s">
        <v>51</v>
      </c>
    </row>
    <row r="2341" spans="1:9">
      <c r="A2341" s="617">
        <f t="shared" si="36"/>
        <v>2337</v>
      </c>
      <c r="B2341" s="618" t="s">
        <v>1884</v>
      </c>
      <c r="C2341" s="618" t="str">
        <f>"15338"</f>
        <v>15338</v>
      </c>
      <c r="D2341" s="618" t="s">
        <v>18</v>
      </c>
      <c r="E2341" s="618">
        <v>72</v>
      </c>
      <c r="F2341" s="619">
        <v>45215</v>
      </c>
      <c r="G2341" s="619">
        <v>47041</v>
      </c>
      <c r="H2341" s="618" t="s">
        <v>28</v>
      </c>
      <c r="I2341" s="618" t="s">
        <v>51</v>
      </c>
    </row>
    <row r="2342" spans="1:9">
      <c r="A2342" s="620">
        <f t="shared" si="36"/>
        <v>2338</v>
      </c>
      <c r="B2342" s="621" t="s">
        <v>1884</v>
      </c>
      <c r="C2342" s="621" t="str">
        <f>"15339"</f>
        <v>15339</v>
      </c>
      <c r="D2342" s="621" t="s">
        <v>18</v>
      </c>
      <c r="E2342" s="621">
        <v>54</v>
      </c>
      <c r="F2342" s="622">
        <v>45215</v>
      </c>
      <c r="G2342" s="622">
        <v>47041</v>
      </c>
      <c r="H2342" s="621" t="s">
        <v>28</v>
      </c>
      <c r="I2342" s="621" t="s">
        <v>51</v>
      </c>
    </row>
    <row r="2343" spans="1:9">
      <c r="A2343" s="617">
        <f t="shared" si="36"/>
        <v>2339</v>
      </c>
      <c r="B2343" s="618" t="s">
        <v>1884</v>
      </c>
      <c r="C2343" s="618" t="str">
        <f>"15340"</f>
        <v>15340</v>
      </c>
      <c r="D2343" s="618" t="s">
        <v>18</v>
      </c>
      <c r="E2343" s="618">
        <v>49</v>
      </c>
      <c r="F2343" s="619">
        <v>45215</v>
      </c>
      <c r="G2343" s="619">
        <v>47041</v>
      </c>
      <c r="H2343" s="618" t="s">
        <v>28</v>
      </c>
      <c r="I2343" s="618" t="s">
        <v>51</v>
      </c>
    </row>
    <row r="2344" spans="1:9">
      <c r="A2344" s="620">
        <f t="shared" si="36"/>
        <v>2340</v>
      </c>
      <c r="B2344" s="621" t="s">
        <v>986</v>
      </c>
      <c r="C2344" s="621" t="str">
        <f>"15341"</f>
        <v>15341</v>
      </c>
      <c r="D2344" s="621" t="s">
        <v>18</v>
      </c>
      <c r="E2344" s="621">
        <v>135</v>
      </c>
      <c r="F2344" s="622">
        <v>44994</v>
      </c>
      <c r="G2344" s="622">
        <v>46820</v>
      </c>
      <c r="H2344" s="621" t="s">
        <v>16</v>
      </c>
      <c r="I2344" s="621" t="s">
        <v>51</v>
      </c>
    </row>
    <row r="2345" spans="1:9">
      <c r="A2345" s="617">
        <f t="shared" si="36"/>
        <v>2341</v>
      </c>
      <c r="B2345" s="618" t="s">
        <v>166</v>
      </c>
      <c r="C2345" s="618" t="str">
        <f>"15342"</f>
        <v>15342</v>
      </c>
      <c r="D2345" s="618" t="s">
        <v>18</v>
      </c>
      <c r="E2345" s="618">
        <v>40</v>
      </c>
      <c r="F2345" s="619">
        <v>44985</v>
      </c>
      <c r="G2345" s="619">
        <v>46810</v>
      </c>
      <c r="H2345" s="618" t="s">
        <v>14</v>
      </c>
      <c r="I2345" s="618" t="s">
        <v>51</v>
      </c>
    </row>
    <row r="2346" spans="1:9">
      <c r="A2346" s="620">
        <f t="shared" si="36"/>
        <v>2342</v>
      </c>
      <c r="B2346" s="621" t="s">
        <v>221</v>
      </c>
      <c r="C2346" s="621" t="str">
        <f>"15353"</f>
        <v>15353</v>
      </c>
      <c r="D2346" s="621" t="s">
        <v>18</v>
      </c>
      <c r="E2346" s="621">
        <v>73</v>
      </c>
      <c r="F2346" s="622">
        <v>45026</v>
      </c>
      <c r="G2346" s="622">
        <v>46852</v>
      </c>
      <c r="H2346" s="621" t="s">
        <v>56</v>
      </c>
      <c r="I2346" s="621" t="s">
        <v>51</v>
      </c>
    </row>
    <row r="2347" spans="1:9">
      <c r="A2347" s="617">
        <f t="shared" si="36"/>
        <v>2343</v>
      </c>
      <c r="B2347" s="618" t="s">
        <v>166</v>
      </c>
      <c r="C2347" s="618" t="str">
        <f>"15355"</f>
        <v>15355</v>
      </c>
      <c r="D2347" s="618" t="s">
        <v>18</v>
      </c>
      <c r="E2347" s="618">
        <v>48</v>
      </c>
      <c r="F2347" s="619">
        <v>45020</v>
      </c>
      <c r="G2347" s="619">
        <v>46846</v>
      </c>
      <c r="H2347" s="618" t="s">
        <v>14</v>
      </c>
      <c r="I2347" s="618" t="s">
        <v>51</v>
      </c>
    </row>
    <row r="2348" spans="1:9">
      <c r="A2348" s="620">
        <f t="shared" si="36"/>
        <v>2344</v>
      </c>
      <c r="B2348" s="621" t="s">
        <v>466</v>
      </c>
      <c r="C2348" s="621" t="str">
        <f>"15356"</f>
        <v>15356</v>
      </c>
      <c r="D2348" s="621" t="s">
        <v>18</v>
      </c>
      <c r="E2348" s="621">
        <v>8</v>
      </c>
      <c r="F2348" s="622">
        <v>44989</v>
      </c>
      <c r="G2348" s="622">
        <v>46815</v>
      </c>
      <c r="H2348" s="621" t="s">
        <v>14</v>
      </c>
      <c r="I2348" s="621" t="s">
        <v>51</v>
      </c>
    </row>
    <row r="2349" spans="1:9">
      <c r="A2349" s="617">
        <f t="shared" si="36"/>
        <v>2345</v>
      </c>
      <c r="B2349" s="618" t="s">
        <v>466</v>
      </c>
      <c r="C2349" s="618" t="str">
        <f>"15357"</f>
        <v>15357</v>
      </c>
      <c r="D2349" s="618" t="s">
        <v>18</v>
      </c>
      <c r="E2349" s="618">
        <v>10</v>
      </c>
      <c r="F2349" s="619">
        <v>44989</v>
      </c>
      <c r="G2349" s="619">
        <v>46815</v>
      </c>
      <c r="H2349" s="618" t="s">
        <v>14</v>
      </c>
      <c r="I2349" s="618" t="s">
        <v>51</v>
      </c>
    </row>
    <row r="2350" spans="1:9">
      <c r="A2350" s="620">
        <f t="shared" si="36"/>
        <v>2346</v>
      </c>
      <c r="B2350" s="621" t="s">
        <v>466</v>
      </c>
      <c r="C2350" s="621" t="str">
        <f>"15358"</f>
        <v>15358</v>
      </c>
      <c r="D2350" s="621" t="s">
        <v>18</v>
      </c>
      <c r="E2350" s="621">
        <v>12</v>
      </c>
      <c r="F2350" s="622">
        <v>44989</v>
      </c>
      <c r="G2350" s="622">
        <v>46815</v>
      </c>
      <c r="H2350" s="621" t="s">
        <v>14</v>
      </c>
      <c r="I2350" s="621" t="s">
        <v>51</v>
      </c>
    </row>
    <row r="2351" spans="1:9">
      <c r="A2351" s="617">
        <f t="shared" si="36"/>
        <v>2347</v>
      </c>
      <c r="B2351" s="618" t="s">
        <v>1887</v>
      </c>
      <c r="C2351" s="618" t="str">
        <f>"15359"</f>
        <v>15359</v>
      </c>
      <c r="D2351" s="618" t="s">
        <v>18</v>
      </c>
      <c r="E2351" s="618">
        <v>8</v>
      </c>
      <c r="F2351" s="619">
        <v>45051</v>
      </c>
      <c r="G2351" s="619">
        <v>46877</v>
      </c>
      <c r="H2351" s="618" t="s">
        <v>19</v>
      </c>
      <c r="I2351" s="618" t="s">
        <v>51</v>
      </c>
    </row>
    <row r="2352" spans="1:9">
      <c r="A2352" s="620">
        <f t="shared" si="36"/>
        <v>2348</v>
      </c>
      <c r="B2352" s="621" t="s">
        <v>1887</v>
      </c>
      <c r="C2352" s="621" t="str">
        <f>"15360"</f>
        <v>15360</v>
      </c>
      <c r="D2352" s="621" t="s">
        <v>18</v>
      </c>
      <c r="E2352" s="621">
        <v>7</v>
      </c>
      <c r="F2352" s="622">
        <v>45051</v>
      </c>
      <c r="G2352" s="622">
        <v>46877</v>
      </c>
      <c r="H2352" s="621" t="s">
        <v>19</v>
      </c>
      <c r="I2352" s="621" t="s">
        <v>51</v>
      </c>
    </row>
    <row r="2353" spans="1:9">
      <c r="A2353" s="617">
        <f t="shared" si="36"/>
        <v>2349</v>
      </c>
      <c r="B2353" s="618" t="s">
        <v>1887</v>
      </c>
      <c r="C2353" s="618" t="str">
        <f>"15361"</f>
        <v>15361</v>
      </c>
      <c r="D2353" s="618" t="s">
        <v>18</v>
      </c>
      <c r="E2353" s="618">
        <v>3</v>
      </c>
      <c r="F2353" s="619">
        <v>45051</v>
      </c>
      <c r="G2353" s="619">
        <v>46877</v>
      </c>
      <c r="H2353" s="618" t="s">
        <v>19</v>
      </c>
      <c r="I2353" s="618" t="s">
        <v>51</v>
      </c>
    </row>
    <row r="2354" spans="1:9">
      <c r="A2354" s="620">
        <f t="shared" si="36"/>
        <v>2350</v>
      </c>
      <c r="B2354" s="621" t="s">
        <v>1887</v>
      </c>
      <c r="C2354" s="621" t="str">
        <f>"15362"</f>
        <v>15362</v>
      </c>
      <c r="D2354" s="621" t="s">
        <v>18</v>
      </c>
      <c r="E2354" s="621">
        <v>24</v>
      </c>
      <c r="F2354" s="622">
        <v>45051</v>
      </c>
      <c r="G2354" s="622">
        <v>46877</v>
      </c>
      <c r="H2354" s="621" t="s">
        <v>19</v>
      </c>
      <c r="I2354" s="621" t="s">
        <v>51</v>
      </c>
    </row>
    <row r="2355" spans="1:9">
      <c r="A2355" s="617">
        <f t="shared" si="36"/>
        <v>2351</v>
      </c>
      <c r="B2355" s="618" t="s">
        <v>1887</v>
      </c>
      <c r="C2355" s="618" t="str">
        <f>"15363"</f>
        <v>15363</v>
      </c>
      <c r="D2355" s="618" t="s">
        <v>18</v>
      </c>
      <c r="E2355" s="618">
        <v>7</v>
      </c>
      <c r="F2355" s="619">
        <v>45051</v>
      </c>
      <c r="G2355" s="619">
        <v>46877</v>
      </c>
      <c r="H2355" s="618" t="s">
        <v>19</v>
      </c>
      <c r="I2355" s="618" t="s">
        <v>51</v>
      </c>
    </row>
    <row r="2356" spans="1:9">
      <c r="A2356" s="620">
        <f t="shared" si="36"/>
        <v>2352</v>
      </c>
      <c r="B2356" s="621" t="s">
        <v>1887</v>
      </c>
      <c r="C2356" s="621" t="str">
        <f>"15364"</f>
        <v>15364</v>
      </c>
      <c r="D2356" s="621" t="s">
        <v>18</v>
      </c>
      <c r="E2356" s="621">
        <v>2</v>
      </c>
      <c r="F2356" s="622">
        <v>45051</v>
      </c>
      <c r="G2356" s="622">
        <v>46877</v>
      </c>
      <c r="H2356" s="621" t="s">
        <v>19</v>
      </c>
      <c r="I2356" s="621" t="s">
        <v>51</v>
      </c>
    </row>
    <row r="2357" spans="1:9">
      <c r="A2357" s="617">
        <f t="shared" si="36"/>
        <v>2353</v>
      </c>
      <c r="B2357" s="618" t="s">
        <v>1027</v>
      </c>
      <c r="C2357" s="618" t="str">
        <f>"15365"</f>
        <v>15365</v>
      </c>
      <c r="D2357" s="618" t="s">
        <v>18</v>
      </c>
      <c r="E2357" s="618">
        <v>8</v>
      </c>
      <c r="F2357" s="619">
        <v>45034</v>
      </c>
      <c r="G2357" s="619">
        <v>46860</v>
      </c>
      <c r="H2357" s="618" t="s">
        <v>43</v>
      </c>
      <c r="I2357" s="618" t="s">
        <v>51</v>
      </c>
    </row>
    <row r="2358" spans="1:9">
      <c r="A2358" s="620">
        <f t="shared" si="36"/>
        <v>2354</v>
      </c>
      <c r="B2358" s="621" t="s">
        <v>5739</v>
      </c>
      <c r="C2358" s="621" t="str">
        <f>"15383"</f>
        <v>15383</v>
      </c>
      <c r="D2358" s="621" t="s">
        <v>18</v>
      </c>
      <c r="E2358" s="621">
        <v>30</v>
      </c>
      <c r="F2358" s="622">
        <v>44980</v>
      </c>
      <c r="G2358" s="622">
        <v>46805</v>
      </c>
      <c r="H2358" s="621" t="s">
        <v>43</v>
      </c>
      <c r="I2358" s="621" t="s">
        <v>51</v>
      </c>
    </row>
    <row r="2359" spans="1:9">
      <c r="A2359" s="617">
        <f t="shared" si="36"/>
        <v>2355</v>
      </c>
      <c r="B2359" s="618" t="s">
        <v>5690</v>
      </c>
      <c r="C2359" s="618" t="str">
        <f>"15384"</f>
        <v>15384</v>
      </c>
      <c r="D2359" s="618" t="s">
        <v>18</v>
      </c>
      <c r="E2359" s="618">
        <v>2</v>
      </c>
      <c r="F2359" s="619">
        <v>44984</v>
      </c>
      <c r="G2359" s="619">
        <v>46809</v>
      </c>
      <c r="H2359" s="618" t="s">
        <v>14</v>
      </c>
      <c r="I2359" s="618" t="s">
        <v>51</v>
      </c>
    </row>
    <row r="2360" spans="1:9">
      <c r="A2360" s="620">
        <f t="shared" si="36"/>
        <v>2356</v>
      </c>
      <c r="B2360" s="621" t="s">
        <v>5691</v>
      </c>
      <c r="C2360" s="621" t="str">
        <f>"15385"</f>
        <v>15385</v>
      </c>
      <c r="D2360" s="621" t="s">
        <v>18</v>
      </c>
      <c r="E2360" s="621">
        <v>1</v>
      </c>
      <c r="F2360" s="622">
        <v>44938</v>
      </c>
      <c r="G2360" s="622">
        <v>46763</v>
      </c>
      <c r="H2360" s="621" t="s">
        <v>14</v>
      </c>
      <c r="I2360" s="621" t="s">
        <v>51</v>
      </c>
    </row>
    <row r="2361" spans="1:9">
      <c r="A2361" s="617">
        <f t="shared" si="36"/>
        <v>2357</v>
      </c>
      <c r="B2361" s="618" t="s">
        <v>6887</v>
      </c>
      <c r="C2361" s="618" t="str">
        <f>"15386"</f>
        <v>15386</v>
      </c>
      <c r="D2361" s="618" t="s">
        <v>18</v>
      </c>
      <c r="E2361" s="618">
        <v>5</v>
      </c>
      <c r="F2361" s="619"/>
      <c r="G2361" s="619"/>
      <c r="H2361" s="618" t="s">
        <v>47</v>
      </c>
      <c r="I2361" s="618" t="s">
        <v>459</v>
      </c>
    </row>
    <row r="2362" spans="1:9">
      <c r="A2362" s="620">
        <f t="shared" si="36"/>
        <v>2358</v>
      </c>
      <c r="B2362" s="621" t="s">
        <v>25</v>
      </c>
      <c r="C2362" s="621" t="str">
        <f>"15389"</f>
        <v>15389</v>
      </c>
      <c r="D2362" s="621" t="s">
        <v>18</v>
      </c>
      <c r="E2362" s="621">
        <v>13</v>
      </c>
      <c r="F2362" s="622">
        <v>45125</v>
      </c>
      <c r="G2362" s="622">
        <v>46951</v>
      </c>
      <c r="H2362" s="621" t="s">
        <v>14</v>
      </c>
      <c r="I2362" s="621" t="s">
        <v>51</v>
      </c>
    </row>
    <row r="2363" spans="1:9">
      <c r="A2363" s="617">
        <f t="shared" si="36"/>
        <v>2359</v>
      </c>
      <c r="B2363" s="618" t="s">
        <v>1033</v>
      </c>
      <c r="C2363" s="618" t="str">
        <f>"15391"</f>
        <v>15391</v>
      </c>
      <c r="D2363" s="618" t="s">
        <v>18</v>
      </c>
      <c r="E2363" s="618">
        <v>6</v>
      </c>
      <c r="F2363" s="619">
        <v>45233</v>
      </c>
      <c r="G2363" s="619">
        <v>47059</v>
      </c>
      <c r="H2363" s="618" t="s">
        <v>45</v>
      </c>
      <c r="I2363" s="618" t="s">
        <v>51</v>
      </c>
    </row>
    <row r="2364" spans="1:9">
      <c r="A2364" s="620">
        <f t="shared" si="36"/>
        <v>2360</v>
      </c>
      <c r="B2364" s="621" t="s">
        <v>221</v>
      </c>
      <c r="C2364" s="621" t="str">
        <f>"15392"</f>
        <v>15392</v>
      </c>
      <c r="D2364" s="621" t="s">
        <v>18</v>
      </c>
      <c r="E2364" s="621">
        <v>10</v>
      </c>
      <c r="F2364" s="622">
        <v>45026</v>
      </c>
      <c r="G2364" s="622">
        <v>46852</v>
      </c>
      <c r="H2364" s="621" t="s">
        <v>14</v>
      </c>
      <c r="I2364" s="621" t="s">
        <v>51</v>
      </c>
    </row>
    <row r="2365" spans="1:9">
      <c r="A2365" s="617">
        <f t="shared" si="36"/>
        <v>2361</v>
      </c>
      <c r="B2365" s="618" t="s">
        <v>5682</v>
      </c>
      <c r="C2365" s="618" t="str">
        <f>"15393"</f>
        <v>15393</v>
      </c>
      <c r="D2365" s="618" t="s">
        <v>18</v>
      </c>
      <c r="E2365" s="618">
        <v>3</v>
      </c>
      <c r="F2365" s="619">
        <v>44966</v>
      </c>
      <c r="G2365" s="619">
        <v>46791</v>
      </c>
      <c r="H2365" s="618" t="s">
        <v>14</v>
      </c>
      <c r="I2365" s="618" t="s">
        <v>51</v>
      </c>
    </row>
    <row r="2366" spans="1:9">
      <c r="A2366" s="620">
        <f t="shared" si="36"/>
        <v>2362</v>
      </c>
      <c r="B2366" s="621" t="s">
        <v>5682</v>
      </c>
      <c r="C2366" s="621" t="str">
        <f>"15394"</f>
        <v>15394</v>
      </c>
      <c r="D2366" s="621" t="s">
        <v>18</v>
      </c>
      <c r="E2366" s="621">
        <v>6</v>
      </c>
      <c r="F2366" s="622">
        <v>44966</v>
      </c>
      <c r="G2366" s="622">
        <v>46791</v>
      </c>
      <c r="H2366" s="621" t="s">
        <v>45</v>
      </c>
      <c r="I2366" s="621" t="s">
        <v>51</v>
      </c>
    </row>
    <row r="2367" spans="1:9">
      <c r="A2367" s="617">
        <f t="shared" si="36"/>
        <v>2363</v>
      </c>
      <c r="B2367" s="618" t="s">
        <v>467</v>
      </c>
      <c r="C2367" s="618" t="str">
        <f>"15397"</f>
        <v>15397</v>
      </c>
      <c r="D2367" s="618" t="s">
        <v>18</v>
      </c>
      <c r="E2367" s="618">
        <v>25</v>
      </c>
      <c r="F2367" s="619">
        <v>44986</v>
      </c>
      <c r="G2367" s="619">
        <v>46812</v>
      </c>
      <c r="H2367" s="618" t="s">
        <v>41</v>
      </c>
      <c r="I2367" s="618" t="s">
        <v>51</v>
      </c>
    </row>
    <row r="2368" spans="1:9">
      <c r="A2368" s="620">
        <f t="shared" si="36"/>
        <v>2364</v>
      </c>
      <c r="B2368" s="621" t="s">
        <v>467</v>
      </c>
      <c r="C2368" s="621" t="str">
        <f>"15398"</f>
        <v>15398</v>
      </c>
      <c r="D2368" s="621" t="s">
        <v>18</v>
      </c>
      <c r="E2368" s="621">
        <v>8</v>
      </c>
      <c r="F2368" s="622">
        <v>44986</v>
      </c>
      <c r="G2368" s="622">
        <v>46812</v>
      </c>
      <c r="H2368" s="621" t="s">
        <v>41</v>
      </c>
      <c r="I2368" s="621" t="s">
        <v>51</v>
      </c>
    </row>
    <row r="2369" spans="1:9">
      <c r="A2369" s="617">
        <f t="shared" si="36"/>
        <v>2365</v>
      </c>
      <c r="B2369" s="618" t="s">
        <v>467</v>
      </c>
      <c r="C2369" s="618" t="str">
        <f>"15399"</f>
        <v>15399</v>
      </c>
      <c r="D2369" s="618" t="s">
        <v>18</v>
      </c>
      <c r="E2369" s="618">
        <v>6</v>
      </c>
      <c r="F2369" s="619">
        <v>44957</v>
      </c>
      <c r="G2369" s="619">
        <v>46782</v>
      </c>
      <c r="H2369" s="618" t="s">
        <v>41</v>
      </c>
      <c r="I2369" s="618" t="s">
        <v>51</v>
      </c>
    </row>
    <row r="2370" spans="1:9">
      <c r="A2370" s="620">
        <f t="shared" si="36"/>
        <v>2366</v>
      </c>
      <c r="B2370" s="621" t="s">
        <v>467</v>
      </c>
      <c r="C2370" s="621" t="str">
        <f>"15400"</f>
        <v>15400</v>
      </c>
      <c r="D2370" s="621" t="s">
        <v>18</v>
      </c>
      <c r="E2370" s="621">
        <v>24</v>
      </c>
      <c r="F2370" s="622">
        <v>44986</v>
      </c>
      <c r="G2370" s="622">
        <v>46812</v>
      </c>
      <c r="H2370" s="621" t="s">
        <v>41</v>
      </c>
      <c r="I2370" s="621" t="s">
        <v>51</v>
      </c>
    </row>
    <row r="2371" spans="1:9">
      <c r="A2371" s="617">
        <f t="shared" si="36"/>
        <v>2367</v>
      </c>
      <c r="B2371" s="618" t="s">
        <v>468</v>
      </c>
      <c r="C2371" s="618" t="str">
        <f>"15405"</f>
        <v>15405</v>
      </c>
      <c r="D2371" s="618" t="s">
        <v>18</v>
      </c>
      <c r="E2371" s="618">
        <v>10</v>
      </c>
      <c r="F2371" s="619">
        <v>45054</v>
      </c>
      <c r="G2371" s="619">
        <v>46880</v>
      </c>
      <c r="H2371" s="618" t="s">
        <v>28</v>
      </c>
      <c r="I2371" s="618" t="s">
        <v>51</v>
      </c>
    </row>
    <row r="2372" spans="1:9">
      <c r="A2372" s="620">
        <f t="shared" si="36"/>
        <v>2368</v>
      </c>
      <c r="B2372" s="621" t="s">
        <v>468</v>
      </c>
      <c r="C2372" s="621" t="str">
        <f>"15406"</f>
        <v>15406</v>
      </c>
      <c r="D2372" s="621" t="s">
        <v>18</v>
      </c>
      <c r="E2372" s="621">
        <v>46</v>
      </c>
      <c r="F2372" s="622">
        <v>44980</v>
      </c>
      <c r="G2372" s="622">
        <v>46805</v>
      </c>
      <c r="H2372" s="621" t="s">
        <v>28</v>
      </c>
      <c r="I2372" s="621" t="s">
        <v>51</v>
      </c>
    </row>
    <row r="2373" spans="1:9">
      <c r="A2373" s="617">
        <f t="shared" si="36"/>
        <v>2369</v>
      </c>
      <c r="B2373" s="618" t="s">
        <v>468</v>
      </c>
      <c r="C2373" s="618" t="str">
        <f>"15407"</f>
        <v>15407</v>
      </c>
      <c r="D2373" s="618" t="s">
        <v>18</v>
      </c>
      <c r="E2373" s="618">
        <v>14</v>
      </c>
      <c r="F2373" s="619">
        <v>44980</v>
      </c>
      <c r="G2373" s="619">
        <v>46805</v>
      </c>
      <c r="H2373" s="618" t="s">
        <v>28</v>
      </c>
      <c r="I2373" s="618" t="s">
        <v>51</v>
      </c>
    </row>
    <row r="2374" spans="1:9">
      <c r="A2374" s="620">
        <f t="shared" si="36"/>
        <v>2370</v>
      </c>
      <c r="B2374" s="621" t="s">
        <v>1891</v>
      </c>
      <c r="C2374" s="621" t="str">
        <f>"15408"</f>
        <v>15408</v>
      </c>
      <c r="D2374" s="621" t="s">
        <v>18</v>
      </c>
      <c r="E2374" s="621">
        <v>15</v>
      </c>
      <c r="F2374" s="622">
        <v>44966</v>
      </c>
      <c r="G2374" s="622">
        <v>46791</v>
      </c>
      <c r="H2374" s="621" t="s">
        <v>14</v>
      </c>
      <c r="I2374" s="621" t="s">
        <v>51</v>
      </c>
    </row>
    <row r="2375" spans="1:9">
      <c r="A2375" s="617">
        <f t="shared" ref="A2375:A2438" si="37">+A2374+1</f>
        <v>2371</v>
      </c>
      <c r="B2375" s="618" t="s">
        <v>6888</v>
      </c>
      <c r="C2375" s="618" t="str">
        <f>"15409"</f>
        <v>15409</v>
      </c>
      <c r="D2375" s="618" t="s">
        <v>18</v>
      </c>
      <c r="E2375" s="618">
        <v>10</v>
      </c>
      <c r="F2375" s="619"/>
      <c r="G2375" s="619"/>
      <c r="H2375" s="618" t="s">
        <v>43</v>
      </c>
      <c r="I2375" s="618" t="s">
        <v>459</v>
      </c>
    </row>
    <row r="2376" spans="1:9">
      <c r="A2376" s="620">
        <f t="shared" si="37"/>
        <v>2372</v>
      </c>
      <c r="B2376" s="621" t="s">
        <v>469</v>
      </c>
      <c r="C2376" s="621" t="str">
        <f>"15411"</f>
        <v>15411</v>
      </c>
      <c r="D2376" s="621" t="s">
        <v>18</v>
      </c>
      <c r="E2376" s="621">
        <v>3</v>
      </c>
      <c r="F2376" s="622"/>
      <c r="G2376" s="622"/>
      <c r="H2376" s="621" t="s">
        <v>14</v>
      </c>
      <c r="I2376" s="621" t="s">
        <v>459</v>
      </c>
    </row>
    <row r="2377" spans="1:9">
      <c r="A2377" s="617">
        <f t="shared" si="37"/>
        <v>2373</v>
      </c>
      <c r="B2377" s="618" t="s">
        <v>1888</v>
      </c>
      <c r="C2377" s="618" t="str">
        <f>"15412"</f>
        <v>15412</v>
      </c>
      <c r="D2377" s="618" t="s">
        <v>18</v>
      </c>
      <c r="E2377" s="618">
        <v>6</v>
      </c>
      <c r="F2377" s="619">
        <v>44984</v>
      </c>
      <c r="G2377" s="619">
        <v>46809</v>
      </c>
      <c r="H2377" s="618" t="s">
        <v>14</v>
      </c>
      <c r="I2377" s="618" t="s">
        <v>51</v>
      </c>
    </row>
    <row r="2378" spans="1:9">
      <c r="A2378" s="620">
        <f t="shared" si="37"/>
        <v>2374</v>
      </c>
      <c r="B2378" s="621" t="s">
        <v>1888</v>
      </c>
      <c r="C2378" s="621" t="str">
        <f>"15413"</f>
        <v>15413</v>
      </c>
      <c r="D2378" s="621" t="s">
        <v>18</v>
      </c>
      <c r="E2378" s="621">
        <v>10</v>
      </c>
      <c r="F2378" s="622"/>
      <c r="G2378" s="622"/>
      <c r="H2378" s="621" t="s">
        <v>43</v>
      </c>
      <c r="I2378" s="621" t="s">
        <v>459</v>
      </c>
    </row>
    <row r="2379" spans="1:9">
      <c r="A2379" s="617">
        <f t="shared" si="37"/>
        <v>2375</v>
      </c>
      <c r="B2379" s="618" t="s">
        <v>1888</v>
      </c>
      <c r="C2379" s="618" t="str">
        <f>"15414"</f>
        <v>15414</v>
      </c>
      <c r="D2379" s="618" t="s">
        <v>18</v>
      </c>
      <c r="E2379" s="618">
        <v>11</v>
      </c>
      <c r="F2379" s="619">
        <v>44980</v>
      </c>
      <c r="G2379" s="619">
        <v>46805</v>
      </c>
      <c r="H2379" s="618" t="s">
        <v>14</v>
      </c>
      <c r="I2379" s="618" t="s">
        <v>51</v>
      </c>
    </row>
    <row r="2380" spans="1:9">
      <c r="A2380" s="620">
        <f t="shared" si="37"/>
        <v>2376</v>
      </c>
      <c r="B2380" s="621" t="s">
        <v>1888</v>
      </c>
      <c r="C2380" s="621" t="str">
        <f>"15415"</f>
        <v>15415</v>
      </c>
      <c r="D2380" s="621" t="s">
        <v>18</v>
      </c>
      <c r="E2380" s="621">
        <v>11</v>
      </c>
      <c r="F2380" s="622">
        <v>45007</v>
      </c>
      <c r="G2380" s="622">
        <v>46833</v>
      </c>
      <c r="H2380" s="621" t="s">
        <v>14</v>
      </c>
      <c r="I2380" s="621" t="s">
        <v>51</v>
      </c>
    </row>
    <row r="2381" spans="1:9">
      <c r="A2381" s="617">
        <f t="shared" si="37"/>
        <v>2377</v>
      </c>
      <c r="B2381" s="618" t="s">
        <v>253</v>
      </c>
      <c r="C2381" s="618" t="str">
        <f>"15416"</f>
        <v>15416</v>
      </c>
      <c r="D2381" s="618" t="s">
        <v>18</v>
      </c>
      <c r="E2381" s="618">
        <v>6</v>
      </c>
      <c r="F2381" s="619">
        <v>45050</v>
      </c>
      <c r="G2381" s="619">
        <v>46876</v>
      </c>
      <c r="H2381" s="618" t="s">
        <v>14</v>
      </c>
      <c r="I2381" s="618" t="s">
        <v>51</v>
      </c>
    </row>
    <row r="2382" spans="1:9">
      <c r="A2382" s="620">
        <f t="shared" si="37"/>
        <v>2378</v>
      </c>
      <c r="B2382" s="621" t="s">
        <v>5727</v>
      </c>
      <c r="C2382" s="621" t="str">
        <f>"15420"</f>
        <v>15420</v>
      </c>
      <c r="D2382" s="621" t="s">
        <v>18</v>
      </c>
      <c r="E2382" s="621">
        <v>5</v>
      </c>
      <c r="F2382" s="622">
        <v>45099</v>
      </c>
      <c r="G2382" s="622">
        <v>46925</v>
      </c>
      <c r="H2382" s="621" t="s">
        <v>16</v>
      </c>
      <c r="I2382" s="621" t="s">
        <v>51</v>
      </c>
    </row>
    <row r="2383" spans="1:9">
      <c r="A2383" s="617">
        <f t="shared" si="37"/>
        <v>2379</v>
      </c>
      <c r="B2383" s="618" t="s">
        <v>5710</v>
      </c>
      <c r="C2383" s="618" t="str">
        <f>"15421"</f>
        <v>15421</v>
      </c>
      <c r="D2383" s="618" t="s">
        <v>18</v>
      </c>
      <c r="E2383" s="618">
        <v>22</v>
      </c>
      <c r="F2383" s="619">
        <v>45145</v>
      </c>
      <c r="G2383" s="619">
        <v>46971</v>
      </c>
      <c r="H2383" s="618" t="s">
        <v>29</v>
      </c>
      <c r="I2383" s="618" t="s">
        <v>51</v>
      </c>
    </row>
    <row r="2384" spans="1:9">
      <c r="A2384" s="620">
        <f t="shared" si="37"/>
        <v>2380</v>
      </c>
      <c r="B2384" s="621" t="s">
        <v>5710</v>
      </c>
      <c r="C2384" s="621" t="str">
        <f>"15422"</f>
        <v>15422</v>
      </c>
      <c r="D2384" s="621" t="s">
        <v>18</v>
      </c>
      <c r="E2384" s="621">
        <v>31</v>
      </c>
      <c r="F2384" s="622">
        <v>45146</v>
      </c>
      <c r="G2384" s="622">
        <v>46972</v>
      </c>
      <c r="H2384" s="621" t="s">
        <v>29</v>
      </c>
      <c r="I2384" s="621" t="s">
        <v>51</v>
      </c>
    </row>
    <row r="2385" spans="1:9">
      <c r="A2385" s="617">
        <f t="shared" si="37"/>
        <v>2381</v>
      </c>
      <c r="B2385" s="618" t="s">
        <v>5718</v>
      </c>
      <c r="C2385" s="618" t="str">
        <f>"15426"</f>
        <v>15426</v>
      </c>
      <c r="D2385" s="618" t="s">
        <v>18</v>
      </c>
      <c r="E2385" s="618">
        <v>3</v>
      </c>
      <c r="F2385" s="619">
        <v>45064</v>
      </c>
      <c r="G2385" s="619">
        <v>46890</v>
      </c>
      <c r="H2385" s="618" t="s">
        <v>28</v>
      </c>
      <c r="I2385" s="618" t="s">
        <v>51</v>
      </c>
    </row>
    <row r="2386" spans="1:9">
      <c r="A2386" s="620">
        <f t="shared" si="37"/>
        <v>2382</v>
      </c>
      <c r="B2386" s="621" t="s">
        <v>5728</v>
      </c>
      <c r="C2386" s="621" t="str">
        <f>"15429"</f>
        <v>15429</v>
      </c>
      <c r="D2386" s="621" t="s">
        <v>18</v>
      </c>
      <c r="E2386" s="621">
        <v>20</v>
      </c>
      <c r="F2386" s="622">
        <v>45117</v>
      </c>
      <c r="G2386" s="622">
        <v>46943</v>
      </c>
      <c r="H2386" s="621" t="s">
        <v>16</v>
      </c>
      <c r="I2386" s="621" t="s">
        <v>51</v>
      </c>
    </row>
    <row r="2387" spans="1:9">
      <c r="A2387" s="617">
        <f t="shared" si="37"/>
        <v>2383</v>
      </c>
      <c r="B2387" s="618" t="s">
        <v>5728</v>
      </c>
      <c r="C2387" s="618" t="str">
        <f>"15430"</f>
        <v>15430</v>
      </c>
      <c r="D2387" s="618" t="s">
        <v>18</v>
      </c>
      <c r="E2387" s="618">
        <v>20</v>
      </c>
      <c r="F2387" s="619">
        <v>45117</v>
      </c>
      <c r="G2387" s="619">
        <v>46943</v>
      </c>
      <c r="H2387" s="618" t="s">
        <v>16</v>
      </c>
      <c r="I2387" s="618" t="s">
        <v>51</v>
      </c>
    </row>
    <row r="2388" spans="1:9">
      <c r="A2388" s="620">
        <f t="shared" si="37"/>
        <v>2384</v>
      </c>
      <c r="B2388" s="621" t="s">
        <v>1273</v>
      </c>
      <c r="C2388" s="621" t="str">
        <f>"15433"</f>
        <v>15433</v>
      </c>
      <c r="D2388" s="621" t="s">
        <v>18</v>
      </c>
      <c r="E2388" s="621">
        <v>185</v>
      </c>
      <c r="F2388" s="622">
        <v>45050</v>
      </c>
      <c r="G2388" s="622">
        <v>46876</v>
      </c>
      <c r="H2388" s="621" t="s">
        <v>14</v>
      </c>
      <c r="I2388" s="621" t="s">
        <v>51</v>
      </c>
    </row>
    <row r="2389" spans="1:9">
      <c r="A2389" s="617">
        <f t="shared" si="37"/>
        <v>2385</v>
      </c>
      <c r="B2389" s="618" t="s">
        <v>1273</v>
      </c>
      <c r="C2389" s="618" t="str">
        <f>"15434"</f>
        <v>15434</v>
      </c>
      <c r="D2389" s="618" t="s">
        <v>18</v>
      </c>
      <c r="E2389" s="618">
        <v>152</v>
      </c>
      <c r="F2389" s="619">
        <v>45050</v>
      </c>
      <c r="G2389" s="619">
        <v>46876</v>
      </c>
      <c r="H2389" s="618" t="s">
        <v>14</v>
      </c>
      <c r="I2389" s="618" t="s">
        <v>51</v>
      </c>
    </row>
    <row r="2390" spans="1:9">
      <c r="A2390" s="620">
        <f t="shared" si="37"/>
        <v>2386</v>
      </c>
      <c r="B2390" s="621" t="s">
        <v>981</v>
      </c>
      <c r="C2390" s="621" t="str">
        <f>"15436"</f>
        <v>15436</v>
      </c>
      <c r="D2390" s="621" t="s">
        <v>18</v>
      </c>
      <c r="E2390" s="621">
        <v>71</v>
      </c>
      <c r="F2390" s="622">
        <v>45033</v>
      </c>
      <c r="G2390" s="622">
        <v>46859</v>
      </c>
      <c r="H2390" s="621" t="s">
        <v>16</v>
      </c>
      <c r="I2390" s="621" t="s">
        <v>51</v>
      </c>
    </row>
    <row r="2391" spans="1:9">
      <c r="A2391" s="617">
        <f t="shared" si="37"/>
        <v>2387</v>
      </c>
      <c r="B2391" s="618" t="s">
        <v>981</v>
      </c>
      <c r="C2391" s="618" t="str">
        <f>"15437"</f>
        <v>15437</v>
      </c>
      <c r="D2391" s="618" t="s">
        <v>18</v>
      </c>
      <c r="E2391" s="618">
        <v>17</v>
      </c>
      <c r="F2391" s="619">
        <v>45033</v>
      </c>
      <c r="G2391" s="619">
        <v>46859</v>
      </c>
      <c r="H2391" s="618" t="s">
        <v>16</v>
      </c>
      <c r="I2391" s="618" t="s">
        <v>51</v>
      </c>
    </row>
    <row r="2392" spans="1:9">
      <c r="A2392" s="620">
        <f t="shared" si="37"/>
        <v>2388</v>
      </c>
      <c r="B2392" s="621" t="s">
        <v>5692</v>
      </c>
      <c r="C2392" s="621" t="str">
        <f>"15438"</f>
        <v>15438</v>
      </c>
      <c r="D2392" s="621" t="s">
        <v>18</v>
      </c>
      <c r="E2392" s="621">
        <v>5</v>
      </c>
      <c r="F2392" s="622">
        <v>45021</v>
      </c>
      <c r="G2392" s="622">
        <v>46847</v>
      </c>
      <c r="H2392" s="621" t="s">
        <v>45</v>
      </c>
      <c r="I2392" s="621" t="s">
        <v>51</v>
      </c>
    </row>
    <row r="2393" spans="1:9">
      <c r="A2393" s="617">
        <f t="shared" si="37"/>
        <v>2389</v>
      </c>
      <c r="B2393" s="618" t="s">
        <v>5692</v>
      </c>
      <c r="C2393" s="618" t="str">
        <f>"15439"</f>
        <v>15439</v>
      </c>
      <c r="D2393" s="618" t="s">
        <v>18</v>
      </c>
      <c r="E2393" s="618">
        <v>7</v>
      </c>
      <c r="F2393" s="619">
        <v>45021</v>
      </c>
      <c r="G2393" s="619">
        <v>46847</v>
      </c>
      <c r="H2393" s="618" t="s">
        <v>14</v>
      </c>
      <c r="I2393" s="618" t="s">
        <v>51</v>
      </c>
    </row>
    <row r="2394" spans="1:9">
      <c r="A2394" s="620">
        <f t="shared" si="37"/>
        <v>2390</v>
      </c>
      <c r="B2394" s="621" t="s">
        <v>5692</v>
      </c>
      <c r="C2394" s="621" t="str">
        <f>"15440"</f>
        <v>15440</v>
      </c>
      <c r="D2394" s="621" t="s">
        <v>18</v>
      </c>
      <c r="E2394" s="621">
        <v>3</v>
      </c>
      <c r="F2394" s="622">
        <v>45021</v>
      </c>
      <c r="G2394" s="622">
        <v>46847</v>
      </c>
      <c r="H2394" s="621" t="s">
        <v>14</v>
      </c>
      <c r="I2394" s="621" t="s">
        <v>51</v>
      </c>
    </row>
    <row r="2395" spans="1:9">
      <c r="A2395" s="617">
        <f t="shared" si="37"/>
        <v>2391</v>
      </c>
      <c r="B2395" s="618" t="s">
        <v>245</v>
      </c>
      <c r="C2395" s="618" t="str">
        <f>"15441"</f>
        <v>15441</v>
      </c>
      <c r="D2395" s="618" t="s">
        <v>18</v>
      </c>
      <c r="E2395" s="618">
        <v>14</v>
      </c>
      <c r="F2395" s="619">
        <v>45184</v>
      </c>
      <c r="G2395" s="619">
        <v>47010</v>
      </c>
      <c r="H2395" s="618" t="s">
        <v>16</v>
      </c>
      <c r="I2395" s="618" t="s">
        <v>51</v>
      </c>
    </row>
    <row r="2396" spans="1:9">
      <c r="A2396" s="620">
        <f t="shared" si="37"/>
        <v>2392</v>
      </c>
      <c r="B2396" s="621" t="s">
        <v>5734</v>
      </c>
      <c r="C2396" s="621" t="str">
        <f>"15443"</f>
        <v>15443</v>
      </c>
      <c r="D2396" s="621" t="s">
        <v>18</v>
      </c>
      <c r="E2396" s="621">
        <v>6</v>
      </c>
      <c r="F2396" s="622">
        <v>45180</v>
      </c>
      <c r="G2396" s="622">
        <v>47006</v>
      </c>
      <c r="H2396" s="621" t="s">
        <v>19</v>
      </c>
      <c r="I2396" s="621" t="s">
        <v>51</v>
      </c>
    </row>
    <row r="2397" spans="1:9">
      <c r="A2397" s="617">
        <f t="shared" si="37"/>
        <v>2393</v>
      </c>
      <c r="B2397" s="618" t="s">
        <v>354</v>
      </c>
      <c r="C2397" s="618" t="str">
        <f>"15445"</f>
        <v>15445</v>
      </c>
      <c r="D2397" s="618" t="s">
        <v>18</v>
      </c>
      <c r="E2397" s="618">
        <v>2</v>
      </c>
      <c r="F2397" s="619">
        <v>45076</v>
      </c>
      <c r="G2397" s="619">
        <v>46902</v>
      </c>
      <c r="H2397" s="618" t="s">
        <v>45</v>
      </c>
      <c r="I2397" s="618" t="s">
        <v>51</v>
      </c>
    </row>
    <row r="2398" spans="1:9">
      <c r="A2398" s="620">
        <f t="shared" si="37"/>
        <v>2394</v>
      </c>
      <c r="B2398" s="621" t="s">
        <v>5711</v>
      </c>
      <c r="C2398" s="621" t="str">
        <f>"15447"</f>
        <v>15447</v>
      </c>
      <c r="D2398" s="621" t="s">
        <v>18</v>
      </c>
      <c r="E2398" s="621">
        <v>30</v>
      </c>
      <c r="F2398" s="622">
        <v>45146</v>
      </c>
      <c r="G2398" s="622">
        <v>46972</v>
      </c>
      <c r="H2398" s="621" t="s">
        <v>29</v>
      </c>
      <c r="I2398" s="621" t="s">
        <v>51</v>
      </c>
    </row>
    <row r="2399" spans="1:9">
      <c r="A2399" s="617">
        <f t="shared" si="37"/>
        <v>2395</v>
      </c>
      <c r="B2399" s="618" t="s">
        <v>5711</v>
      </c>
      <c r="C2399" s="618" t="str">
        <f>"15449"</f>
        <v>15449</v>
      </c>
      <c r="D2399" s="618" t="s">
        <v>18</v>
      </c>
      <c r="E2399" s="618">
        <v>20</v>
      </c>
      <c r="F2399" s="619">
        <v>45146</v>
      </c>
      <c r="G2399" s="619">
        <v>46972</v>
      </c>
      <c r="H2399" s="618" t="s">
        <v>29</v>
      </c>
      <c r="I2399" s="618" t="s">
        <v>51</v>
      </c>
    </row>
    <row r="2400" spans="1:9">
      <c r="A2400" s="620">
        <f t="shared" si="37"/>
        <v>2396</v>
      </c>
      <c r="B2400" s="621" t="s">
        <v>5711</v>
      </c>
      <c r="C2400" s="621" t="str">
        <f>"15450"</f>
        <v>15450</v>
      </c>
      <c r="D2400" s="621" t="s">
        <v>18</v>
      </c>
      <c r="E2400" s="621">
        <v>18</v>
      </c>
      <c r="F2400" s="622">
        <v>45146</v>
      </c>
      <c r="G2400" s="622">
        <v>46972</v>
      </c>
      <c r="H2400" s="621" t="s">
        <v>28</v>
      </c>
      <c r="I2400" s="621" t="s">
        <v>51</v>
      </c>
    </row>
    <row r="2401" spans="1:9">
      <c r="A2401" s="617">
        <f t="shared" si="37"/>
        <v>2397</v>
      </c>
      <c r="B2401" s="618" t="s">
        <v>5693</v>
      </c>
      <c r="C2401" s="618" t="str">
        <f>"15452"</f>
        <v>15452</v>
      </c>
      <c r="D2401" s="618" t="s">
        <v>18</v>
      </c>
      <c r="E2401" s="618">
        <v>9</v>
      </c>
      <c r="F2401" s="619">
        <v>45006</v>
      </c>
      <c r="G2401" s="619">
        <v>46832</v>
      </c>
      <c r="H2401" s="618" t="s">
        <v>14</v>
      </c>
      <c r="I2401" s="618" t="s">
        <v>51</v>
      </c>
    </row>
    <row r="2402" spans="1:9">
      <c r="A2402" s="620">
        <f t="shared" si="37"/>
        <v>2398</v>
      </c>
      <c r="B2402" s="621" t="s">
        <v>5693</v>
      </c>
      <c r="C2402" s="621" t="str">
        <f>"15453"</f>
        <v>15453</v>
      </c>
      <c r="D2402" s="621" t="s">
        <v>18</v>
      </c>
      <c r="E2402" s="621">
        <v>5</v>
      </c>
      <c r="F2402" s="622">
        <v>45006</v>
      </c>
      <c r="G2402" s="622">
        <v>46832</v>
      </c>
      <c r="H2402" s="621" t="s">
        <v>14</v>
      </c>
      <c r="I2402" s="621" t="s">
        <v>51</v>
      </c>
    </row>
    <row r="2403" spans="1:9">
      <c r="A2403" s="617">
        <f t="shared" si="37"/>
        <v>2399</v>
      </c>
      <c r="B2403" s="618" t="s">
        <v>5730</v>
      </c>
      <c r="C2403" s="618" t="str">
        <f>"15454"</f>
        <v>15454</v>
      </c>
      <c r="D2403" s="618" t="s">
        <v>18</v>
      </c>
      <c r="E2403" s="618">
        <v>6</v>
      </c>
      <c r="F2403" s="619">
        <v>45237</v>
      </c>
      <c r="G2403" s="619">
        <v>47063</v>
      </c>
      <c r="H2403" s="618" t="s">
        <v>41</v>
      </c>
      <c r="I2403" s="618" t="s">
        <v>51</v>
      </c>
    </row>
    <row r="2404" spans="1:9">
      <c r="A2404" s="620">
        <f t="shared" si="37"/>
        <v>2400</v>
      </c>
      <c r="B2404" s="621" t="s">
        <v>5735</v>
      </c>
      <c r="C2404" s="621" t="str">
        <f>"15460"</f>
        <v>15460</v>
      </c>
      <c r="D2404" s="621" t="s">
        <v>18</v>
      </c>
      <c r="E2404" s="621">
        <v>12</v>
      </c>
      <c r="F2404" s="622">
        <v>45020</v>
      </c>
      <c r="G2404" s="622">
        <v>46846</v>
      </c>
      <c r="H2404" s="621" t="s">
        <v>19</v>
      </c>
      <c r="I2404" s="621" t="s">
        <v>51</v>
      </c>
    </row>
    <row r="2405" spans="1:9">
      <c r="A2405" s="617">
        <f t="shared" si="37"/>
        <v>2401</v>
      </c>
      <c r="B2405" s="618" t="s">
        <v>5735</v>
      </c>
      <c r="C2405" s="618" t="str">
        <f>"15461"</f>
        <v>15461</v>
      </c>
      <c r="D2405" s="618" t="s">
        <v>18</v>
      </c>
      <c r="E2405" s="618">
        <v>8</v>
      </c>
      <c r="F2405" s="619">
        <v>45027</v>
      </c>
      <c r="G2405" s="619">
        <v>46853</v>
      </c>
      <c r="H2405" s="618" t="s">
        <v>19</v>
      </c>
      <c r="I2405" s="618" t="s">
        <v>51</v>
      </c>
    </row>
    <row r="2406" spans="1:9">
      <c r="A2406" s="620">
        <f t="shared" si="37"/>
        <v>2402</v>
      </c>
      <c r="B2406" s="621" t="s">
        <v>166</v>
      </c>
      <c r="C2406" s="621" t="str">
        <f>"15462"</f>
        <v>15462</v>
      </c>
      <c r="D2406" s="621" t="s">
        <v>18</v>
      </c>
      <c r="E2406" s="621">
        <v>20</v>
      </c>
      <c r="F2406" s="622">
        <v>45050</v>
      </c>
      <c r="G2406" s="622">
        <v>46876</v>
      </c>
      <c r="H2406" s="621" t="s">
        <v>43</v>
      </c>
      <c r="I2406" s="621" t="s">
        <v>51</v>
      </c>
    </row>
    <row r="2407" spans="1:9">
      <c r="A2407" s="617">
        <f t="shared" si="37"/>
        <v>2403</v>
      </c>
      <c r="B2407" s="618" t="s">
        <v>166</v>
      </c>
      <c r="C2407" s="618" t="str">
        <f>"15463"</f>
        <v>15463</v>
      </c>
      <c r="D2407" s="618" t="s">
        <v>18</v>
      </c>
      <c r="E2407" s="618">
        <v>10</v>
      </c>
      <c r="F2407" s="619">
        <v>45020</v>
      </c>
      <c r="G2407" s="619">
        <v>46846</v>
      </c>
      <c r="H2407" s="618" t="s">
        <v>43</v>
      </c>
      <c r="I2407" s="618" t="s">
        <v>51</v>
      </c>
    </row>
    <row r="2408" spans="1:9">
      <c r="A2408" s="620">
        <f t="shared" si="37"/>
        <v>2404</v>
      </c>
      <c r="B2408" s="621" t="s">
        <v>253</v>
      </c>
      <c r="C2408" s="621" t="str">
        <f>"15464"</f>
        <v>15464</v>
      </c>
      <c r="D2408" s="621" t="s">
        <v>18</v>
      </c>
      <c r="E2408" s="621">
        <v>28</v>
      </c>
      <c r="F2408" s="622">
        <v>45050</v>
      </c>
      <c r="G2408" s="622">
        <v>46876</v>
      </c>
      <c r="H2408" s="621" t="s">
        <v>43</v>
      </c>
      <c r="I2408" s="621" t="s">
        <v>51</v>
      </c>
    </row>
    <row r="2409" spans="1:9">
      <c r="A2409" s="617">
        <f t="shared" si="37"/>
        <v>2405</v>
      </c>
      <c r="B2409" s="618" t="s">
        <v>253</v>
      </c>
      <c r="C2409" s="618" t="str">
        <f>"15465"</f>
        <v>15465</v>
      </c>
      <c r="D2409" s="618" t="s">
        <v>18</v>
      </c>
      <c r="E2409" s="618">
        <v>10</v>
      </c>
      <c r="F2409" s="619">
        <v>45050</v>
      </c>
      <c r="G2409" s="619">
        <v>46876</v>
      </c>
      <c r="H2409" s="618" t="s">
        <v>45</v>
      </c>
      <c r="I2409" s="618" t="s">
        <v>51</v>
      </c>
    </row>
    <row r="2410" spans="1:9">
      <c r="A2410" s="620">
        <f t="shared" si="37"/>
        <v>2406</v>
      </c>
      <c r="B2410" s="621" t="s">
        <v>253</v>
      </c>
      <c r="C2410" s="621" t="str">
        <f>"15466"</f>
        <v>15466</v>
      </c>
      <c r="D2410" s="621" t="s">
        <v>18</v>
      </c>
      <c r="E2410" s="621">
        <v>8</v>
      </c>
      <c r="F2410" s="622">
        <v>45050</v>
      </c>
      <c r="G2410" s="622">
        <v>46876</v>
      </c>
      <c r="H2410" s="621" t="s">
        <v>14</v>
      </c>
      <c r="I2410" s="621" t="s">
        <v>51</v>
      </c>
    </row>
    <row r="2411" spans="1:9">
      <c r="A2411" s="617">
        <f t="shared" si="37"/>
        <v>2407</v>
      </c>
      <c r="B2411" s="618" t="s">
        <v>5712</v>
      </c>
      <c r="C2411" s="618" t="str">
        <f>"15468"</f>
        <v>15468</v>
      </c>
      <c r="D2411" s="618" t="s">
        <v>18</v>
      </c>
      <c r="E2411" s="618">
        <v>1</v>
      </c>
      <c r="F2411" s="619">
        <v>45071</v>
      </c>
      <c r="G2411" s="619">
        <v>46897</v>
      </c>
      <c r="H2411" s="618" t="s">
        <v>21</v>
      </c>
      <c r="I2411" s="618" t="s">
        <v>51</v>
      </c>
    </row>
    <row r="2412" spans="1:9">
      <c r="A2412" s="620">
        <f t="shared" si="37"/>
        <v>2408</v>
      </c>
      <c r="B2412" s="621" t="s">
        <v>5712</v>
      </c>
      <c r="C2412" s="621" t="str">
        <f>"15469"</f>
        <v>15469</v>
      </c>
      <c r="D2412" s="621" t="s">
        <v>18</v>
      </c>
      <c r="E2412" s="621">
        <v>1</v>
      </c>
      <c r="F2412" s="622">
        <v>45055</v>
      </c>
      <c r="G2412" s="622">
        <v>46881</v>
      </c>
      <c r="H2412" s="621" t="s">
        <v>29</v>
      </c>
      <c r="I2412" s="621" t="s">
        <v>51</v>
      </c>
    </row>
    <row r="2413" spans="1:9">
      <c r="A2413" s="617">
        <f t="shared" si="37"/>
        <v>2409</v>
      </c>
      <c r="B2413" s="618" t="s">
        <v>5712</v>
      </c>
      <c r="C2413" s="618" t="str">
        <f>"15470"</f>
        <v>15470</v>
      </c>
      <c r="D2413" s="618" t="s">
        <v>18</v>
      </c>
      <c r="E2413" s="618">
        <v>1</v>
      </c>
      <c r="F2413" s="619">
        <v>45071</v>
      </c>
      <c r="G2413" s="619">
        <v>46897</v>
      </c>
      <c r="H2413" s="618" t="s">
        <v>6633</v>
      </c>
      <c r="I2413" s="618" t="s">
        <v>51</v>
      </c>
    </row>
    <row r="2414" spans="1:9">
      <c r="A2414" s="620">
        <f t="shared" si="37"/>
        <v>2410</v>
      </c>
      <c r="B2414" s="621" t="s">
        <v>5712</v>
      </c>
      <c r="C2414" s="621" t="str">
        <f>"15471"</f>
        <v>15471</v>
      </c>
      <c r="D2414" s="621" t="s">
        <v>18</v>
      </c>
      <c r="E2414" s="621">
        <v>1</v>
      </c>
      <c r="F2414" s="622">
        <v>45104</v>
      </c>
      <c r="G2414" s="622">
        <v>46930</v>
      </c>
      <c r="H2414" s="621" t="s">
        <v>6633</v>
      </c>
      <c r="I2414" s="621" t="s">
        <v>51</v>
      </c>
    </row>
    <row r="2415" spans="1:9">
      <c r="A2415" s="617">
        <f t="shared" si="37"/>
        <v>2411</v>
      </c>
      <c r="B2415" s="618" t="s">
        <v>25</v>
      </c>
      <c r="C2415" s="618" t="str">
        <f>"15473"</f>
        <v>15473</v>
      </c>
      <c r="D2415" s="618" t="s">
        <v>18</v>
      </c>
      <c r="E2415" s="618">
        <v>6</v>
      </c>
      <c r="F2415" s="619">
        <v>45125</v>
      </c>
      <c r="G2415" s="619">
        <v>46951</v>
      </c>
      <c r="H2415" s="618" t="s">
        <v>14</v>
      </c>
      <c r="I2415" s="618" t="s">
        <v>51</v>
      </c>
    </row>
    <row r="2416" spans="1:9">
      <c r="A2416" s="620">
        <f t="shared" si="37"/>
        <v>2412</v>
      </c>
      <c r="B2416" s="621" t="s">
        <v>25</v>
      </c>
      <c r="C2416" s="621" t="str">
        <f>"15474"</f>
        <v>15474</v>
      </c>
      <c r="D2416" s="621" t="s">
        <v>18</v>
      </c>
      <c r="E2416" s="621">
        <v>11</v>
      </c>
      <c r="F2416" s="622">
        <v>45125</v>
      </c>
      <c r="G2416" s="622">
        <v>46951</v>
      </c>
      <c r="H2416" s="621" t="s">
        <v>14</v>
      </c>
      <c r="I2416" s="621" t="s">
        <v>51</v>
      </c>
    </row>
    <row r="2417" spans="1:9">
      <c r="A2417" s="617">
        <f t="shared" si="37"/>
        <v>2413</v>
      </c>
      <c r="B2417" s="618" t="s">
        <v>25</v>
      </c>
      <c r="C2417" s="618" t="str">
        <f>"15475"</f>
        <v>15475</v>
      </c>
      <c r="D2417" s="618" t="s">
        <v>18</v>
      </c>
      <c r="E2417" s="618">
        <v>2</v>
      </c>
      <c r="F2417" s="619">
        <v>45125</v>
      </c>
      <c r="G2417" s="619">
        <v>46951</v>
      </c>
      <c r="H2417" s="618" t="s">
        <v>14</v>
      </c>
      <c r="I2417" s="618" t="s">
        <v>51</v>
      </c>
    </row>
    <row r="2418" spans="1:9">
      <c r="A2418" s="620">
        <f t="shared" si="37"/>
        <v>2414</v>
      </c>
      <c r="B2418" s="621" t="s">
        <v>320</v>
      </c>
      <c r="C2418" s="621" t="str">
        <f>"15476"</f>
        <v>15476</v>
      </c>
      <c r="D2418" s="621" t="s">
        <v>18</v>
      </c>
      <c r="E2418" s="621">
        <v>132</v>
      </c>
      <c r="F2418" s="622">
        <v>45173</v>
      </c>
      <c r="G2418" s="622">
        <v>46999</v>
      </c>
      <c r="H2418" s="621" t="s">
        <v>45</v>
      </c>
      <c r="I2418" s="621" t="s">
        <v>51</v>
      </c>
    </row>
    <row r="2419" spans="1:9">
      <c r="A2419" s="617">
        <f t="shared" si="37"/>
        <v>2415</v>
      </c>
      <c r="B2419" s="618" t="s">
        <v>5681</v>
      </c>
      <c r="C2419" s="618" t="str">
        <f>"15484"</f>
        <v>15484</v>
      </c>
      <c r="D2419" s="618" t="s">
        <v>18</v>
      </c>
      <c r="E2419" s="618">
        <v>1</v>
      </c>
      <c r="F2419" s="619">
        <v>45076</v>
      </c>
      <c r="G2419" s="619">
        <v>46902</v>
      </c>
      <c r="H2419" s="618" t="s">
        <v>23</v>
      </c>
      <c r="I2419" s="618" t="s">
        <v>51</v>
      </c>
    </row>
    <row r="2420" spans="1:9">
      <c r="A2420" s="620">
        <f t="shared" si="37"/>
        <v>2416</v>
      </c>
      <c r="B2420" s="621" t="s">
        <v>5719</v>
      </c>
      <c r="C2420" s="621" t="str">
        <f>"15485"</f>
        <v>15485</v>
      </c>
      <c r="D2420" s="621" t="s">
        <v>18</v>
      </c>
      <c r="E2420" s="621">
        <v>3</v>
      </c>
      <c r="F2420" s="622">
        <v>45173</v>
      </c>
      <c r="G2420" s="622">
        <v>46999</v>
      </c>
      <c r="H2420" s="621" t="s">
        <v>28</v>
      </c>
      <c r="I2420" s="621" t="s">
        <v>51</v>
      </c>
    </row>
    <row r="2421" spans="1:9">
      <c r="A2421" s="617">
        <f t="shared" si="37"/>
        <v>2417</v>
      </c>
      <c r="B2421" s="618" t="s">
        <v>86</v>
      </c>
      <c r="C2421" s="618" t="str">
        <f>"15494"</f>
        <v>15494</v>
      </c>
      <c r="D2421" s="618" t="s">
        <v>18</v>
      </c>
      <c r="E2421" s="618">
        <v>9</v>
      </c>
      <c r="F2421" s="619">
        <v>45034</v>
      </c>
      <c r="G2421" s="619">
        <v>46860</v>
      </c>
      <c r="H2421" s="618" t="s">
        <v>16</v>
      </c>
      <c r="I2421" s="618" t="s">
        <v>51</v>
      </c>
    </row>
    <row r="2422" spans="1:9">
      <c r="A2422" s="620">
        <f t="shared" si="37"/>
        <v>2418</v>
      </c>
      <c r="B2422" s="621" t="s">
        <v>5713</v>
      </c>
      <c r="C2422" s="621" t="str">
        <f>"15495"</f>
        <v>15495</v>
      </c>
      <c r="D2422" s="621" t="s">
        <v>18</v>
      </c>
      <c r="E2422" s="621">
        <v>2</v>
      </c>
      <c r="F2422" s="622">
        <v>45054</v>
      </c>
      <c r="G2422" s="622">
        <v>46880</v>
      </c>
      <c r="H2422" s="621" t="s">
        <v>29</v>
      </c>
      <c r="I2422" s="621" t="s">
        <v>51</v>
      </c>
    </row>
    <row r="2423" spans="1:9">
      <c r="A2423" s="617">
        <f t="shared" si="37"/>
        <v>2419</v>
      </c>
      <c r="B2423" s="618" t="s">
        <v>5694</v>
      </c>
      <c r="C2423" s="618" t="str">
        <f>"15496"</f>
        <v>15496</v>
      </c>
      <c r="D2423" s="618" t="s">
        <v>18</v>
      </c>
      <c r="E2423" s="618">
        <v>38</v>
      </c>
      <c r="F2423" s="619">
        <v>45055</v>
      </c>
      <c r="G2423" s="619">
        <v>46881</v>
      </c>
      <c r="H2423" s="618" t="s">
        <v>14</v>
      </c>
      <c r="I2423" s="618" t="s">
        <v>51</v>
      </c>
    </row>
    <row r="2424" spans="1:9">
      <c r="A2424" s="620">
        <f t="shared" si="37"/>
        <v>2420</v>
      </c>
      <c r="B2424" s="621" t="s">
        <v>5681</v>
      </c>
      <c r="C2424" s="621" t="str">
        <f>"15497"</f>
        <v>15497</v>
      </c>
      <c r="D2424" s="621" t="s">
        <v>18</v>
      </c>
      <c r="E2424" s="621">
        <v>5</v>
      </c>
      <c r="F2424" s="622">
        <v>45076</v>
      </c>
      <c r="G2424" s="622">
        <v>46902</v>
      </c>
      <c r="H2424" s="621" t="s">
        <v>22</v>
      </c>
      <c r="I2424" s="621" t="s">
        <v>51</v>
      </c>
    </row>
    <row r="2425" spans="1:9">
      <c r="A2425" s="617">
        <f t="shared" si="37"/>
        <v>2421</v>
      </c>
      <c r="B2425" s="618" t="s">
        <v>5681</v>
      </c>
      <c r="C2425" s="618" t="str">
        <f>"15498"</f>
        <v>15498</v>
      </c>
      <c r="D2425" s="618" t="s">
        <v>18</v>
      </c>
      <c r="E2425" s="618">
        <v>3</v>
      </c>
      <c r="F2425" s="619"/>
      <c r="G2425" s="619"/>
      <c r="H2425" s="618" t="s">
        <v>22</v>
      </c>
      <c r="I2425" s="618" t="s">
        <v>459</v>
      </c>
    </row>
    <row r="2426" spans="1:9">
      <c r="A2426" s="620">
        <f t="shared" si="37"/>
        <v>2422</v>
      </c>
      <c r="B2426" s="621" t="s">
        <v>5681</v>
      </c>
      <c r="C2426" s="621" t="str">
        <f>"15499"</f>
        <v>15499</v>
      </c>
      <c r="D2426" s="621" t="s">
        <v>18</v>
      </c>
      <c r="E2426" s="621">
        <v>10</v>
      </c>
      <c r="F2426" s="622">
        <v>45104</v>
      </c>
      <c r="G2426" s="622">
        <v>46930</v>
      </c>
      <c r="H2426" s="621" t="s">
        <v>28</v>
      </c>
      <c r="I2426" s="621" t="s">
        <v>51</v>
      </c>
    </row>
    <row r="2427" spans="1:9">
      <c r="A2427" s="617">
        <f t="shared" si="37"/>
        <v>2423</v>
      </c>
      <c r="B2427" s="618" t="s">
        <v>5681</v>
      </c>
      <c r="C2427" s="618" t="str">
        <f>"15500"</f>
        <v>15500</v>
      </c>
      <c r="D2427" s="618" t="s">
        <v>18</v>
      </c>
      <c r="E2427" s="618">
        <v>11</v>
      </c>
      <c r="F2427" s="619">
        <v>45104</v>
      </c>
      <c r="G2427" s="619">
        <v>46930</v>
      </c>
      <c r="H2427" s="618" t="s">
        <v>29</v>
      </c>
      <c r="I2427" s="618" t="s">
        <v>51</v>
      </c>
    </row>
    <row r="2428" spans="1:9">
      <c r="A2428" s="620">
        <f t="shared" si="37"/>
        <v>2424</v>
      </c>
      <c r="B2428" s="621" t="s">
        <v>432</v>
      </c>
      <c r="C2428" s="621" t="str">
        <f>"15501"</f>
        <v>15501</v>
      </c>
      <c r="D2428" s="621" t="s">
        <v>18</v>
      </c>
      <c r="E2428" s="621">
        <v>10</v>
      </c>
      <c r="F2428" s="622">
        <v>45104</v>
      </c>
      <c r="G2428" s="622">
        <v>46930</v>
      </c>
      <c r="H2428" s="621" t="s">
        <v>21</v>
      </c>
      <c r="I2428" s="621" t="s">
        <v>51</v>
      </c>
    </row>
    <row r="2429" spans="1:9">
      <c r="A2429" s="617">
        <f t="shared" si="37"/>
        <v>2425</v>
      </c>
      <c r="B2429" s="618" t="s">
        <v>432</v>
      </c>
      <c r="C2429" s="618" t="str">
        <f>"15502"</f>
        <v>15502</v>
      </c>
      <c r="D2429" s="618" t="s">
        <v>18</v>
      </c>
      <c r="E2429" s="618">
        <v>9</v>
      </c>
      <c r="F2429" s="619">
        <v>45104</v>
      </c>
      <c r="G2429" s="619">
        <v>46930</v>
      </c>
      <c r="H2429" s="618" t="s">
        <v>21</v>
      </c>
      <c r="I2429" s="618" t="s">
        <v>51</v>
      </c>
    </row>
    <row r="2430" spans="1:9">
      <c r="A2430" s="620">
        <f t="shared" si="37"/>
        <v>2426</v>
      </c>
      <c r="B2430" s="621" t="s">
        <v>432</v>
      </c>
      <c r="C2430" s="621" t="str">
        <f>"15503"</f>
        <v>15503</v>
      </c>
      <c r="D2430" s="621" t="s">
        <v>18</v>
      </c>
      <c r="E2430" s="621">
        <v>10</v>
      </c>
      <c r="F2430" s="622">
        <v>45104</v>
      </c>
      <c r="G2430" s="622">
        <v>46930</v>
      </c>
      <c r="H2430" s="621" t="s">
        <v>19</v>
      </c>
      <c r="I2430" s="621" t="s">
        <v>51</v>
      </c>
    </row>
    <row r="2431" spans="1:9">
      <c r="A2431" s="617">
        <f t="shared" si="37"/>
        <v>2427</v>
      </c>
      <c r="B2431" s="618" t="s">
        <v>432</v>
      </c>
      <c r="C2431" s="618" t="str">
        <f>"15504"</f>
        <v>15504</v>
      </c>
      <c r="D2431" s="618" t="s">
        <v>18</v>
      </c>
      <c r="E2431" s="618">
        <v>7</v>
      </c>
      <c r="F2431" s="619">
        <v>45104</v>
      </c>
      <c r="G2431" s="619">
        <v>46930</v>
      </c>
      <c r="H2431" s="618" t="s">
        <v>41</v>
      </c>
      <c r="I2431" s="618" t="s">
        <v>51</v>
      </c>
    </row>
    <row r="2432" spans="1:9">
      <c r="A2432" s="620">
        <f t="shared" si="37"/>
        <v>2428</v>
      </c>
      <c r="B2432" s="621" t="s">
        <v>468</v>
      </c>
      <c r="C2432" s="621" t="str">
        <f>"15505"</f>
        <v>15505</v>
      </c>
      <c r="D2432" s="621" t="s">
        <v>18</v>
      </c>
      <c r="E2432" s="621">
        <v>73</v>
      </c>
      <c r="F2432" s="622">
        <v>45054</v>
      </c>
      <c r="G2432" s="622">
        <v>46880</v>
      </c>
      <c r="H2432" s="621" t="s">
        <v>28</v>
      </c>
      <c r="I2432" s="621" t="s">
        <v>51</v>
      </c>
    </row>
    <row r="2433" spans="1:9">
      <c r="A2433" s="617">
        <f t="shared" si="37"/>
        <v>2429</v>
      </c>
      <c r="B2433" s="618" t="s">
        <v>5695</v>
      </c>
      <c r="C2433" s="618" t="str">
        <f>"15506"</f>
        <v>15506</v>
      </c>
      <c r="D2433" s="618" t="s">
        <v>18</v>
      </c>
      <c r="E2433" s="618">
        <v>5</v>
      </c>
      <c r="F2433" s="619">
        <v>45020</v>
      </c>
      <c r="G2433" s="619">
        <v>46846</v>
      </c>
      <c r="H2433" s="618" t="s">
        <v>14</v>
      </c>
      <c r="I2433" s="618" t="s">
        <v>51</v>
      </c>
    </row>
    <row r="2434" spans="1:9">
      <c r="A2434" s="620">
        <f t="shared" si="37"/>
        <v>2430</v>
      </c>
      <c r="B2434" s="621" t="s">
        <v>86</v>
      </c>
      <c r="C2434" s="621" t="str">
        <f>"15507"</f>
        <v>15507</v>
      </c>
      <c r="D2434" s="621" t="s">
        <v>18</v>
      </c>
      <c r="E2434" s="621">
        <v>40</v>
      </c>
      <c r="F2434" s="622">
        <v>45034</v>
      </c>
      <c r="G2434" s="622">
        <v>46860</v>
      </c>
      <c r="H2434" s="621" t="s">
        <v>41</v>
      </c>
      <c r="I2434" s="621" t="s">
        <v>51</v>
      </c>
    </row>
    <row r="2435" spans="1:9">
      <c r="A2435" s="617">
        <f t="shared" si="37"/>
        <v>2431</v>
      </c>
      <c r="B2435" s="618" t="s">
        <v>5730</v>
      </c>
      <c r="C2435" s="618" t="str">
        <f>"15509"</f>
        <v>15509</v>
      </c>
      <c r="D2435" s="618" t="s">
        <v>18</v>
      </c>
      <c r="E2435" s="618">
        <v>5</v>
      </c>
      <c r="F2435" s="619">
        <v>45037</v>
      </c>
      <c r="G2435" s="619">
        <v>46863</v>
      </c>
      <c r="H2435" s="618" t="s">
        <v>41</v>
      </c>
      <c r="I2435" s="618" t="s">
        <v>51</v>
      </c>
    </row>
    <row r="2436" spans="1:9">
      <c r="A2436" s="620">
        <f t="shared" si="37"/>
        <v>2432</v>
      </c>
      <c r="B2436" s="621" t="s">
        <v>5730</v>
      </c>
      <c r="C2436" s="621" t="str">
        <f>"15510"</f>
        <v>15510</v>
      </c>
      <c r="D2436" s="621" t="s">
        <v>18</v>
      </c>
      <c r="E2436" s="621">
        <v>5</v>
      </c>
      <c r="F2436" s="622">
        <v>45077</v>
      </c>
      <c r="G2436" s="622">
        <v>46903</v>
      </c>
      <c r="H2436" s="621" t="s">
        <v>41</v>
      </c>
      <c r="I2436" s="621" t="s">
        <v>51</v>
      </c>
    </row>
    <row r="2437" spans="1:9">
      <c r="A2437" s="617">
        <f t="shared" si="37"/>
        <v>2433</v>
      </c>
      <c r="B2437" s="618" t="s">
        <v>5696</v>
      </c>
      <c r="C2437" s="618" t="str">
        <f>"15511"</f>
        <v>15511</v>
      </c>
      <c r="D2437" s="618" t="s">
        <v>18</v>
      </c>
      <c r="E2437" s="618">
        <v>53</v>
      </c>
      <c r="F2437" s="619">
        <v>45050</v>
      </c>
      <c r="G2437" s="619">
        <v>46876</v>
      </c>
      <c r="H2437" s="618" t="s">
        <v>14</v>
      </c>
      <c r="I2437" s="618" t="s">
        <v>51</v>
      </c>
    </row>
    <row r="2438" spans="1:9">
      <c r="A2438" s="620">
        <f t="shared" si="37"/>
        <v>2434</v>
      </c>
      <c r="B2438" s="621" t="s">
        <v>5696</v>
      </c>
      <c r="C2438" s="621" t="str">
        <f>"15512"</f>
        <v>15512</v>
      </c>
      <c r="D2438" s="621" t="s">
        <v>18</v>
      </c>
      <c r="E2438" s="621">
        <v>264</v>
      </c>
      <c r="F2438" s="622">
        <v>44994</v>
      </c>
      <c r="G2438" s="622">
        <v>46820</v>
      </c>
      <c r="H2438" s="621" t="s">
        <v>16</v>
      </c>
      <c r="I2438" s="621" t="s">
        <v>51</v>
      </c>
    </row>
    <row r="2439" spans="1:9">
      <c r="A2439" s="617">
        <f t="shared" ref="A2439:A2502" si="38">+A2438+1</f>
        <v>2435</v>
      </c>
      <c r="B2439" s="618" t="s">
        <v>5697</v>
      </c>
      <c r="C2439" s="618" t="str">
        <f>"15515"</f>
        <v>15515</v>
      </c>
      <c r="D2439" s="618" t="s">
        <v>18</v>
      </c>
      <c r="E2439" s="618">
        <v>2</v>
      </c>
      <c r="F2439" s="619">
        <v>45050</v>
      </c>
      <c r="G2439" s="619">
        <v>46876</v>
      </c>
      <c r="H2439" s="618" t="s">
        <v>14</v>
      </c>
      <c r="I2439" s="618" t="s">
        <v>51</v>
      </c>
    </row>
    <row r="2440" spans="1:9">
      <c r="A2440" s="620">
        <f t="shared" si="38"/>
        <v>2436</v>
      </c>
      <c r="B2440" s="621" t="s">
        <v>5697</v>
      </c>
      <c r="C2440" s="621" t="str">
        <f>"15516"</f>
        <v>15516</v>
      </c>
      <c r="D2440" s="621" t="s">
        <v>18</v>
      </c>
      <c r="E2440" s="621">
        <v>11</v>
      </c>
      <c r="F2440" s="622">
        <v>45021</v>
      </c>
      <c r="G2440" s="622">
        <v>46847</v>
      </c>
      <c r="H2440" s="621" t="s">
        <v>14</v>
      </c>
      <c r="I2440" s="621" t="s">
        <v>51</v>
      </c>
    </row>
    <row r="2441" spans="1:9">
      <c r="A2441" s="617">
        <f t="shared" si="38"/>
        <v>2437</v>
      </c>
      <c r="B2441" s="618" t="s">
        <v>5697</v>
      </c>
      <c r="C2441" s="618" t="str">
        <f>"15517"</f>
        <v>15517</v>
      </c>
      <c r="D2441" s="618" t="s">
        <v>18</v>
      </c>
      <c r="E2441" s="618">
        <v>3</v>
      </c>
      <c r="F2441" s="619">
        <v>45021</v>
      </c>
      <c r="G2441" s="619">
        <v>46847</v>
      </c>
      <c r="H2441" s="618" t="s">
        <v>16</v>
      </c>
      <c r="I2441" s="618" t="s">
        <v>51</v>
      </c>
    </row>
    <row r="2442" spans="1:9">
      <c r="A2442" s="620">
        <f t="shared" si="38"/>
        <v>2438</v>
      </c>
      <c r="B2442" s="621" t="s">
        <v>5697</v>
      </c>
      <c r="C2442" s="621" t="str">
        <f>"15519"</f>
        <v>15519</v>
      </c>
      <c r="D2442" s="621" t="s">
        <v>18</v>
      </c>
      <c r="E2442" s="621">
        <v>19</v>
      </c>
      <c r="F2442" s="622">
        <v>45021</v>
      </c>
      <c r="G2442" s="622">
        <v>46847</v>
      </c>
      <c r="H2442" s="621" t="s">
        <v>43</v>
      </c>
      <c r="I2442" s="621" t="s">
        <v>51</v>
      </c>
    </row>
    <row r="2443" spans="1:9">
      <c r="A2443" s="617">
        <f t="shared" si="38"/>
        <v>2439</v>
      </c>
      <c r="B2443" s="618" t="s">
        <v>470</v>
      </c>
      <c r="C2443" s="618" t="str">
        <f>"15520"</f>
        <v>15520</v>
      </c>
      <c r="D2443" s="618" t="s">
        <v>18</v>
      </c>
      <c r="E2443" s="618">
        <v>45</v>
      </c>
      <c r="F2443" s="619">
        <v>45007</v>
      </c>
      <c r="G2443" s="619">
        <v>46833</v>
      </c>
      <c r="H2443" s="618" t="s">
        <v>43</v>
      </c>
      <c r="I2443" s="618" t="s">
        <v>51</v>
      </c>
    </row>
    <row r="2444" spans="1:9">
      <c r="A2444" s="620">
        <f t="shared" si="38"/>
        <v>2440</v>
      </c>
      <c r="B2444" s="621" t="s">
        <v>470</v>
      </c>
      <c r="C2444" s="621" t="str">
        <f>"15521"</f>
        <v>15521</v>
      </c>
      <c r="D2444" s="621" t="s">
        <v>18</v>
      </c>
      <c r="E2444" s="621">
        <v>40</v>
      </c>
      <c r="F2444" s="622">
        <v>45007</v>
      </c>
      <c r="G2444" s="622">
        <v>46833</v>
      </c>
      <c r="H2444" s="621" t="s">
        <v>45</v>
      </c>
      <c r="I2444" s="621" t="s">
        <v>51</v>
      </c>
    </row>
    <row r="2445" spans="1:9">
      <c r="A2445" s="617">
        <f t="shared" si="38"/>
        <v>2441</v>
      </c>
      <c r="B2445" s="618" t="s">
        <v>5698</v>
      </c>
      <c r="C2445" s="618" t="str">
        <f>"15522"</f>
        <v>15522</v>
      </c>
      <c r="D2445" s="618" t="s">
        <v>18</v>
      </c>
      <c r="E2445" s="618">
        <v>9</v>
      </c>
      <c r="F2445" s="619">
        <v>45233</v>
      </c>
      <c r="G2445" s="619">
        <v>47059</v>
      </c>
      <c r="H2445" s="618" t="s">
        <v>14</v>
      </c>
      <c r="I2445" s="618" t="s">
        <v>51</v>
      </c>
    </row>
    <row r="2446" spans="1:9">
      <c r="A2446" s="620">
        <f t="shared" si="38"/>
        <v>2442</v>
      </c>
      <c r="B2446" s="621" t="s">
        <v>5711</v>
      </c>
      <c r="C2446" s="621" t="str">
        <f>"15525"</f>
        <v>15525</v>
      </c>
      <c r="D2446" s="621" t="s">
        <v>18</v>
      </c>
      <c r="E2446" s="621">
        <v>10</v>
      </c>
      <c r="F2446" s="622">
        <v>45146</v>
      </c>
      <c r="G2446" s="622">
        <v>46972</v>
      </c>
      <c r="H2446" s="621" t="s">
        <v>28</v>
      </c>
      <c r="I2446" s="621" t="s">
        <v>51</v>
      </c>
    </row>
    <row r="2447" spans="1:9">
      <c r="A2447" s="617">
        <f t="shared" si="38"/>
        <v>2443</v>
      </c>
      <c r="B2447" s="618" t="s">
        <v>5682</v>
      </c>
      <c r="C2447" s="618" t="str">
        <f>"15527"</f>
        <v>15527</v>
      </c>
      <c r="D2447" s="618" t="s">
        <v>18</v>
      </c>
      <c r="E2447" s="618">
        <v>12</v>
      </c>
      <c r="F2447" s="619">
        <v>45002</v>
      </c>
      <c r="G2447" s="619">
        <v>46828</v>
      </c>
      <c r="H2447" s="618" t="s">
        <v>22</v>
      </c>
      <c r="I2447" s="618" t="s">
        <v>51</v>
      </c>
    </row>
    <row r="2448" spans="1:9">
      <c r="A2448" s="620">
        <f t="shared" si="38"/>
        <v>2444</v>
      </c>
      <c r="B2448" s="621" t="s">
        <v>5682</v>
      </c>
      <c r="C2448" s="621" t="str">
        <f>"15528"</f>
        <v>15528</v>
      </c>
      <c r="D2448" s="621" t="s">
        <v>18</v>
      </c>
      <c r="E2448" s="621">
        <v>8</v>
      </c>
      <c r="F2448" s="622">
        <v>45002</v>
      </c>
      <c r="G2448" s="622">
        <v>46828</v>
      </c>
      <c r="H2448" s="621" t="s">
        <v>22</v>
      </c>
      <c r="I2448" s="621" t="s">
        <v>51</v>
      </c>
    </row>
    <row r="2449" spans="1:9">
      <c r="A2449" s="617">
        <f t="shared" si="38"/>
        <v>2445</v>
      </c>
      <c r="B2449" s="618" t="s">
        <v>5699</v>
      </c>
      <c r="C2449" s="618" t="str">
        <f>"15529"</f>
        <v>15529</v>
      </c>
      <c r="D2449" s="618" t="s">
        <v>18</v>
      </c>
      <c r="E2449" s="618">
        <v>3</v>
      </c>
      <c r="F2449" s="619">
        <v>45203</v>
      </c>
      <c r="G2449" s="619">
        <v>47029</v>
      </c>
      <c r="H2449" s="618" t="s">
        <v>14</v>
      </c>
      <c r="I2449" s="618" t="s">
        <v>51</v>
      </c>
    </row>
    <row r="2450" spans="1:9">
      <c r="A2450" s="620">
        <f t="shared" si="38"/>
        <v>2446</v>
      </c>
      <c r="B2450" s="621" t="s">
        <v>5695</v>
      </c>
      <c r="C2450" s="621" t="str">
        <f>"15531"</f>
        <v>15531</v>
      </c>
      <c r="D2450" s="621" t="s">
        <v>18</v>
      </c>
      <c r="E2450" s="621">
        <v>14</v>
      </c>
      <c r="F2450" s="622">
        <v>45020</v>
      </c>
      <c r="G2450" s="622">
        <v>46846</v>
      </c>
      <c r="H2450" s="621" t="s">
        <v>14</v>
      </c>
      <c r="I2450" s="621" t="s">
        <v>51</v>
      </c>
    </row>
    <row r="2451" spans="1:9">
      <c r="A2451" s="617">
        <f t="shared" si="38"/>
        <v>2447</v>
      </c>
      <c r="B2451" s="618" t="s">
        <v>5714</v>
      </c>
      <c r="C2451" s="618" t="str">
        <f>"15532"</f>
        <v>15532</v>
      </c>
      <c r="D2451" s="618" t="s">
        <v>18</v>
      </c>
      <c r="E2451" s="618">
        <v>42</v>
      </c>
      <c r="F2451" s="619">
        <v>45034</v>
      </c>
      <c r="G2451" s="619">
        <v>46860</v>
      </c>
      <c r="H2451" s="618" t="s">
        <v>29</v>
      </c>
      <c r="I2451" s="618" t="s">
        <v>51</v>
      </c>
    </row>
    <row r="2452" spans="1:9">
      <c r="A2452" s="620">
        <f t="shared" si="38"/>
        <v>2448</v>
      </c>
      <c r="B2452" s="621" t="s">
        <v>208</v>
      </c>
      <c r="C2452" s="621" t="str">
        <f>"15534"</f>
        <v>15534</v>
      </c>
      <c r="D2452" s="621" t="s">
        <v>18</v>
      </c>
      <c r="E2452" s="621">
        <v>20</v>
      </c>
      <c r="F2452" s="622">
        <v>45054</v>
      </c>
      <c r="G2452" s="622">
        <v>46880</v>
      </c>
      <c r="H2452" s="621" t="s">
        <v>43</v>
      </c>
      <c r="I2452" s="621" t="s">
        <v>51</v>
      </c>
    </row>
    <row r="2453" spans="1:9">
      <c r="A2453" s="617">
        <f t="shared" si="38"/>
        <v>2449</v>
      </c>
      <c r="B2453" s="618" t="s">
        <v>5700</v>
      </c>
      <c r="C2453" s="618" t="str">
        <f>"15536"</f>
        <v>15536</v>
      </c>
      <c r="D2453" s="618" t="s">
        <v>18</v>
      </c>
      <c r="E2453" s="618">
        <v>36</v>
      </c>
      <c r="F2453" s="619">
        <v>45033</v>
      </c>
      <c r="G2453" s="619">
        <v>46859</v>
      </c>
      <c r="H2453" s="618" t="s">
        <v>14</v>
      </c>
      <c r="I2453" s="618" t="s">
        <v>51</v>
      </c>
    </row>
    <row r="2454" spans="1:9">
      <c r="A2454" s="620">
        <f t="shared" si="38"/>
        <v>2450</v>
      </c>
      <c r="B2454" s="621" t="s">
        <v>5700</v>
      </c>
      <c r="C2454" s="621" t="str">
        <f>"15537"</f>
        <v>15537</v>
      </c>
      <c r="D2454" s="621" t="s">
        <v>18</v>
      </c>
      <c r="E2454" s="621">
        <v>8</v>
      </c>
      <c r="F2454" s="622">
        <v>45033</v>
      </c>
      <c r="G2454" s="622">
        <v>46859</v>
      </c>
      <c r="H2454" s="621" t="s">
        <v>14</v>
      </c>
      <c r="I2454" s="621" t="s">
        <v>51</v>
      </c>
    </row>
    <row r="2455" spans="1:9">
      <c r="A2455" s="617">
        <f t="shared" si="38"/>
        <v>2451</v>
      </c>
      <c r="B2455" s="618" t="s">
        <v>197</v>
      </c>
      <c r="C2455" s="618" t="str">
        <f>"15542"</f>
        <v>15542</v>
      </c>
      <c r="D2455" s="618" t="s">
        <v>18</v>
      </c>
      <c r="E2455" s="618">
        <v>7</v>
      </c>
      <c r="F2455" s="619">
        <v>45007</v>
      </c>
      <c r="G2455" s="619">
        <v>46833</v>
      </c>
      <c r="H2455" s="618" t="s">
        <v>1644</v>
      </c>
      <c r="I2455" s="618" t="s">
        <v>51</v>
      </c>
    </row>
    <row r="2456" spans="1:9">
      <c r="A2456" s="620">
        <f t="shared" si="38"/>
        <v>2452</v>
      </c>
      <c r="B2456" s="621" t="s">
        <v>5714</v>
      </c>
      <c r="C2456" s="621" t="str">
        <f>"15543"</f>
        <v>15543</v>
      </c>
      <c r="D2456" s="621" t="s">
        <v>18</v>
      </c>
      <c r="E2456" s="621">
        <v>8</v>
      </c>
      <c r="F2456" s="622">
        <v>45069</v>
      </c>
      <c r="G2456" s="622">
        <v>46895</v>
      </c>
      <c r="H2456" s="621" t="s">
        <v>28</v>
      </c>
      <c r="I2456" s="621" t="s">
        <v>51</v>
      </c>
    </row>
    <row r="2457" spans="1:9">
      <c r="A2457" s="617">
        <f t="shared" si="38"/>
        <v>2453</v>
      </c>
      <c r="B2457" s="618" t="s">
        <v>5731</v>
      </c>
      <c r="C2457" s="618" t="str">
        <f>"15549"</f>
        <v>15549</v>
      </c>
      <c r="D2457" s="618" t="s">
        <v>18</v>
      </c>
      <c r="E2457" s="618">
        <v>10</v>
      </c>
      <c r="F2457" s="619">
        <v>45021</v>
      </c>
      <c r="G2457" s="619">
        <v>46847</v>
      </c>
      <c r="H2457" s="618" t="s">
        <v>41</v>
      </c>
      <c r="I2457" s="618" t="s">
        <v>51</v>
      </c>
    </row>
    <row r="2458" spans="1:9">
      <c r="A2458" s="620">
        <f t="shared" si="38"/>
        <v>2454</v>
      </c>
      <c r="B2458" s="621" t="s">
        <v>5710</v>
      </c>
      <c r="C2458" s="621" t="str">
        <f>"15550"</f>
        <v>15550</v>
      </c>
      <c r="D2458" s="621" t="s">
        <v>18</v>
      </c>
      <c r="E2458" s="621">
        <v>27</v>
      </c>
      <c r="F2458" s="622">
        <v>45146</v>
      </c>
      <c r="G2458" s="622">
        <v>46972</v>
      </c>
      <c r="H2458" s="621" t="s">
        <v>21</v>
      </c>
      <c r="I2458" s="621" t="s">
        <v>51</v>
      </c>
    </row>
    <row r="2459" spans="1:9">
      <c r="A2459" s="617">
        <f t="shared" si="38"/>
        <v>2455</v>
      </c>
      <c r="B2459" s="618" t="s">
        <v>5714</v>
      </c>
      <c r="C2459" s="618" t="str">
        <f>"15553"</f>
        <v>15553</v>
      </c>
      <c r="D2459" s="618" t="s">
        <v>18</v>
      </c>
      <c r="E2459" s="618">
        <v>16</v>
      </c>
      <c r="F2459" s="619">
        <v>45034</v>
      </c>
      <c r="G2459" s="619">
        <v>46860</v>
      </c>
      <c r="H2459" s="618" t="s">
        <v>43</v>
      </c>
      <c r="I2459" s="618" t="s">
        <v>51</v>
      </c>
    </row>
    <row r="2460" spans="1:9">
      <c r="A2460" s="620">
        <f t="shared" si="38"/>
        <v>2456</v>
      </c>
      <c r="B2460" s="621" t="s">
        <v>381</v>
      </c>
      <c r="C2460" s="621" t="str">
        <f>"15555"</f>
        <v>15555</v>
      </c>
      <c r="D2460" s="621" t="s">
        <v>18</v>
      </c>
      <c r="E2460" s="621">
        <v>37</v>
      </c>
      <c r="F2460" s="622">
        <v>44911</v>
      </c>
      <c r="G2460" s="622">
        <v>46736</v>
      </c>
      <c r="H2460" s="621" t="s">
        <v>29</v>
      </c>
      <c r="I2460" s="621" t="s">
        <v>51</v>
      </c>
    </row>
    <row r="2461" spans="1:9">
      <c r="A2461" s="617">
        <f t="shared" si="38"/>
        <v>2457</v>
      </c>
      <c r="B2461" s="618" t="s">
        <v>5701</v>
      </c>
      <c r="C2461" s="618" t="str">
        <f>"15556"</f>
        <v>15556</v>
      </c>
      <c r="D2461" s="618" t="s">
        <v>18</v>
      </c>
      <c r="E2461" s="618">
        <v>10</v>
      </c>
      <c r="F2461" s="619">
        <v>45026</v>
      </c>
      <c r="G2461" s="619">
        <v>46852</v>
      </c>
      <c r="H2461" s="618" t="s">
        <v>14</v>
      </c>
      <c r="I2461" s="618" t="s">
        <v>51</v>
      </c>
    </row>
    <row r="2462" spans="1:9">
      <c r="A2462" s="620">
        <f t="shared" si="38"/>
        <v>2458</v>
      </c>
      <c r="B2462" s="621" t="s">
        <v>5701</v>
      </c>
      <c r="C2462" s="621" t="str">
        <f>"15561"</f>
        <v>15561</v>
      </c>
      <c r="D2462" s="621" t="s">
        <v>18</v>
      </c>
      <c r="E2462" s="621">
        <v>10</v>
      </c>
      <c r="F2462" s="622">
        <v>45026</v>
      </c>
      <c r="G2462" s="622">
        <v>46852</v>
      </c>
      <c r="H2462" s="621" t="s">
        <v>14</v>
      </c>
      <c r="I2462" s="621" t="s">
        <v>51</v>
      </c>
    </row>
    <row r="2463" spans="1:9">
      <c r="A2463" s="617">
        <f t="shared" si="38"/>
        <v>2459</v>
      </c>
      <c r="B2463" s="618" t="s">
        <v>469</v>
      </c>
      <c r="C2463" s="618" t="str">
        <f>"15562"</f>
        <v>15562</v>
      </c>
      <c r="D2463" s="618" t="s">
        <v>18</v>
      </c>
      <c r="E2463" s="618">
        <v>6</v>
      </c>
      <c r="F2463" s="619">
        <v>45258</v>
      </c>
      <c r="G2463" s="619">
        <v>47084</v>
      </c>
      <c r="H2463" s="618" t="s">
        <v>14</v>
      </c>
      <c r="I2463" s="618" t="s">
        <v>51</v>
      </c>
    </row>
    <row r="2464" spans="1:9">
      <c r="A2464" s="620">
        <f t="shared" si="38"/>
        <v>2460</v>
      </c>
      <c r="B2464" s="621" t="s">
        <v>381</v>
      </c>
      <c r="C2464" s="621" t="str">
        <f>"15563"</f>
        <v>15563</v>
      </c>
      <c r="D2464" s="621" t="s">
        <v>18</v>
      </c>
      <c r="E2464" s="621">
        <v>55</v>
      </c>
      <c r="F2464" s="622">
        <v>44911</v>
      </c>
      <c r="G2464" s="622">
        <v>46736</v>
      </c>
      <c r="H2464" s="621" t="s">
        <v>29</v>
      </c>
      <c r="I2464" s="621" t="s">
        <v>51</v>
      </c>
    </row>
    <row r="2465" spans="1:9">
      <c r="A2465" s="617">
        <f t="shared" si="38"/>
        <v>2461</v>
      </c>
      <c r="B2465" s="618" t="s">
        <v>5710</v>
      </c>
      <c r="C2465" s="618" t="str">
        <f>"15564"</f>
        <v>15564</v>
      </c>
      <c r="D2465" s="618" t="s">
        <v>18</v>
      </c>
      <c r="E2465" s="618">
        <v>20</v>
      </c>
      <c r="F2465" s="619">
        <v>45145</v>
      </c>
      <c r="G2465" s="619">
        <v>46971</v>
      </c>
      <c r="H2465" s="618" t="s">
        <v>28</v>
      </c>
      <c r="I2465" s="618" t="s">
        <v>51</v>
      </c>
    </row>
    <row r="2466" spans="1:9">
      <c r="A2466" s="620">
        <f t="shared" si="38"/>
        <v>2462</v>
      </c>
      <c r="B2466" s="621" t="s">
        <v>5714</v>
      </c>
      <c r="C2466" s="621" t="str">
        <f>"15565"</f>
        <v>15565</v>
      </c>
      <c r="D2466" s="621" t="s">
        <v>18</v>
      </c>
      <c r="E2466" s="621">
        <v>28</v>
      </c>
      <c r="F2466" s="622">
        <v>45034</v>
      </c>
      <c r="G2466" s="622">
        <v>46860</v>
      </c>
      <c r="H2466" s="621" t="s">
        <v>43</v>
      </c>
      <c r="I2466" s="621" t="s">
        <v>51</v>
      </c>
    </row>
    <row r="2467" spans="1:9">
      <c r="A2467" s="617">
        <f t="shared" si="38"/>
        <v>2463</v>
      </c>
      <c r="B2467" s="618" t="s">
        <v>336</v>
      </c>
      <c r="C2467" s="618" t="str">
        <f>"15576"</f>
        <v>15576</v>
      </c>
      <c r="D2467" s="618" t="s">
        <v>18</v>
      </c>
      <c r="E2467" s="618">
        <v>4</v>
      </c>
      <c r="F2467" s="619">
        <v>45120</v>
      </c>
      <c r="G2467" s="619">
        <v>46946</v>
      </c>
      <c r="H2467" s="618" t="s">
        <v>14</v>
      </c>
      <c r="I2467" s="618" t="s">
        <v>51</v>
      </c>
    </row>
    <row r="2468" spans="1:9">
      <c r="A2468" s="620">
        <f t="shared" si="38"/>
        <v>2464</v>
      </c>
      <c r="B2468" s="621" t="s">
        <v>1890</v>
      </c>
      <c r="C2468" s="621" t="str">
        <f>"15577"</f>
        <v>15577</v>
      </c>
      <c r="D2468" s="621" t="s">
        <v>18</v>
      </c>
      <c r="E2468" s="621">
        <v>12</v>
      </c>
      <c r="F2468" s="622">
        <v>45230</v>
      </c>
      <c r="G2468" s="622">
        <v>47056</v>
      </c>
      <c r="H2468" s="621" t="s">
        <v>56</v>
      </c>
      <c r="I2468" s="621" t="s">
        <v>51</v>
      </c>
    </row>
    <row r="2469" spans="1:9">
      <c r="A2469" s="617">
        <f t="shared" si="38"/>
        <v>2465</v>
      </c>
      <c r="B2469" s="618" t="s">
        <v>1890</v>
      </c>
      <c r="C2469" s="618" t="str">
        <f>"15578"</f>
        <v>15578</v>
      </c>
      <c r="D2469" s="618" t="s">
        <v>18</v>
      </c>
      <c r="E2469" s="618">
        <v>10</v>
      </c>
      <c r="F2469" s="619">
        <v>45230</v>
      </c>
      <c r="G2469" s="619">
        <v>47056</v>
      </c>
      <c r="H2469" s="618" t="s">
        <v>56</v>
      </c>
      <c r="I2469" s="618" t="s">
        <v>51</v>
      </c>
    </row>
    <row r="2470" spans="1:9">
      <c r="A2470" s="620">
        <f t="shared" si="38"/>
        <v>2466</v>
      </c>
      <c r="B2470" s="621" t="s">
        <v>5682</v>
      </c>
      <c r="C2470" s="621" t="str">
        <f>"15579"</f>
        <v>15579</v>
      </c>
      <c r="D2470" s="621" t="s">
        <v>18</v>
      </c>
      <c r="E2470" s="621">
        <v>12</v>
      </c>
      <c r="F2470" s="622">
        <v>45006</v>
      </c>
      <c r="G2470" s="622">
        <v>46832</v>
      </c>
      <c r="H2470" s="621" t="s">
        <v>22</v>
      </c>
      <c r="I2470" s="621" t="s">
        <v>51</v>
      </c>
    </row>
    <row r="2471" spans="1:9">
      <c r="A2471" s="617">
        <f t="shared" si="38"/>
        <v>2467</v>
      </c>
      <c r="B2471" s="618" t="s">
        <v>5682</v>
      </c>
      <c r="C2471" s="618" t="str">
        <f>"15580"</f>
        <v>15580</v>
      </c>
      <c r="D2471" s="618" t="s">
        <v>18</v>
      </c>
      <c r="E2471" s="618">
        <v>10</v>
      </c>
      <c r="F2471" s="619">
        <v>45002</v>
      </c>
      <c r="G2471" s="619">
        <v>46828</v>
      </c>
      <c r="H2471" s="618" t="s">
        <v>28</v>
      </c>
      <c r="I2471" s="618" t="s">
        <v>51</v>
      </c>
    </row>
    <row r="2472" spans="1:9">
      <c r="A2472" s="620">
        <f t="shared" si="38"/>
        <v>2468</v>
      </c>
      <c r="B2472" s="621" t="s">
        <v>376</v>
      </c>
      <c r="C2472" s="621" t="str">
        <f>"15582"</f>
        <v>15582</v>
      </c>
      <c r="D2472" s="621" t="s">
        <v>18</v>
      </c>
      <c r="E2472" s="621">
        <v>89</v>
      </c>
      <c r="F2472" s="622">
        <v>45050</v>
      </c>
      <c r="G2472" s="622">
        <v>46876</v>
      </c>
      <c r="H2472" s="621" t="s">
        <v>14</v>
      </c>
      <c r="I2472" s="621" t="s">
        <v>51</v>
      </c>
    </row>
    <row r="2473" spans="1:9">
      <c r="A2473" s="617">
        <f t="shared" si="38"/>
        <v>2469</v>
      </c>
      <c r="B2473" s="618" t="s">
        <v>376</v>
      </c>
      <c r="C2473" s="618" t="str">
        <f>"15583"</f>
        <v>15583</v>
      </c>
      <c r="D2473" s="618" t="s">
        <v>18</v>
      </c>
      <c r="E2473" s="618">
        <v>14</v>
      </c>
      <c r="F2473" s="619">
        <v>45040</v>
      </c>
      <c r="G2473" s="619">
        <v>46866</v>
      </c>
      <c r="H2473" s="618" t="s">
        <v>14</v>
      </c>
      <c r="I2473" s="618" t="s">
        <v>51</v>
      </c>
    </row>
    <row r="2474" spans="1:9">
      <c r="A2474" s="620">
        <f t="shared" si="38"/>
        <v>2470</v>
      </c>
      <c r="B2474" s="621" t="s">
        <v>5714</v>
      </c>
      <c r="C2474" s="621" t="str">
        <f>"15584"</f>
        <v>15584</v>
      </c>
      <c r="D2474" s="621" t="s">
        <v>18</v>
      </c>
      <c r="E2474" s="621">
        <v>20</v>
      </c>
      <c r="F2474" s="622">
        <v>45173</v>
      </c>
      <c r="G2474" s="622">
        <v>46999</v>
      </c>
      <c r="H2474" s="621" t="s">
        <v>43</v>
      </c>
      <c r="I2474" s="621" t="s">
        <v>51</v>
      </c>
    </row>
    <row r="2475" spans="1:9">
      <c r="A2475" s="617">
        <f t="shared" si="38"/>
        <v>2471</v>
      </c>
      <c r="B2475" s="618" t="s">
        <v>6889</v>
      </c>
      <c r="C2475" s="618" t="str">
        <f>"15585"</f>
        <v>15585</v>
      </c>
      <c r="D2475" s="618" t="s">
        <v>18</v>
      </c>
      <c r="E2475" s="618">
        <v>2</v>
      </c>
      <c r="F2475" s="619"/>
      <c r="G2475" s="619"/>
      <c r="H2475" s="618" t="s">
        <v>41</v>
      </c>
      <c r="I2475" s="618" t="s">
        <v>459</v>
      </c>
    </row>
    <row r="2476" spans="1:9">
      <c r="A2476" s="620">
        <f t="shared" si="38"/>
        <v>2472</v>
      </c>
      <c r="B2476" s="621" t="s">
        <v>1885</v>
      </c>
      <c r="C2476" s="621" t="str">
        <f>"15586"</f>
        <v>15586</v>
      </c>
      <c r="D2476" s="621" t="s">
        <v>18</v>
      </c>
      <c r="E2476" s="621">
        <v>52</v>
      </c>
      <c r="F2476" s="622">
        <v>45028</v>
      </c>
      <c r="G2476" s="622">
        <v>46854</v>
      </c>
      <c r="H2476" s="621" t="s">
        <v>14</v>
      </c>
      <c r="I2476" s="621" t="s">
        <v>51</v>
      </c>
    </row>
    <row r="2477" spans="1:9">
      <c r="A2477" s="617">
        <f t="shared" si="38"/>
        <v>2473</v>
      </c>
      <c r="B2477" s="618" t="s">
        <v>1885</v>
      </c>
      <c r="C2477" s="618" t="str">
        <f>"15587"</f>
        <v>15587</v>
      </c>
      <c r="D2477" s="618" t="s">
        <v>18</v>
      </c>
      <c r="E2477" s="618">
        <v>40</v>
      </c>
      <c r="F2477" s="619">
        <v>45028</v>
      </c>
      <c r="G2477" s="619">
        <v>46854</v>
      </c>
      <c r="H2477" s="618" t="s">
        <v>45</v>
      </c>
      <c r="I2477" s="618" t="s">
        <v>51</v>
      </c>
    </row>
    <row r="2478" spans="1:9">
      <c r="A2478" s="620">
        <f t="shared" si="38"/>
        <v>2474</v>
      </c>
      <c r="B2478" s="621" t="s">
        <v>5715</v>
      </c>
      <c r="C2478" s="621" t="str">
        <f>"15589"</f>
        <v>15589</v>
      </c>
      <c r="D2478" s="621" t="s">
        <v>18</v>
      </c>
      <c r="E2478" s="621">
        <v>31</v>
      </c>
      <c r="F2478" s="622">
        <v>45238</v>
      </c>
      <c r="G2478" s="622">
        <v>47064</v>
      </c>
      <c r="H2478" s="621" t="s">
        <v>56</v>
      </c>
      <c r="I2478" s="621" t="s">
        <v>51</v>
      </c>
    </row>
    <row r="2479" spans="1:9">
      <c r="A2479" s="617">
        <f t="shared" si="38"/>
        <v>2475</v>
      </c>
      <c r="B2479" s="618" t="s">
        <v>5715</v>
      </c>
      <c r="C2479" s="618" t="str">
        <f>"15590"</f>
        <v>15590</v>
      </c>
      <c r="D2479" s="618" t="s">
        <v>18</v>
      </c>
      <c r="E2479" s="618">
        <v>27</v>
      </c>
      <c r="F2479" s="619">
        <v>45238</v>
      </c>
      <c r="G2479" s="619">
        <v>47064</v>
      </c>
      <c r="H2479" s="618" t="s">
        <v>29</v>
      </c>
      <c r="I2479" s="618" t="s">
        <v>51</v>
      </c>
    </row>
    <row r="2480" spans="1:9">
      <c r="A2480" s="620">
        <f t="shared" si="38"/>
        <v>2476</v>
      </c>
      <c r="B2480" s="621" t="s">
        <v>5702</v>
      </c>
      <c r="C2480" s="621" t="str">
        <f>"15594"</f>
        <v>15594</v>
      </c>
      <c r="D2480" s="621" t="s">
        <v>18</v>
      </c>
      <c r="E2480" s="621">
        <v>12</v>
      </c>
      <c r="F2480" s="622">
        <v>45083</v>
      </c>
      <c r="G2480" s="622">
        <v>46909</v>
      </c>
      <c r="H2480" s="621" t="s">
        <v>14</v>
      </c>
      <c r="I2480" s="621" t="s">
        <v>51</v>
      </c>
    </row>
    <row r="2481" spans="1:9">
      <c r="A2481" s="617">
        <f t="shared" si="38"/>
        <v>2477</v>
      </c>
      <c r="B2481" s="618" t="s">
        <v>5715</v>
      </c>
      <c r="C2481" s="618" t="str">
        <f>"15595"</f>
        <v>15595</v>
      </c>
      <c r="D2481" s="618" t="s">
        <v>18</v>
      </c>
      <c r="E2481" s="618">
        <v>32</v>
      </c>
      <c r="F2481" s="619">
        <v>45238</v>
      </c>
      <c r="G2481" s="619">
        <v>47064</v>
      </c>
      <c r="H2481" s="618" t="s">
        <v>41</v>
      </c>
      <c r="I2481" s="618" t="s">
        <v>51</v>
      </c>
    </row>
    <row r="2482" spans="1:9">
      <c r="A2482" s="620">
        <f t="shared" si="38"/>
        <v>2478</v>
      </c>
      <c r="B2482" s="621" t="s">
        <v>15</v>
      </c>
      <c r="C2482" s="621" t="str">
        <f>"15596"</f>
        <v>15596</v>
      </c>
      <c r="D2482" s="621" t="s">
        <v>13</v>
      </c>
      <c r="E2482" s="621">
        <v>10</v>
      </c>
      <c r="F2482" s="622">
        <v>44608</v>
      </c>
      <c r="G2482" s="622">
        <v>51013</v>
      </c>
      <c r="H2482" s="621" t="s">
        <v>16</v>
      </c>
      <c r="I2482" s="621" t="s">
        <v>6861</v>
      </c>
    </row>
    <row r="2483" spans="1:9">
      <c r="A2483" s="617">
        <f t="shared" si="38"/>
        <v>2479</v>
      </c>
      <c r="B2483" s="618" t="s">
        <v>176</v>
      </c>
      <c r="C2483" s="618" t="str">
        <f>"15597"</f>
        <v>15597</v>
      </c>
      <c r="D2483" s="618" t="s">
        <v>13</v>
      </c>
      <c r="E2483" s="618">
        <v>4</v>
      </c>
      <c r="F2483" s="619">
        <v>44973</v>
      </c>
      <c r="G2483" s="619">
        <v>51013</v>
      </c>
      <c r="H2483" s="618" t="s">
        <v>16</v>
      </c>
      <c r="I2483" s="618" t="s">
        <v>51</v>
      </c>
    </row>
    <row r="2484" spans="1:9">
      <c r="A2484" s="620">
        <f t="shared" si="38"/>
        <v>2480</v>
      </c>
      <c r="B2484" s="621" t="s">
        <v>5729</v>
      </c>
      <c r="C2484" s="621" t="str">
        <f>"15598"</f>
        <v>15598</v>
      </c>
      <c r="D2484" s="621" t="s">
        <v>13</v>
      </c>
      <c r="E2484" s="621">
        <v>2</v>
      </c>
      <c r="F2484" s="622">
        <v>44973</v>
      </c>
      <c r="G2484" s="622">
        <v>51013</v>
      </c>
      <c r="H2484" s="621" t="s">
        <v>16</v>
      </c>
      <c r="I2484" s="621" t="s">
        <v>51</v>
      </c>
    </row>
    <row r="2485" spans="1:9">
      <c r="A2485" s="617">
        <f t="shared" si="38"/>
        <v>2481</v>
      </c>
      <c r="B2485" s="618" t="s">
        <v>1842</v>
      </c>
      <c r="C2485" s="618" t="str">
        <f>"15599"</f>
        <v>15599</v>
      </c>
      <c r="D2485" s="618" t="s">
        <v>13</v>
      </c>
      <c r="E2485" s="618">
        <v>2</v>
      </c>
      <c r="F2485" s="619">
        <v>44973</v>
      </c>
      <c r="G2485" s="619">
        <v>51013</v>
      </c>
      <c r="H2485" s="618" t="s">
        <v>16</v>
      </c>
      <c r="I2485" s="618" t="s">
        <v>51</v>
      </c>
    </row>
    <row r="2486" spans="1:9">
      <c r="A2486" s="620">
        <f t="shared" si="38"/>
        <v>2482</v>
      </c>
      <c r="B2486" s="621" t="s">
        <v>121</v>
      </c>
      <c r="C2486" s="621" t="str">
        <f>"15601"</f>
        <v>15601</v>
      </c>
      <c r="D2486" s="621" t="s">
        <v>18</v>
      </c>
      <c r="E2486" s="621">
        <v>39</v>
      </c>
      <c r="F2486" s="622">
        <v>45083</v>
      </c>
      <c r="G2486" s="622">
        <v>46909</v>
      </c>
      <c r="H2486" s="621" t="s">
        <v>28</v>
      </c>
      <c r="I2486" s="621" t="s">
        <v>51</v>
      </c>
    </row>
    <row r="2487" spans="1:9">
      <c r="A2487" s="617">
        <f t="shared" si="38"/>
        <v>2483</v>
      </c>
      <c r="B2487" s="618" t="s">
        <v>369</v>
      </c>
      <c r="C2487" s="618" t="str">
        <f>"15602"</f>
        <v>15602</v>
      </c>
      <c r="D2487" s="618" t="s">
        <v>18</v>
      </c>
      <c r="E2487" s="618">
        <v>15</v>
      </c>
      <c r="F2487" s="619">
        <v>45173</v>
      </c>
      <c r="G2487" s="619">
        <v>46999</v>
      </c>
      <c r="H2487" s="618" t="s">
        <v>43</v>
      </c>
      <c r="I2487" s="618" t="s">
        <v>51</v>
      </c>
    </row>
    <row r="2488" spans="1:9">
      <c r="A2488" s="620">
        <f t="shared" si="38"/>
        <v>2484</v>
      </c>
      <c r="B2488" s="621" t="s">
        <v>5724</v>
      </c>
      <c r="C2488" s="621" t="str">
        <f>"15604"</f>
        <v>15604</v>
      </c>
      <c r="D2488" s="621" t="s">
        <v>18</v>
      </c>
      <c r="E2488" s="621">
        <v>228</v>
      </c>
      <c r="F2488" s="622">
        <v>45043</v>
      </c>
      <c r="G2488" s="622">
        <v>46869</v>
      </c>
      <c r="H2488" s="621" t="s">
        <v>16</v>
      </c>
      <c r="I2488" s="621" t="s">
        <v>51</v>
      </c>
    </row>
    <row r="2489" spans="1:9">
      <c r="A2489" s="617">
        <f t="shared" si="38"/>
        <v>2485</v>
      </c>
      <c r="B2489" s="618" t="s">
        <v>5724</v>
      </c>
      <c r="C2489" s="618" t="str">
        <f>"15605"</f>
        <v>15605</v>
      </c>
      <c r="D2489" s="618" t="s">
        <v>18</v>
      </c>
      <c r="E2489" s="618">
        <v>52</v>
      </c>
      <c r="F2489" s="619">
        <v>45034</v>
      </c>
      <c r="G2489" s="619">
        <v>46860</v>
      </c>
      <c r="H2489" s="618" t="s">
        <v>16</v>
      </c>
      <c r="I2489" s="618" t="s">
        <v>51</v>
      </c>
    </row>
    <row r="2490" spans="1:9">
      <c r="A2490" s="620">
        <f t="shared" si="38"/>
        <v>2486</v>
      </c>
      <c r="B2490" s="621" t="s">
        <v>432</v>
      </c>
      <c r="C2490" s="621" t="str">
        <f>"15606"</f>
        <v>15606</v>
      </c>
      <c r="D2490" s="621" t="s">
        <v>18</v>
      </c>
      <c r="E2490" s="621">
        <v>94</v>
      </c>
      <c r="F2490" s="622">
        <v>45134</v>
      </c>
      <c r="G2490" s="622">
        <v>46960</v>
      </c>
      <c r="H2490" s="621" t="s">
        <v>29</v>
      </c>
      <c r="I2490" s="621" t="s">
        <v>51</v>
      </c>
    </row>
    <row r="2491" spans="1:9">
      <c r="A2491" s="617">
        <f t="shared" si="38"/>
        <v>2487</v>
      </c>
      <c r="B2491" s="618" t="s">
        <v>432</v>
      </c>
      <c r="C2491" s="618" t="str">
        <f>"15607"</f>
        <v>15607</v>
      </c>
      <c r="D2491" s="618" t="s">
        <v>18</v>
      </c>
      <c r="E2491" s="618">
        <v>107</v>
      </c>
      <c r="F2491" s="619">
        <v>45134</v>
      </c>
      <c r="G2491" s="619">
        <v>46960</v>
      </c>
      <c r="H2491" s="618" t="s">
        <v>29</v>
      </c>
      <c r="I2491" s="618" t="s">
        <v>51</v>
      </c>
    </row>
    <row r="2492" spans="1:9">
      <c r="A2492" s="620">
        <f t="shared" si="38"/>
        <v>2488</v>
      </c>
      <c r="B2492" s="621" t="s">
        <v>5736</v>
      </c>
      <c r="C2492" s="621" t="str">
        <f>"15610"</f>
        <v>15610</v>
      </c>
      <c r="D2492" s="621" t="s">
        <v>18</v>
      </c>
      <c r="E2492" s="621">
        <v>4</v>
      </c>
      <c r="F2492" s="622">
        <v>45184</v>
      </c>
      <c r="G2492" s="622">
        <v>47010</v>
      </c>
      <c r="H2492" s="621" t="s">
        <v>56</v>
      </c>
      <c r="I2492" s="621" t="s">
        <v>51</v>
      </c>
    </row>
    <row r="2493" spans="1:9">
      <c r="A2493" s="617">
        <f t="shared" si="38"/>
        <v>2489</v>
      </c>
      <c r="B2493" s="618" t="s">
        <v>5702</v>
      </c>
      <c r="C2493" s="618" t="str">
        <f>"15611"</f>
        <v>15611</v>
      </c>
      <c r="D2493" s="618" t="s">
        <v>18</v>
      </c>
      <c r="E2493" s="618">
        <v>20</v>
      </c>
      <c r="F2493" s="619">
        <v>45083</v>
      </c>
      <c r="G2493" s="619">
        <v>46909</v>
      </c>
      <c r="H2493" s="618" t="s">
        <v>45</v>
      </c>
      <c r="I2493" s="618" t="s">
        <v>51</v>
      </c>
    </row>
    <row r="2494" spans="1:9">
      <c r="A2494" s="620">
        <f t="shared" si="38"/>
        <v>2490</v>
      </c>
      <c r="B2494" s="621" t="s">
        <v>363</v>
      </c>
      <c r="C2494" s="621" t="str">
        <f>"15612"</f>
        <v>15612</v>
      </c>
      <c r="D2494" s="621" t="s">
        <v>18</v>
      </c>
      <c r="E2494" s="621">
        <v>36</v>
      </c>
      <c r="F2494" s="622"/>
      <c r="G2494" s="622"/>
      <c r="H2494" s="621" t="s">
        <v>45</v>
      </c>
      <c r="I2494" s="621" t="s">
        <v>459</v>
      </c>
    </row>
    <row r="2495" spans="1:9">
      <c r="A2495" s="617">
        <f t="shared" si="38"/>
        <v>2491</v>
      </c>
      <c r="B2495" s="618" t="s">
        <v>986</v>
      </c>
      <c r="C2495" s="618" t="str">
        <f>"15615"</f>
        <v>15615</v>
      </c>
      <c r="D2495" s="618" t="s">
        <v>18</v>
      </c>
      <c r="E2495" s="618">
        <v>271</v>
      </c>
      <c r="F2495" s="619">
        <v>45190</v>
      </c>
      <c r="G2495" s="619">
        <v>47016</v>
      </c>
      <c r="H2495" s="618" t="s">
        <v>14</v>
      </c>
      <c r="I2495" s="618" t="s">
        <v>51</v>
      </c>
    </row>
    <row r="2496" spans="1:9">
      <c r="A2496" s="620">
        <f t="shared" si="38"/>
        <v>2492</v>
      </c>
      <c r="B2496" s="621" t="s">
        <v>1894</v>
      </c>
      <c r="C2496" s="621" t="str">
        <f>"15616"</f>
        <v>15616</v>
      </c>
      <c r="D2496" s="621" t="s">
        <v>18</v>
      </c>
      <c r="E2496" s="621">
        <v>3</v>
      </c>
      <c r="F2496" s="622">
        <v>45239</v>
      </c>
      <c r="G2496" s="622">
        <v>47065</v>
      </c>
      <c r="H2496" s="621" t="s">
        <v>45</v>
      </c>
      <c r="I2496" s="621" t="s">
        <v>51</v>
      </c>
    </row>
    <row r="2497" spans="1:9">
      <c r="A2497" s="617">
        <f t="shared" si="38"/>
        <v>2493</v>
      </c>
      <c r="B2497" s="618" t="s">
        <v>1894</v>
      </c>
      <c r="C2497" s="618" t="str">
        <f>"15617"</f>
        <v>15617</v>
      </c>
      <c r="D2497" s="618" t="s">
        <v>18</v>
      </c>
      <c r="E2497" s="618">
        <v>2</v>
      </c>
      <c r="F2497" s="619">
        <v>45239</v>
      </c>
      <c r="G2497" s="619">
        <v>47065</v>
      </c>
      <c r="H2497" s="618" t="s">
        <v>45</v>
      </c>
      <c r="I2497" s="618" t="s">
        <v>51</v>
      </c>
    </row>
    <row r="2498" spans="1:9">
      <c r="A2498" s="620">
        <f t="shared" si="38"/>
        <v>2494</v>
      </c>
      <c r="B2498" s="621" t="s">
        <v>320</v>
      </c>
      <c r="C2498" s="621" t="str">
        <f>"15618"</f>
        <v>15618</v>
      </c>
      <c r="D2498" s="621" t="s">
        <v>18</v>
      </c>
      <c r="E2498" s="621">
        <v>36</v>
      </c>
      <c r="F2498" s="622"/>
      <c r="G2498" s="622"/>
      <c r="H2498" s="621" t="s">
        <v>16</v>
      </c>
      <c r="I2498" s="621" t="s">
        <v>459</v>
      </c>
    </row>
    <row r="2499" spans="1:9">
      <c r="A2499" s="617">
        <f t="shared" si="38"/>
        <v>2495</v>
      </c>
      <c r="B2499" s="618" t="s">
        <v>320</v>
      </c>
      <c r="C2499" s="618" t="str">
        <f>"15620"</f>
        <v>15620</v>
      </c>
      <c r="D2499" s="618" t="s">
        <v>18</v>
      </c>
      <c r="E2499" s="618">
        <v>23</v>
      </c>
      <c r="F2499" s="619">
        <v>45184</v>
      </c>
      <c r="G2499" s="619">
        <v>47010</v>
      </c>
      <c r="H2499" s="618" t="s">
        <v>45</v>
      </c>
      <c r="I2499" s="618" t="s">
        <v>51</v>
      </c>
    </row>
    <row r="2500" spans="1:9">
      <c r="A2500" s="620">
        <f t="shared" si="38"/>
        <v>2496</v>
      </c>
      <c r="B2500" s="621" t="s">
        <v>5740</v>
      </c>
      <c r="C2500" s="621" t="str">
        <f>"15621"</f>
        <v>15621</v>
      </c>
      <c r="D2500" s="621" t="s">
        <v>18</v>
      </c>
      <c r="E2500" s="621">
        <v>20</v>
      </c>
      <c r="F2500" s="622">
        <v>45125</v>
      </c>
      <c r="G2500" s="622">
        <v>46951</v>
      </c>
      <c r="H2500" s="621" t="s">
        <v>43</v>
      </c>
      <c r="I2500" s="621" t="s">
        <v>51</v>
      </c>
    </row>
    <row r="2501" spans="1:9">
      <c r="A2501" s="617">
        <f t="shared" si="38"/>
        <v>2497</v>
      </c>
      <c r="B2501" s="618" t="s">
        <v>6890</v>
      </c>
      <c r="C2501" s="618" t="str">
        <f>"15622"</f>
        <v>15622</v>
      </c>
      <c r="D2501" s="618" t="s">
        <v>18</v>
      </c>
      <c r="E2501" s="618">
        <v>10</v>
      </c>
      <c r="F2501" s="619"/>
      <c r="G2501" s="619"/>
      <c r="H2501" s="618" t="s">
        <v>16</v>
      </c>
      <c r="I2501" s="618" t="s">
        <v>459</v>
      </c>
    </row>
    <row r="2502" spans="1:9">
      <c r="A2502" s="620">
        <f t="shared" si="38"/>
        <v>2498</v>
      </c>
      <c r="B2502" s="621" t="s">
        <v>5739</v>
      </c>
      <c r="C2502" s="621" t="str">
        <f>"15623"</f>
        <v>15623</v>
      </c>
      <c r="D2502" s="621" t="s">
        <v>18</v>
      </c>
      <c r="E2502" s="621">
        <v>30</v>
      </c>
      <c r="F2502" s="622">
        <v>45160</v>
      </c>
      <c r="G2502" s="622">
        <v>46986</v>
      </c>
      <c r="H2502" s="621" t="s">
        <v>43</v>
      </c>
      <c r="I2502" s="621" t="s">
        <v>51</v>
      </c>
    </row>
    <row r="2503" spans="1:9">
      <c r="A2503" s="617">
        <f t="shared" ref="A2503:A2566" si="39">+A2502+1</f>
        <v>2499</v>
      </c>
      <c r="B2503" s="618" t="s">
        <v>5681</v>
      </c>
      <c r="C2503" s="618" t="str">
        <f>"15624"</f>
        <v>15624</v>
      </c>
      <c r="D2503" s="618" t="s">
        <v>18</v>
      </c>
      <c r="E2503" s="618">
        <v>27</v>
      </c>
      <c r="F2503" s="619"/>
      <c r="G2503" s="619"/>
      <c r="H2503" s="618" t="s">
        <v>28</v>
      </c>
      <c r="I2503" s="618" t="s">
        <v>459</v>
      </c>
    </row>
    <row r="2504" spans="1:9">
      <c r="A2504" s="620">
        <f t="shared" si="39"/>
        <v>2500</v>
      </c>
      <c r="B2504" s="621" t="s">
        <v>5711</v>
      </c>
      <c r="C2504" s="621" t="str">
        <f>"15627"</f>
        <v>15627</v>
      </c>
      <c r="D2504" s="621" t="s">
        <v>18</v>
      </c>
      <c r="E2504" s="621">
        <v>92</v>
      </c>
      <c r="F2504" s="622">
        <v>45146</v>
      </c>
      <c r="G2504" s="622">
        <v>46972</v>
      </c>
      <c r="H2504" s="621" t="s">
        <v>29</v>
      </c>
      <c r="I2504" s="621" t="s">
        <v>51</v>
      </c>
    </row>
    <row r="2505" spans="1:9">
      <c r="A2505" s="617">
        <f t="shared" si="39"/>
        <v>2501</v>
      </c>
      <c r="B2505" s="618" t="s">
        <v>5711</v>
      </c>
      <c r="C2505" s="618" t="str">
        <f>"15628"</f>
        <v>15628</v>
      </c>
      <c r="D2505" s="618" t="s">
        <v>18</v>
      </c>
      <c r="E2505" s="618">
        <v>48</v>
      </c>
      <c r="F2505" s="619">
        <v>45146</v>
      </c>
      <c r="G2505" s="619">
        <v>46972</v>
      </c>
      <c r="H2505" s="618" t="s">
        <v>28</v>
      </c>
      <c r="I2505" s="618" t="s">
        <v>51</v>
      </c>
    </row>
    <row r="2506" spans="1:9">
      <c r="A2506" s="620">
        <f t="shared" si="39"/>
        <v>2502</v>
      </c>
      <c r="B2506" s="621" t="s">
        <v>1894</v>
      </c>
      <c r="C2506" s="621" t="str">
        <f>"15633"</f>
        <v>15633</v>
      </c>
      <c r="D2506" s="621" t="s">
        <v>18</v>
      </c>
      <c r="E2506" s="621">
        <v>2</v>
      </c>
      <c r="F2506" s="622">
        <v>45239</v>
      </c>
      <c r="G2506" s="622">
        <v>47065</v>
      </c>
      <c r="H2506" s="621" t="s">
        <v>43</v>
      </c>
      <c r="I2506" s="621" t="s">
        <v>51</v>
      </c>
    </row>
    <row r="2507" spans="1:9">
      <c r="A2507" s="617">
        <f t="shared" si="39"/>
        <v>2503</v>
      </c>
      <c r="B2507" s="618" t="s">
        <v>5702</v>
      </c>
      <c r="C2507" s="618" t="str">
        <f>"15634"</f>
        <v>15634</v>
      </c>
      <c r="D2507" s="618" t="s">
        <v>18</v>
      </c>
      <c r="E2507" s="618">
        <v>40</v>
      </c>
      <c r="F2507" s="619">
        <v>45083</v>
      </c>
      <c r="G2507" s="619">
        <v>46909</v>
      </c>
      <c r="H2507" s="618" t="s">
        <v>45</v>
      </c>
      <c r="I2507" s="618" t="s">
        <v>51</v>
      </c>
    </row>
    <row r="2508" spans="1:9">
      <c r="A2508" s="620">
        <f t="shared" si="39"/>
        <v>2504</v>
      </c>
      <c r="B2508" s="621" t="s">
        <v>5737</v>
      </c>
      <c r="C2508" s="621" t="str">
        <f>"15637"</f>
        <v>15637</v>
      </c>
      <c r="D2508" s="621" t="s">
        <v>18</v>
      </c>
      <c r="E2508" s="621">
        <v>9</v>
      </c>
      <c r="F2508" s="622">
        <v>45239</v>
      </c>
      <c r="G2508" s="622">
        <v>47065</v>
      </c>
      <c r="H2508" s="621" t="s">
        <v>56</v>
      </c>
      <c r="I2508" s="621" t="s">
        <v>51</v>
      </c>
    </row>
    <row r="2509" spans="1:9">
      <c r="A2509" s="617">
        <f t="shared" si="39"/>
        <v>2505</v>
      </c>
      <c r="B2509" s="618" t="s">
        <v>5737</v>
      </c>
      <c r="C2509" s="618" t="str">
        <f>"15638"</f>
        <v>15638</v>
      </c>
      <c r="D2509" s="618" t="s">
        <v>18</v>
      </c>
      <c r="E2509" s="618">
        <v>2</v>
      </c>
      <c r="F2509" s="619">
        <v>45239</v>
      </c>
      <c r="G2509" s="619">
        <v>47065</v>
      </c>
      <c r="H2509" s="618" t="s">
        <v>56</v>
      </c>
      <c r="I2509" s="618" t="s">
        <v>51</v>
      </c>
    </row>
    <row r="2510" spans="1:9">
      <c r="A2510" s="620">
        <f t="shared" si="39"/>
        <v>2506</v>
      </c>
      <c r="B2510" s="621" t="s">
        <v>5702</v>
      </c>
      <c r="C2510" s="621" t="str">
        <f>"15645"</f>
        <v>15645</v>
      </c>
      <c r="D2510" s="621" t="s">
        <v>18</v>
      </c>
      <c r="E2510" s="621">
        <v>10</v>
      </c>
      <c r="F2510" s="622">
        <v>45083</v>
      </c>
      <c r="G2510" s="622">
        <v>46909</v>
      </c>
      <c r="H2510" s="621" t="s">
        <v>14</v>
      </c>
      <c r="I2510" s="621" t="s">
        <v>51</v>
      </c>
    </row>
    <row r="2511" spans="1:9">
      <c r="A2511" s="617">
        <f t="shared" si="39"/>
        <v>2507</v>
      </c>
      <c r="B2511" s="618" t="s">
        <v>5740</v>
      </c>
      <c r="C2511" s="618" t="str">
        <f>"15648"</f>
        <v>15648</v>
      </c>
      <c r="D2511" s="618" t="s">
        <v>18</v>
      </c>
      <c r="E2511" s="618">
        <v>22</v>
      </c>
      <c r="F2511" s="619">
        <v>45125</v>
      </c>
      <c r="G2511" s="619">
        <v>46951</v>
      </c>
      <c r="H2511" s="618" t="s">
        <v>43</v>
      </c>
      <c r="I2511" s="618" t="s">
        <v>51</v>
      </c>
    </row>
    <row r="2512" spans="1:9">
      <c r="A2512" s="620">
        <f t="shared" si="39"/>
        <v>2508</v>
      </c>
      <c r="B2512" s="621" t="s">
        <v>6891</v>
      </c>
      <c r="C2512" s="621" t="str">
        <f>"15649"</f>
        <v>15649</v>
      </c>
      <c r="D2512" s="621" t="s">
        <v>18</v>
      </c>
      <c r="E2512" s="621">
        <v>5</v>
      </c>
      <c r="F2512" s="622"/>
      <c r="G2512" s="622"/>
      <c r="H2512" s="621" t="s">
        <v>14</v>
      </c>
      <c r="I2512" s="621" t="s">
        <v>459</v>
      </c>
    </row>
    <row r="2513" spans="1:9">
      <c r="A2513" s="617">
        <f t="shared" si="39"/>
        <v>2509</v>
      </c>
      <c r="B2513" s="618" t="s">
        <v>35</v>
      </c>
      <c r="C2513" s="618" t="str">
        <f>"15652"</f>
        <v>15652</v>
      </c>
      <c r="D2513" s="618" t="s">
        <v>18</v>
      </c>
      <c r="E2513" s="618">
        <v>11</v>
      </c>
      <c r="F2513" s="619">
        <v>45162</v>
      </c>
      <c r="G2513" s="619">
        <v>46988</v>
      </c>
      <c r="H2513" s="618" t="s">
        <v>16</v>
      </c>
      <c r="I2513" s="618" t="s">
        <v>51</v>
      </c>
    </row>
    <row r="2514" spans="1:9">
      <c r="A2514" s="620">
        <f t="shared" si="39"/>
        <v>2510</v>
      </c>
      <c r="B2514" s="621" t="s">
        <v>35</v>
      </c>
      <c r="C2514" s="621" t="str">
        <f>"15653"</f>
        <v>15653</v>
      </c>
      <c r="D2514" s="621" t="s">
        <v>18</v>
      </c>
      <c r="E2514" s="621">
        <v>1</v>
      </c>
      <c r="F2514" s="622">
        <v>45162</v>
      </c>
      <c r="G2514" s="622">
        <v>46988</v>
      </c>
      <c r="H2514" s="621" t="s">
        <v>16</v>
      </c>
      <c r="I2514" s="621" t="s">
        <v>51</v>
      </c>
    </row>
    <row r="2515" spans="1:9">
      <c r="A2515" s="617">
        <f t="shared" si="39"/>
        <v>2511</v>
      </c>
      <c r="B2515" s="618" t="s">
        <v>6888</v>
      </c>
      <c r="C2515" s="618" t="str">
        <f>"15663"</f>
        <v>15663</v>
      </c>
      <c r="D2515" s="618" t="s">
        <v>18</v>
      </c>
      <c r="E2515" s="618">
        <v>30</v>
      </c>
      <c r="F2515" s="619"/>
      <c r="G2515" s="619"/>
      <c r="H2515" s="618" t="s">
        <v>22</v>
      </c>
      <c r="I2515" s="618" t="s">
        <v>459</v>
      </c>
    </row>
    <row r="2516" spans="1:9">
      <c r="A2516" s="620">
        <f t="shared" si="39"/>
        <v>2512</v>
      </c>
      <c r="B2516" s="621" t="s">
        <v>5703</v>
      </c>
      <c r="C2516" s="621" t="str">
        <f>"15664"</f>
        <v>15664</v>
      </c>
      <c r="D2516" s="621" t="s">
        <v>18</v>
      </c>
      <c r="E2516" s="621">
        <v>5</v>
      </c>
      <c r="F2516" s="622">
        <v>45239</v>
      </c>
      <c r="G2516" s="622">
        <v>47065</v>
      </c>
      <c r="H2516" s="621" t="s">
        <v>14</v>
      </c>
      <c r="I2516" s="621" t="s">
        <v>51</v>
      </c>
    </row>
    <row r="2517" spans="1:9">
      <c r="A2517" s="617">
        <f t="shared" si="39"/>
        <v>2513</v>
      </c>
      <c r="B2517" s="618" t="s">
        <v>5709</v>
      </c>
      <c r="C2517" s="618" t="str">
        <f>"15670"</f>
        <v>15670</v>
      </c>
      <c r="D2517" s="618" t="s">
        <v>18</v>
      </c>
      <c r="E2517" s="618">
        <v>192</v>
      </c>
      <c r="F2517" s="619">
        <v>45265</v>
      </c>
      <c r="G2517" s="619">
        <v>47091</v>
      </c>
      <c r="H2517" s="618" t="s">
        <v>45</v>
      </c>
      <c r="I2517" s="618" t="s">
        <v>51</v>
      </c>
    </row>
    <row r="2518" spans="1:9">
      <c r="A2518" s="620">
        <f t="shared" si="39"/>
        <v>2514</v>
      </c>
      <c r="B2518" s="621" t="s">
        <v>1898</v>
      </c>
      <c r="C2518" s="621" t="str">
        <f>"15672"</f>
        <v>15672</v>
      </c>
      <c r="D2518" s="621" t="s">
        <v>18</v>
      </c>
      <c r="E2518" s="621">
        <v>10</v>
      </c>
      <c r="F2518" s="622">
        <v>45250</v>
      </c>
      <c r="G2518" s="622">
        <v>47076</v>
      </c>
      <c r="H2518" s="621" t="s">
        <v>45</v>
      </c>
      <c r="I2518" s="621" t="s">
        <v>51</v>
      </c>
    </row>
    <row r="2519" spans="1:9">
      <c r="A2519" s="617">
        <f t="shared" si="39"/>
        <v>2515</v>
      </c>
      <c r="B2519" s="618" t="s">
        <v>5741</v>
      </c>
      <c r="C2519" s="618" t="str">
        <f>"15673"</f>
        <v>15673</v>
      </c>
      <c r="D2519" s="618" t="s">
        <v>18</v>
      </c>
      <c r="E2519" s="618">
        <v>56</v>
      </c>
      <c r="F2519" s="619">
        <v>45184</v>
      </c>
      <c r="G2519" s="619">
        <v>47010</v>
      </c>
      <c r="H2519" s="618" t="s">
        <v>43</v>
      </c>
      <c r="I2519" s="618" t="s">
        <v>51</v>
      </c>
    </row>
    <row r="2520" spans="1:9">
      <c r="A2520" s="620">
        <f t="shared" si="39"/>
        <v>2516</v>
      </c>
      <c r="B2520" s="621" t="s">
        <v>5741</v>
      </c>
      <c r="C2520" s="621" t="str">
        <f>"15675"</f>
        <v>15675</v>
      </c>
      <c r="D2520" s="621" t="s">
        <v>18</v>
      </c>
      <c r="E2520" s="621">
        <v>107</v>
      </c>
      <c r="F2520" s="622">
        <v>45184</v>
      </c>
      <c r="G2520" s="622">
        <v>47010</v>
      </c>
      <c r="H2520" s="621" t="s">
        <v>43</v>
      </c>
      <c r="I2520" s="621" t="s">
        <v>51</v>
      </c>
    </row>
    <row r="2521" spans="1:9">
      <c r="A2521" s="617">
        <f t="shared" si="39"/>
        <v>2517</v>
      </c>
      <c r="B2521" s="618" t="s">
        <v>35</v>
      </c>
      <c r="C2521" s="618" t="str">
        <f>"15677"</f>
        <v>15677</v>
      </c>
      <c r="D2521" s="618" t="s">
        <v>18</v>
      </c>
      <c r="E2521" s="618">
        <v>4</v>
      </c>
      <c r="F2521" s="619">
        <v>45162</v>
      </c>
      <c r="G2521" s="619">
        <v>46988</v>
      </c>
      <c r="H2521" s="618" t="s">
        <v>16</v>
      </c>
      <c r="I2521" s="618" t="s">
        <v>51</v>
      </c>
    </row>
    <row r="2522" spans="1:9">
      <c r="A2522" s="620">
        <f t="shared" si="39"/>
        <v>2518</v>
      </c>
      <c r="B2522" s="621" t="s">
        <v>5694</v>
      </c>
      <c r="C2522" s="621" t="str">
        <f>"15678"</f>
        <v>15678</v>
      </c>
      <c r="D2522" s="621" t="s">
        <v>18</v>
      </c>
      <c r="E2522" s="621">
        <v>16</v>
      </c>
      <c r="F2522" s="622">
        <v>45218</v>
      </c>
      <c r="G2522" s="622">
        <v>47044</v>
      </c>
      <c r="H2522" s="621" t="s">
        <v>16</v>
      </c>
      <c r="I2522" s="621" t="s">
        <v>51</v>
      </c>
    </row>
    <row r="2523" spans="1:9">
      <c r="A2523" s="617">
        <f t="shared" si="39"/>
        <v>2519</v>
      </c>
      <c r="B2523" s="618" t="s">
        <v>5694</v>
      </c>
      <c r="C2523" s="618" t="str">
        <f>"15679"</f>
        <v>15679</v>
      </c>
      <c r="D2523" s="618" t="s">
        <v>18</v>
      </c>
      <c r="E2523" s="618">
        <v>6</v>
      </c>
      <c r="F2523" s="619">
        <v>45236</v>
      </c>
      <c r="G2523" s="619">
        <v>47062</v>
      </c>
      <c r="H2523" s="618" t="s">
        <v>16</v>
      </c>
      <c r="I2523" s="618" t="s">
        <v>51</v>
      </c>
    </row>
    <row r="2524" spans="1:9">
      <c r="A2524" s="620">
        <f t="shared" si="39"/>
        <v>2520</v>
      </c>
      <c r="B2524" s="621" t="s">
        <v>6892</v>
      </c>
      <c r="C2524" s="621" t="str">
        <f>"15680"</f>
        <v>15680</v>
      </c>
      <c r="D2524" s="621" t="s">
        <v>18</v>
      </c>
      <c r="E2524" s="621">
        <v>3</v>
      </c>
      <c r="F2524" s="622"/>
      <c r="G2524" s="622"/>
      <c r="H2524" s="621" t="s">
        <v>20</v>
      </c>
      <c r="I2524" s="621" t="s">
        <v>459</v>
      </c>
    </row>
    <row r="2525" spans="1:9">
      <c r="A2525" s="617">
        <f t="shared" si="39"/>
        <v>2521</v>
      </c>
      <c r="B2525" s="618" t="s">
        <v>5705</v>
      </c>
      <c r="C2525" s="618" t="str">
        <f>"15683"</f>
        <v>15683</v>
      </c>
      <c r="D2525" s="618" t="s">
        <v>18</v>
      </c>
      <c r="E2525" s="618">
        <v>2</v>
      </c>
      <c r="F2525" s="619">
        <v>45146</v>
      </c>
      <c r="G2525" s="619">
        <v>46972</v>
      </c>
      <c r="H2525" s="618" t="s">
        <v>16</v>
      </c>
      <c r="I2525" s="618" t="s">
        <v>51</v>
      </c>
    </row>
    <row r="2526" spans="1:9">
      <c r="A2526" s="620">
        <f t="shared" si="39"/>
        <v>2522</v>
      </c>
      <c r="B2526" s="621" t="s">
        <v>6890</v>
      </c>
      <c r="C2526" s="621" t="str">
        <f>"15687"</f>
        <v>15687</v>
      </c>
      <c r="D2526" s="621" t="s">
        <v>18</v>
      </c>
      <c r="E2526" s="621">
        <v>9</v>
      </c>
      <c r="F2526" s="622"/>
      <c r="G2526" s="622"/>
      <c r="H2526" s="621" t="s">
        <v>16</v>
      </c>
      <c r="I2526" s="621" t="s">
        <v>459</v>
      </c>
    </row>
    <row r="2527" spans="1:9">
      <c r="A2527" s="617">
        <f t="shared" si="39"/>
        <v>2523</v>
      </c>
      <c r="B2527" s="618" t="s">
        <v>5705</v>
      </c>
      <c r="C2527" s="618" t="str">
        <f>"15688"</f>
        <v>15688</v>
      </c>
      <c r="D2527" s="618" t="s">
        <v>18</v>
      </c>
      <c r="E2527" s="618">
        <v>7</v>
      </c>
      <c r="F2527" s="619">
        <v>45146</v>
      </c>
      <c r="G2527" s="619">
        <v>46972</v>
      </c>
      <c r="H2527" s="618" t="s">
        <v>45</v>
      </c>
      <c r="I2527" s="618" t="s">
        <v>51</v>
      </c>
    </row>
    <row r="2528" spans="1:9">
      <c r="A2528" s="620">
        <f t="shared" si="39"/>
        <v>2524</v>
      </c>
      <c r="B2528" s="621" t="s">
        <v>363</v>
      </c>
      <c r="C2528" s="621" t="str">
        <f>"15691"</f>
        <v>15691</v>
      </c>
      <c r="D2528" s="621" t="s">
        <v>18</v>
      </c>
      <c r="E2528" s="621">
        <v>91</v>
      </c>
      <c r="F2528" s="622"/>
      <c r="G2528" s="622"/>
      <c r="H2528" s="621" t="s">
        <v>41</v>
      </c>
      <c r="I2528" s="621" t="s">
        <v>459</v>
      </c>
    </row>
    <row r="2529" spans="1:9">
      <c r="A2529" s="617">
        <f t="shared" si="39"/>
        <v>2525</v>
      </c>
      <c r="B2529" s="618" t="s">
        <v>5731</v>
      </c>
      <c r="C2529" s="618" t="str">
        <f>"15697"</f>
        <v>15697</v>
      </c>
      <c r="D2529" s="618" t="s">
        <v>18</v>
      </c>
      <c r="E2529" s="618">
        <v>35</v>
      </c>
      <c r="F2529" s="619">
        <v>45145</v>
      </c>
      <c r="G2529" s="619">
        <v>46971</v>
      </c>
      <c r="H2529" s="618" t="s">
        <v>41</v>
      </c>
      <c r="I2529" s="618" t="s">
        <v>51</v>
      </c>
    </row>
    <row r="2530" spans="1:9">
      <c r="A2530" s="620">
        <f t="shared" si="39"/>
        <v>2526</v>
      </c>
      <c r="B2530" s="621" t="s">
        <v>5731</v>
      </c>
      <c r="C2530" s="621" t="str">
        <f>"15698"</f>
        <v>15698</v>
      </c>
      <c r="D2530" s="621" t="s">
        <v>18</v>
      </c>
      <c r="E2530" s="621">
        <v>15</v>
      </c>
      <c r="F2530" s="622">
        <v>45145</v>
      </c>
      <c r="G2530" s="622">
        <v>46971</v>
      </c>
      <c r="H2530" s="621" t="s">
        <v>41</v>
      </c>
      <c r="I2530" s="621" t="s">
        <v>51</v>
      </c>
    </row>
    <row r="2531" spans="1:9">
      <c r="A2531" s="617">
        <f t="shared" si="39"/>
        <v>2527</v>
      </c>
      <c r="B2531" s="618" t="s">
        <v>5731</v>
      </c>
      <c r="C2531" s="618" t="str">
        <f>"15699"</f>
        <v>15699</v>
      </c>
      <c r="D2531" s="618" t="s">
        <v>18</v>
      </c>
      <c r="E2531" s="618">
        <v>25</v>
      </c>
      <c r="F2531" s="619">
        <v>45145</v>
      </c>
      <c r="G2531" s="619">
        <v>46971</v>
      </c>
      <c r="H2531" s="618" t="s">
        <v>41</v>
      </c>
      <c r="I2531" s="618" t="s">
        <v>51</v>
      </c>
    </row>
    <row r="2532" spans="1:9">
      <c r="A2532" s="620">
        <f t="shared" si="39"/>
        <v>2528</v>
      </c>
      <c r="B2532" s="621" t="s">
        <v>5705</v>
      </c>
      <c r="C2532" s="621" t="str">
        <f>"15700"</f>
        <v>15700</v>
      </c>
      <c r="D2532" s="621" t="s">
        <v>18</v>
      </c>
      <c r="E2532" s="621">
        <v>7</v>
      </c>
      <c r="F2532" s="622">
        <v>45146</v>
      </c>
      <c r="G2532" s="622">
        <v>46972</v>
      </c>
      <c r="H2532" s="621" t="s">
        <v>45</v>
      </c>
      <c r="I2532" s="621" t="s">
        <v>51</v>
      </c>
    </row>
    <row r="2533" spans="1:9">
      <c r="A2533" s="617">
        <f t="shared" si="39"/>
        <v>2529</v>
      </c>
      <c r="B2533" s="618" t="s">
        <v>6893</v>
      </c>
      <c r="C2533" s="618" t="str">
        <f>"15701"</f>
        <v>15701</v>
      </c>
      <c r="D2533" s="618" t="s">
        <v>18</v>
      </c>
      <c r="E2533" s="618">
        <v>10</v>
      </c>
      <c r="F2533" s="619"/>
      <c r="G2533" s="619"/>
      <c r="H2533" s="618" t="s">
        <v>56</v>
      </c>
      <c r="I2533" s="618" t="s">
        <v>459</v>
      </c>
    </row>
    <row r="2534" spans="1:9">
      <c r="A2534" s="620">
        <f t="shared" si="39"/>
        <v>2530</v>
      </c>
      <c r="B2534" s="621" t="s">
        <v>5692</v>
      </c>
      <c r="C2534" s="621" t="str">
        <f>"15702"</f>
        <v>15702</v>
      </c>
      <c r="D2534" s="621" t="s">
        <v>18</v>
      </c>
      <c r="E2534" s="621">
        <v>3</v>
      </c>
      <c r="F2534" s="622"/>
      <c r="G2534" s="622"/>
      <c r="H2534" s="621" t="s">
        <v>14</v>
      </c>
      <c r="I2534" s="621" t="s">
        <v>459</v>
      </c>
    </row>
    <row r="2535" spans="1:9">
      <c r="A2535" s="617">
        <f t="shared" si="39"/>
        <v>2531</v>
      </c>
      <c r="B2535" s="618" t="s">
        <v>5697</v>
      </c>
      <c r="C2535" s="618" t="str">
        <f>"15703"</f>
        <v>15703</v>
      </c>
      <c r="D2535" s="618" t="s">
        <v>18</v>
      </c>
      <c r="E2535" s="618">
        <v>6</v>
      </c>
      <c r="F2535" s="619"/>
      <c r="G2535" s="619"/>
      <c r="H2535" s="618" t="s">
        <v>14</v>
      </c>
      <c r="I2535" s="618" t="s">
        <v>459</v>
      </c>
    </row>
    <row r="2536" spans="1:9">
      <c r="A2536" s="620">
        <f t="shared" si="39"/>
        <v>2532</v>
      </c>
      <c r="B2536" s="621" t="s">
        <v>5697</v>
      </c>
      <c r="C2536" s="621" t="str">
        <f>"15704"</f>
        <v>15704</v>
      </c>
      <c r="D2536" s="621" t="s">
        <v>18</v>
      </c>
      <c r="E2536" s="621">
        <v>5</v>
      </c>
      <c r="F2536" s="622"/>
      <c r="G2536" s="622"/>
      <c r="H2536" s="621" t="s">
        <v>14</v>
      </c>
      <c r="I2536" s="621" t="s">
        <v>459</v>
      </c>
    </row>
    <row r="2537" spans="1:9">
      <c r="A2537" s="617">
        <f t="shared" si="39"/>
        <v>2533</v>
      </c>
      <c r="B2537" s="618" t="s">
        <v>6894</v>
      </c>
      <c r="C2537" s="618" t="str">
        <f>"15705"</f>
        <v>15705</v>
      </c>
      <c r="D2537" s="618" t="s">
        <v>18</v>
      </c>
      <c r="E2537" s="618">
        <v>4</v>
      </c>
      <c r="F2537" s="619"/>
      <c r="G2537" s="619"/>
      <c r="H2537" s="618" t="s">
        <v>56</v>
      </c>
      <c r="I2537" s="618" t="s">
        <v>459</v>
      </c>
    </row>
    <row r="2538" spans="1:9">
      <c r="A2538" s="620">
        <f t="shared" si="39"/>
        <v>2534</v>
      </c>
      <c r="B2538" s="621" t="s">
        <v>363</v>
      </c>
      <c r="C2538" s="621" t="str">
        <f>"15708"</f>
        <v>15708</v>
      </c>
      <c r="D2538" s="621" t="s">
        <v>18</v>
      </c>
      <c r="E2538" s="621">
        <v>9</v>
      </c>
      <c r="F2538" s="622"/>
      <c r="G2538" s="622"/>
      <c r="H2538" s="621" t="s">
        <v>41</v>
      </c>
      <c r="I2538" s="621" t="s">
        <v>459</v>
      </c>
    </row>
    <row r="2539" spans="1:9">
      <c r="A2539" s="617">
        <f t="shared" si="39"/>
        <v>2535</v>
      </c>
      <c r="B2539" s="618" t="s">
        <v>363</v>
      </c>
      <c r="C2539" s="618" t="str">
        <f>"15709"</f>
        <v>15709</v>
      </c>
      <c r="D2539" s="618" t="s">
        <v>18</v>
      </c>
      <c r="E2539" s="618">
        <v>18</v>
      </c>
      <c r="F2539" s="619"/>
      <c r="G2539" s="619"/>
      <c r="H2539" s="618" t="s">
        <v>43</v>
      </c>
      <c r="I2539" s="618" t="s">
        <v>459</v>
      </c>
    </row>
    <row r="2540" spans="1:9">
      <c r="A2540" s="620">
        <f t="shared" si="39"/>
        <v>2536</v>
      </c>
      <c r="B2540" s="621" t="s">
        <v>363</v>
      </c>
      <c r="C2540" s="621" t="str">
        <f>"15710"</f>
        <v>15710</v>
      </c>
      <c r="D2540" s="621" t="s">
        <v>18</v>
      </c>
      <c r="E2540" s="621">
        <v>13</v>
      </c>
      <c r="F2540" s="622">
        <v>45218</v>
      </c>
      <c r="G2540" s="622">
        <v>47044</v>
      </c>
      <c r="H2540" s="621" t="s">
        <v>16</v>
      </c>
      <c r="I2540" s="621" t="s">
        <v>51</v>
      </c>
    </row>
    <row r="2541" spans="1:9">
      <c r="A2541" s="617">
        <f t="shared" si="39"/>
        <v>2537</v>
      </c>
      <c r="B2541" s="618" t="s">
        <v>5704</v>
      </c>
      <c r="C2541" s="618" t="str">
        <f>"15715"</f>
        <v>15715</v>
      </c>
      <c r="D2541" s="618" t="s">
        <v>18</v>
      </c>
      <c r="E2541" s="618">
        <v>4</v>
      </c>
      <c r="F2541" s="619">
        <v>45210</v>
      </c>
      <c r="G2541" s="619">
        <v>47036</v>
      </c>
      <c r="H2541" s="618" t="s">
        <v>14</v>
      </c>
      <c r="I2541" s="618" t="s">
        <v>51</v>
      </c>
    </row>
    <row r="2542" spans="1:9">
      <c r="A2542" s="620">
        <f t="shared" si="39"/>
        <v>2538</v>
      </c>
      <c r="B2542" s="621" t="s">
        <v>357</v>
      </c>
      <c r="C2542" s="621" t="str">
        <f>"15716"</f>
        <v>15716</v>
      </c>
      <c r="D2542" s="621" t="s">
        <v>18</v>
      </c>
      <c r="E2542" s="621">
        <v>15</v>
      </c>
      <c r="F2542" s="622"/>
      <c r="G2542" s="622"/>
      <c r="H2542" s="621" t="s">
        <v>19</v>
      </c>
      <c r="I2542" s="621" t="s">
        <v>459</v>
      </c>
    </row>
    <row r="2543" spans="1:9">
      <c r="A2543" s="617">
        <f t="shared" si="39"/>
        <v>2539</v>
      </c>
      <c r="B2543" s="618" t="s">
        <v>5714</v>
      </c>
      <c r="C2543" s="618" t="str">
        <f>"15717"</f>
        <v>15717</v>
      </c>
      <c r="D2543" s="618" t="s">
        <v>18</v>
      </c>
      <c r="E2543" s="618">
        <v>17</v>
      </c>
      <c r="F2543" s="619">
        <v>45134</v>
      </c>
      <c r="G2543" s="619">
        <v>46960</v>
      </c>
      <c r="H2543" s="618" t="s">
        <v>16</v>
      </c>
      <c r="I2543" s="618" t="s">
        <v>51</v>
      </c>
    </row>
    <row r="2544" spans="1:9">
      <c r="A2544" s="620">
        <f t="shared" si="39"/>
        <v>2540</v>
      </c>
      <c r="B2544" s="621" t="s">
        <v>6895</v>
      </c>
      <c r="C2544" s="621" t="str">
        <f>"15721"</f>
        <v>15721</v>
      </c>
      <c r="D2544" s="621" t="s">
        <v>18</v>
      </c>
      <c r="E2544" s="621">
        <v>5</v>
      </c>
      <c r="F2544" s="622"/>
      <c r="G2544" s="622"/>
      <c r="H2544" s="621" t="s">
        <v>14</v>
      </c>
      <c r="I2544" s="621" t="s">
        <v>459</v>
      </c>
    </row>
    <row r="2545" spans="1:9">
      <c r="A2545" s="617">
        <f t="shared" si="39"/>
        <v>2541</v>
      </c>
      <c r="B2545" s="618" t="s">
        <v>5720</v>
      </c>
      <c r="C2545" s="618" t="str">
        <f>"15724"</f>
        <v>15724</v>
      </c>
      <c r="D2545" s="618" t="s">
        <v>18</v>
      </c>
      <c r="E2545" s="618">
        <v>6</v>
      </c>
      <c r="F2545" s="619"/>
      <c r="G2545" s="619"/>
      <c r="H2545" s="618" t="s">
        <v>28</v>
      </c>
      <c r="I2545" s="618" t="s">
        <v>459</v>
      </c>
    </row>
    <row r="2546" spans="1:9">
      <c r="A2546" s="620">
        <f t="shared" si="39"/>
        <v>2542</v>
      </c>
      <c r="B2546" s="621" t="s">
        <v>5720</v>
      </c>
      <c r="C2546" s="621" t="str">
        <f>"15725"</f>
        <v>15725</v>
      </c>
      <c r="D2546" s="621" t="s">
        <v>18</v>
      </c>
      <c r="E2546" s="621">
        <v>6</v>
      </c>
      <c r="F2546" s="622"/>
      <c r="G2546" s="622"/>
      <c r="H2546" s="621" t="s">
        <v>28</v>
      </c>
      <c r="I2546" s="621" t="s">
        <v>459</v>
      </c>
    </row>
    <row r="2547" spans="1:9">
      <c r="A2547" s="617">
        <f t="shared" si="39"/>
        <v>2543</v>
      </c>
      <c r="B2547" s="618" t="s">
        <v>5720</v>
      </c>
      <c r="C2547" s="618" t="str">
        <f>"15726"</f>
        <v>15726</v>
      </c>
      <c r="D2547" s="618" t="s">
        <v>18</v>
      </c>
      <c r="E2547" s="618">
        <v>4</v>
      </c>
      <c r="F2547" s="619">
        <v>45212</v>
      </c>
      <c r="G2547" s="619">
        <v>47038</v>
      </c>
      <c r="H2547" s="618" t="s">
        <v>28</v>
      </c>
      <c r="I2547" s="618" t="s">
        <v>51</v>
      </c>
    </row>
    <row r="2548" spans="1:9">
      <c r="A2548" s="620">
        <f t="shared" si="39"/>
        <v>2544</v>
      </c>
      <c r="B2548" s="621" t="s">
        <v>5742</v>
      </c>
      <c r="C2548" s="621" t="str">
        <f>"15729"</f>
        <v>15729</v>
      </c>
      <c r="D2548" s="621" t="s">
        <v>18</v>
      </c>
      <c r="E2548" s="621">
        <v>121</v>
      </c>
      <c r="F2548" s="622">
        <v>45163</v>
      </c>
      <c r="G2548" s="622">
        <v>46989</v>
      </c>
      <c r="H2548" s="621" t="s">
        <v>43</v>
      </c>
      <c r="I2548" s="621" t="s">
        <v>51</v>
      </c>
    </row>
    <row r="2549" spans="1:9">
      <c r="A2549" s="617">
        <f t="shared" si="39"/>
        <v>2545</v>
      </c>
      <c r="B2549" s="618" t="s">
        <v>5705</v>
      </c>
      <c r="C2549" s="618" t="str">
        <f>"15732"</f>
        <v>15732</v>
      </c>
      <c r="D2549" s="618" t="s">
        <v>18</v>
      </c>
      <c r="E2549" s="618">
        <v>4</v>
      </c>
      <c r="F2549" s="619">
        <v>45237</v>
      </c>
      <c r="G2549" s="619">
        <v>47063</v>
      </c>
      <c r="H2549" s="618" t="s">
        <v>14</v>
      </c>
      <c r="I2549" s="618" t="s">
        <v>51</v>
      </c>
    </row>
    <row r="2550" spans="1:9">
      <c r="A2550" s="620">
        <f t="shared" si="39"/>
        <v>2546</v>
      </c>
      <c r="B2550" s="621" t="s">
        <v>5706</v>
      </c>
      <c r="C2550" s="621" t="str">
        <f>"15733"</f>
        <v>15733</v>
      </c>
      <c r="D2550" s="621" t="s">
        <v>18</v>
      </c>
      <c r="E2550" s="621">
        <v>158</v>
      </c>
      <c r="F2550" s="622">
        <v>45219</v>
      </c>
      <c r="G2550" s="622">
        <v>47045</v>
      </c>
      <c r="H2550" s="621" t="s">
        <v>14</v>
      </c>
      <c r="I2550" s="621" t="s">
        <v>51</v>
      </c>
    </row>
    <row r="2551" spans="1:9">
      <c r="A2551" s="617">
        <f t="shared" si="39"/>
        <v>2547</v>
      </c>
      <c r="B2551" s="618" t="s">
        <v>5706</v>
      </c>
      <c r="C2551" s="618" t="str">
        <f>"15734"</f>
        <v>15734</v>
      </c>
      <c r="D2551" s="618" t="s">
        <v>18</v>
      </c>
      <c r="E2551" s="618">
        <v>114</v>
      </c>
      <c r="F2551" s="619"/>
      <c r="G2551" s="619"/>
      <c r="H2551" s="618" t="s">
        <v>16</v>
      </c>
      <c r="I2551" s="618" t="s">
        <v>459</v>
      </c>
    </row>
    <row r="2552" spans="1:9">
      <c r="A2552" s="620">
        <f t="shared" si="39"/>
        <v>2548</v>
      </c>
      <c r="B2552" s="621" t="s">
        <v>5743</v>
      </c>
      <c r="C2552" s="621" t="str">
        <f>"15740"</f>
        <v>15740</v>
      </c>
      <c r="D2552" s="621" t="s">
        <v>18</v>
      </c>
      <c r="E2552" s="621">
        <v>3</v>
      </c>
      <c r="F2552" s="622">
        <v>45160</v>
      </c>
      <c r="G2552" s="622">
        <v>46986</v>
      </c>
      <c r="H2552" s="621" t="s">
        <v>43</v>
      </c>
      <c r="I2552" s="621" t="s">
        <v>51</v>
      </c>
    </row>
    <row r="2553" spans="1:9">
      <c r="A2553" s="617">
        <f t="shared" si="39"/>
        <v>2549</v>
      </c>
      <c r="B2553" s="618" t="s">
        <v>5744</v>
      </c>
      <c r="C2553" s="618" t="str">
        <f>"15741"</f>
        <v>15741</v>
      </c>
      <c r="D2553" s="618" t="s">
        <v>18</v>
      </c>
      <c r="E2553" s="618">
        <v>6</v>
      </c>
      <c r="F2553" s="619">
        <v>45160</v>
      </c>
      <c r="G2553" s="619">
        <v>46986</v>
      </c>
      <c r="H2553" s="618" t="s">
        <v>43</v>
      </c>
      <c r="I2553" s="618" t="s">
        <v>51</v>
      </c>
    </row>
    <row r="2554" spans="1:9">
      <c r="A2554" s="620">
        <f t="shared" si="39"/>
        <v>2550</v>
      </c>
      <c r="B2554" s="621" t="s">
        <v>5744</v>
      </c>
      <c r="C2554" s="621" t="str">
        <f>"15742"</f>
        <v>15742</v>
      </c>
      <c r="D2554" s="621" t="s">
        <v>18</v>
      </c>
      <c r="E2554" s="621">
        <v>4</v>
      </c>
      <c r="F2554" s="622">
        <v>45160</v>
      </c>
      <c r="G2554" s="622">
        <v>46986</v>
      </c>
      <c r="H2554" s="621" t="s">
        <v>43</v>
      </c>
      <c r="I2554" s="621" t="s">
        <v>51</v>
      </c>
    </row>
    <row r="2555" spans="1:9">
      <c r="A2555" s="617">
        <f t="shared" si="39"/>
        <v>2551</v>
      </c>
      <c r="B2555" s="618" t="s">
        <v>320</v>
      </c>
      <c r="C2555" s="618" t="str">
        <f>"15750"</f>
        <v>15750</v>
      </c>
      <c r="D2555" s="618" t="s">
        <v>18</v>
      </c>
      <c r="E2555" s="618">
        <v>9</v>
      </c>
      <c r="F2555" s="619"/>
      <c r="G2555" s="619"/>
      <c r="H2555" s="618" t="s">
        <v>14</v>
      </c>
      <c r="I2555" s="618" t="s">
        <v>459</v>
      </c>
    </row>
    <row r="2556" spans="1:9">
      <c r="A2556" s="620">
        <f t="shared" si="39"/>
        <v>2552</v>
      </c>
      <c r="B2556" s="621" t="s">
        <v>1888</v>
      </c>
      <c r="C2556" s="621" t="str">
        <f>"15753"</f>
        <v>15753</v>
      </c>
      <c r="D2556" s="621" t="s">
        <v>18</v>
      </c>
      <c r="E2556" s="621">
        <v>4</v>
      </c>
      <c r="F2556" s="622">
        <v>45212</v>
      </c>
      <c r="G2556" s="622">
        <v>47038</v>
      </c>
      <c r="H2556" s="621" t="s">
        <v>16</v>
      </c>
      <c r="I2556" s="621" t="s">
        <v>51</v>
      </c>
    </row>
    <row r="2557" spans="1:9">
      <c r="A2557" s="617">
        <f t="shared" si="39"/>
        <v>2553</v>
      </c>
      <c r="B2557" s="618" t="s">
        <v>1888</v>
      </c>
      <c r="C2557" s="618" t="str">
        <f>"15754"</f>
        <v>15754</v>
      </c>
      <c r="D2557" s="618" t="s">
        <v>18</v>
      </c>
      <c r="E2557" s="618">
        <v>13</v>
      </c>
      <c r="F2557" s="619">
        <v>45212</v>
      </c>
      <c r="G2557" s="619">
        <v>47038</v>
      </c>
      <c r="H2557" s="618" t="s">
        <v>16</v>
      </c>
      <c r="I2557" s="618" t="s">
        <v>51</v>
      </c>
    </row>
    <row r="2558" spans="1:9">
      <c r="A2558" s="620">
        <f t="shared" si="39"/>
        <v>2554</v>
      </c>
      <c r="B2558" s="621" t="s">
        <v>1888</v>
      </c>
      <c r="C2558" s="621" t="str">
        <f>"15755"</f>
        <v>15755</v>
      </c>
      <c r="D2558" s="621" t="s">
        <v>18</v>
      </c>
      <c r="E2558" s="621">
        <v>8</v>
      </c>
      <c r="F2558" s="622">
        <v>45212</v>
      </c>
      <c r="G2558" s="622">
        <v>47038</v>
      </c>
      <c r="H2558" s="621" t="s">
        <v>16</v>
      </c>
      <c r="I2558" s="621" t="s">
        <v>51</v>
      </c>
    </row>
    <row r="2559" spans="1:9">
      <c r="A2559" s="617">
        <f t="shared" si="39"/>
        <v>2555</v>
      </c>
      <c r="B2559" s="618" t="s">
        <v>1888</v>
      </c>
      <c r="C2559" s="618" t="str">
        <f>"15756"</f>
        <v>15756</v>
      </c>
      <c r="D2559" s="618" t="s">
        <v>18</v>
      </c>
      <c r="E2559" s="618">
        <v>1</v>
      </c>
      <c r="F2559" s="619">
        <v>45212</v>
      </c>
      <c r="G2559" s="619">
        <v>47038</v>
      </c>
      <c r="H2559" s="618" t="s">
        <v>16</v>
      </c>
      <c r="I2559" s="618" t="s">
        <v>51</v>
      </c>
    </row>
    <row r="2560" spans="1:9">
      <c r="A2560" s="620">
        <f t="shared" si="39"/>
        <v>2556</v>
      </c>
      <c r="B2560" s="621" t="s">
        <v>5732</v>
      </c>
      <c r="C2560" s="621" t="str">
        <f>"15763"</f>
        <v>15763</v>
      </c>
      <c r="D2560" s="621" t="s">
        <v>18</v>
      </c>
      <c r="E2560" s="621">
        <v>18</v>
      </c>
      <c r="F2560" s="622">
        <v>45265</v>
      </c>
      <c r="G2560" s="622">
        <v>47091</v>
      </c>
      <c r="H2560" s="621" t="s">
        <v>41</v>
      </c>
      <c r="I2560" s="621" t="s">
        <v>51</v>
      </c>
    </row>
    <row r="2561" spans="1:9">
      <c r="A2561" s="617">
        <f t="shared" si="39"/>
        <v>2557</v>
      </c>
      <c r="B2561" s="618" t="s">
        <v>6896</v>
      </c>
      <c r="C2561" s="618" t="str">
        <f>"15765"</f>
        <v>15765</v>
      </c>
      <c r="D2561" s="618" t="s">
        <v>18</v>
      </c>
      <c r="E2561" s="618">
        <v>37</v>
      </c>
      <c r="F2561" s="619"/>
      <c r="G2561" s="619"/>
      <c r="H2561" s="618" t="s">
        <v>56</v>
      </c>
      <c r="I2561" s="618" t="s">
        <v>459</v>
      </c>
    </row>
    <row r="2562" spans="1:9">
      <c r="A2562" s="620">
        <f t="shared" si="39"/>
        <v>2558</v>
      </c>
      <c r="B2562" s="621" t="s">
        <v>6897</v>
      </c>
      <c r="C2562" s="621" t="str">
        <f>"15766"</f>
        <v>15766</v>
      </c>
      <c r="D2562" s="621" t="s">
        <v>18</v>
      </c>
      <c r="E2562" s="621">
        <v>88</v>
      </c>
      <c r="F2562" s="622"/>
      <c r="G2562" s="622"/>
      <c r="H2562" s="621" t="s">
        <v>28</v>
      </c>
      <c r="I2562" s="621" t="s">
        <v>459</v>
      </c>
    </row>
    <row r="2563" spans="1:9">
      <c r="A2563" s="617">
        <f t="shared" si="39"/>
        <v>2559</v>
      </c>
      <c r="B2563" s="618" t="s">
        <v>6897</v>
      </c>
      <c r="C2563" s="618" t="str">
        <f>"15767"</f>
        <v>15767</v>
      </c>
      <c r="D2563" s="618" t="s">
        <v>18</v>
      </c>
      <c r="E2563" s="618">
        <v>54</v>
      </c>
      <c r="F2563" s="619"/>
      <c r="G2563" s="619"/>
      <c r="H2563" s="618" t="s">
        <v>28</v>
      </c>
      <c r="I2563" s="618" t="s">
        <v>459</v>
      </c>
    </row>
    <row r="2564" spans="1:9">
      <c r="A2564" s="620">
        <f t="shared" si="39"/>
        <v>2560</v>
      </c>
      <c r="B2564" s="621" t="s">
        <v>141</v>
      </c>
      <c r="C2564" s="621" t="str">
        <f>"15769"</f>
        <v>15769</v>
      </c>
      <c r="D2564" s="621" t="s">
        <v>13</v>
      </c>
      <c r="E2564" s="621">
        <v>10</v>
      </c>
      <c r="F2564" s="622">
        <v>45080</v>
      </c>
      <c r="G2564" s="622">
        <v>51654</v>
      </c>
      <c r="H2564" s="621" t="s">
        <v>16</v>
      </c>
      <c r="I2564" s="621" t="s">
        <v>51</v>
      </c>
    </row>
    <row r="2565" spans="1:9">
      <c r="A2565" s="617">
        <f t="shared" si="39"/>
        <v>2561</v>
      </c>
      <c r="B2565" s="618" t="s">
        <v>87</v>
      </c>
      <c r="C2565" s="618" t="str">
        <f>"15770"</f>
        <v>15770</v>
      </c>
      <c r="D2565" s="618" t="s">
        <v>13</v>
      </c>
      <c r="E2565" s="618">
        <v>2</v>
      </c>
      <c r="F2565" s="619"/>
      <c r="G2565" s="619"/>
      <c r="H2565" s="618" t="s">
        <v>16</v>
      </c>
      <c r="I2565" s="618" t="s">
        <v>6879</v>
      </c>
    </row>
    <row r="2566" spans="1:9">
      <c r="A2566" s="620">
        <f t="shared" si="39"/>
        <v>2562</v>
      </c>
      <c r="B2566" s="621" t="s">
        <v>5745</v>
      </c>
      <c r="C2566" s="621" t="str">
        <f>"15775"</f>
        <v>15775</v>
      </c>
      <c r="D2566" s="621" t="s">
        <v>18</v>
      </c>
      <c r="E2566" s="621">
        <v>125</v>
      </c>
      <c r="F2566" s="622">
        <v>45219</v>
      </c>
      <c r="G2566" s="622">
        <v>46748</v>
      </c>
      <c r="H2566" s="621" t="s">
        <v>43</v>
      </c>
      <c r="I2566" s="621" t="s">
        <v>51</v>
      </c>
    </row>
  </sheetData>
  <autoFilter ref="A4:I2566" xr:uid="{00000000-0001-0000-0000-000000000000}"/>
  <pageMargins left="0.32232142857142859" right="0.25" top="0.7633928571428571" bottom="0.86309523809523814" header="0.1380952380952381" footer="0.56101190476190477"/>
  <pageSetup paperSize="9" scale="49" fitToHeight="0" orientation="landscape" r:id="rId1"/>
  <headerFooter>
    <oddHeader>&amp;L&amp;"Tahoma,Gras"&amp;15&amp;K0070C0REPUBLIQUE DEMOCRATIQUE DU CONGO
                  CADASTRE MINIER&amp;C&amp;"Tahoma,Gras"&amp;18REGISTRE DES DROITS MINIERS ET DE CARRIERES VALIDES
&amp;USITUATION AU 30 DECEMBRE 2022&amp;U
&amp;G</oddHeader>
    <oddFooter>&amp;L&amp;"Courier New,Normal"&amp;10&amp;K02-012DatePublication &amp;Dà&amp;T
LandFolio_&amp;G&amp;R&amp;"Courier New,Gras"&amp;Pde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18122-E49F-4CC1-89AC-9FEF4FC78741}">
  <sheetPr>
    <tabColor rgb="FF92D050"/>
  </sheetPr>
  <dimension ref="A2:D65"/>
  <sheetViews>
    <sheetView showGridLines="0" workbookViewId="0">
      <selection activeCell="B2" sqref="B2"/>
    </sheetView>
  </sheetViews>
  <sheetFormatPr baseColWidth="10" defaultColWidth="10.5" defaultRowHeight="13.5"/>
  <cols>
    <col min="1" max="1" width="6.4140625" style="612" bestFit="1" customWidth="1"/>
    <col min="2" max="2" width="50.4140625" style="612" bestFit="1" customWidth="1"/>
    <col min="3" max="3" width="19.5" style="612" bestFit="1" customWidth="1"/>
    <col min="4" max="4" width="51.4140625" style="612" customWidth="1"/>
    <col min="5" max="5" width="10.5" style="612" bestFit="1" customWidth="1"/>
    <col min="6" max="6" width="13" style="612" bestFit="1" customWidth="1"/>
    <col min="7" max="7" width="16.5" style="612" bestFit="1" customWidth="1"/>
    <col min="8" max="8" width="15.5" style="612" bestFit="1" customWidth="1"/>
    <col min="9" max="9" width="37.4140625" style="612" bestFit="1" customWidth="1"/>
    <col min="10" max="16384" width="10.5" style="612"/>
  </cols>
  <sheetData>
    <row r="2" spans="1:4">
      <c r="A2" s="535" t="s">
        <v>8555</v>
      </c>
      <c r="B2" s="623"/>
    </row>
    <row r="5" spans="1:4">
      <c r="A5" s="624" t="s">
        <v>3</v>
      </c>
      <c r="B5" s="624" t="s">
        <v>8618</v>
      </c>
      <c r="C5" s="624" t="s">
        <v>10562</v>
      </c>
      <c r="D5" s="624" t="s">
        <v>8619</v>
      </c>
    </row>
    <row r="6" spans="1:4">
      <c r="A6" s="625"/>
      <c r="B6" s="626" t="s">
        <v>8485</v>
      </c>
      <c r="C6" s="626"/>
      <c r="D6" s="626"/>
    </row>
    <row r="7" spans="1:4">
      <c r="A7" s="627">
        <v>1</v>
      </c>
      <c r="B7" s="628" t="s">
        <v>8486</v>
      </c>
      <c r="C7" s="628" t="s">
        <v>8487</v>
      </c>
      <c r="D7" s="629" t="s">
        <v>8488</v>
      </c>
    </row>
    <row r="8" spans="1:4" ht="27">
      <c r="A8" s="630">
        <v>2</v>
      </c>
      <c r="B8" s="631" t="s">
        <v>8489</v>
      </c>
      <c r="C8" s="631" t="s">
        <v>8487</v>
      </c>
      <c r="D8" s="632" t="s">
        <v>8490</v>
      </c>
    </row>
    <row r="9" spans="1:4" ht="40.5">
      <c r="A9" s="627">
        <v>3</v>
      </c>
      <c r="B9" s="628" t="s">
        <v>8491</v>
      </c>
      <c r="C9" s="628" t="s">
        <v>8487</v>
      </c>
      <c r="D9" s="754" t="s">
        <v>10563</v>
      </c>
    </row>
    <row r="10" spans="1:4" ht="67.5">
      <c r="A10" s="630">
        <v>4</v>
      </c>
      <c r="B10" s="631" t="s">
        <v>459</v>
      </c>
      <c r="C10" s="631" t="s">
        <v>51</v>
      </c>
      <c r="D10" s="755" t="s">
        <v>10564</v>
      </c>
    </row>
    <row r="11" spans="1:4" ht="27">
      <c r="A11" s="627">
        <v>5</v>
      </c>
      <c r="B11" s="628" t="s">
        <v>51</v>
      </c>
      <c r="C11" s="628" t="s">
        <v>51</v>
      </c>
      <c r="D11" s="629" t="s">
        <v>8492</v>
      </c>
    </row>
    <row r="12" spans="1:4" ht="27">
      <c r="A12" s="630">
        <v>6</v>
      </c>
      <c r="B12" s="631" t="s">
        <v>8493</v>
      </c>
      <c r="C12" s="631" t="s">
        <v>8494</v>
      </c>
      <c r="D12" s="632" t="s">
        <v>8495</v>
      </c>
    </row>
    <row r="13" spans="1:4" ht="27">
      <c r="A13" s="627">
        <v>7</v>
      </c>
      <c r="B13" s="628" t="s">
        <v>8496</v>
      </c>
      <c r="C13" s="628" t="s">
        <v>8494</v>
      </c>
      <c r="D13" s="754" t="s">
        <v>10565</v>
      </c>
    </row>
    <row r="14" spans="1:4">
      <c r="A14" s="630">
        <v>8</v>
      </c>
      <c r="B14" s="631" t="s">
        <v>8497</v>
      </c>
      <c r="C14" s="631" t="s">
        <v>8494</v>
      </c>
      <c r="D14" s="632" t="s">
        <v>8498</v>
      </c>
    </row>
    <row r="15" spans="1:4">
      <c r="A15" s="625"/>
      <c r="B15" s="626" t="s">
        <v>8499</v>
      </c>
      <c r="C15" s="626"/>
      <c r="D15" s="633"/>
    </row>
    <row r="16" spans="1:4">
      <c r="A16" s="627">
        <v>1</v>
      </c>
      <c r="B16" s="628" t="s">
        <v>6868</v>
      </c>
      <c r="C16" s="628" t="s">
        <v>51</v>
      </c>
      <c r="D16" s="629" t="s">
        <v>8500</v>
      </c>
    </row>
    <row r="17" spans="1:4" ht="40.5">
      <c r="A17" s="630">
        <v>2</v>
      </c>
      <c r="B17" s="631" t="s">
        <v>1672</v>
      </c>
      <c r="C17" s="631" t="s">
        <v>8487</v>
      </c>
      <c r="D17" s="632" t="s">
        <v>8501</v>
      </c>
    </row>
    <row r="18" spans="1:4" ht="67.5">
      <c r="A18" s="627">
        <v>3</v>
      </c>
      <c r="B18" s="628" t="s">
        <v>1710</v>
      </c>
      <c r="C18" s="628" t="s">
        <v>51</v>
      </c>
      <c r="D18" s="754" t="s">
        <v>10566</v>
      </c>
    </row>
    <row r="19" spans="1:4">
      <c r="A19" s="630">
        <v>4</v>
      </c>
      <c r="B19" s="631" t="s">
        <v>51</v>
      </c>
      <c r="C19" s="631" t="s">
        <v>51</v>
      </c>
      <c r="D19" s="632" t="s">
        <v>8502</v>
      </c>
    </row>
    <row r="20" spans="1:4" ht="27">
      <c r="A20" s="627">
        <v>5</v>
      </c>
      <c r="B20" s="628" t="s">
        <v>8493</v>
      </c>
      <c r="C20" s="628" t="s">
        <v>8494</v>
      </c>
      <c r="D20" s="629" t="s">
        <v>8495</v>
      </c>
    </row>
    <row r="21" spans="1:4">
      <c r="A21" s="625"/>
      <c r="B21" s="626" t="s">
        <v>8503</v>
      </c>
      <c r="C21" s="626"/>
      <c r="D21" s="634"/>
    </row>
    <row r="22" spans="1:4">
      <c r="A22" s="627">
        <v>1</v>
      </c>
      <c r="B22" s="628" t="s">
        <v>6874</v>
      </c>
      <c r="C22" s="628" t="s">
        <v>51</v>
      </c>
      <c r="D22" s="635" t="s">
        <v>8504</v>
      </c>
    </row>
    <row r="23" spans="1:4" ht="27">
      <c r="A23" s="630">
        <v>2</v>
      </c>
      <c r="B23" s="631" t="s">
        <v>1690</v>
      </c>
      <c r="C23" s="631" t="s">
        <v>8487</v>
      </c>
      <c r="D23" s="636" t="s">
        <v>8505</v>
      </c>
    </row>
    <row r="24" spans="1:4" ht="67.5">
      <c r="A24" s="627">
        <v>3</v>
      </c>
      <c r="B24" s="628" t="s">
        <v>8506</v>
      </c>
      <c r="C24" s="628" t="s">
        <v>51</v>
      </c>
      <c r="D24" s="756" t="s">
        <v>10567</v>
      </c>
    </row>
    <row r="25" spans="1:4">
      <c r="A25" s="630">
        <v>4</v>
      </c>
      <c r="B25" s="631" t="s">
        <v>51</v>
      </c>
      <c r="C25" s="631" t="s">
        <v>51</v>
      </c>
      <c r="D25" s="636" t="s">
        <v>8502</v>
      </c>
    </row>
    <row r="26" spans="1:4" ht="27">
      <c r="A26" s="627">
        <v>5</v>
      </c>
      <c r="B26" s="628" t="s">
        <v>8493</v>
      </c>
      <c r="C26" s="628" t="s">
        <v>8494</v>
      </c>
      <c r="D26" s="635" t="s">
        <v>8495</v>
      </c>
    </row>
    <row r="27" spans="1:4">
      <c r="A27" s="625"/>
      <c r="B27" s="626" t="s">
        <v>8507</v>
      </c>
      <c r="C27" s="626"/>
      <c r="D27" s="634"/>
    </row>
    <row r="28" spans="1:4" ht="27">
      <c r="A28" s="627">
        <v>1</v>
      </c>
      <c r="B28" s="628" t="s">
        <v>6859</v>
      </c>
      <c r="C28" s="628" t="s">
        <v>51</v>
      </c>
      <c r="D28" s="635" t="s">
        <v>8508</v>
      </c>
    </row>
    <row r="29" spans="1:4" ht="27">
      <c r="A29" s="630">
        <v>2</v>
      </c>
      <c r="B29" s="631" t="s">
        <v>8509</v>
      </c>
      <c r="C29" s="631" t="s">
        <v>51</v>
      </c>
      <c r="D29" s="632" t="s">
        <v>8510</v>
      </c>
    </row>
    <row r="30" spans="1:4">
      <c r="A30" s="627">
        <v>3</v>
      </c>
      <c r="B30" s="628" t="s">
        <v>8511</v>
      </c>
      <c r="C30" s="628" t="s">
        <v>51</v>
      </c>
      <c r="D30" s="635" t="s">
        <v>8512</v>
      </c>
    </row>
    <row r="31" spans="1:4" ht="27">
      <c r="A31" s="630">
        <v>4</v>
      </c>
      <c r="B31" s="631" t="s">
        <v>6862</v>
      </c>
      <c r="C31" s="631" t="s">
        <v>51</v>
      </c>
      <c r="D31" s="632" t="s">
        <v>8513</v>
      </c>
    </row>
    <row r="32" spans="1:4" ht="27">
      <c r="A32" s="627">
        <v>5</v>
      </c>
      <c r="B32" s="628" t="s">
        <v>6883</v>
      </c>
      <c r="C32" s="628" t="s">
        <v>51</v>
      </c>
      <c r="D32" s="635" t="s">
        <v>8513</v>
      </c>
    </row>
    <row r="33" spans="1:4" ht="27">
      <c r="A33" s="630">
        <v>6</v>
      </c>
      <c r="B33" s="631" t="s">
        <v>8514</v>
      </c>
      <c r="C33" s="631" t="s">
        <v>51</v>
      </c>
      <c r="D33" s="632" t="s">
        <v>8513</v>
      </c>
    </row>
    <row r="34" spans="1:4">
      <c r="A34" s="627">
        <v>7</v>
      </c>
      <c r="B34" s="628" t="s">
        <v>385</v>
      </c>
      <c r="C34" s="628" t="s">
        <v>51</v>
      </c>
      <c r="D34" s="635" t="s">
        <v>8515</v>
      </c>
    </row>
    <row r="35" spans="1:4" ht="27">
      <c r="A35" s="630">
        <v>8</v>
      </c>
      <c r="B35" s="631" t="s">
        <v>8516</v>
      </c>
      <c r="C35" s="631" t="s">
        <v>51</v>
      </c>
      <c r="D35" s="632" t="s">
        <v>8517</v>
      </c>
    </row>
    <row r="36" spans="1:4">
      <c r="A36" s="627">
        <v>9</v>
      </c>
      <c r="B36" s="628" t="s">
        <v>8518</v>
      </c>
      <c r="C36" s="628" t="s">
        <v>8494</v>
      </c>
      <c r="D36" s="635" t="s">
        <v>8519</v>
      </c>
    </row>
    <row r="37" spans="1:4">
      <c r="A37" s="637"/>
      <c r="B37" s="626" t="s">
        <v>8520</v>
      </c>
      <c r="C37" s="626"/>
      <c r="D37" s="638"/>
    </row>
    <row r="38" spans="1:4">
      <c r="A38" s="627">
        <v>1</v>
      </c>
      <c r="B38" s="628" t="s">
        <v>6864</v>
      </c>
      <c r="C38" s="628" t="s">
        <v>51</v>
      </c>
      <c r="D38" s="635" t="s">
        <v>8521</v>
      </c>
    </row>
    <row r="39" spans="1:4">
      <c r="A39" s="630">
        <v>2</v>
      </c>
      <c r="B39" s="631" t="s">
        <v>8522</v>
      </c>
      <c r="C39" s="631" t="s">
        <v>51</v>
      </c>
      <c r="D39" s="632" t="s">
        <v>8523</v>
      </c>
    </row>
    <row r="40" spans="1:4" ht="27">
      <c r="A40" s="627">
        <v>3</v>
      </c>
      <c r="B40" s="628" t="s">
        <v>1672</v>
      </c>
      <c r="C40" s="628" t="s">
        <v>8487</v>
      </c>
      <c r="D40" s="635" t="s">
        <v>8524</v>
      </c>
    </row>
    <row r="41" spans="1:4" ht="27">
      <c r="A41" s="630">
        <v>4</v>
      </c>
      <c r="B41" s="631" t="s">
        <v>8525</v>
      </c>
      <c r="C41" s="631" t="s">
        <v>51</v>
      </c>
      <c r="D41" s="632" t="s">
        <v>8526</v>
      </c>
    </row>
    <row r="42" spans="1:4" ht="67.5">
      <c r="A42" s="627">
        <v>5</v>
      </c>
      <c r="B42" s="628" t="s">
        <v>8527</v>
      </c>
      <c r="C42" s="628" t="s">
        <v>51</v>
      </c>
      <c r="D42" s="756" t="s">
        <v>10568</v>
      </c>
    </row>
    <row r="43" spans="1:4" ht="67.5">
      <c r="A43" s="630">
        <v>6</v>
      </c>
      <c r="B43" s="631" t="s">
        <v>8528</v>
      </c>
      <c r="C43" s="631" t="s">
        <v>51</v>
      </c>
      <c r="D43" s="755" t="s">
        <v>10566</v>
      </c>
    </row>
    <row r="44" spans="1:4">
      <c r="A44" s="627">
        <v>7</v>
      </c>
      <c r="B44" s="628" t="s">
        <v>51</v>
      </c>
      <c r="C44" s="628" t="s">
        <v>51</v>
      </c>
      <c r="D44" s="635" t="s">
        <v>8502</v>
      </c>
    </row>
    <row r="45" spans="1:4" ht="27">
      <c r="A45" s="630">
        <v>8</v>
      </c>
      <c r="B45" s="631" t="s">
        <v>8493</v>
      </c>
      <c r="C45" s="631" t="s">
        <v>8494</v>
      </c>
      <c r="D45" s="632" t="s">
        <v>8495</v>
      </c>
    </row>
    <row r="46" spans="1:4">
      <c r="A46" s="637"/>
      <c r="B46" s="626" t="s">
        <v>8529</v>
      </c>
      <c r="C46" s="626"/>
      <c r="D46" s="638"/>
    </row>
    <row r="47" spans="1:4">
      <c r="A47" s="627">
        <v>1</v>
      </c>
      <c r="B47" s="628" t="s">
        <v>8530</v>
      </c>
      <c r="C47" s="628" t="s">
        <v>8487</v>
      </c>
      <c r="D47" s="756" t="s">
        <v>10569</v>
      </c>
    </row>
    <row r="48" spans="1:4">
      <c r="A48" s="639">
        <v>2</v>
      </c>
      <c r="B48" s="631" t="s">
        <v>6870</v>
      </c>
      <c r="C48" s="631" t="s">
        <v>51</v>
      </c>
      <c r="D48" s="632" t="s">
        <v>8531</v>
      </c>
    </row>
    <row r="49" spans="1:4">
      <c r="A49" s="627">
        <v>3</v>
      </c>
      <c r="B49" s="628" t="s">
        <v>6867</v>
      </c>
      <c r="C49" s="628" t="s">
        <v>51</v>
      </c>
      <c r="D49" s="635" t="s">
        <v>8532</v>
      </c>
    </row>
    <row r="50" spans="1:4">
      <c r="A50" s="639">
        <v>4</v>
      </c>
      <c r="B50" s="631" t="s">
        <v>6860</v>
      </c>
      <c r="C50" s="631" t="s">
        <v>51</v>
      </c>
      <c r="D50" s="632" t="s">
        <v>8533</v>
      </c>
    </row>
    <row r="51" spans="1:4">
      <c r="A51" s="627">
        <v>5</v>
      </c>
      <c r="B51" s="628" t="s">
        <v>400</v>
      </c>
      <c r="C51" s="628" t="s">
        <v>51</v>
      </c>
      <c r="D51" s="635" t="s">
        <v>8534</v>
      </c>
    </row>
    <row r="52" spans="1:4">
      <c r="A52" s="639">
        <v>6</v>
      </c>
      <c r="B52" s="631" t="s">
        <v>6879</v>
      </c>
      <c r="C52" s="631" t="s">
        <v>51</v>
      </c>
      <c r="D52" s="632" t="s">
        <v>8535</v>
      </c>
    </row>
    <row r="53" spans="1:4">
      <c r="A53" s="627">
        <v>7</v>
      </c>
      <c r="B53" s="628" t="s">
        <v>6863</v>
      </c>
      <c r="C53" s="628" t="s">
        <v>51</v>
      </c>
      <c r="D53" s="635" t="s">
        <v>8536</v>
      </c>
    </row>
    <row r="54" spans="1:4" ht="27">
      <c r="A54" s="639">
        <v>8</v>
      </c>
      <c r="B54" s="631" t="s">
        <v>6872</v>
      </c>
      <c r="C54" s="631" t="s">
        <v>51</v>
      </c>
      <c r="D54" s="632" t="s">
        <v>8537</v>
      </c>
    </row>
    <row r="55" spans="1:4">
      <c r="A55" s="627">
        <v>9</v>
      </c>
      <c r="B55" s="628" t="s">
        <v>8538</v>
      </c>
      <c r="C55" s="628" t="s">
        <v>8487</v>
      </c>
      <c r="D55" s="635" t="s">
        <v>8539</v>
      </c>
    </row>
    <row r="56" spans="1:4">
      <c r="A56" s="639">
        <v>10</v>
      </c>
      <c r="B56" s="631" t="s">
        <v>8540</v>
      </c>
      <c r="C56" s="631" t="s">
        <v>8494</v>
      </c>
      <c r="D56" s="632" t="s">
        <v>8541</v>
      </c>
    </row>
    <row r="57" spans="1:4">
      <c r="A57" s="627">
        <v>11</v>
      </c>
      <c r="B57" s="628" t="s">
        <v>8542</v>
      </c>
      <c r="C57" s="628" t="s">
        <v>8494</v>
      </c>
      <c r="D57" s="635" t="s">
        <v>8543</v>
      </c>
    </row>
    <row r="58" spans="1:4">
      <c r="A58" s="639">
        <v>12</v>
      </c>
      <c r="B58" s="631" t="s">
        <v>8544</v>
      </c>
      <c r="C58" s="631" t="s">
        <v>8494</v>
      </c>
      <c r="D58" s="632" t="s">
        <v>8545</v>
      </c>
    </row>
    <row r="59" spans="1:4">
      <c r="A59" s="627">
        <v>13</v>
      </c>
      <c r="B59" s="628" t="s">
        <v>6865</v>
      </c>
      <c r="C59" s="628" t="s">
        <v>51</v>
      </c>
      <c r="D59" s="635" t="s">
        <v>8546</v>
      </c>
    </row>
    <row r="60" spans="1:4">
      <c r="A60" s="639">
        <v>14</v>
      </c>
      <c r="B60" s="631" t="s">
        <v>8547</v>
      </c>
      <c r="C60" s="631" t="s">
        <v>51</v>
      </c>
      <c r="D60" s="632" t="s">
        <v>8548</v>
      </c>
    </row>
    <row r="61" spans="1:4">
      <c r="A61" s="627">
        <v>15</v>
      </c>
      <c r="B61" s="628" t="s">
        <v>6871</v>
      </c>
      <c r="C61" s="628" t="s">
        <v>51</v>
      </c>
      <c r="D61" s="635" t="s">
        <v>8549</v>
      </c>
    </row>
    <row r="62" spans="1:4">
      <c r="A62" s="639">
        <v>16</v>
      </c>
      <c r="B62" s="631" t="s">
        <v>6858</v>
      </c>
      <c r="C62" s="631" t="s">
        <v>51</v>
      </c>
      <c r="D62" s="632" t="s">
        <v>8550</v>
      </c>
    </row>
    <row r="63" spans="1:4">
      <c r="A63" s="627">
        <v>17</v>
      </c>
      <c r="B63" s="628" t="s">
        <v>8551</v>
      </c>
      <c r="C63" s="628" t="s">
        <v>8494</v>
      </c>
      <c r="D63" s="635" t="s">
        <v>8552</v>
      </c>
    </row>
    <row r="64" spans="1:4">
      <c r="A64" s="639">
        <v>18</v>
      </c>
      <c r="B64" s="631" t="s">
        <v>6861</v>
      </c>
      <c r="C64" s="631" t="s">
        <v>51</v>
      </c>
      <c r="D64" s="755" t="s">
        <v>10570</v>
      </c>
    </row>
    <row r="65" spans="1:4">
      <c r="A65" s="627">
        <v>19</v>
      </c>
      <c r="B65" s="628" t="s">
        <v>8553</v>
      </c>
      <c r="C65" s="628" t="s">
        <v>8487</v>
      </c>
      <c r="D65" s="635" t="s">
        <v>8554</v>
      </c>
    </row>
  </sheetData>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26350-F776-4952-AC51-A09BC44B1308}">
  <sheetPr>
    <tabColor rgb="FF92D050"/>
  </sheetPr>
  <dimension ref="A2:I11"/>
  <sheetViews>
    <sheetView workbookViewId="0">
      <selection activeCell="H32" sqref="H32"/>
    </sheetView>
  </sheetViews>
  <sheetFormatPr baseColWidth="10" defaultColWidth="11.4140625" defaultRowHeight="14"/>
  <cols>
    <col min="1" max="1" width="11" bestFit="1" customWidth="1"/>
    <col min="2" max="2" width="53.4140625" bestFit="1" customWidth="1"/>
    <col min="3" max="3" width="11" bestFit="1" customWidth="1"/>
    <col min="5" max="5" width="11" bestFit="1" customWidth="1"/>
    <col min="6" max="7" width="13.5" bestFit="1" customWidth="1"/>
    <col min="8" max="8" width="12.4140625" bestFit="1" customWidth="1"/>
  </cols>
  <sheetData>
    <row r="2" spans="1:9" ht="15.5">
      <c r="A2" s="7" t="s">
        <v>7215</v>
      </c>
    </row>
    <row r="5" spans="1:9" ht="14.5" thickBot="1">
      <c r="A5" s="1" t="s">
        <v>3</v>
      </c>
      <c r="B5" s="1" t="s">
        <v>6</v>
      </c>
      <c r="C5" s="1" t="s">
        <v>7</v>
      </c>
      <c r="D5" s="1" t="s">
        <v>8</v>
      </c>
      <c r="E5" s="1" t="s">
        <v>9</v>
      </c>
      <c r="F5" s="1" t="s">
        <v>10</v>
      </c>
      <c r="G5" s="1" t="s">
        <v>11</v>
      </c>
      <c r="H5" s="1" t="s">
        <v>2</v>
      </c>
      <c r="I5" s="1" t="s">
        <v>49</v>
      </c>
    </row>
    <row r="6" spans="1:9" ht="14.5" thickTop="1">
      <c r="A6" s="13">
        <v>112</v>
      </c>
      <c r="B6" s="10" t="s">
        <v>1767</v>
      </c>
      <c r="C6" s="13" t="s">
        <v>5859</v>
      </c>
      <c r="D6" s="13" t="s">
        <v>18</v>
      </c>
      <c r="E6" s="13">
        <v>9</v>
      </c>
      <c r="F6" s="14">
        <v>42947</v>
      </c>
      <c r="G6" s="14">
        <v>44772</v>
      </c>
      <c r="H6" s="13" t="s">
        <v>14</v>
      </c>
      <c r="I6" s="13" t="s">
        <v>51</v>
      </c>
    </row>
    <row r="7" spans="1:9">
      <c r="A7" s="11">
        <v>6</v>
      </c>
      <c r="B7" s="9" t="s">
        <v>5722</v>
      </c>
      <c r="C7" s="11" t="s">
        <v>6254</v>
      </c>
      <c r="D7" s="11" t="s">
        <v>18</v>
      </c>
      <c r="E7" s="11">
        <v>213</v>
      </c>
      <c r="F7" s="12">
        <v>43083</v>
      </c>
      <c r="G7" s="12">
        <v>44908</v>
      </c>
      <c r="H7" s="11" t="s">
        <v>47</v>
      </c>
      <c r="I7" s="11" t="s">
        <v>51</v>
      </c>
    </row>
    <row r="8" spans="1:9">
      <c r="A8" s="13">
        <v>4</v>
      </c>
      <c r="B8" s="10" t="s">
        <v>40</v>
      </c>
      <c r="C8" s="13" t="s">
        <v>6589</v>
      </c>
      <c r="D8" s="13" t="s">
        <v>13</v>
      </c>
      <c r="E8" s="13">
        <v>302</v>
      </c>
      <c r="F8" s="14">
        <v>38093</v>
      </c>
      <c r="G8" s="14">
        <v>44666</v>
      </c>
      <c r="H8" s="13" t="s">
        <v>41</v>
      </c>
      <c r="I8" s="13" t="s">
        <v>51</v>
      </c>
    </row>
    <row r="9" spans="1:9">
      <c r="A9" s="11">
        <v>8</v>
      </c>
      <c r="B9" s="9" t="s">
        <v>410</v>
      </c>
      <c r="C9" s="11" t="s">
        <v>6593</v>
      </c>
      <c r="D9" s="11" t="s">
        <v>18</v>
      </c>
      <c r="E9" s="11">
        <v>200</v>
      </c>
      <c r="F9" s="12">
        <v>39377</v>
      </c>
      <c r="G9" s="12">
        <v>41203</v>
      </c>
      <c r="H9" s="11" t="s">
        <v>41</v>
      </c>
      <c r="I9" s="11" t="s">
        <v>51</v>
      </c>
    </row>
    <row r="10" spans="1:9">
      <c r="A10" s="13">
        <v>12</v>
      </c>
      <c r="B10" s="10" t="s">
        <v>171</v>
      </c>
      <c r="C10" s="13" t="s">
        <v>6597</v>
      </c>
      <c r="D10" s="13" t="s">
        <v>18</v>
      </c>
      <c r="E10" s="13">
        <v>130</v>
      </c>
      <c r="F10" s="14">
        <v>42992</v>
      </c>
      <c r="G10" s="14">
        <v>44817</v>
      </c>
      <c r="H10" s="13" t="s">
        <v>41</v>
      </c>
      <c r="I10" s="13" t="s">
        <v>51</v>
      </c>
    </row>
    <row r="11" spans="1:9">
      <c r="A11" s="11">
        <v>24</v>
      </c>
      <c r="B11" s="9" t="s">
        <v>191</v>
      </c>
      <c r="C11" s="11" t="s">
        <v>6781</v>
      </c>
      <c r="D11" s="11" t="s">
        <v>18</v>
      </c>
      <c r="E11" s="11">
        <v>25</v>
      </c>
      <c r="F11" s="12">
        <v>43132</v>
      </c>
      <c r="G11" s="12">
        <v>44592</v>
      </c>
      <c r="H11" s="11" t="s">
        <v>43</v>
      </c>
      <c r="I11" s="11" t="s">
        <v>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380E-2C20-45BF-8196-822184BAEAD3}">
  <sheetPr>
    <tabColor rgb="FF92D050"/>
  </sheetPr>
  <dimension ref="A2:I13"/>
  <sheetViews>
    <sheetView showGridLines="0" workbookViewId="0">
      <selection activeCell="I25" sqref="I25"/>
    </sheetView>
  </sheetViews>
  <sheetFormatPr baseColWidth="10" defaultColWidth="10.75" defaultRowHeight="14.5"/>
  <cols>
    <col min="1" max="1" width="10.75" style="15"/>
    <col min="2" max="2" width="38.4140625" style="15" bestFit="1" customWidth="1"/>
    <col min="3" max="3" width="7.83203125" style="15" bestFit="1" customWidth="1"/>
    <col min="4" max="4" width="7.25" style="15" bestFit="1" customWidth="1"/>
    <col min="5" max="5" width="7" style="15" bestFit="1" customWidth="1"/>
    <col min="6" max="7" width="11" style="15" bestFit="1" customWidth="1"/>
    <col min="8" max="8" width="12.5" style="15" bestFit="1" customWidth="1"/>
    <col min="9" max="9" width="20.5" style="15" bestFit="1" customWidth="1"/>
    <col min="10" max="16384" width="10.75" style="15"/>
  </cols>
  <sheetData>
    <row r="2" spans="1:9" ht="15.5">
      <c r="A2" s="7" t="s">
        <v>8483</v>
      </c>
      <c r="B2" s="16"/>
    </row>
    <row r="5" spans="1:9" ht="15" thickBot="1">
      <c r="A5" s="1" t="s">
        <v>3</v>
      </c>
      <c r="B5" s="1" t="s">
        <v>6</v>
      </c>
      <c r="C5" s="1" t="s">
        <v>7</v>
      </c>
      <c r="D5" s="1" t="s">
        <v>8</v>
      </c>
      <c r="E5" s="1" t="s">
        <v>9</v>
      </c>
      <c r="F5" s="1" t="s">
        <v>10</v>
      </c>
      <c r="G5" s="1" t="s">
        <v>11</v>
      </c>
      <c r="H5" s="1" t="s">
        <v>2</v>
      </c>
      <c r="I5" s="1" t="s">
        <v>49</v>
      </c>
    </row>
    <row r="6" spans="1:9" ht="15" thickTop="1">
      <c r="A6" s="11">
        <v>1584</v>
      </c>
      <c r="B6" s="9" t="s">
        <v>147</v>
      </c>
      <c r="C6" s="11" t="s">
        <v>148</v>
      </c>
      <c r="D6" s="11" t="s">
        <v>13</v>
      </c>
      <c r="E6" s="11">
        <v>7</v>
      </c>
      <c r="F6" s="12">
        <v>45386</v>
      </c>
      <c r="G6" s="12">
        <v>49779</v>
      </c>
      <c r="H6" s="11" t="s">
        <v>14</v>
      </c>
      <c r="I6" s="11" t="s">
        <v>51</v>
      </c>
    </row>
    <row r="9" spans="1:9" ht="15.5">
      <c r="A9" s="7" t="s">
        <v>8484</v>
      </c>
    </row>
    <row r="12" spans="1:9" ht="15" thickBot="1">
      <c r="A12" s="1" t="s">
        <v>3</v>
      </c>
      <c r="B12" s="1" t="s">
        <v>6</v>
      </c>
      <c r="C12" s="1" t="s">
        <v>7</v>
      </c>
      <c r="D12" s="1" t="s">
        <v>8</v>
      </c>
      <c r="E12" s="1" t="s">
        <v>9</v>
      </c>
      <c r="F12" s="1" t="s">
        <v>10</v>
      </c>
      <c r="G12" s="1" t="s">
        <v>11</v>
      </c>
      <c r="H12" s="1" t="s">
        <v>2</v>
      </c>
      <c r="I12" s="1" t="s">
        <v>49</v>
      </c>
    </row>
    <row r="13" spans="1:9" ht="15" thickTop="1">
      <c r="A13" s="11">
        <v>1620</v>
      </c>
      <c r="B13" s="9" t="s">
        <v>36</v>
      </c>
      <c r="C13" s="11" t="s">
        <v>6937</v>
      </c>
      <c r="D13" s="11" t="s">
        <v>37</v>
      </c>
      <c r="E13" s="11">
        <v>2</v>
      </c>
      <c r="F13" s="12">
        <v>43699</v>
      </c>
      <c r="G13" s="12">
        <v>43698</v>
      </c>
      <c r="H13" s="11" t="s">
        <v>14</v>
      </c>
      <c r="I13" s="11" t="s">
        <v>400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1A2A8-3218-4148-849A-F2897A03D9EC}">
  <sheetPr>
    <tabColor rgb="FF92D050"/>
  </sheetPr>
  <dimension ref="A2:I43"/>
  <sheetViews>
    <sheetView showGridLines="0" workbookViewId="0">
      <selection activeCell="D2" sqref="D2"/>
    </sheetView>
  </sheetViews>
  <sheetFormatPr baseColWidth="10" defaultColWidth="10.5" defaultRowHeight="14.5"/>
  <cols>
    <col min="1" max="1" width="6.4140625" style="15" customWidth="1"/>
    <col min="2" max="2" width="57.4140625" style="15" bestFit="1" customWidth="1"/>
    <col min="3" max="3" width="12.4140625" style="15" bestFit="1" customWidth="1"/>
    <col min="4" max="4" width="11" style="15" bestFit="1" customWidth="1"/>
    <col min="5" max="6" width="10.5" style="15" bestFit="1" customWidth="1"/>
    <col min="7" max="7" width="16.5" style="15" bestFit="1" customWidth="1"/>
    <col min="8" max="8" width="15.5" style="15" bestFit="1" customWidth="1"/>
    <col min="9" max="9" width="31.5" style="15" bestFit="1" customWidth="1"/>
    <col min="10" max="16384" width="10.5" style="15"/>
  </cols>
  <sheetData>
    <row r="2" spans="1:9" ht="15.5">
      <c r="A2" s="7" t="s">
        <v>10571</v>
      </c>
      <c r="B2" s="16"/>
    </row>
    <row r="5" spans="1:9" ht="15" thickBot="1">
      <c r="A5" s="1" t="s">
        <v>3</v>
      </c>
      <c r="B5" s="1" t="s">
        <v>6</v>
      </c>
      <c r="C5" s="1" t="s">
        <v>7</v>
      </c>
      <c r="D5" s="1" t="s">
        <v>8</v>
      </c>
      <c r="E5" s="1" t="s">
        <v>9</v>
      </c>
      <c r="F5" s="1" t="s">
        <v>10</v>
      </c>
      <c r="G5" s="1" t="s">
        <v>11</v>
      </c>
      <c r="H5" s="1" t="s">
        <v>2</v>
      </c>
      <c r="I5" s="1" t="s">
        <v>49</v>
      </c>
    </row>
    <row r="6" spans="1:9" ht="15" thickTop="1">
      <c r="A6" s="11">
        <v>1084</v>
      </c>
      <c r="B6" s="9" t="s">
        <v>429</v>
      </c>
      <c r="C6" s="11" t="s">
        <v>6899</v>
      </c>
      <c r="D6" s="11" t="s">
        <v>18</v>
      </c>
      <c r="E6" s="11">
        <v>471</v>
      </c>
      <c r="F6" s="12"/>
      <c r="G6" s="12"/>
      <c r="H6" s="11" t="s">
        <v>66</v>
      </c>
      <c r="I6" s="11" t="s">
        <v>385</v>
      </c>
    </row>
    <row r="7" spans="1:9">
      <c r="A7" s="13">
        <v>2537</v>
      </c>
      <c r="B7" s="10" t="s">
        <v>463</v>
      </c>
      <c r="C7" s="13" t="s">
        <v>6900</v>
      </c>
      <c r="D7" s="13" t="s">
        <v>18</v>
      </c>
      <c r="E7" s="13">
        <v>1</v>
      </c>
      <c r="F7" s="14"/>
      <c r="G7" s="14"/>
      <c r="H7" s="13" t="s">
        <v>16</v>
      </c>
      <c r="I7" s="13" t="s">
        <v>459</v>
      </c>
    </row>
    <row r="8" spans="1:9">
      <c r="A8" s="11">
        <v>2559</v>
      </c>
      <c r="B8" s="9" t="s">
        <v>464</v>
      </c>
      <c r="C8" s="11" t="s">
        <v>6901</v>
      </c>
      <c r="D8" s="11" t="s">
        <v>18</v>
      </c>
      <c r="E8" s="11">
        <v>2</v>
      </c>
      <c r="F8" s="12"/>
      <c r="G8" s="12"/>
      <c r="H8" s="11" t="s">
        <v>20</v>
      </c>
      <c r="I8" s="11" t="s">
        <v>459</v>
      </c>
    </row>
    <row r="9" spans="1:9">
      <c r="A9" s="13">
        <v>2644</v>
      </c>
      <c r="B9" s="10" t="s">
        <v>361</v>
      </c>
      <c r="C9" s="13" t="s">
        <v>6902</v>
      </c>
      <c r="D9" s="13" t="s">
        <v>18</v>
      </c>
      <c r="E9" s="13">
        <v>4</v>
      </c>
      <c r="F9" s="14"/>
      <c r="G9" s="14"/>
      <c r="H9" s="13" t="s">
        <v>43</v>
      </c>
      <c r="I9" s="13" t="s">
        <v>6862</v>
      </c>
    </row>
    <row r="10" spans="1:9">
      <c r="A10" s="11">
        <v>2657</v>
      </c>
      <c r="B10" s="9" t="s">
        <v>333</v>
      </c>
      <c r="C10" s="11" t="s">
        <v>6903</v>
      </c>
      <c r="D10" s="11" t="s">
        <v>18</v>
      </c>
      <c r="E10" s="11">
        <v>8</v>
      </c>
      <c r="F10" s="12"/>
      <c r="G10" s="12"/>
      <c r="H10" s="11" t="s">
        <v>14</v>
      </c>
      <c r="I10" s="11" t="s">
        <v>459</v>
      </c>
    </row>
    <row r="11" spans="1:9">
      <c r="A11" s="13">
        <v>2702</v>
      </c>
      <c r="B11" s="10" t="s">
        <v>6885</v>
      </c>
      <c r="C11" s="13" t="s">
        <v>6904</v>
      </c>
      <c r="D11" s="13" t="s">
        <v>18</v>
      </c>
      <c r="E11" s="13">
        <v>9</v>
      </c>
      <c r="F11" s="14"/>
      <c r="G11" s="14"/>
      <c r="H11" s="13" t="s">
        <v>28</v>
      </c>
      <c r="I11" s="13" t="s">
        <v>459</v>
      </c>
    </row>
    <row r="12" spans="1:9">
      <c r="A12" s="11">
        <v>2810</v>
      </c>
      <c r="B12" s="9" t="s">
        <v>6887</v>
      </c>
      <c r="C12" s="11" t="s">
        <v>6905</v>
      </c>
      <c r="D12" s="11" t="s">
        <v>18</v>
      </c>
      <c r="E12" s="11">
        <v>5</v>
      </c>
      <c r="F12" s="12"/>
      <c r="G12" s="12"/>
      <c r="H12" s="11" t="s">
        <v>47</v>
      </c>
      <c r="I12" s="11" t="s">
        <v>459</v>
      </c>
    </row>
    <row r="13" spans="1:9">
      <c r="A13" s="13">
        <v>2827</v>
      </c>
      <c r="B13" s="10" t="s">
        <v>6888</v>
      </c>
      <c r="C13" s="13" t="s">
        <v>6906</v>
      </c>
      <c r="D13" s="13" t="s">
        <v>18</v>
      </c>
      <c r="E13" s="13">
        <v>10</v>
      </c>
      <c r="F13" s="14"/>
      <c r="G13" s="14"/>
      <c r="H13" s="13" t="s">
        <v>43</v>
      </c>
      <c r="I13" s="13" t="s">
        <v>459</v>
      </c>
    </row>
    <row r="14" spans="1:9">
      <c r="A14" s="11">
        <v>2828</v>
      </c>
      <c r="B14" s="9" t="s">
        <v>469</v>
      </c>
      <c r="C14" s="11" t="s">
        <v>6907</v>
      </c>
      <c r="D14" s="11" t="s">
        <v>18</v>
      </c>
      <c r="E14" s="11">
        <v>3</v>
      </c>
      <c r="F14" s="12"/>
      <c r="G14" s="12"/>
      <c r="H14" s="11" t="s">
        <v>14</v>
      </c>
      <c r="I14" s="11" t="s">
        <v>459</v>
      </c>
    </row>
    <row r="15" spans="1:9">
      <c r="A15" s="13">
        <v>2830</v>
      </c>
      <c r="B15" s="10" t="s">
        <v>1888</v>
      </c>
      <c r="C15" s="13" t="s">
        <v>6908</v>
      </c>
      <c r="D15" s="13" t="s">
        <v>18</v>
      </c>
      <c r="E15" s="13">
        <v>10</v>
      </c>
      <c r="F15" s="14"/>
      <c r="G15" s="14"/>
      <c r="H15" s="13" t="s">
        <v>43</v>
      </c>
      <c r="I15" s="13" t="s">
        <v>459</v>
      </c>
    </row>
    <row r="16" spans="1:9">
      <c r="A16" s="11">
        <v>2879</v>
      </c>
      <c r="B16" s="9" t="s">
        <v>5681</v>
      </c>
      <c r="C16" s="11" t="s">
        <v>6909</v>
      </c>
      <c r="D16" s="11" t="s">
        <v>18</v>
      </c>
      <c r="E16" s="11">
        <v>3</v>
      </c>
      <c r="F16" s="12"/>
      <c r="G16" s="12"/>
      <c r="H16" s="11" t="s">
        <v>22</v>
      </c>
      <c r="I16" s="11" t="s">
        <v>459</v>
      </c>
    </row>
    <row r="17" spans="1:9">
      <c r="A17" s="13">
        <v>2934</v>
      </c>
      <c r="B17" s="10" t="s">
        <v>6889</v>
      </c>
      <c r="C17" s="13" t="s">
        <v>6910</v>
      </c>
      <c r="D17" s="13" t="s">
        <v>18</v>
      </c>
      <c r="E17" s="13">
        <v>2</v>
      </c>
      <c r="F17" s="14"/>
      <c r="G17" s="14"/>
      <c r="H17" s="13" t="s">
        <v>41</v>
      </c>
      <c r="I17" s="13" t="s">
        <v>459</v>
      </c>
    </row>
    <row r="18" spans="1:9">
      <c r="A18" s="11">
        <v>2953</v>
      </c>
      <c r="B18" s="9" t="s">
        <v>363</v>
      </c>
      <c r="C18" s="11" t="s">
        <v>6911</v>
      </c>
      <c r="D18" s="11" t="s">
        <v>18</v>
      </c>
      <c r="E18" s="11">
        <v>36</v>
      </c>
      <c r="F18" s="12"/>
      <c r="G18" s="12"/>
      <c r="H18" s="11" t="s">
        <v>45</v>
      </c>
      <c r="I18" s="11" t="s">
        <v>459</v>
      </c>
    </row>
    <row r="19" spans="1:9">
      <c r="A19" s="13">
        <v>2957</v>
      </c>
      <c r="B19" s="10" t="s">
        <v>320</v>
      </c>
      <c r="C19" s="13" t="s">
        <v>6912</v>
      </c>
      <c r="D19" s="13" t="s">
        <v>18</v>
      </c>
      <c r="E19" s="13">
        <v>36</v>
      </c>
      <c r="F19" s="14"/>
      <c r="G19" s="14"/>
      <c r="H19" s="13" t="s">
        <v>16</v>
      </c>
      <c r="I19" s="13" t="s">
        <v>459</v>
      </c>
    </row>
    <row r="20" spans="1:9">
      <c r="A20" s="11">
        <v>2960</v>
      </c>
      <c r="B20" s="9" t="s">
        <v>6890</v>
      </c>
      <c r="C20" s="11" t="s">
        <v>6913</v>
      </c>
      <c r="D20" s="11" t="s">
        <v>18</v>
      </c>
      <c r="E20" s="11">
        <v>10</v>
      </c>
      <c r="F20" s="12"/>
      <c r="G20" s="12"/>
      <c r="H20" s="11" t="s">
        <v>16</v>
      </c>
      <c r="I20" s="11" t="s">
        <v>459</v>
      </c>
    </row>
    <row r="21" spans="1:9">
      <c r="A21" s="13">
        <v>2962</v>
      </c>
      <c r="B21" s="10" t="s">
        <v>5681</v>
      </c>
      <c r="C21" s="13" t="s">
        <v>6914</v>
      </c>
      <c r="D21" s="13" t="s">
        <v>18</v>
      </c>
      <c r="E21" s="13">
        <v>27</v>
      </c>
      <c r="F21" s="14"/>
      <c r="G21" s="14"/>
      <c r="H21" s="13" t="s">
        <v>28</v>
      </c>
      <c r="I21" s="13" t="s">
        <v>459</v>
      </c>
    </row>
    <row r="22" spans="1:9">
      <c r="A22" s="11">
        <v>2973</v>
      </c>
      <c r="B22" s="9" t="s">
        <v>6891</v>
      </c>
      <c r="C22" s="11" t="s">
        <v>6915</v>
      </c>
      <c r="D22" s="11" t="s">
        <v>18</v>
      </c>
      <c r="E22" s="11">
        <v>5</v>
      </c>
      <c r="F22" s="12"/>
      <c r="G22" s="12"/>
      <c r="H22" s="11" t="s">
        <v>14</v>
      </c>
      <c r="I22" s="11" t="s">
        <v>459</v>
      </c>
    </row>
    <row r="23" spans="1:9">
      <c r="A23" s="13">
        <v>2985</v>
      </c>
      <c r="B23" s="10" t="s">
        <v>6888</v>
      </c>
      <c r="C23" s="13" t="s">
        <v>6916</v>
      </c>
      <c r="D23" s="13" t="s">
        <v>18</v>
      </c>
      <c r="E23" s="13">
        <v>30</v>
      </c>
      <c r="F23" s="14"/>
      <c r="G23" s="14"/>
      <c r="H23" s="13" t="s">
        <v>22</v>
      </c>
      <c r="I23" s="13" t="s">
        <v>459</v>
      </c>
    </row>
    <row r="24" spans="1:9">
      <c r="A24" s="11">
        <v>2995</v>
      </c>
      <c r="B24" s="9" t="s">
        <v>6892</v>
      </c>
      <c r="C24" s="11" t="s">
        <v>6917</v>
      </c>
      <c r="D24" s="11" t="s">
        <v>18</v>
      </c>
      <c r="E24" s="11">
        <v>3</v>
      </c>
      <c r="F24" s="12"/>
      <c r="G24" s="12"/>
      <c r="H24" s="11" t="s">
        <v>20</v>
      </c>
      <c r="I24" s="11" t="s">
        <v>459</v>
      </c>
    </row>
    <row r="25" spans="1:9">
      <c r="A25" s="13">
        <v>2999</v>
      </c>
      <c r="B25" s="10" t="s">
        <v>6890</v>
      </c>
      <c r="C25" s="13" t="s">
        <v>6918</v>
      </c>
      <c r="D25" s="13" t="s">
        <v>18</v>
      </c>
      <c r="E25" s="13">
        <v>9</v>
      </c>
      <c r="F25" s="14"/>
      <c r="G25" s="14"/>
      <c r="H25" s="13" t="s">
        <v>16</v>
      </c>
      <c r="I25" s="13" t="s">
        <v>459</v>
      </c>
    </row>
    <row r="26" spans="1:9">
      <c r="A26" s="11">
        <v>3001</v>
      </c>
      <c r="B26" s="9" t="s">
        <v>363</v>
      </c>
      <c r="C26" s="11" t="s">
        <v>6919</v>
      </c>
      <c r="D26" s="11" t="s">
        <v>18</v>
      </c>
      <c r="E26" s="11">
        <v>91</v>
      </c>
      <c r="F26" s="12"/>
      <c r="G26" s="12"/>
      <c r="H26" s="11" t="s">
        <v>41</v>
      </c>
      <c r="I26" s="11" t="s">
        <v>459</v>
      </c>
    </row>
    <row r="27" spans="1:9">
      <c r="A27" s="13">
        <v>3006</v>
      </c>
      <c r="B27" s="10" t="s">
        <v>6893</v>
      </c>
      <c r="C27" s="13" t="s">
        <v>6920</v>
      </c>
      <c r="D27" s="13" t="s">
        <v>18</v>
      </c>
      <c r="E27" s="13">
        <v>10</v>
      </c>
      <c r="F27" s="14"/>
      <c r="G27" s="14"/>
      <c r="H27" s="13" t="s">
        <v>56</v>
      </c>
      <c r="I27" s="13" t="s">
        <v>459</v>
      </c>
    </row>
    <row r="28" spans="1:9">
      <c r="A28" s="11">
        <v>3007</v>
      </c>
      <c r="B28" s="9" t="s">
        <v>5692</v>
      </c>
      <c r="C28" s="11" t="s">
        <v>6921</v>
      </c>
      <c r="D28" s="11" t="s">
        <v>18</v>
      </c>
      <c r="E28" s="11">
        <v>3</v>
      </c>
      <c r="F28" s="12"/>
      <c r="G28" s="12"/>
      <c r="H28" s="11" t="s">
        <v>14</v>
      </c>
      <c r="I28" s="11" t="s">
        <v>459</v>
      </c>
    </row>
    <row r="29" spans="1:9">
      <c r="A29" s="13">
        <v>3008</v>
      </c>
      <c r="B29" s="10" t="s">
        <v>5697</v>
      </c>
      <c r="C29" s="13" t="s">
        <v>6922</v>
      </c>
      <c r="D29" s="13" t="s">
        <v>18</v>
      </c>
      <c r="E29" s="13">
        <v>6</v>
      </c>
      <c r="F29" s="14"/>
      <c r="G29" s="14"/>
      <c r="H29" s="13" t="s">
        <v>14</v>
      </c>
      <c r="I29" s="13" t="s">
        <v>459</v>
      </c>
    </row>
    <row r="30" spans="1:9">
      <c r="A30" s="11">
        <v>3009</v>
      </c>
      <c r="B30" s="9" t="s">
        <v>5697</v>
      </c>
      <c r="C30" s="11" t="s">
        <v>6923</v>
      </c>
      <c r="D30" s="11" t="s">
        <v>18</v>
      </c>
      <c r="E30" s="11">
        <v>5</v>
      </c>
      <c r="F30" s="12"/>
      <c r="G30" s="12"/>
      <c r="H30" s="11" t="s">
        <v>14</v>
      </c>
      <c r="I30" s="11" t="s">
        <v>459</v>
      </c>
    </row>
    <row r="31" spans="1:9">
      <c r="A31" s="13">
        <v>3010</v>
      </c>
      <c r="B31" s="10" t="s">
        <v>6894</v>
      </c>
      <c r="C31" s="13" t="s">
        <v>6924</v>
      </c>
      <c r="D31" s="13" t="s">
        <v>18</v>
      </c>
      <c r="E31" s="13">
        <v>4</v>
      </c>
      <c r="F31" s="14"/>
      <c r="G31" s="14"/>
      <c r="H31" s="13" t="s">
        <v>56</v>
      </c>
      <c r="I31" s="13" t="s">
        <v>459</v>
      </c>
    </row>
    <row r="32" spans="1:9">
      <c r="A32" s="11">
        <v>3011</v>
      </c>
      <c r="B32" s="9" t="s">
        <v>363</v>
      </c>
      <c r="C32" s="11" t="s">
        <v>6925</v>
      </c>
      <c r="D32" s="11" t="s">
        <v>18</v>
      </c>
      <c r="E32" s="11">
        <v>9</v>
      </c>
      <c r="F32" s="12"/>
      <c r="G32" s="12"/>
      <c r="H32" s="11" t="s">
        <v>41</v>
      </c>
      <c r="I32" s="11" t="s">
        <v>459</v>
      </c>
    </row>
    <row r="33" spans="1:9">
      <c r="A33" s="13">
        <v>3012</v>
      </c>
      <c r="B33" s="10" t="s">
        <v>363</v>
      </c>
      <c r="C33" s="13" t="s">
        <v>6926</v>
      </c>
      <c r="D33" s="13" t="s">
        <v>18</v>
      </c>
      <c r="E33" s="13">
        <v>18</v>
      </c>
      <c r="F33" s="14"/>
      <c r="G33" s="14"/>
      <c r="H33" s="13" t="s">
        <v>43</v>
      </c>
      <c r="I33" s="13" t="s">
        <v>459</v>
      </c>
    </row>
    <row r="34" spans="1:9">
      <c r="A34" s="11">
        <v>3015</v>
      </c>
      <c r="B34" s="9" t="s">
        <v>357</v>
      </c>
      <c r="C34" s="11" t="s">
        <v>6927</v>
      </c>
      <c r="D34" s="11" t="s">
        <v>18</v>
      </c>
      <c r="E34" s="11">
        <v>15</v>
      </c>
      <c r="F34" s="12"/>
      <c r="G34" s="12"/>
      <c r="H34" s="11" t="s">
        <v>19</v>
      </c>
      <c r="I34" s="11" t="s">
        <v>459</v>
      </c>
    </row>
    <row r="35" spans="1:9">
      <c r="A35" s="13">
        <v>3017</v>
      </c>
      <c r="B35" s="10" t="s">
        <v>6895</v>
      </c>
      <c r="C35" s="13" t="s">
        <v>6928</v>
      </c>
      <c r="D35" s="13" t="s">
        <v>18</v>
      </c>
      <c r="E35" s="13">
        <v>5</v>
      </c>
      <c r="F35" s="14"/>
      <c r="G35" s="14"/>
      <c r="H35" s="13" t="s">
        <v>14</v>
      </c>
      <c r="I35" s="13" t="s">
        <v>459</v>
      </c>
    </row>
    <row r="36" spans="1:9">
      <c r="A36" s="11">
        <v>3018</v>
      </c>
      <c r="B36" s="9" t="s">
        <v>5720</v>
      </c>
      <c r="C36" s="11" t="s">
        <v>6929</v>
      </c>
      <c r="D36" s="11" t="s">
        <v>18</v>
      </c>
      <c r="E36" s="11">
        <v>6</v>
      </c>
      <c r="F36" s="12"/>
      <c r="G36" s="12"/>
      <c r="H36" s="11" t="s">
        <v>28</v>
      </c>
      <c r="I36" s="11" t="s">
        <v>459</v>
      </c>
    </row>
    <row r="37" spans="1:9">
      <c r="A37" s="13">
        <v>3019</v>
      </c>
      <c r="B37" s="10" t="s">
        <v>5720</v>
      </c>
      <c r="C37" s="13" t="s">
        <v>6930</v>
      </c>
      <c r="D37" s="13" t="s">
        <v>18</v>
      </c>
      <c r="E37" s="13">
        <v>6</v>
      </c>
      <c r="F37" s="14"/>
      <c r="G37" s="14"/>
      <c r="H37" s="13" t="s">
        <v>28</v>
      </c>
      <c r="I37" s="13" t="s">
        <v>459</v>
      </c>
    </row>
    <row r="38" spans="1:9">
      <c r="A38" s="11">
        <v>3024</v>
      </c>
      <c r="B38" s="9" t="s">
        <v>5706</v>
      </c>
      <c r="C38" s="11" t="s">
        <v>6931</v>
      </c>
      <c r="D38" s="11" t="s">
        <v>18</v>
      </c>
      <c r="E38" s="11">
        <v>114</v>
      </c>
      <c r="F38" s="12"/>
      <c r="G38" s="12"/>
      <c r="H38" s="11" t="s">
        <v>16</v>
      </c>
      <c r="I38" s="11" t="s">
        <v>459</v>
      </c>
    </row>
    <row r="39" spans="1:9">
      <c r="A39" s="13">
        <v>3028</v>
      </c>
      <c r="B39" s="10" t="s">
        <v>320</v>
      </c>
      <c r="C39" s="13" t="s">
        <v>6932</v>
      </c>
      <c r="D39" s="13" t="s">
        <v>18</v>
      </c>
      <c r="E39" s="13">
        <v>9</v>
      </c>
      <c r="F39" s="14"/>
      <c r="G39" s="14"/>
      <c r="H39" s="13" t="s">
        <v>14</v>
      </c>
      <c r="I39" s="13" t="s">
        <v>459</v>
      </c>
    </row>
    <row r="40" spans="1:9">
      <c r="A40" s="11">
        <v>3041</v>
      </c>
      <c r="B40" s="9" t="s">
        <v>6896</v>
      </c>
      <c r="C40" s="11" t="s">
        <v>6933</v>
      </c>
      <c r="D40" s="11" t="s">
        <v>18</v>
      </c>
      <c r="E40" s="11">
        <v>37</v>
      </c>
      <c r="F40" s="12"/>
      <c r="G40" s="12"/>
      <c r="H40" s="11" t="s">
        <v>56</v>
      </c>
      <c r="I40" s="11" t="s">
        <v>459</v>
      </c>
    </row>
    <row r="41" spans="1:9">
      <c r="A41" s="13">
        <v>3042</v>
      </c>
      <c r="B41" s="10" t="s">
        <v>6897</v>
      </c>
      <c r="C41" s="13" t="s">
        <v>6934</v>
      </c>
      <c r="D41" s="13" t="s">
        <v>18</v>
      </c>
      <c r="E41" s="13">
        <v>88</v>
      </c>
      <c r="F41" s="14"/>
      <c r="G41" s="14"/>
      <c r="H41" s="13" t="s">
        <v>28</v>
      </c>
      <c r="I41" s="13" t="s">
        <v>459</v>
      </c>
    </row>
    <row r="42" spans="1:9">
      <c r="A42" s="11">
        <v>3043</v>
      </c>
      <c r="B42" s="9" t="s">
        <v>6897</v>
      </c>
      <c r="C42" s="11" t="s">
        <v>6935</v>
      </c>
      <c r="D42" s="11" t="s">
        <v>18</v>
      </c>
      <c r="E42" s="11">
        <v>54</v>
      </c>
      <c r="F42" s="12"/>
      <c r="G42" s="12"/>
      <c r="H42" s="11" t="s">
        <v>28</v>
      </c>
      <c r="I42" s="11" t="s">
        <v>459</v>
      </c>
    </row>
    <row r="43" spans="1:9">
      <c r="A43" s="13">
        <v>3045</v>
      </c>
      <c r="B43" s="10" t="s">
        <v>87</v>
      </c>
      <c r="C43" s="13" t="s">
        <v>6936</v>
      </c>
      <c r="D43" s="13" t="s">
        <v>13</v>
      </c>
      <c r="E43" s="13">
        <v>2</v>
      </c>
      <c r="F43" s="14"/>
      <c r="G43" s="14"/>
      <c r="H43" s="13" t="s">
        <v>16</v>
      </c>
      <c r="I43" s="13" t="s">
        <v>6879</v>
      </c>
    </row>
  </sheetData>
  <autoFilter ref="A5:I43" xr:uid="{4681A2A8-3218-4148-849A-F2897A03D9EC}"/>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551EF-3EC5-421E-A441-62335C964D2B}">
  <sheetPr>
    <tabColor rgb="FF92D050"/>
  </sheetPr>
  <dimension ref="A1:O79"/>
  <sheetViews>
    <sheetView zoomScaleNormal="100" workbookViewId="0">
      <selection activeCell="I7" sqref="I7"/>
    </sheetView>
  </sheetViews>
  <sheetFormatPr baseColWidth="10" defaultColWidth="11.5" defaultRowHeight="14"/>
  <cols>
    <col min="6" max="6" width="12.4140625" bestFit="1" customWidth="1"/>
    <col min="7" max="7" width="29" bestFit="1" customWidth="1"/>
    <col min="14" max="14" width="14.25" bestFit="1" customWidth="1"/>
    <col min="15" max="15" width="51.25" bestFit="1" customWidth="1"/>
  </cols>
  <sheetData>
    <row r="1" spans="1:15" ht="14.5">
      <c r="A1" s="187" t="s">
        <v>7217</v>
      </c>
      <c r="B1" s="188"/>
      <c r="C1" s="188"/>
      <c r="D1" s="188"/>
      <c r="E1" s="188"/>
      <c r="F1" s="188"/>
      <c r="G1" s="188"/>
      <c r="H1" s="188"/>
      <c r="I1" s="188"/>
      <c r="J1" s="188"/>
      <c r="K1" s="188"/>
      <c r="L1" s="188"/>
      <c r="M1" s="188"/>
      <c r="N1" s="188"/>
      <c r="O1" s="188"/>
    </row>
    <row r="2" spans="1:15">
      <c r="A2" s="188"/>
      <c r="B2" s="188"/>
      <c r="C2" s="188"/>
      <c r="D2" s="188"/>
      <c r="E2" s="188"/>
      <c r="F2" s="188"/>
      <c r="G2" s="188"/>
      <c r="H2" s="188"/>
      <c r="I2" s="188"/>
      <c r="J2" s="188"/>
      <c r="K2" s="188"/>
      <c r="L2" s="188"/>
      <c r="M2" s="188"/>
      <c r="N2" s="188"/>
      <c r="O2" s="188"/>
    </row>
    <row r="3" spans="1:15" ht="14.5" thickBot="1">
      <c r="A3" s="188"/>
      <c r="B3" s="188"/>
      <c r="C3" s="188"/>
      <c r="D3" s="188"/>
      <c r="E3" s="188"/>
      <c r="F3" s="188"/>
      <c r="G3" s="188"/>
      <c r="H3" s="188"/>
      <c r="I3" s="188"/>
      <c r="J3" s="188"/>
      <c r="K3" s="188"/>
      <c r="L3" s="188"/>
      <c r="M3" s="188"/>
      <c r="N3" s="188"/>
      <c r="O3" s="188"/>
    </row>
    <row r="4" spans="1:15" ht="15" thickBot="1">
      <c r="A4" s="863" t="s">
        <v>7200</v>
      </c>
      <c r="B4" s="864"/>
      <c r="C4" s="864"/>
      <c r="D4" s="864"/>
      <c r="E4" s="864"/>
      <c r="F4" s="864"/>
      <c r="G4" s="865"/>
      <c r="H4" s="188"/>
      <c r="I4" s="188"/>
      <c r="J4" s="188"/>
      <c r="K4" s="863" t="s">
        <v>7201</v>
      </c>
      <c r="L4" s="864"/>
      <c r="M4" s="864"/>
      <c r="N4" s="864"/>
      <c r="O4" s="865"/>
    </row>
    <row r="5" spans="1:15">
      <c r="A5" s="188"/>
      <c r="B5" s="188"/>
      <c r="C5" s="188"/>
      <c r="D5" s="188"/>
      <c r="E5" s="188"/>
      <c r="F5" s="188"/>
      <c r="G5" s="188"/>
      <c r="H5" s="188"/>
      <c r="I5" s="188"/>
      <c r="J5" s="188"/>
      <c r="K5" s="188"/>
      <c r="L5" s="188"/>
      <c r="M5" s="188"/>
      <c r="N5" s="188"/>
      <c r="O5" s="188"/>
    </row>
    <row r="6" spans="1:15">
      <c r="A6" s="466" t="s">
        <v>7</v>
      </c>
      <c r="B6" s="466" t="s">
        <v>8</v>
      </c>
      <c r="C6" s="466" t="s">
        <v>9</v>
      </c>
      <c r="D6" s="466" t="s">
        <v>10</v>
      </c>
      <c r="E6" s="466" t="s">
        <v>11</v>
      </c>
      <c r="F6" s="466" t="s">
        <v>2</v>
      </c>
      <c r="G6" s="466" t="s">
        <v>49</v>
      </c>
      <c r="H6" s="188"/>
      <c r="I6" s="188"/>
      <c r="J6" s="188"/>
      <c r="K6" s="466" t="s">
        <v>7</v>
      </c>
      <c r="L6" s="466" t="s">
        <v>8</v>
      </c>
      <c r="M6" s="466" t="s">
        <v>9</v>
      </c>
      <c r="N6" s="466" t="s">
        <v>2</v>
      </c>
      <c r="O6" s="466" t="s">
        <v>1860</v>
      </c>
    </row>
    <row r="7" spans="1:15">
      <c r="A7" s="467">
        <v>366</v>
      </c>
      <c r="B7" s="467" t="s">
        <v>13</v>
      </c>
      <c r="C7" s="467">
        <v>3</v>
      </c>
      <c r="D7" s="468">
        <v>39676</v>
      </c>
      <c r="E7" s="468">
        <v>45153</v>
      </c>
      <c r="F7" s="469" t="s">
        <v>66</v>
      </c>
      <c r="G7" s="469" t="s">
        <v>51</v>
      </c>
      <c r="H7" s="188"/>
      <c r="I7" s="188"/>
      <c r="J7" s="188"/>
      <c r="K7" s="470">
        <v>366</v>
      </c>
      <c r="L7" s="470" t="s">
        <v>13</v>
      </c>
      <c r="M7" s="470">
        <v>3</v>
      </c>
      <c r="N7" s="471" t="s">
        <v>1861</v>
      </c>
      <c r="O7" s="471" t="str">
        <f>IFERROR(VLOOKUP(K7,A:B,2,0),"Non existant au niveau du registre minier au 31 décembre 2023")</f>
        <v>PE</v>
      </c>
    </row>
    <row r="8" spans="1:15">
      <c r="A8" s="472">
        <v>382</v>
      </c>
      <c r="B8" s="472" t="s">
        <v>13</v>
      </c>
      <c r="C8" s="472">
        <v>3</v>
      </c>
      <c r="D8" s="473">
        <v>39676</v>
      </c>
      <c r="E8" s="473">
        <v>45153</v>
      </c>
      <c r="F8" s="474" t="s">
        <v>31</v>
      </c>
      <c r="G8" s="474" t="s">
        <v>51</v>
      </c>
      <c r="H8" s="188"/>
      <c r="I8" s="188"/>
      <c r="J8" s="188"/>
      <c r="K8" s="475">
        <v>382</v>
      </c>
      <c r="L8" s="475" t="s">
        <v>13</v>
      </c>
      <c r="M8" s="475">
        <v>3</v>
      </c>
      <c r="N8" s="476" t="s">
        <v>1861</v>
      </c>
      <c r="O8" s="477" t="str">
        <f t="shared" ref="O8:O71" si="0">IFERROR(VLOOKUP(K8,A:B,2,0),"Non existant au niveau du registre minier au 31 décembre 2023")</f>
        <v>PE</v>
      </c>
    </row>
    <row r="9" spans="1:15">
      <c r="A9" s="467">
        <v>383</v>
      </c>
      <c r="B9" s="467" t="s">
        <v>13</v>
      </c>
      <c r="C9" s="467">
        <v>471</v>
      </c>
      <c r="D9" s="468">
        <v>35993</v>
      </c>
      <c r="E9" s="468">
        <v>43297</v>
      </c>
      <c r="F9" s="469" t="s">
        <v>47</v>
      </c>
      <c r="G9" s="469" t="s">
        <v>6865</v>
      </c>
      <c r="H9" s="188"/>
      <c r="I9" s="188"/>
      <c r="J9" s="188"/>
      <c r="K9" s="470">
        <v>383</v>
      </c>
      <c r="L9" s="470" t="s">
        <v>13</v>
      </c>
      <c r="M9" s="470">
        <v>471</v>
      </c>
      <c r="N9" s="471" t="s">
        <v>1862</v>
      </c>
      <c r="O9" s="471" t="str">
        <f t="shared" si="0"/>
        <v>PE</v>
      </c>
    </row>
    <row r="10" spans="1:15">
      <c r="A10" s="472">
        <v>389</v>
      </c>
      <c r="B10" s="472" t="s">
        <v>13</v>
      </c>
      <c r="C10" s="472">
        <v>10</v>
      </c>
      <c r="D10" s="473">
        <v>39676</v>
      </c>
      <c r="E10" s="473">
        <v>45153</v>
      </c>
      <c r="F10" s="474" t="s">
        <v>31</v>
      </c>
      <c r="G10" s="474" t="s">
        <v>51</v>
      </c>
      <c r="H10" s="188"/>
      <c r="I10" s="188"/>
      <c r="J10" s="188"/>
      <c r="K10" s="475">
        <v>389</v>
      </c>
      <c r="L10" s="475" t="s">
        <v>13</v>
      </c>
      <c r="M10" s="475">
        <v>10</v>
      </c>
      <c r="N10" s="476" t="s">
        <v>1861</v>
      </c>
      <c r="O10" s="477" t="str">
        <f t="shared" si="0"/>
        <v>PE</v>
      </c>
    </row>
    <row r="11" spans="1:15">
      <c r="A11" s="467">
        <v>395</v>
      </c>
      <c r="B11" s="467" t="s">
        <v>13</v>
      </c>
      <c r="C11" s="467">
        <v>6</v>
      </c>
      <c r="D11" s="468">
        <v>39676</v>
      </c>
      <c r="E11" s="468">
        <v>45153</v>
      </c>
      <c r="F11" s="469" t="s">
        <v>31</v>
      </c>
      <c r="G11" s="469" t="s">
        <v>51</v>
      </c>
      <c r="H11" s="188"/>
      <c r="I11" s="188"/>
      <c r="J11" s="188"/>
      <c r="K11" s="470">
        <v>395</v>
      </c>
      <c r="L11" s="470" t="s">
        <v>13</v>
      </c>
      <c r="M11" s="470">
        <v>6</v>
      </c>
      <c r="N11" s="471" t="s">
        <v>1861</v>
      </c>
      <c r="O11" s="471" t="str">
        <f t="shared" si="0"/>
        <v>PE</v>
      </c>
    </row>
    <row r="12" spans="1:15">
      <c r="A12" s="472">
        <v>397</v>
      </c>
      <c r="B12" s="472" t="s">
        <v>13</v>
      </c>
      <c r="C12" s="472">
        <v>4</v>
      </c>
      <c r="D12" s="473">
        <v>39676</v>
      </c>
      <c r="E12" s="473">
        <v>45153</v>
      </c>
      <c r="F12" s="474" t="s">
        <v>31</v>
      </c>
      <c r="G12" s="474" t="s">
        <v>51</v>
      </c>
      <c r="H12" s="188"/>
      <c r="I12" s="188"/>
      <c r="J12" s="188"/>
      <c r="K12" s="475">
        <v>397</v>
      </c>
      <c r="L12" s="475" t="s">
        <v>13</v>
      </c>
      <c r="M12" s="475">
        <v>4</v>
      </c>
      <c r="N12" s="476" t="s">
        <v>1861</v>
      </c>
      <c r="O12" s="477" t="str">
        <f t="shared" si="0"/>
        <v>PE</v>
      </c>
    </row>
    <row r="13" spans="1:15">
      <c r="A13" s="467">
        <v>398</v>
      </c>
      <c r="B13" s="467" t="s">
        <v>13</v>
      </c>
      <c r="C13" s="467">
        <v>18</v>
      </c>
      <c r="D13" s="468">
        <v>39676</v>
      </c>
      <c r="E13" s="468">
        <v>45153</v>
      </c>
      <c r="F13" s="469" t="s">
        <v>31</v>
      </c>
      <c r="G13" s="469" t="s">
        <v>51</v>
      </c>
      <c r="H13" s="188"/>
      <c r="I13" s="188"/>
      <c r="J13" s="188"/>
      <c r="K13" s="470">
        <v>398</v>
      </c>
      <c r="L13" s="470" t="s">
        <v>13</v>
      </c>
      <c r="M13" s="470">
        <v>18</v>
      </c>
      <c r="N13" s="471" t="s">
        <v>1861</v>
      </c>
      <c r="O13" s="471" t="str">
        <f t="shared" si="0"/>
        <v>PE</v>
      </c>
    </row>
    <row r="14" spans="1:15">
      <c r="A14" s="472">
        <v>399</v>
      </c>
      <c r="B14" s="472" t="s">
        <v>13</v>
      </c>
      <c r="C14" s="472">
        <v>19</v>
      </c>
      <c r="D14" s="473">
        <v>39676</v>
      </c>
      <c r="E14" s="473">
        <v>45153</v>
      </c>
      <c r="F14" s="474" t="s">
        <v>31</v>
      </c>
      <c r="G14" s="474" t="s">
        <v>51</v>
      </c>
      <c r="H14" s="188"/>
      <c r="I14" s="188"/>
      <c r="J14" s="188"/>
      <c r="K14" s="475">
        <v>399</v>
      </c>
      <c r="L14" s="475" t="s">
        <v>13</v>
      </c>
      <c r="M14" s="475">
        <v>19</v>
      </c>
      <c r="N14" s="476" t="s">
        <v>1861</v>
      </c>
      <c r="O14" s="477" t="str">
        <f t="shared" si="0"/>
        <v>PE</v>
      </c>
    </row>
    <row r="15" spans="1:15">
      <c r="A15" s="467">
        <v>402</v>
      </c>
      <c r="B15" s="467" t="s">
        <v>13</v>
      </c>
      <c r="C15" s="467">
        <v>4</v>
      </c>
      <c r="D15" s="468">
        <v>39676</v>
      </c>
      <c r="E15" s="468">
        <v>45153</v>
      </c>
      <c r="F15" s="469" t="s">
        <v>31</v>
      </c>
      <c r="G15" s="469" t="s">
        <v>51</v>
      </c>
      <c r="H15" s="188"/>
      <c r="I15" s="188"/>
      <c r="J15" s="188"/>
      <c r="K15" s="470">
        <v>402</v>
      </c>
      <c r="L15" s="470" t="s">
        <v>13</v>
      </c>
      <c r="M15" s="470">
        <v>4</v>
      </c>
      <c r="N15" s="471" t="s">
        <v>1861</v>
      </c>
      <c r="O15" s="471" t="str">
        <f t="shared" si="0"/>
        <v>PE</v>
      </c>
    </row>
    <row r="16" spans="1:15">
      <c r="A16" s="472">
        <v>407</v>
      </c>
      <c r="B16" s="472" t="s">
        <v>13</v>
      </c>
      <c r="C16" s="472">
        <v>20</v>
      </c>
      <c r="D16" s="473">
        <v>39676</v>
      </c>
      <c r="E16" s="473">
        <v>45153</v>
      </c>
      <c r="F16" s="474" t="s">
        <v>31</v>
      </c>
      <c r="G16" s="474" t="s">
        <v>51</v>
      </c>
      <c r="H16" s="188"/>
      <c r="I16" s="188"/>
      <c r="J16" s="188"/>
      <c r="K16" s="475">
        <v>407</v>
      </c>
      <c r="L16" s="475" t="s">
        <v>13</v>
      </c>
      <c r="M16" s="475">
        <v>20</v>
      </c>
      <c r="N16" s="476" t="s">
        <v>1861</v>
      </c>
      <c r="O16" s="477" t="str">
        <f t="shared" si="0"/>
        <v>PE</v>
      </c>
    </row>
    <row r="17" spans="1:15">
      <c r="A17" s="467">
        <v>408</v>
      </c>
      <c r="B17" s="467" t="s">
        <v>13</v>
      </c>
      <c r="C17" s="467">
        <v>4</v>
      </c>
      <c r="D17" s="468">
        <v>39676</v>
      </c>
      <c r="E17" s="468">
        <v>45153</v>
      </c>
      <c r="F17" s="469" t="s">
        <v>31</v>
      </c>
      <c r="G17" s="469" t="s">
        <v>51</v>
      </c>
      <c r="H17" s="188"/>
      <c r="I17" s="188"/>
      <c r="J17" s="188"/>
      <c r="K17" s="470">
        <v>408</v>
      </c>
      <c r="L17" s="470" t="s">
        <v>13</v>
      </c>
      <c r="M17" s="470">
        <v>4</v>
      </c>
      <c r="N17" s="471" t="s">
        <v>1861</v>
      </c>
      <c r="O17" s="471" t="str">
        <f t="shared" si="0"/>
        <v>PE</v>
      </c>
    </row>
    <row r="18" spans="1:15">
      <c r="A18" s="472">
        <v>409</v>
      </c>
      <c r="B18" s="472" t="s">
        <v>13</v>
      </c>
      <c r="C18" s="472">
        <v>13</v>
      </c>
      <c r="D18" s="473">
        <v>39676</v>
      </c>
      <c r="E18" s="473">
        <v>45153</v>
      </c>
      <c r="F18" s="474" t="s">
        <v>31</v>
      </c>
      <c r="G18" s="474" t="s">
        <v>6858</v>
      </c>
      <c r="H18" s="188"/>
      <c r="I18" s="188"/>
      <c r="J18" s="188"/>
      <c r="K18" s="475">
        <v>409</v>
      </c>
      <c r="L18" s="475" t="s">
        <v>13</v>
      </c>
      <c r="M18" s="475">
        <v>13</v>
      </c>
      <c r="N18" s="476" t="s">
        <v>1861</v>
      </c>
      <c r="O18" s="477" t="str">
        <f t="shared" si="0"/>
        <v>PE</v>
      </c>
    </row>
    <row r="19" spans="1:15">
      <c r="A19" s="467">
        <v>410</v>
      </c>
      <c r="B19" s="467" t="s">
        <v>13</v>
      </c>
      <c r="C19" s="467">
        <v>52</v>
      </c>
      <c r="D19" s="468">
        <v>39676</v>
      </c>
      <c r="E19" s="468">
        <v>45153</v>
      </c>
      <c r="F19" s="469" t="s">
        <v>31</v>
      </c>
      <c r="G19" s="469" t="s">
        <v>51</v>
      </c>
      <c r="H19" s="188"/>
      <c r="I19" s="188"/>
      <c r="J19" s="188"/>
      <c r="K19" s="470">
        <v>410</v>
      </c>
      <c r="L19" s="470" t="s">
        <v>13</v>
      </c>
      <c r="M19" s="470">
        <v>52</v>
      </c>
      <c r="N19" s="471" t="s">
        <v>1861</v>
      </c>
      <c r="O19" s="471" t="str">
        <f t="shared" si="0"/>
        <v>PE</v>
      </c>
    </row>
    <row r="20" spans="1:15">
      <c r="A20" s="472">
        <v>422</v>
      </c>
      <c r="B20" s="472" t="s">
        <v>13</v>
      </c>
      <c r="C20" s="472">
        <v>30</v>
      </c>
      <c r="D20" s="473">
        <v>37804</v>
      </c>
      <c r="E20" s="473">
        <v>43282</v>
      </c>
      <c r="F20" s="474" t="s">
        <v>31</v>
      </c>
      <c r="G20" s="474" t="s">
        <v>6862</v>
      </c>
      <c r="H20" s="188"/>
      <c r="I20" s="188"/>
      <c r="J20" s="188"/>
      <c r="K20" s="475">
        <v>422</v>
      </c>
      <c r="L20" s="475" t="s">
        <v>13</v>
      </c>
      <c r="M20" s="475">
        <v>30</v>
      </c>
      <c r="N20" s="476" t="s">
        <v>1861</v>
      </c>
      <c r="O20" s="477" t="str">
        <f t="shared" si="0"/>
        <v>PE</v>
      </c>
    </row>
    <row r="21" spans="1:15">
      <c r="A21" s="467">
        <v>424</v>
      </c>
      <c r="B21" s="467" t="s">
        <v>13</v>
      </c>
      <c r="C21" s="467">
        <v>25</v>
      </c>
      <c r="D21" s="468">
        <v>37804</v>
      </c>
      <c r="E21" s="468">
        <v>43282</v>
      </c>
      <c r="F21" s="469" t="s">
        <v>31</v>
      </c>
      <c r="G21" s="469" t="s">
        <v>6862</v>
      </c>
      <c r="H21" s="188"/>
      <c r="I21" s="188"/>
      <c r="J21" s="188"/>
      <c r="K21" s="470">
        <v>424</v>
      </c>
      <c r="L21" s="470" t="s">
        <v>13</v>
      </c>
      <c r="M21" s="470">
        <v>25</v>
      </c>
      <c r="N21" s="471" t="s">
        <v>1861</v>
      </c>
      <c r="O21" s="471" t="str">
        <f t="shared" si="0"/>
        <v>PE</v>
      </c>
    </row>
    <row r="22" spans="1:15">
      <c r="A22" s="472">
        <v>426</v>
      </c>
      <c r="B22" s="472" t="s">
        <v>13</v>
      </c>
      <c r="C22" s="472">
        <v>28</v>
      </c>
      <c r="D22" s="473">
        <v>37804</v>
      </c>
      <c r="E22" s="473">
        <v>43282</v>
      </c>
      <c r="F22" s="474" t="s">
        <v>31</v>
      </c>
      <c r="G22" s="474" t="s">
        <v>6862</v>
      </c>
      <c r="H22" s="188"/>
      <c r="I22" s="188"/>
      <c r="J22" s="188"/>
      <c r="K22" s="475">
        <v>426</v>
      </c>
      <c r="L22" s="475" t="s">
        <v>13</v>
      </c>
      <c r="M22" s="475">
        <v>28</v>
      </c>
      <c r="N22" s="476" t="s">
        <v>1861</v>
      </c>
      <c r="O22" s="477" t="str">
        <f t="shared" si="0"/>
        <v>PE</v>
      </c>
    </row>
    <row r="23" spans="1:15">
      <c r="A23" s="467">
        <v>428</v>
      </c>
      <c r="B23" s="467" t="s">
        <v>13</v>
      </c>
      <c r="C23" s="467">
        <v>30</v>
      </c>
      <c r="D23" s="468">
        <v>37804</v>
      </c>
      <c r="E23" s="468">
        <v>43282</v>
      </c>
      <c r="F23" s="469" t="s">
        <v>31</v>
      </c>
      <c r="G23" s="469" t="s">
        <v>6862</v>
      </c>
      <c r="H23" s="188"/>
      <c r="I23" s="188"/>
      <c r="J23" s="188"/>
      <c r="K23" s="470">
        <v>428</v>
      </c>
      <c r="L23" s="470" t="s">
        <v>13</v>
      </c>
      <c r="M23" s="470">
        <v>30</v>
      </c>
      <c r="N23" s="471" t="s">
        <v>1861</v>
      </c>
      <c r="O23" s="471" t="str">
        <f t="shared" si="0"/>
        <v>PE</v>
      </c>
    </row>
    <row r="24" spans="1:15">
      <c r="A24" s="472">
        <v>429</v>
      </c>
      <c r="B24" s="472" t="s">
        <v>13</v>
      </c>
      <c r="C24" s="472">
        <v>20</v>
      </c>
      <c r="D24" s="473">
        <v>37804</v>
      </c>
      <c r="E24" s="473">
        <v>43282</v>
      </c>
      <c r="F24" s="474" t="s">
        <v>31</v>
      </c>
      <c r="G24" s="474" t="s">
        <v>6862</v>
      </c>
      <c r="H24" s="188"/>
      <c r="I24" s="188"/>
      <c r="J24" s="188"/>
      <c r="K24" s="475">
        <v>429</v>
      </c>
      <c r="L24" s="475" t="s">
        <v>13</v>
      </c>
      <c r="M24" s="475">
        <v>20</v>
      </c>
      <c r="N24" s="476" t="s">
        <v>1861</v>
      </c>
      <c r="O24" s="477" t="str">
        <f t="shared" si="0"/>
        <v>PE</v>
      </c>
    </row>
    <row r="25" spans="1:15">
      <c r="A25" s="467">
        <v>430</v>
      </c>
      <c r="B25" s="467" t="s">
        <v>13</v>
      </c>
      <c r="C25" s="467">
        <v>30</v>
      </c>
      <c r="D25" s="468">
        <v>39272</v>
      </c>
      <c r="E25" s="468">
        <v>44750</v>
      </c>
      <c r="F25" s="469" t="s">
        <v>31</v>
      </c>
      <c r="G25" s="469" t="s">
        <v>6858</v>
      </c>
      <c r="H25" s="188"/>
      <c r="I25" s="188"/>
      <c r="J25" s="188"/>
      <c r="K25" s="470">
        <v>430</v>
      </c>
      <c r="L25" s="470" t="s">
        <v>13</v>
      </c>
      <c r="M25" s="470">
        <v>30</v>
      </c>
      <c r="N25" s="471" t="s">
        <v>1861</v>
      </c>
      <c r="O25" s="471" t="str">
        <f t="shared" si="0"/>
        <v>PE</v>
      </c>
    </row>
    <row r="26" spans="1:15">
      <c r="A26" s="472">
        <v>432</v>
      </c>
      <c r="B26" s="472" t="s">
        <v>13</v>
      </c>
      <c r="C26" s="472">
        <v>28</v>
      </c>
      <c r="D26" s="473">
        <v>37804</v>
      </c>
      <c r="E26" s="473">
        <v>43282</v>
      </c>
      <c r="F26" s="474" t="s">
        <v>31</v>
      </c>
      <c r="G26" s="474" t="s">
        <v>6862</v>
      </c>
      <c r="H26" s="188"/>
      <c r="I26" s="188"/>
      <c r="J26" s="188"/>
      <c r="K26" s="475">
        <v>432</v>
      </c>
      <c r="L26" s="475" t="s">
        <v>13</v>
      </c>
      <c r="M26" s="475">
        <v>28</v>
      </c>
      <c r="N26" s="476" t="s">
        <v>1861</v>
      </c>
      <c r="O26" s="477" t="str">
        <f t="shared" si="0"/>
        <v>PE</v>
      </c>
    </row>
    <row r="27" spans="1:15">
      <c r="A27" s="467">
        <v>437</v>
      </c>
      <c r="B27" s="467" t="s">
        <v>13</v>
      </c>
      <c r="C27" s="467">
        <v>20</v>
      </c>
      <c r="D27" s="468">
        <v>37804</v>
      </c>
      <c r="E27" s="468">
        <v>43282</v>
      </c>
      <c r="F27" s="469" t="s">
        <v>31</v>
      </c>
      <c r="G27" s="469" t="s">
        <v>6862</v>
      </c>
      <c r="H27" s="188"/>
      <c r="I27" s="188"/>
      <c r="J27" s="188"/>
      <c r="K27" s="470">
        <v>437</v>
      </c>
      <c r="L27" s="470" t="s">
        <v>13</v>
      </c>
      <c r="M27" s="470">
        <v>20</v>
      </c>
      <c r="N27" s="471" t="s">
        <v>1861</v>
      </c>
      <c r="O27" s="471" t="str">
        <f t="shared" si="0"/>
        <v>PE</v>
      </c>
    </row>
    <row r="28" spans="1:15">
      <c r="A28" s="472">
        <v>446</v>
      </c>
      <c r="B28" s="472" t="s">
        <v>13</v>
      </c>
      <c r="C28" s="472">
        <v>24</v>
      </c>
      <c r="D28" s="473">
        <v>37804</v>
      </c>
      <c r="E28" s="473">
        <v>43282</v>
      </c>
      <c r="F28" s="474" t="s">
        <v>31</v>
      </c>
      <c r="G28" s="474" t="s">
        <v>6862</v>
      </c>
      <c r="H28" s="188"/>
      <c r="I28" s="188"/>
      <c r="J28" s="188"/>
      <c r="K28" s="475">
        <v>446</v>
      </c>
      <c r="L28" s="475" t="s">
        <v>13</v>
      </c>
      <c r="M28" s="475">
        <v>24</v>
      </c>
      <c r="N28" s="476" t="s">
        <v>1861</v>
      </c>
      <c r="O28" s="477" t="str">
        <f t="shared" si="0"/>
        <v>PE</v>
      </c>
    </row>
    <row r="29" spans="1:15">
      <c r="A29" s="467">
        <v>450</v>
      </c>
      <c r="B29" s="467" t="s">
        <v>13</v>
      </c>
      <c r="C29" s="467">
        <v>25</v>
      </c>
      <c r="D29" s="468">
        <v>37804</v>
      </c>
      <c r="E29" s="468">
        <v>43282</v>
      </c>
      <c r="F29" s="469" t="s">
        <v>31</v>
      </c>
      <c r="G29" s="469" t="s">
        <v>6862</v>
      </c>
      <c r="H29" s="188"/>
      <c r="I29" s="188"/>
      <c r="J29" s="188"/>
      <c r="K29" s="470">
        <v>450</v>
      </c>
      <c r="L29" s="470" t="s">
        <v>13</v>
      </c>
      <c r="M29" s="470">
        <v>25</v>
      </c>
      <c r="N29" s="471" t="s">
        <v>1861</v>
      </c>
      <c r="O29" s="471" t="str">
        <f t="shared" si="0"/>
        <v>PE</v>
      </c>
    </row>
    <row r="30" spans="1:15">
      <c r="A30" s="472">
        <v>11858</v>
      </c>
      <c r="B30" s="472" t="s">
        <v>18</v>
      </c>
      <c r="C30" s="472">
        <v>233</v>
      </c>
      <c r="D30" s="473">
        <v>40325</v>
      </c>
      <c r="E30" s="473">
        <v>42150</v>
      </c>
      <c r="F30" s="474" t="s">
        <v>31</v>
      </c>
      <c r="G30" s="474" t="s">
        <v>6865</v>
      </c>
      <c r="H30" s="188"/>
      <c r="I30" s="188"/>
      <c r="J30" s="188"/>
      <c r="K30" s="475">
        <v>11858</v>
      </c>
      <c r="L30" s="475" t="s">
        <v>18</v>
      </c>
      <c r="M30" s="475">
        <v>467</v>
      </c>
      <c r="N30" s="476" t="s">
        <v>1861</v>
      </c>
      <c r="O30" s="477" t="str">
        <f t="shared" si="0"/>
        <v>PR</v>
      </c>
    </row>
    <row r="31" spans="1:15">
      <c r="A31" s="467">
        <v>11859</v>
      </c>
      <c r="B31" s="467" t="s">
        <v>18</v>
      </c>
      <c r="C31" s="467">
        <v>303</v>
      </c>
      <c r="D31" s="468">
        <v>40326</v>
      </c>
      <c r="E31" s="468">
        <v>42151</v>
      </c>
      <c r="F31" s="469" t="s">
        <v>47</v>
      </c>
      <c r="G31" s="469" t="s">
        <v>6858</v>
      </c>
      <c r="H31" s="188"/>
      <c r="I31" s="188"/>
      <c r="J31" s="188"/>
      <c r="K31" s="470">
        <v>11859</v>
      </c>
      <c r="L31" s="470" t="s">
        <v>18</v>
      </c>
      <c r="M31" s="470">
        <v>303</v>
      </c>
      <c r="N31" s="471" t="s">
        <v>1861</v>
      </c>
      <c r="O31" s="471" t="str">
        <f t="shared" si="0"/>
        <v>PR</v>
      </c>
    </row>
    <row r="32" spans="1:15">
      <c r="A32" s="472">
        <v>11860</v>
      </c>
      <c r="B32" s="472" t="s">
        <v>18</v>
      </c>
      <c r="C32" s="472">
        <v>234</v>
      </c>
      <c r="D32" s="473">
        <v>40389</v>
      </c>
      <c r="E32" s="473">
        <v>41849</v>
      </c>
      <c r="F32" s="474" t="s">
        <v>31</v>
      </c>
      <c r="G32" s="474" t="s">
        <v>6865</v>
      </c>
      <c r="H32" s="188"/>
      <c r="I32" s="188"/>
      <c r="J32" s="188"/>
      <c r="K32" s="475">
        <v>11860</v>
      </c>
      <c r="L32" s="475" t="s">
        <v>18</v>
      </c>
      <c r="M32" s="475">
        <v>468</v>
      </c>
      <c r="N32" s="476" t="s">
        <v>1861</v>
      </c>
      <c r="O32" s="477" t="str">
        <f t="shared" si="0"/>
        <v>PR</v>
      </c>
    </row>
    <row r="33" spans="1:15">
      <c r="A33" s="467">
        <v>11861</v>
      </c>
      <c r="B33" s="467" t="s">
        <v>13</v>
      </c>
      <c r="C33" s="467">
        <v>174</v>
      </c>
      <c r="D33" s="468">
        <v>41793</v>
      </c>
      <c r="E33" s="468">
        <v>52750</v>
      </c>
      <c r="F33" s="469" t="s">
        <v>31</v>
      </c>
      <c r="G33" s="469" t="s">
        <v>51</v>
      </c>
      <c r="H33" s="188"/>
      <c r="I33" s="188"/>
      <c r="J33" s="188"/>
      <c r="K33" s="470">
        <v>11861</v>
      </c>
      <c r="L33" s="470" t="s">
        <v>13</v>
      </c>
      <c r="M33" s="470">
        <v>471</v>
      </c>
      <c r="N33" s="471" t="s">
        <v>1861</v>
      </c>
      <c r="O33" s="471" t="str">
        <f t="shared" si="0"/>
        <v>PE</v>
      </c>
    </row>
    <row r="34" spans="1:15">
      <c r="A34" s="472">
        <v>11862</v>
      </c>
      <c r="B34" s="472" t="s">
        <v>18</v>
      </c>
      <c r="C34" s="472">
        <v>235</v>
      </c>
      <c r="D34" s="473">
        <v>40326</v>
      </c>
      <c r="E34" s="473">
        <v>41786</v>
      </c>
      <c r="F34" s="474" t="s">
        <v>31</v>
      </c>
      <c r="G34" s="474" t="s">
        <v>6865</v>
      </c>
      <c r="H34" s="188"/>
      <c r="I34" s="188"/>
      <c r="J34" s="188"/>
      <c r="K34" s="475">
        <v>11862</v>
      </c>
      <c r="L34" s="475" t="s">
        <v>18</v>
      </c>
      <c r="M34" s="475">
        <v>471</v>
      </c>
      <c r="N34" s="476" t="s">
        <v>1861</v>
      </c>
      <c r="O34" s="477" t="str">
        <f t="shared" si="0"/>
        <v>PR</v>
      </c>
    </row>
    <row r="35" spans="1:15">
      <c r="A35" s="467">
        <v>11863</v>
      </c>
      <c r="B35" s="467" t="s">
        <v>18</v>
      </c>
      <c r="C35" s="467">
        <v>30</v>
      </c>
      <c r="D35" s="468">
        <v>40327</v>
      </c>
      <c r="E35" s="468">
        <v>41787</v>
      </c>
      <c r="F35" s="469" t="s">
        <v>31</v>
      </c>
      <c r="G35" s="469" t="s">
        <v>6865</v>
      </c>
      <c r="H35" s="188"/>
      <c r="I35" s="188"/>
      <c r="J35" s="188"/>
      <c r="K35" s="470">
        <v>11863</v>
      </c>
      <c r="L35" s="470" t="s">
        <v>18</v>
      </c>
      <c r="M35" s="470">
        <v>65</v>
      </c>
      <c r="N35" s="471" t="s">
        <v>1861</v>
      </c>
      <c r="O35" s="471" t="str">
        <f t="shared" si="0"/>
        <v>PR</v>
      </c>
    </row>
    <row r="36" spans="1:15">
      <c r="A36" s="472">
        <v>11864</v>
      </c>
      <c r="B36" s="472" t="s">
        <v>18</v>
      </c>
      <c r="C36" s="472">
        <v>140</v>
      </c>
      <c r="D36" s="473">
        <v>40425</v>
      </c>
      <c r="E36" s="473">
        <v>41885</v>
      </c>
      <c r="F36" s="474" t="s">
        <v>31</v>
      </c>
      <c r="G36" s="474" t="s">
        <v>6865</v>
      </c>
      <c r="H36" s="188"/>
      <c r="I36" s="188"/>
      <c r="J36" s="188"/>
      <c r="K36" s="475">
        <v>11864</v>
      </c>
      <c r="L36" s="475" t="s">
        <v>18</v>
      </c>
      <c r="M36" s="475">
        <v>280</v>
      </c>
      <c r="N36" s="476" t="s">
        <v>1861</v>
      </c>
      <c r="O36" s="477" t="str">
        <f t="shared" si="0"/>
        <v>PR</v>
      </c>
    </row>
    <row r="37" spans="1:15">
      <c r="A37" s="467">
        <v>11865</v>
      </c>
      <c r="B37" s="467" t="s">
        <v>18</v>
      </c>
      <c r="C37" s="467">
        <v>232</v>
      </c>
      <c r="D37" s="468">
        <v>40327</v>
      </c>
      <c r="E37" s="468">
        <v>41787</v>
      </c>
      <c r="F37" s="469" t="s">
        <v>31</v>
      </c>
      <c r="G37" s="469" t="s">
        <v>6865</v>
      </c>
      <c r="H37" s="188"/>
      <c r="I37" s="188"/>
      <c r="J37" s="188"/>
      <c r="K37" s="470">
        <v>11865</v>
      </c>
      <c r="L37" s="470" t="s">
        <v>18</v>
      </c>
      <c r="M37" s="470">
        <v>468</v>
      </c>
      <c r="N37" s="471" t="s">
        <v>1861</v>
      </c>
      <c r="O37" s="471" t="str">
        <f t="shared" si="0"/>
        <v>PR</v>
      </c>
    </row>
    <row r="38" spans="1:15">
      <c r="A38" s="472">
        <v>11866</v>
      </c>
      <c r="B38" s="472" t="s">
        <v>18</v>
      </c>
      <c r="C38" s="472">
        <v>235</v>
      </c>
      <c r="D38" s="473">
        <v>40389</v>
      </c>
      <c r="E38" s="473">
        <v>41849</v>
      </c>
      <c r="F38" s="474" t="s">
        <v>31</v>
      </c>
      <c r="G38" s="474" t="s">
        <v>6858</v>
      </c>
      <c r="H38" s="188"/>
      <c r="I38" s="188"/>
      <c r="J38" s="188"/>
      <c r="K38" s="475">
        <v>11866</v>
      </c>
      <c r="L38" s="475" t="s">
        <v>18</v>
      </c>
      <c r="M38" s="475">
        <v>471</v>
      </c>
      <c r="N38" s="476" t="s">
        <v>1861</v>
      </c>
      <c r="O38" s="477" t="str">
        <f t="shared" si="0"/>
        <v>PR</v>
      </c>
    </row>
    <row r="39" spans="1:15">
      <c r="A39" s="467">
        <v>11867</v>
      </c>
      <c r="B39" s="467" t="s">
        <v>18</v>
      </c>
      <c r="C39" s="467">
        <v>235</v>
      </c>
      <c r="D39" s="468">
        <v>40389</v>
      </c>
      <c r="E39" s="468">
        <v>41849</v>
      </c>
      <c r="F39" s="469" t="s">
        <v>31</v>
      </c>
      <c r="G39" s="469" t="s">
        <v>6858</v>
      </c>
      <c r="H39" s="188"/>
      <c r="I39" s="188"/>
      <c r="J39" s="188"/>
      <c r="K39" s="470">
        <v>11867</v>
      </c>
      <c r="L39" s="470" t="s">
        <v>18</v>
      </c>
      <c r="M39" s="470">
        <v>471</v>
      </c>
      <c r="N39" s="471" t="s">
        <v>1861</v>
      </c>
      <c r="O39" s="471" t="str">
        <f t="shared" si="0"/>
        <v>PR</v>
      </c>
    </row>
    <row r="40" spans="1:15">
      <c r="A40" s="472">
        <v>11868</v>
      </c>
      <c r="B40" s="472" t="s">
        <v>18</v>
      </c>
      <c r="C40" s="472">
        <v>231</v>
      </c>
      <c r="D40" s="473">
        <v>40396</v>
      </c>
      <c r="E40" s="473">
        <v>43681</v>
      </c>
      <c r="F40" s="474" t="s">
        <v>23</v>
      </c>
      <c r="G40" s="474" t="s">
        <v>6865</v>
      </c>
      <c r="H40" s="188"/>
      <c r="I40" s="188"/>
      <c r="J40" s="188"/>
      <c r="K40" s="475">
        <v>11868</v>
      </c>
      <c r="L40" s="475" t="s">
        <v>18</v>
      </c>
      <c r="M40" s="475">
        <v>213</v>
      </c>
      <c r="N40" s="476" t="s">
        <v>1862</v>
      </c>
      <c r="O40" s="477" t="str">
        <f t="shared" si="0"/>
        <v>PR</v>
      </c>
    </row>
    <row r="41" spans="1:15">
      <c r="A41" s="467">
        <v>11869</v>
      </c>
      <c r="B41" s="467" t="s">
        <v>18</v>
      </c>
      <c r="C41" s="467">
        <v>5</v>
      </c>
      <c r="D41" s="468">
        <v>40327</v>
      </c>
      <c r="E41" s="468">
        <v>41787</v>
      </c>
      <c r="F41" s="469" t="s">
        <v>23</v>
      </c>
      <c r="G41" s="469" t="s">
        <v>6865</v>
      </c>
      <c r="H41" s="188"/>
      <c r="I41" s="188"/>
      <c r="J41" s="188"/>
      <c r="K41" s="470">
        <v>11869</v>
      </c>
      <c r="L41" s="470" t="s">
        <v>18</v>
      </c>
      <c r="M41" s="470">
        <v>470</v>
      </c>
      <c r="N41" s="471" t="s">
        <v>1862</v>
      </c>
      <c r="O41" s="471" t="str">
        <f t="shared" si="0"/>
        <v>PR</v>
      </c>
    </row>
    <row r="42" spans="1:15">
      <c r="A42" s="472">
        <v>11870</v>
      </c>
      <c r="B42" s="472" t="s">
        <v>18</v>
      </c>
      <c r="C42" s="472">
        <v>29</v>
      </c>
      <c r="D42" s="473">
        <v>40326</v>
      </c>
      <c r="E42" s="473">
        <v>43611</v>
      </c>
      <c r="F42" s="474" t="s">
        <v>23</v>
      </c>
      <c r="G42" s="474" t="s">
        <v>6865</v>
      </c>
      <c r="H42" s="188"/>
      <c r="I42" s="188"/>
      <c r="J42" s="188"/>
      <c r="K42" s="475">
        <v>11870</v>
      </c>
      <c r="L42" s="475" t="s">
        <v>18</v>
      </c>
      <c r="M42" s="475">
        <v>11</v>
      </c>
      <c r="N42" s="476" t="s">
        <v>1862</v>
      </c>
      <c r="O42" s="477" t="str">
        <f t="shared" si="0"/>
        <v>PR</v>
      </c>
    </row>
    <row r="43" spans="1:15">
      <c r="A43" s="467">
        <v>11871</v>
      </c>
      <c r="B43" s="467" t="s">
        <v>18</v>
      </c>
      <c r="C43" s="467">
        <v>17</v>
      </c>
      <c r="D43" s="468">
        <v>43083</v>
      </c>
      <c r="E43" s="468">
        <v>44543</v>
      </c>
      <c r="F43" s="469" t="s">
        <v>47</v>
      </c>
      <c r="G43" s="469" t="s">
        <v>6865</v>
      </c>
      <c r="H43" s="188"/>
      <c r="I43" s="188"/>
      <c r="J43" s="188"/>
      <c r="K43" s="470">
        <v>11871</v>
      </c>
      <c r="L43" s="470" t="s">
        <v>18</v>
      </c>
      <c r="M43" s="470">
        <v>58</v>
      </c>
      <c r="N43" s="471" t="s">
        <v>1862</v>
      </c>
      <c r="O43" s="471" t="str">
        <f t="shared" si="0"/>
        <v>PR</v>
      </c>
    </row>
    <row r="44" spans="1:15">
      <c r="A44" s="472">
        <v>11872</v>
      </c>
      <c r="B44" s="472" t="s">
        <v>18</v>
      </c>
      <c r="C44" s="472">
        <v>4</v>
      </c>
      <c r="D44" s="473">
        <v>40327</v>
      </c>
      <c r="E44" s="473">
        <v>43612</v>
      </c>
      <c r="F44" s="474" t="s">
        <v>47</v>
      </c>
      <c r="G44" s="474" t="s">
        <v>6865</v>
      </c>
      <c r="H44" s="188"/>
      <c r="I44" s="188"/>
      <c r="J44" s="188"/>
      <c r="K44" s="475">
        <v>11872</v>
      </c>
      <c r="L44" s="475" t="s">
        <v>18</v>
      </c>
      <c r="M44" s="475">
        <v>34</v>
      </c>
      <c r="N44" s="476" t="s">
        <v>1862</v>
      </c>
      <c r="O44" s="477" t="str">
        <f t="shared" si="0"/>
        <v>PR</v>
      </c>
    </row>
    <row r="45" spans="1:15">
      <c r="A45" s="467">
        <v>11873</v>
      </c>
      <c r="B45" s="467" t="s">
        <v>18</v>
      </c>
      <c r="C45" s="467">
        <v>65</v>
      </c>
      <c r="D45" s="468">
        <v>40326</v>
      </c>
      <c r="E45" s="468">
        <v>43611</v>
      </c>
      <c r="F45" s="469" t="s">
        <v>47</v>
      </c>
      <c r="G45" s="469" t="s">
        <v>6865</v>
      </c>
      <c r="H45" s="188"/>
      <c r="I45" s="188"/>
      <c r="J45" s="188"/>
      <c r="K45" s="470">
        <v>11873</v>
      </c>
      <c r="L45" s="470" t="s">
        <v>18</v>
      </c>
      <c r="M45" s="470">
        <v>8</v>
      </c>
      <c r="N45" s="471" t="s">
        <v>1862</v>
      </c>
      <c r="O45" s="471" t="str">
        <f t="shared" si="0"/>
        <v>PR</v>
      </c>
    </row>
    <row r="46" spans="1:15">
      <c r="A46" s="472">
        <v>11874</v>
      </c>
      <c r="B46" s="472" t="s">
        <v>18</v>
      </c>
      <c r="C46" s="472">
        <v>41</v>
      </c>
      <c r="D46" s="473">
        <v>40394</v>
      </c>
      <c r="E46" s="473">
        <v>41854</v>
      </c>
      <c r="F46" s="474" t="s">
        <v>47</v>
      </c>
      <c r="G46" s="474" t="s">
        <v>6865</v>
      </c>
      <c r="H46" s="188"/>
      <c r="I46" s="188"/>
      <c r="J46" s="188"/>
      <c r="K46" s="475">
        <v>11874</v>
      </c>
      <c r="L46" s="475" t="s">
        <v>18</v>
      </c>
      <c r="M46" s="475">
        <v>131</v>
      </c>
      <c r="N46" s="476" t="s">
        <v>1862</v>
      </c>
      <c r="O46" s="477" t="str">
        <f t="shared" si="0"/>
        <v>PR</v>
      </c>
    </row>
    <row r="47" spans="1:15">
      <c r="A47" s="467">
        <v>11875</v>
      </c>
      <c r="B47" s="467" t="s">
        <v>18</v>
      </c>
      <c r="C47" s="467">
        <v>10</v>
      </c>
      <c r="D47" s="468">
        <v>40325</v>
      </c>
      <c r="E47" s="468">
        <v>41785</v>
      </c>
      <c r="F47" s="469" t="s">
        <v>47</v>
      </c>
      <c r="G47" s="469" t="s">
        <v>6865</v>
      </c>
      <c r="H47" s="188"/>
      <c r="I47" s="188"/>
      <c r="J47" s="188"/>
      <c r="K47" s="470">
        <v>11875</v>
      </c>
      <c r="L47" s="470" t="s">
        <v>18</v>
      </c>
      <c r="M47" s="470">
        <v>80</v>
      </c>
      <c r="N47" s="471" t="s">
        <v>1862</v>
      </c>
      <c r="O47" s="471" t="str">
        <f t="shared" si="0"/>
        <v>PR</v>
      </c>
    </row>
    <row r="48" spans="1:15">
      <c r="A48" s="472">
        <v>11876</v>
      </c>
      <c r="B48" s="472" t="s">
        <v>18</v>
      </c>
      <c r="C48" s="472">
        <v>230</v>
      </c>
      <c r="D48" s="473">
        <v>43502</v>
      </c>
      <c r="E48" s="473">
        <v>45327</v>
      </c>
      <c r="F48" s="474" t="s">
        <v>47</v>
      </c>
      <c r="G48" s="474" t="s">
        <v>6859</v>
      </c>
      <c r="H48" s="188"/>
      <c r="I48" s="188"/>
      <c r="J48" s="188"/>
      <c r="K48" s="475">
        <v>11876</v>
      </c>
      <c r="L48" s="475" t="s">
        <v>18</v>
      </c>
      <c r="M48" s="475">
        <v>460</v>
      </c>
      <c r="N48" s="476" t="s">
        <v>1862</v>
      </c>
      <c r="O48" s="477" t="str">
        <f t="shared" si="0"/>
        <v>PR</v>
      </c>
    </row>
    <row r="49" spans="1:15">
      <c r="A49" s="467">
        <v>11877</v>
      </c>
      <c r="B49" s="467" t="s">
        <v>18</v>
      </c>
      <c r="C49" s="467">
        <v>220</v>
      </c>
      <c r="D49" s="468">
        <v>43496</v>
      </c>
      <c r="E49" s="468">
        <v>45321</v>
      </c>
      <c r="F49" s="469" t="s">
        <v>47</v>
      </c>
      <c r="G49" s="469" t="s">
        <v>51</v>
      </c>
      <c r="H49" s="188"/>
      <c r="I49" s="188"/>
      <c r="J49" s="188"/>
      <c r="K49" s="470">
        <v>11877</v>
      </c>
      <c r="L49" s="470" t="s">
        <v>18</v>
      </c>
      <c r="M49" s="470">
        <v>440</v>
      </c>
      <c r="N49" s="471" t="s">
        <v>1862</v>
      </c>
      <c r="O49" s="471" t="str">
        <f t="shared" si="0"/>
        <v>PR</v>
      </c>
    </row>
    <row r="50" spans="1:15">
      <c r="A50" s="472">
        <v>11878</v>
      </c>
      <c r="B50" s="472" t="s">
        <v>18</v>
      </c>
      <c r="C50" s="472">
        <v>220</v>
      </c>
      <c r="D50" s="473">
        <v>43496</v>
      </c>
      <c r="E50" s="473">
        <v>45321</v>
      </c>
      <c r="F50" s="474" t="s">
        <v>47</v>
      </c>
      <c r="G50" s="474" t="s">
        <v>51</v>
      </c>
      <c r="H50" s="188"/>
      <c r="I50" s="188"/>
      <c r="J50" s="188"/>
      <c r="K50" s="475">
        <v>11878</v>
      </c>
      <c r="L50" s="475" t="s">
        <v>18</v>
      </c>
      <c r="M50" s="475">
        <v>440</v>
      </c>
      <c r="N50" s="476" t="s">
        <v>1862</v>
      </c>
      <c r="O50" s="477" t="str">
        <f t="shared" si="0"/>
        <v>PR</v>
      </c>
    </row>
    <row r="51" spans="1:15">
      <c r="A51" s="467">
        <v>11879</v>
      </c>
      <c r="B51" s="467" t="s">
        <v>18</v>
      </c>
      <c r="C51" s="467">
        <v>232</v>
      </c>
      <c r="D51" s="468">
        <v>43496</v>
      </c>
      <c r="E51" s="468">
        <v>45321</v>
      </c>
      <c r="F51" s="469" t="s">
        <v>47</v>
      </c>
      <c r="G51" s="469" t="s">
        <v>51</v>
      </c>
      <c r="H51" s="188"/>
      <c r="I51" s="188"/>
      <c r="J51" s="188"/>
      <c r="K51" s="470">
        <v>11879</v>
      </c>
      <c r="L51" s="470" t="s">
        <v>18</v>
      </c>
      <c r="M51" s="470">
        <v>464</v>
      </c>
      <c r="N51" s="471" t="s">
        <v>1862</v>
      </c>
      <c r="O51" s="471" t="str">
        <f t="shared" si="0"/>
        <v>PR</v>
      </c>
    </row>
    <row r="52" spans="1:15">
      <c r="A52" s="472">
        <v>11880</v>
      </c>
      <c r="B52" s="472" t="s">
        <v>18</v>
      </c>
      <c r="C52" s="472">
        <v>230</v>
      </c>
      <c r="D52" s="473">
        <v>44910</v>
      </c>
      <c r="E52" s="473">
        <v>46735</v>
      </c>
      <c r="F52" s="474" t="s">
        <v>47</v>
      </c>
      <c r="G52" s="474" t="s">
        <v>51</v>
      </c>
      <c r="H52" s="188"/>
      <c r="I52" s="188"/>
      <c r="J52" s="188"/>
      <c r="K52" s="475">
        <v>11880</v>
      </c>
      <c r="L52" s="475" t="s">
        <v>18</v>
      </c>
      <c r="M52" s="475">
        <v>460</v>
      </c>
      <c r="N52" s="476" t="s">
        <v>1862</v>
      </c>
      <c r="O52" s="477" t="str">
        <f t="shared" si="0"/>
        <v>PR</v>
      </c>
    </row>
    <row r="53" spans="1:15">
      <c r="A53" s="467">
        <v>11881</v>
      </c>
      <c r="B53" s="467" t="s">
        <v>18</v>
      </c>
      <c r="C53" s="467">
        <v>92</v>
      </c>
      <c r="D53" s="468">
        <v>43414</v>
      </c>
      <c r="E53" s="468">
        <v>45239</v>
      </c>
      <c r="F53" s="469" t="s">
        <v>47</v>
      </c>
      <c r="G53" s="469" t="s">
        <v>51</v>
      </c>
      <c r="H53" s="188"/>
      <c r="I53" s="188"/>
      <c r="J53" s="188"/>
      <c r="K53" s="470">
        <v>11881</v>
      </c>
      <c r="L53" s="470" t="s">
        <v>18</v>
      </c>
      <c r="M53" s="470">
        <v>184</v>
      </c>
      <c r="N53" s="471" t="s">
        <v>1862</v>
      </c>
      <c r="O53" s="471" t="str">
        <f t="shared" si="0"/>
        <v>PR</v>
      </c>
    </row>
    <row r="54" spans="1:15">
      <c r="A54" s="472">
        <v>11882</v>
      </c>
      <c r="B54" s="472" t="s">
        <v>18</v>
      </c>
      <c r="C54" s="472">
        <v>205</v>
      </c>
      <c r="D54" s="473">
        <v>40325</v>
      </c>
      <c r="E54" s="473">
        <v>42150</v>
      </c>
      <c r="F54" s="474" t="s">
        <v>47</v>
      </c>
      <c r="G54" s="474" t="s">
        <v>6865</v>
      </c>
      <c r="H54" s="188"/>
      <c r="I54" s="188"/>
      <c r="J54" s="188"/>
      <c r="K54" s="475">
        <v>11882</v>
      </c>
      <c r="L54" s="475" t="s">
        <v>18</v>
      </c>
      <c r="M54" s="475">
        <v>466</v>
      </c>
      <c r="N54" s="476" t="s">
        <v>1862</v>
      </c>
      <c r="O54" s="477" t="str">
        <f t="shared" si="0"/>
        <v>PR</v>
      </c>
    </row>
    <row r="55" spans="1:15">
      <c r="A55" s="467">
        <v>11883</v>
      </c>
      <c r="B55" s="467" t="s">
        <v>18</v>
      </c>
      <c r="C55" s="467">
        <v>232</v>
      </c>
      <c r="D55" s="468">
        <v>40326</v>
      </c>
      <c r="E55" s="468">
        <v>42151</v>
      </c>
      <c r="F55" s="469" t="s">
        <v>47</v>
      </c>
      <c r="G55" s="469" t="s">
        <v>6865</v>
      </c>
      <c r="H55" s="188"/>
      <c r="I55" s="188"/>
      <c r="J55" s="188"/>
      <c r="K55" s="470">
        <v>11883</v>
      </c>
      <c r="L55" s="470" t="s">
        <v>18</v>
      </c>
      <c r="M55" s="470">
        <v>464</v>
      </c>
      <c r="N55" s="471" t="s">
        <v>1862</v>
      </c>
      <c r="O55" s="471" t="str">
        <f t="shared" si="0"/>
        <v>PR</v>
      </c>
    </row>
    <row r="56" spans="1:15">
      <c r="A56" s="472">
        <v>11884</v>
      </c>
      <c r="B56" s="472" t="s">
        <v>18</v>
      </c>
      <c r="C56" s="472">
        <v>221</v>
      </c>
      <c r="D56" s="473">
        <v>40326</v>
      </c>
      <c r="E56" s="473">
        <v>42151</v>
      </c>
      <c r="F56" s="474" t="s">
        <v>47</v>
      </c>
      <c r="G56" s="474" t="s">
        <v>6865</v>
      </c>
      <c r="H56" s="188"/>
      <c r="I56" s="188"/>
      <c r="J56" s="188"/>
      <c r="K56" s="475">
        <v>11884</v>
      </c>
      <c r="L56" s="475" t="s">
        <v>18</v>
      </c>
      <c r="M56" s="475">
        <v>443</v>
      </c>
      <c r="N56" s="476" t="s">
        <v>1862</v>
      </c>
      <c r="O56" s="477" t="str">
        <f t="shared" si="0"/>
        <v>PR</v>
      </c>
    </row>
    <row r="57" spans="1:15">
      <c r="A57" s="467">
        <v>11885</v>
      </c>
      <c r="B57" s="467" t="s">
        <v>18</v>
      </c>
      <c r="C57" s="467">
        <v>196</v>
      </c>
      <c r="D57" s="468">
        <v>40326</v>
      </c>
      <c r="E57" s="468">
        <v>42151</v>
      </c>
      <c r="F57" s="469" t="s">
        <v>16</v>
      </c>
      <c r="G57" s="469" t="s">
        <v>6865</v>
      </c>
      <c r="H57" s="188"/>
      <c r="I57" s="188"/>
      <c r="J57" s="188"/>
      <c r="K57" s="470">
        <v>11885</v>
      </c>
      <c r="L57" s="470" t="s">
        <v>18</v>
      </c>
      <c r="M57" s="470">
        <v>393</v>
      </c>
      <c r="N57" s="471" t="s">
        <v>1862</v>
      </c>
      <c r="O57" s="471" t="str">
        <f t="shared" si="0"/>
        <v>PR</v>
      </c>
    </row>
    <row r="58" spans="1:15">
      <c r="A58" s="472">
        <v>11886</v>
      </c>
      <c r="B58" s="472" t="s">
        <v>18</v>
      </c>
      <c r="C58" s="472">
        <v>230</v>
      </c>
      <c r="D58" s="473">
        <v>40326</v>
      </c>
      <c r="E58" s="473">
        <v>42151</v>
      </c>
      <c r="F58" s="474" t="s">
        <v>47</v>
      </c>
      <c r="G58" s="474" t="s">
        <v>6865</v>
      </c>
      <c r="H58" s="188"/>
      <c r="I58" s="188"/>
      <c r="J58" s="188"/>
      <c r="K58" s="475">
        <v>11886</v>
      </c>
      <c r="L58" s="475" t="s">
        <v>18</v>
      </c>
      <c r="M58" s="475">
        <v>460</v>
      </c>
      <c r="N58" s="476" t="s">
        <v>1862</v>
      </c>
      <c r="O58" s="477" t="str">
        <f t="shared" si="0"/>
        <v>PR</v>
      </c>
    </row>
    <row r="59" spans="1:15">
      <c r="A59" s="467">
        <v>11887</v>
      </c>
      <c r="B59" s="467" t="s">
        <v>18</v>
      </c>
      <c r="C59" s="467">
        <v>230</v>
      </c>
      <c r="D59" s="468">
        <v>40326</v>
      </c>
      <c r="E59" s="468">
        <v>42151</v>
      </c>
      <c r="F59" s="469" t="s">
        <v>47</v>
      </c>
      <c r="G59" s="469" t="s">
        <v>6865</v>
      </c>
      <c r="H59" s="188"/>
      <c r="I59" s="188"/>
      <c r="J59" s="188"/>
      <c r="K59" s="470">
        <v>11887</v>
      </c>
      <c r="L59" s="470" t="s">
        <v>18</v>
      </c>
      <c r="M59" s="470">
        <v>460</v>
      </c>
      <c r="N59" s="471" t="s">
        <v>1862</v>
      </c>
      <c r="O59" s="471" t="str">
        <f t="shared" si="0"/>
        <v>PR</v>
      </c>
    </row>
    <row r="60" spans="1:15">
      <c r="A60" s="472">
        <v>11888</v>
      </c>
      <c r="B60" s="472" t="s">
        <v>18</v>
      </c>
      <c r="C60" s="472">
        <v>230</v>
      </c>
      <c r="D60" s="473">
        <v>40368</v>
      </c>
      <c r="E60" s="473">
        <v>42193</v>
      </c>
      <c r="F60" s="474" t="s">
        <v>47</v>
      </c>
      <c r="G60" s="474" t="s">
        <v>6865</v>
      </c>
      <c r="H60" s="188"/>
      <c r="I60" s="188"/>
      <c r="J60" s="188"/>
      <c r="K60" s="475">
        <v>11888</v>
      </c>
      <c r="L60" s="475" t="s">
        <v>18</v>
      </c>
      <c r="M60" s="475">
        <v>460</v>
      </c>
      <c r="N60" s="476" t="s">
        <v>1862</v>
      </c>
      <c r="O60" s="477" t="str">
        <f t="shared" si="0"/>
        <v>PR</v>
      </c>
    </row>
    <row r="61" spans="1:15">
      <c r="A61" s="467">
        <v>11889</v>
      </c>
      <c r="B61" s="467" t="s">
        <v>18</v>
      </c>
      <c r="C61" s="467">
        <v>230</v>
      </c>
      <c r="D61" s="468">
        <v>40326</v>
      </c>
      <c r="E61" s="468">
        <v>42151</v>
      </c>
      <c r="F61" s="469" t="s">
        <v>47</v>
      </c>
      <c r="G61" s="469" t="s">
        <v>6865</v>
      </c>
      <c r="H61" s="188"/>
      <c r="I61" s="188"/>
      <c r="J61" s="188"/>
      <c r="K61" s="470">
        <v>11889</v>
      </c>
      <c r="L61" s="470" t="s">
        <v>18</v>
      </c>
      <c r="M61" s="470">
        <v>460</v>
      </c>
      <c r="N61" s="471" t="s">
        <v>1862</v>
      </c>
      <c r="O61" s="471" t="str">
        <f t="shared" si="0"/>
        <v>PR</v>
      </c>
    </row>
    <row r="62" spans="1:15">
      <c r="A62" s="472">
        <v>11890</v>
      </c>
      <c r="B62" s="472" t="s">
        <v>18</v>
      </c>
      <c r="C62" s="472">
        <v>466</v>
      </c>
      <c r="D62" s="473">
        <v>41866</v>
      </c>
      <c r="E62" s="473">
        <v>43691</v>
      </c>
      <c r="F62" s="474" t="s">
        <v>47</v>
      </c>
      <c r="G62" s="474" t="s">
        <v>6865</v>
      </c>
      <c r="H62" s="188"/>
      <c r="I62" s="188"/>
      <c r="J62" s="188"/>
      <c r="K62" s="475">
        <v>11890</v>
      </c>
      <c r="L62" s="475" t="s">
        <v>18</v>
      </c>
      <c r="M62" s="475">
        <v>466</v>
      </c>
      <c r="N62" s="476" t="s">
        <v>1862</v>
      </c>
      <c r="O62" s="477" t="str">
        <f t="shared" si="0"/>
        <v>PR</v>
      </c>
    </row>
    <row r="63" spans="1:15">
      <c r="A63" s="467">
        <v>11891</v>
      </c>
      <c r="B63" s="467" t="s">
        <v>18</v>
      </c>
      <c r="C63" s="467">
        <v>196</v>
      </c>
      <c r="D63" s="468">
        <v>40325</v>
      </c>
      <c r="E63" s="468">
        <v>42150</v>
      </c>
      <c r="F63" s="469" t="s">
        <v>47</v>
      </c>
      <c r="G63" s="469" t="s">
        <v>6865</v>
      </c>
      <c r="H63" s="188"/>
      <c r="I63" s="188"/>
      <c r="J63" s="188"/>
      <c r="K63" s="470">
        <v>11891</v>
      </c>
      <c r="L63" s="470" t="s">
        <v>18</v>
      </c>
      <c r="M63" s="470">
        <v>468</v>
      </c>
      <c r="N63" s="471" t="s">
        <v>1862</v>
      </c>
      <c r="O63" s="471" t="str">
        <f t="shared" si="0"/>
        <v>PR</v>
      </c>
    </row>
    <row r="64" spans="1:15">
      <c r="A64" s="472">
        <v>11892</v>
      </c>
      <c r="B64" s="472" t="s">
        <v>18</v>
      </c>
      <c r="C64" s="472">
        <v>230</v>
      </c>
      <c r="D64" s="473">
        <v>40326</v>
      </c>
      <c r="E64" s="473">
        <v>42151</v>
      </c>
      <c r="F64" s="474" t="s">
        <v>47</v>
      </c>
      <c r="G64" s="474" t="s">
        <v>6865</v>
      </c>
      <c r="H64" s="188"/>
      <c r="I64" s="188"/>
      <c r="J64" s="188"/>
      <c r="K64" s="475">
        <v>11892</v>
      </c>
      <c r="L64" s="475" t="s">
        <v>18</v>
      </c>
      <c r="M64" s="475">
        <v>460</v>
      </c>
      <c r="N64" s="476" t="s">
        <v>1862</v>
      </c>
      <c r="O64" s="477" t="str">
        <f t="shared" si="0"/>
        <v>PR</v>
      </c>
    </row>
    <row r="65" spans="1:15">
      <c r="A65" s="467">
        <v>11893</v>
      </c>
      <c r="B65" s="467" t="s">
        <v>18</v>
      </c>
      <c r="C65" s="467">
        <v>230</v>
      </c>
      <c r="D65" s="468">
        <v>40326</v>
      </c>
      <c r="E65" s="468">
        <v>42151</v>
      </c>
      <c r="F65" s="469" t="s">
        <v>47</v>
      </c>
      <c r="G65" s="469" t="s">
        <v>6865</v>
      </c>
      <c r="H65" s="188"/>
      <c r="I65" s="188"/>
      <c r="J65" s="188"/>
      <c r="K65" s="470">
        <v>11893</v>
      </c>
      <c r="L65" s="470" t="s">
        <v>18</v>
      </c>
      <c r="M65" s="470">
        <v>460</v>
      </c>
      <c r="N65" s="471" t="s">
        <v>1862</v>
      </c>
      <c r="O65" s="471" t="str">
        <f t="shared" si="0"/>
        <v>PR</v>
      </c>
    </row>
    <row r="66" spans="1:15">
      <c r="A66" s="472">
        <v>11894</v>
      </c>
      <c r="B66" s="472" t="s">
        <v>18</v>
      </c>
      <c r="C66" s="472">
        <v>230</v>
      </c>
      <c r="D66" s="473">
        <v>40326</v>
      </c>
      <c r="E66" s="473">
        <v>42151</v>
      </c>
      <c r="F66" s="474" t="s">
        <v>47</v>
      </c>
      <c r="G66" s="474" t="s">
        <v>6865</v>
      </c>
      <c r="H66" s="188"/>
      <c r="I66" s="188"/>
      <c r="J66" s="188"/>
      <c r="K66" s="475">
        <v>11894</v>
      </c>
      <c r="L66" s="475" t="s">
        <v>18</v>
      </c>
      <c r="M66" s="475">
        <v>460</v>
      </c>
      <c r="N66" s="476" t="s">
        <v>1862</v>
      </c>
      <c r="O66" s="477" t="str">
        <f t="shared" si="0"/>
        <v>PR</v>
      </c>
    </row>
    <row r="67" spans="1:15">
      <c r="A67" s="467">
        <v>11895</v>
      </c>
      <c r="B67" s="467" t="s">
        <v>18</v>
      </c>
      <c r="C67" s="467">
        <v>234</v>
      </c>
      <c r="D67" s="468">
        <v>40325</v>
      </c>
      <c r="E67" s="468">
        <v>42150</v>
      </c>
      <c r="F67" s="469" t="s">
        <v>47</v>
      </c>
      <c r="G67" s="469" t="s">
        <v>6865</v>
      </c>
      <c r="H67" s="188"/>
      <c r="I67" s="188"/>
      <c r="J67" s="188"/>
      <c r="K67" s="470">
        <v>11895</v>
      </c>
      <c r="L67" s="470" t="s">
        <v>18</v>
      </c>
      <c r="M67" s="470">
        <v>468</v>
      </c>
      <c r="N67" s="471" t="s">
        <v>1862</v>
      </c>
      <c r="O67" s="471" t="str">
        <f t="shared" si="0"/>
        <v>PR</v>
      </c>
    </row>
    <row r="68" spans="1:15">
      <c r="A68" s="472">
        <v>11896</v>
      </c>
      <c r="B68" s="472" t="s">
        <v>18</v>
      </c>
      <c r="C68" s="472">
        <v>235</v>
      </c>
      <c r="D68" s="473">
        <v>40326</v>
      </c>
      <c r="E68" s="473">
        <v>42151</v>
      </c>
      <c r="F68" s="474" t="s">
        <v>47</v>
      </c>
      <c r="G68" s="474" t="s">
        <v>6865</v>
      </c>
      <c r="H68" s="188"/>
      <c r="I68" s="188"/>
      <c r="J68" s="188"/>
      <c r="K68" s="475">
        <v>11896</v>
      </c>
      <c r="L68" s="475" t="s">
        <v>18</v>
      </c>
      <c r="M68" s="475">
        <v>460</v>
      </c>
      <c r="N68" s="476" t="s">
        <v>1862</v>
      </c>
      <c r="O68" s="477" t="str">
        <f t="shared" si="0"/>
        <v>PR</v>
      </c>
    </row>
    <row r="69" spans="1:15">
      <c r="A69" s="467">
        <v>11897</v>
      </c>
      <c r="B69" s="467" t="s">
        <v>18</v>
      </c>
      <c r="C69" s="467">
        <v>230</v>
      </c>
      <c r="D69" s="468">
        <v>40327</v>
      </c>
      <c r="E69" s="468">
        <v>42152</v>
      </c>
      <c r="F69" s="469" t="s">
        <v>47</v>
      </c>
      <c r="G69" s="469" t="s">
        <v>6865</v>
      </c>
      <c r="H69" s="188"/>
      <c r="I69" s="188"/>
      <c r="J69" s="188"/>
      <c r="K69" s="470">
        <v>11897</v>
      </c>
      <c r="L69" s="470" t="s">
        <v>18</v>
      </c>
      <c r="M69" s="470">
        <v>460</v>
      </c>
      <c r="N69" s="471" t="s">
        <v>1862</v>
      </c>
      <c r="O69" s="471" t="str">
        <f t="shared" si="0"/>
        <v>PR</v>
      </c>
    </row>
    <row r="70" spans="1:15">
      <c r="A70" s="472">
        <v>11898</v>
      </c>
      <c r="B70" s="472" t="s">
        <v>18</v>
      </c>
      <c r="C70" s="472">
        <v>230</v>
      </c>
      <c r="D70" s="473">
        <v>40326</v>
      </c>
      <c r="E70" s="473">
        <v>42151</v>
      </c>
      <c r="F70" s="474" t="s">
        <v>47</v>
      </c>
      <c r="G70" s="474" t="s">
        <v>6865</v>
      </c>
      <c r="H70" s="188"/>
      <c r="I70" s="188"/>
      <c r="J70" s="188"/>
      <c r="K70" s="475">
        <v>11898</v>
      </c>
      <c r="L70" s="475" t="s">
        <v>18</v>
      </c>
      <c r="M70" s="475">
        <v>460</v>
      </c>
      <c r="N70" s="476" t="s">
        <v>1862</v>
      </c>
      <c r="O70" s="477" t="str">
        <f t="shared" si="0"/>
        <v>PR</v>
      </c>
    </row>
    <row r="71" spans="1:15">
      <c r="A71" s="467">
        <v>11899</v>
      </c>
      <c r="B71" s="467" t="s">
        <v>18</v>
      </c>
      <c r="C71" s="467">
        <v>213</v>
      </c>
      <c r="D71" s="468">
        <v>40325</v>
      </c>
      <c r="E71" s="468">
        <v>42150</v>
      </c>
      <c r="F71" s="469" t="s">
        <v>47</v>
      </c>
      <c r="G71" s="469" t="s">
        <v>6865</v>
      </c>
      <c r="H71" s="188"/>
      <c r="I71" s="188"/>
      <c r="J71" s="188"/>
      <c r="K71" s="470">
        <v>11899</v>
      </c>
      <c r="L71" s="470" t="s">
        <v>18</v>
      </c>
      <c r="M71" s="470">
        <v>427</v>
      </c>
      <c r="N71" s="471" t="s">
        <v>1862</v>
      </c>
      <c r="O71" s="471" t="str">
        <f t="shared" si="0"/>
        <v>PR</v>
      </c>
    </row>
    <row r="72" spans="1:15">
      <c r="A72" s="472">
        <v>11900</v>
      </c>
      <c r="B72" s="472" t="s">
        <v>18</v>
      </c>
      <c r="C72" s="472">
        <v>219</v>
      </c>
      <c r="D72" s="473">
        <v>40326</v>
      </c>
      <c r="E72" s="473">
        <v>42151</v>
      </c>
      <c r="F72" s="474" t="s">
        <v>47</v>
      </c>
      <c r="G72" s="474" t="s">
        <v>6865</v>
      </c>
      <c r="H72" s="188"/>
      <c r="I72" s="188"/>
      <c r="J72" s="188"/>
      <c r="K72" s="475">
        <v>11900</v>
      </c>
      <c r="L72" s="475" t="s">
        <v>18</v>
      </c>
      <c r="M72" s="475">
        <v>441</v>
      </c>
      <c r="N72" s="476" t="s">
        <v>1862</v>
      </c>
      <c r="O72" s="477" t="str">
        <f t="shared" ref="O72:O74" si="1">IFERROR(VLOOKUP(K72,A:B,2,0),"Non existant au niveau du registre minier au 31 décembre 2023")</f>
        <v>PR</v>
      </c>
    </row>
    <row r="73" spans="1:15">
      <c r="A73" s="467">
        <v>12081</v>
      </c>
      <c r="B73" s="467" t="s">
        <v>18</v>
      </c>
      <c r="C73" s="467">
        <v>135</v>
      </c>
      <c r="D73" s="468">
        <v>40394</v>
      </c>
      <c r="E73" s="468">
        <v>41854</v>
      </c>
      <c r="F73" s="469" t="s">
        <v>66</v>
      </c>
      <c r="G73" s="469" t="s">
        <v>6865</v>
      </c>
      <c r="H73" s="188"/>
      <c r="I73" s="188"/>
      <c r="J73" s="188"/>
      <c r="K73" s="470">
        <v>12081</v>
      </c>
      <c r="L73" s="470" t="s">
        <v>18</v>
      </c>
      <c r="M73" s="470">
        <v>273</v>
      </c>
      <c r="N73" s="471" t="s">
        <v>1861</v>
      </c>
      <c r="O73" s="471" t="str">
        <f t="shared" si="1"/>
        <v>PR</v>
      </c>
    </row>
    <row r="74" spans="1:15">
      <c r="A74" s="472">
        <v>12082</v>
      </c>
      <c r="B74" s="472" t="s">
        <v>18</v>
      </c>
      <c r="C74" s="472">
        <v>67</v>
      </c>
      <c r="D74" s="473">
        <v>40394</v>
      </c>
      <c r="E74" s="473">
        <v>43679</v>
      </c>
      <c r="F74" s="474" t="s">
        <v>66</v>
      </c>
      <c r="G74" s="474" t="s">
        <v>6865</v>
      </c>
      <c r="H74" s="188"/>
      <c r="I74" s="188"/>
      <c r="J74" s="188"/>
      <c r="K74" s="475">
        <v>12082</v>
      </c>
      <c r="L74" s="475" t="s">
        <v>18</v>
      </c>
      <c r="M74" s="475">
        <v>134</v>
      </c>
      <c r="N74" s="476" t="s">
        <v>1861</v>
      </c>
      <c r="O74" s="477" t="str">
        <f t="shared" si="1"/>
        <v>PR</v>
      </c>
    </row>
    <row r="75" spans="1:15">
      <c r="A75" s="467">
        <v>12083</v>
      </c>
      <c r="B75" s="467" t="s">
        <v>18</v>
      </c>
      <c r="C75" s="467">
        <v>410</v>
      </c>
      <c r="D75" s="468">
        <v>40394</v>
      </c>
      <c r="E75" s="468">
        <v>42219</v>
      </c>
      <c r="F75" s="469" t="s">
        <v>23</v>
      </c>
      <c r="G75" s="471" t="s">
        <v>7202</v>
      </c>
      <c r="H75" s="188"/>
      <c r="I75" s="188"/>
      <c r="J75" s="188"/>
      <c r="K75" s="478"/>
      <c r="L75" s="478"/>
      <c r="M75" s="478"/>
      <c r="N75" s="479"/>
      <c r="O75" s="479"/>
    </row>
    <row r="76" spans="1:15">
      <c r="A76" s="472">
        <v>12084</v>
      </c>
      <c r="B76" s="472" t="s">
        <v>18</v>
      </c>
      <c r="C76" s="472">
        <v>386</v>
      </c>
      <c r="D76" s="473">
        <v>43083</v>
      </c>
      <c r="E76" s="473">
        <v>44908</v>
      </c>
      <c r="F76" s="474" t="s">
        <v>47</v>
      </c>
      <c r="G76" s="474" t="s">
        <v>6859</v>
      </c>
      <c r="H76" s="188"/>
      <c r="I76" s="188"/>
      <c r="J76" s="188"/>
      <c r="K76" s="475">
        <v>12084</v>
      </c>
      <c r="L76" s="475" t="s">
        <v>18</v>
      </c>
      <c r="M76" s="475">
        <v>386</v>
      </c>
      <c r="N76" s="476" t="s">
        <v>1862</v>
      </c>
      <c r="O76" s="477" t="str">
        <f>IFERROR(VLOOKUP(K76,A:B,2,0),"Non existant au niveau du registre minier au 31 décembre 2023")</f>
        <v>PR</v>
      </c>
    </row>
    <row r="77" spans="1:15">
      <c r="A77" s="467">
        <v>12085</v>
      </c>
      <c r="B77" s="467" t="s">
        <v>18</v>
      </c>
      <c r="C77" s="467">
        <v>213</v>
      </c>
      <c r="D77" s="468">
        <v>43083</v>
      </c>
      <c r="E77" s="468">
        <v>44908</v>
      </c>
      <c r="F77" s="469" t="s">
        <v>47</v>
      </c>
      <c r="G77" s="469" t="s">
        <v>51</v>
      </c>
      <c r="H77" s="188"/>
      <c r="I77" s="188"/>
      <c r="J77" s="188"/>
      <c r="K77" s="470">
        <v>12085</v>
      </c>
      <c r="L77" s="470" t="s">
        <v>18</v>
      </c>
      <c r="M77" s="470">
        <v>213</v>
      </c>
      <c r="N77" s="471" t="s">
        <v>1862</v>
      </c>
      <c r="O77" s="471" t="str">
        <f>IFERROR(VLOOKUP(K77,A:B,2,0),"Non existant au niveau du registre minier au 31 décembre 2023")</f>
        <v>PR</v>
      </c>
    </row>
    <row r="78" spans="1:15">
      <c r="A78" s="188"/>
      <c r="B78" s="188"/>
      <c r="C78" s="188"/>
      <c r="D78" s="188"/>
      <c r="E78" s="188"/>
      <c r="F78" s="188"/>
      <c r="G78" s="188"/>
      <c r="H78" s="188"/>
      <c r="I78" s="188"/>
      <c r="J78" s="188"/>
      <c r="K78" s="475">
        <v>14245</v>
      </c>
      <c r="L78" s="475" t="s">
        <v>13</v>
      </c>
      <c r="M78" s="475">
        <v>162</v>
      </c>
      <c r="N78" s="476" t="s">
        <v>1861</v>
      </c>
      <c r="O78" s="480" t="str">
        <f>IFERROR(VLOOKUP(K78,A:B,2,0),"Non existant au niveau du registre minier au 31 décembre 2023")</f>
        <v>Non existant au niveau du registre minier au 31 décembre 2023</v>
      </c>
    </row>
    <row r="79" spans="1:15">
      <c r="A79" s="188"/>
      <c r="B79" s="188"/>
      <c r="C79" s="188"/>
      <c r="D79" s="188"/>
      <c r="E79" s="188"/>
      <c r="F79" s="188"/>
      <c r="G79" s="188"/>
      <c r="H79" s="188"/>
      <c r="I79" s="188"/>
      <c r="J79" s="188"/>
      <c r="K79" s="470">
        <v>14246</v>
      </c>
      <c r="L79" s="470" t="s">
        <v>13</v>
      </c>
      <c r="M79" s="470">
        <v>135</v>
      </c>
      <c r="N79" s="471" t="s">
        <v>1861</v>
      </c>
      <c r="O79" s="481" t="str">
        <f>IFERROR(VLOOKUP(K79,A:B,2,0),"Non existant au niveau du registre minier au 31 décembre 2023")</f>
        <v>Non existant au niveau du registre minier au 31 décembre 2023</v>
      </c>
    </row>
  </sheetData>
  <mergeCells count="2">
    <mergeCell ref="A4:G4"/>
    <mergeCell ref="K4:O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B4E28-E036-4BBA-B39A-4B2C326D82CD}">
  <sheetPr codeName="Feuil9">
    <tabColor rgb="FF92D050"/>
  </sheetPr>
  <dimension ref="A1:BQ95"/>
  <sheetViews>
    <sheetView topLeftCell="A8" workbookViewId="0">
      <selection activeCell="D22" sqref="D22"/>
    </sheetView>
  </sheetViews>
  <sheetFormatPr baseColWidth="10" defaultColWidth="9.25" defaultRowHeight="21"/>
  <cols>
    <col min="1" max="1" width="27.4140625" style="41" customWidth="1"/>
    <col min="2" max="2" width="17" style="41" customWidth="1"/>
    <col min="3" max="3" width="13.4140625" style="41" customWidth="1"/>
    <col min="4" max="4" width="10.75" style="41" customWidth="1"/>
    <col min="5" max="5" width="11.25" style="41" customWidth="1"/>
    <col min="6" max="7" width="18.4140625" style="41" customWidth="1"/>
    <col min="8" max="8" width="7.5" style="41" customWidth="1"/>
    <col min="9" max="9" width="22" style="41" customWidth="1"/>
    <col min="10" max="10" width="11.25" style="41" customWidth="1"/>
    <col min="11" max="11" width="13.25" style="41" customWidth="1"/>
    <col min="12" max="12" width="10.75" style="41" customWidth="1"/>
    <col min="13" max="13" width="12.4140625" style="41" customWidth="1"/>
    <col min="14" max="14" width="17" style="41" customWidth="1"/>
    <col min="15" max="15" width="10.4140625" style="41" customWidth="1"/>
    <col min="16" max="16" width="6.75" style="41" customWidth="1"/>
    <col min="17" max="67" width="11.4140625" style="19" customWidth="1"/>
    <col min="68" max="68" width="11.4140625" style="24" customWidth="1"/>
    <col min="69" max="69" width="9.25" style="25"/>
    <col min="70" max="16384" width="9.25" style="41"/>
  </cols>
  <sheetData>
    <row r="1" spans="1:16">
      <c r="A1" s="17"/>
      <c r="B1" s="17"/>
      <c r="C1" s="17"/>
      <c r="D1" s="17"/>
      <c r="E1" s="17"/>
      <c r="F1" s="17"/>
      <c r="G1" s="17"/>
      <c r="H1" s="17"/>
      <c r="I1" s="17"/>
      <c r="J1" s="17"/>
      <c r="K1" s="17"/>
      <c r="L1" s="17"/>
      <c r="M1" s="17"/>
      <c r="N1" s="17"/>
      <c r="O1" s="17"/>
      <c r="P1" s="18"/>
    </row>
    <row r="2" spans="1:16">
      <c r="A2" s="17"/>
      <c r="B2" s="17"/>
      <c r="C2" s="7" t="s">
        <v>7218</v>
      </c>
      <c r="D2" s="17"/>
      <c r="E2" s="17"/>
      <c r="F2" s="17"/>
      <c r="G2" s="17"/>
      <c r="H2" s="17"/>
      <c r="I2" s="17"/>
      <c r="J2" s="17"/>
      <c r="K2" s="17"/>
      <c r="L2" s="17"/>
      <c r="M2" s="17"/>
      <c r="N2" s="17"/>
      <c r="O2" s="17"/>
      <c r="P2" s="18"/>
    </row>
    <row r="3" spans="1:16">
      <c r="A3" s="17"/>
      <c r="B3" s="17"/>
      <c r="C3" s="17"/>
      <c r="D3" s="17"/>
      <c r="E3" s="17"/>
      <c r="F3" s="17"/>
      <c r="G3" s="17"/>
      <c r="H3" s="17"/>
      <c r="I3" s="17"/>
      <c r="J3" s="17"/>
      <c r="K3" s="17"/>
      <c r="L3" s="17"/>
      <c r="M3" s="17"/>
      <c r="N3" s="17"/>
      <c r="O3" s="17"/>
      <c r="P3" s="18"/>
    </row>
    <row r="4" spans="1:16">
      <c r="A4" s="17"/>
      <c r="B4" s="17"/>
      <c r="C4" s="17"/>
      <c r="D4" s="17"/>
      <c r="E4" s="17"/>
      <c r="F4" s="17"/>
      <c r="G4" s="17"/>
      <c r="H4" s="17"/>
      <c r="I4" s="17"/>
      <c r="J4" s="17"/>
      <c r="K4" s="17"/>
      <c r="L4" s="17"/>
      <c r="M4" s="17"/>
      <c r="N4" s="17"/>
      <c r="O4" s="17"/>
      <c r="P4" s="18"/>
    </row>
    <row r="5" spans="1:16">
      <c r="A5" s="20" t="s">
        <v>471</v>
      </c>
      <c r="B5" s="20"/>
      <c r="C5" s="21"/>
      <c r="D5" s="21"/>
      <c r="E5" s="21"/>
      <c r="F5" s="21"/>
      <c r="G5" s="21"/>
      <c r="H5" s="21"/>
      <c r="I5" s="21"/>
      <c r="J5" s="21"/>
      <c r="K5" s="21"/>
      <c r="L5" s="21"/>
      <c r="M5" s="17"/>
      <c r="N5" s="17"/>
      <c r="O5" s="17"/>
      <c r="P5" s="18"/>
    </row>
    <row r="6" spans="1:16">
      <c r="A6" s="21" t="s">
        <v>6857</v>
      </c>
      <c r="B6" s="21"/>
      <c r="C6" s="17"/>
      <c r="D6" s="17"/>
      <c r="E6" s="17"/>
      <c r="F6" s="17"/>
      <c r="G6" s="17"/>
      <c r="H6" s="17"/>
      <c r="I6" s="17"/>
      <c r="J6" s="17"/>
      <c r="K6" s="17"/>
      <c r="L6" s="17"/>
      <c r="M6" s="17"/>
      <c r="N6" s="17"/>
      <c r="O6" s="17"/>
      <c r="P6" s="18"/>
    </row>
    <row r="7" spans="1:16">
      <c r="A7" s="17"/>
      <c r="B7" s="17"/>
      <c r="C7" s="17"/>
      <c r="D7" s="17"/>
      <c r="E7" s="17"/>
      <c r="F7" s="17"/>
      <c r="G7" s="17"/>
      <c r="H7" s="17"/>
      <c r="I7" s="17"/>
      <c r="J7" s="17"/>
      <c r="K7" s="17"/>
      <c r="L7" s="17"/>
      <c r="M7" s="17"/>
      <c r="N7" s="17"/>
      <c r="O7" s="17"/>
      <c r="P7" s="18"/>
    </row>
    <row r="8" spans="1:16">
      <c r="A8" s="22" t="s">
        <v>472</v>
      </c>
      <c r="B8" s="22"/>
      <c r="C8" s="22"/>
      <c r="D8" s="22"/>
      <c r="E8" s="22"/>
      <c r="F8" s="22"/>
      <c r="G8" s="22"/>
      <c r="H8" s="22"/>
      <c r="I8" s="22"/>
      <c r="J8" s="22"/>
      <c r="K8" s="22"/>
      <c r="L8" s="22"/>
      <c r="M8" s="22"/>
      <c r="N8" s="22"/>
      <c r="O8" s="22"/>
      <c r="P8" s="22"/>
    </row>
    <row r="9" spans="1:16">
      <c r="A9" s="22" t="s">
        <v>474</v>
      </c>
      <c r="B9" s="22"/>
      <c r="C9" s="22"/>
      <c r="D9" s="22"/>
      <c r="E9" s="22"/>
      <c r="F9" s="22"/>
      <c r="G9" s="22"/>
      <c r="H9" s="22"/>
      <c r="I9" s="22"/>
      <c r="J9" s="22"/>
      <c r="K9" s="22"/>
      <c r="L9" s="22"/>
      <c r="M9" s="22"/>
      <c r="N9" s="22"/>
      <c r="O9" s="22"/>
      <c r="P9" s="22"/>
    </row>
    <row r="10" spans="1:16" s="19" customFormat="1">
      <c r="A10" s="20"/>
      <c r="B10" s="20"/>
      <c r="C10" s="20"/>
      <c r="D10" s="20"/>
      <c r="E10" s="20"/>
      <c r="F10" s="20"/>
      <c r="G10" s="20"/>
      <c r="H10" s="20"/>
      <c r="I10" s="20"/>
      <c r="J10" s="20"/>
      <c r="K10" s="20"/>
      <c r="L10" s="17"/>
      <c r="M10" s="17"/>
      <c r="N10" s="17"/>
      <c r="O10" s="17"/>
      <c r="P10" s="18"/>
    </row>
    <row r="11" spans="1:16" ht="14.65" customHeight="1">
      <c r="A11" s="882" t="s">
        <v>475</v>
      </c>
      <c r="B11" s="882"/>
      <c r="C11" s="882"/>
      <c r="D11" s="882"/>
      <c r="E11" s="882"/>
      <c r="F11" s="882"/>
      <c r="G11" s="882"/>
      <c r="H11" s="882"/>
      <c r="I11" s="882"/>
      <c r="J11" s="882"/>
      <c r="K11" s="882"/>
      <c r="L11" s="882"/>
      <c r="M11" s="882"/>
      <c r="N11" s="882"/>
      <c r="O11" s="882"/>
      <c r="P11" s="882"/>
    </row>
    <row r="12" spans="1:16" ht="11.65" customHeight="1">
      <c r="A12" s="882"/>
      <c r="B12" s="882"/>
      <c r="C12" s="882"/>
      <c r="D12" s="882"/>
      <c r="E12" s="882"/>
      <c r="F12" s="882"/>
      <c r="G12" s="882"/>
      <c r="H12" s="882"/>
      <c r="I12" s="882"/>
      <c r="J12" s="882"/>
      <c r="K12" s="882"/>
      <c r="L12" s="882"/>
      <c r="M12" s="882"/>
      <c r="N12" s="882"/>
      <c r="O12" s="882"/>
      <c r="P12" s="882"/>
    </row>
    <row r="13" spans="1:16" s="19" customFormat="1">
      <c r="A13" s="20"/>
      <c r="B13" s="20"/>
      <c r="C13" s="20"/>
      <c r="D13" s="20"/>
      <c r="E13" s="20"/>
      <c r="F13" s="20"/>
      <c r="G13" s="20"/>
      <c r="H13" s="20"/>
      <c r="I13" s="20"/>
      <c r="J13" s="20"/>
      <c r="K13" s="20"/>
      <c r="L13" s="17"/>
      <c r="M13" s="17"/>
      <c r="N13" s="17"/>
      <c r="O13" s="17"/>
      <c r="P13" s="18"/>
    </row>
    <row r="14" spans="1:16" s="19" customFormat="1">
      <c r="A14" s="20" t="s">
        <v>476</v>
      </c>
      <c r="B14" s="20"/>
      <c r="C14" s="20"/>
      <c r="D14" s="20"/>
      <c r="E14" s="20"/>
      <c r="F14" s="20"/>
      <c r="G14" s="20"/>
      <c r="H14" s="20"/>
      <c r="I14" s="20"/>
      <c r="J14" s="20"/>
      <c r="K14" s="20"/>
      <c r="L14" s="17"/>
      <c r="M14" s="17"/>
      <c r="N14" s="17"/>
      <c r="O14" s="17"/>
      <c r="P14" s="18"/>
    </row>
    <row r="15" spans="1:16" s="19" customFormat="1">
      <c r="A15" s="20"/>
      <c r="B15" s="20"/>
      <c r="C15" s="20"/>
      <c r="D15" s="20"/>
      <c r="E15" s="20"/>
      <c r="F15" s="20"/>
      <c r="G15" s="20"/>
      <c r="H15" s="20"/>
      <c r="I15" s="20"/>
      <c r="J15" s="20"/>
      <c r="K15" s="20"/>
      <c r="L15" s="17"/>
      <c r="M15" s="17"/>
      <c r="N15" s="17"/>
      <c r="O15" s="17"/>
      <c r="P15" s="18"/>
    </row>
    <row r="16" spans="1:16" s="19" customFormat="1">
      <c r="A16" s="870"/>
      <c r="B16" s="871"/>
      <c r="C16" s="871"/>
      <c r="D16" s="871"/>
      <c r="E16" s="872"/>
      <c r="F16" s="883" t="s">
        <v>477</v>
      </c>
      <c r="G16" s="884"/>
      <c r="H16" s="885"/>
      <c r="I16" s="876" t="s">
        <v>478</v>
      </c>
      <c r="J16" s="876"/>
      <c r="K16" s="876"/>
      <c r="L16" s="876"/>
      <c r="M16" s="876"/>
      <c r="N16" s="877"/>
      <c r="O16" s="878"/>
      <c r="P16" s="878"/>
    </row>
    <row r="17" spans="1:68">
      <c r="A17" s="873"/>
      <c r="B17" s="874"/>
      <c r="C17" s="874"/>
      <c r="D17" s="874"/>
      <c r="E17" s="875"/>
      <c r="F17" s="886"/>
      <c r="G17" s="887"/>
      <c r="H17" s="888"/>
      <c r="I17" s="876" t="s">
        <v>479</v>
      </c>
      <c r="J17" s="876"/>
      <c r="K17" s="881" t="s">
        <v>480</v>
      </c>
      <c r="L17" s="881"/>
      <c r="M17" s="23" t="s">
        <v>481</v>
      </c>
      <c r="N17" s="879"/>
      <c r="O17" s="880"/>
      <c r="P17" s="880"/>
    </row>
    <row r="18" spans="1:68" s="28" customFormat="1" ht="45" customHeight="1">
      <c r="A18" s="26" t="s">
        <v>482</v>
      </c>
      <c r="B18" s="26" t="s">
        <v>483</v>
      </c>
      <c r="C18" s="26" t="s">
        <v>484</v>
      </c>
      <c r="D18" s="26" t="s">
        <v>485</v>
      </c>
      <c r="E18" s="26" t="s">
        <v>486</v>
      </c>
      <c r="F18" s="26" t="s">
        <v>487</v>
      </c>
      <c r="G18" s="26" t="s">
        <v>488</v>
      </c>
      <c r="H18" s="26" t="s">
        <v>489</v>
      </c>
      <c r="I18" s="26" t="s">
        <v>490</v>
      </c>
      <c r="J18" s="26" t="s">
        <v>491</v>
      </c>
      <c r="K18" s="26" t="s">
        <v>492</v>
      </c>
      <c r="L18" s="26" t="s">
        <v>493</v>
      </c>
      <c r="M18" s="26" t="s">
        <v>494</v>
      </c>
      <c r="N18" s="26" t="s">
        <v>495</v>
      </c>
      <c r="O18" s="26" t="s">
        <v>496</v>
      </c>
      <c r="P18" s="27" t="s">
        <v>497</v>
      </c>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row>
    <row r="19" spans="1:68">
      <c r="A19" s="29"/>
      <c r="B19" s="29"/>
      <c r="C19" s="29"/>
      <c r="D19" s="29"/>
      <c r="E19" s="29"/>
      <c r="F19" s="29"/>
      <c r="G19" s="29"/>
      <c r="H19" s="29"/>
      <c r="I19" s="29"/>
      <c r="J19" s="29"/>
      <c r="K19" s="29"/>
      <c r="L19" s="29"/>
      <c r="M19" s="29"/>
      <c r="N19" s="30"/>
      <c r="O19" s="30"/>
      <c r="P19" s="31"/>
    </row>
    <row r="20" spans="1:68">
      <c r="A20" s="32"/>
      <c r="B20" s="32"/>
      <c r="C20" s="32"/>
      <c r="D20" s="32"/>
      <c r="E20" s="32"/>
      <c r="F20" s="32"/>
      <c r="G20" s="32"/>
      <c r="H20" s="32"/>
      <c r="I20" s="33"/>
      <c r="J20" s="33"/>
      <c r="K20" s="33"/>
      <c r="L20" s="33"/>
      <c r="M20" s="33"/>
      <c r="N20" s="34"/>
      <c r="O20" s="32"/>
      <c r="P20" s="35"/>
    </row>
    <row r="21" spans="1:68">
      <c r="A21" s="868"/>
      <c r="B21" s="868"/>
      <c r="C21" s="868"/>
      <c r="D21" s="868"/>
      <c r="E21" s="868"/>
      <c r="F21" s="868"/>
      <c r="G21" s="868"/>
      <c r="H21" s="868"/>
      <c r="I21" s="868"/>
      <c r="J21" s="868"/>
      <c r="K21" s="868"/>
      <c r="L21" s="17"/>
      <c r="M21" s="17"/>
      <c r="N21" s="17"/>
      <c r="O21" s="17"/>
      <c r="P21" s="17"/>
    </row>
    <row r="22" spans="1:68">
      <c r="A22" s="20" t="s">
        <v>498</v>
      </c>
      <c r="B22" s="36"/>
      <c r="C22" s="36"/>
      <c r="D22" s="36"/>
      <c r="E22" s="36"/>
      <c r="F22" s="36"/>
      <c r="G22" s="36"/>
      <c r="H22" s="36"/>
      <c r="I22" s="36"/>
      <c r="J22" s="36"/>
      <c r="K22" s="36"/>
      <c r="L22" s="36"/>
      <c r="M22" s="36"/>
      <c r="N22" s="36"/>
      <c r="O22" s="36"/>
      <c r="P22" s="36"/>
    </row>
    <row r="23" spans="1:68">
      <c r="A23" s="36"/>
      <c r="B23" s="36"/>
      <c r="C23" s="36"/>
      <c r="D23" s="36"/>
      <c r="E23" s="36"/>
      <c r="F23" s="36"/>
      <c r="G23" s="36"/>
      <c r="H23" s="36"/>
      <c r="I23" s="36"/>
      <c r="J23" s="36"/>
      <c r="K23" s="36"/>
      <c r="L23" s="36"/>
      <c r="M23" s="36"/>
      <c r="N23" s="17"/>
      <c r="O23" s="17"/>
      <c r="P23" s="17"/>
      <c r="BM23" s="37"/>
      <c r="BN23" s="18"/>
      <c r="BO23" s="18"/>
      <c r="BP23" s="18"/>
    </row>
    <row r="24" spans="1:68" s="19" customFormat="1">
      <c r="A24" s="870"/>
      <c r="B24" s="871"/>
      <c r="C24" s="872"/>
      <c r="D24" s="876" t="s">
        <v>478</v>
      </c>
      <c r="E24" s="876"/>
      <c r="F24" s="876"/>
      <c r="G24" s="876"/>
      <c r="H24" s="876"/>
      <c r="I24" s="877"/>
      <c r="J24" s="878"/>
      <c r="K24" s="878"/>
    </row>
    <row r="25" spans="1:68">
      <c r="A25" s="873"/>
      <c r="B25" s="874"/>
      <c r="C25" s="875"/>
      <c r="D25" s="876" t="s">
        <v>479</v>
      </c>
      <c r="E25" s="876"/>
      <c r="F25" s="881" t="s">
        <v>480</v>
      </c>
      <c r="G25" s="881"/>
      <c r="H25" s="23" t="s">
        <v>481</v>
      </c>
      <c r="I25" s="879"/>
      <c r="J25" s="880"/>
      <c r="K25" s="880"/>
      <c r="L25" s="17"/>
      <c r="M25" s="17"/>
      <c r="N25" s="17"/>
      <c r="O25" s="17"/>
      <c r="P25" s="17"/>
      <c r="BK25" s="37"/>
      <c r="BL25" s="18"/>
      <c r="BM25" s="18"/>
      <c r="BN25" s="18"/>
      <c r="BO25" s="18"/>
      <c r="BP25" s="18"/>
    </row>
    <row r="26" spans="1:68" s="28" customFormat="1" ht="30" customHeight="1">
      <c r="A26" s="26" t="s">
        <v>482</v>
      </c>
      <c r="B26" s="26" t="s">
        <v>499</v>
      </c>
      <c r="C26" s="26" t="s">
        <v>500</v>
      </c>
      <c r="D26" s="26" t="s">
        <v>490</v>
      </c>
      <c r="E26" s="26" t="s">
        <v>491</v>
      </c>
      <c r="F26" s="26" t="s">
        <v>492</v>
      </c>
      <c r="G26" s="26" t="s">
        <v>493</v>
      </c>
      <c r="H26" s="26" t="s">
        <v>494</v>
      </c>
      <c r="I26" s="26" t="s">
        <v>501</v>
      </c>
      <c r="J26" s="26" t="s">
        <v>496</v>
      </c>
      <c r="K26" s="27" t="s">
        <v>497</v>
      </c>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row>
    <row r="27" spans="1:68">
      <c r="A27" s="29"/>
      <c r="B27" s="29"/>
      <c r="C27" s="29"/>
      <c r="D27" s="29"/>
      <c r="E27" s="29"/>
      <c r="F27" s="29"/>
      <c r="G27" s="29"/>
      <c r="H27" s="29"/>
      <c r="I27" s="30"/>
      <c r="J27" s="30"/>
      <c r="K27" s="31"/>
      <c r="L27" s="17"/>
      <c r="M27" s="17"/>
      <c r="N27" s="17"/>
      <c r="O27" s="17"/>
      <c r="P27" s="17"/>
      <c r="BK27" s="37"/>
      <c r="BL27" s="18"/>
      <c r="BM27" s="18"/>
      <c r="BN27" s="18"/>
      <c r="BO27" s="18"/>
      <c r="BP27" s="18"/>
    </row>
    <row r="28" spans="1:68">
      <c r="A28" s="32"/>
      <c r="B28" s="32"/>
      <c r="C28" s="32"/>
      <c r="D28" s="33"/>
      <c r="E28" s="33"/>
      <c r="F28" s="33"/>
      <c r="G28" s="33"/>
      <c r="H28" s="33"/>
      <c r="I28" s="34"/>
      <c r="J28" s="32"/>
      <c r="K28" s="35"/>
      <c r="L28" s="17"/>
      <c r="M28" s="17"/>
      <c r="N28" s="17"/>
      <c r="O28" s="17"/>
      <c r="P28" s="17"/>
      <c r="BK28" s="37"/>
      <c r="BL28" s="18"/>
      <c r="BM28" s="18"/>
      <c r="BN28" s="18"/>
      <c r="BO28" s="18"/>
      <c r="BP28" s="18"/>
    </row>
    <row r="29" spans="1:68">
      <c r="A29" s="868"/>
      <c r="B29" s="868"/>
      <c r="C29" s="868"/>
      <c r="D29" s="868"/>
      <c r="E29" s="868"/>
      <c r="F29" s="868"/>
      <c r="G29" s="868"/>
      <c r="H29" s="868"/>
      <c r="I29" s="868"/>
      <c r="J29" s="868"/>
      <c r="K29" s="868"/>
      <c r="L29" s="17"/>
      <c r="M29" s="17"/>
      <c r="N29" s="17"/>
      <c r="O29" s="17"/>
      <c r="P29" s="17"/>
    </row>
    <row r="30" spans="1:68">
      <c r="A30" s="869" t="s">
        <v>502</v>
      </c>
      <c r="B30" s="869"/>
      <c r="C30" s="869"/>
      <c r="D30" s="869"/>
      <c r="E30" s="869"/>
      <c r="F30" s="869"/>
      <c r="G30" s="869"/>
      <c r="H30" s="869"/>
      <c r="I30" s="869"/>
      <c r="J30" s="869"/>
      <c r="K30" s="869"/>
      <c r="L30" s="17"/>
      <c r="M30" s="17"/>
      <c r="N30" s="17"/>
      <c r="O30" s="17"/>
      <c r="P30" s="17"/>
    </row>
    <row r="31" spans="1:68">
      <c r="A31" s="868" t="s">
        <v>503</v>
      </c>
      <c r="B31" s="868"/>
      <c r="C31" s="868"/>
      <c r="D31" s="868"/>
      <c r="E31" s="868"/>
      <c r="F31" s="868"/>
      <c r="G31" s="868"/>
      <c r="H31" s="868"/>
      <c r="I31" s="868"/>
      <c r="J31" s="868"/>
      <c r="K31" s="868"/>
      <c r="L31" s="17"/>
      <c r="M31" s="17"/>
      <c r="N31" s="17"/>
      <c r="O31" s="17"/>
      <c r="P31" s="17"/>
    </row>
    <row r="32" spans="1:68">
      <c r="A32" s="868"/>
      <c r="B32" s="868"/>
      <c r="C32" s="868"/>
      <c r="D32" s="868"/>
      <c r="E32" s="868"/>
      <c r="F32" s="868"/>
      <c r="G32" s="868"/>
      <c r="H32" s="868"/>
      <c r="I32" s="868"/>
      <c r="J32" s="868"/>
      <c r="K32" s="868"/>
      <c r="L32" s="17"/>
      <c r="M32" s="17"/>
      <c r="N32" s="17"/>
      <c r="O32" s="17"/>
      <c r="P32" s="17"/>
    </row>
    <row r="33" spans="1:16">
      <c r="A33" s="866" t="s">
        <v>504</v>
      </c>
      <c r="B33" s="866"/>
      <c r="C33" s="866"/>
      <c r="D33" s="866"/>
      <c r="E33" s="866"/>
      <c r="F33" s="866"/>
      <c r="G33" s="866"/>
      <c r="H33" s="866"/>
      <c r="I33" s="866"/>
      <c r="J33" s="866"/>
      <c r="K33" s="866"/>
      <c r="L33" s="17"/>
      <c r="M33" s="17"/>
      <c r="N33" s="17"/>
      <c r="O33" s="17"/>
      <c r="P33" s="17"/>
    </row>
    <row r="34" spans="1:16">
      <c r="A34" s="868"/>
      <c r="B34" s="868"/>
      <c r="C34" s="868"/>
      <c r="D34" s="868"/>
      <c r="E34" s="868"/>
      <c r="F34" s="868"/>
      <c r="G34" s="868"/>
      <c r="H34" s="868"/>
      <c r="I34" s="868"/>
      <c r="J34" s="868"/>
      <c r="K34" s="868"/>
      <c r="L34" s="17"/>
      <c r="M34" s="17"/>
      <c r="N34" s="17"/>
      <c r="O34" s="17"/>
      <c r="P34" s="17"/>
    </row>
    <row r="35" spans="1:16">
      <c r="A35" s="866" t="s">
        <v>505</v>
      </c>
      <c r="B35" s="866"/>
      <c r="C35" s="866"/>
      <c r="D35" s="866"/>
      <c r="E35" s="866"/>
      <c r="F35" s="866"/>
      <c r="G35" s="866"/>
      <c r="H35" s="866"/>
      <c r="I35" s="866"/>
      <c r="J35" s="866"/>
      <c r="K35" s="866"/>
      <c r="L35" s="17"/>
      <c r="M35" s="17"/>
      <c r="N35" s="17"/>
      <c r="O35" s="17"/>
      <c r="P35" s="17"/>
    </row>
    <row r="36" spans="1:16">
      <c r="A36" s="867" t="s">
        <v>506</v>
      </c>
      <c r="B36" s="867"/>
      <c r="C36" s="867"/>
      <c r="D36" s="867"/>
      <c r="E36" s="867"/>
      <c r="F36" s="867"/>
      <c r="G36" s="867"/>
      <c r="H36" s="867"/>
      <c r="I36" s="867"/>
      <c r="J36" s="867"/>
      <c r="K36" s="867"/>
      <c r="L36" s="17"/>
      <c r="M36" s="17"/>
      <c r="N36" s="17"/>
      <c r="O36" s="17"/>
      <c r="P36" s="17"/>
    </row>
    <row r="37" spans="1:16">
      <c r="A37" s="867" t="s">
        <v>507</v>
      </c>
      <c r="B37" s="867"/>
      <c r="C37" s="867"/>
      <c r="D37" s="867"/>
      <c r="E37" s="867"/>
      <c r="F37" s="867"/>
      <c r="G37" s="867"/>
      <c r="H37" s="867"/>
      <c r="I37" s="867"/>
      <c r="J37" s="867"/>
      <c r="K37" s="867"/>
      <c r="L37" s="17"/>
      <c r="M37" s="17"/>
      <c r="N37" s="17"/>
      <c r="O37" s="17"/>
      <c r="P37" s="17"/>
    </row>
    <row r="38" spans="1:16">
      <c r="A38" s="17"/>
      <c r="B38" s="17"/>
      <c r="C38" s="17"/>
      <c r="D38" s="17"/>
      <c r="E38" s="17"/>
      <c r="F38" s="17"/>
      <c r="G38" s="17"/>
      <c r="H38" s="17"/>
      <c r="I38" s="17"/>
      <c r="J38" s="17"/>
      <c r="K38" s="17"/>
      <c r="L38" s="17"/>
      <c r="M38" s="17"/>
      <c r="N38" s="17"/>
      <c r="O38" s="17"/>
      <c r="P38" s="17"/>
    </row>
    <row r="39" spans="1:16">
      <c r="A39" s="38" t="s">
        <v>508</v>
      </c>
      <c r="B39" s="17"/>
      <c r="C39" s="17"/>
      <c r="D39" s="17"/>
      <c r="E39" s="17"/>
      <c r="F39" s="17"/>
      <c r="G39" s="17"/>
      <c r="H39" s="17"/>
      <c r="I39" s="17"/>
      <c r="J39" s="17"/>
      <c r="K39" s="17"/>
      <c r="L39" s="17"/>
      <c r="M39" s="17"/>
      <c r="N39" s="17"/>
      <c r="O39" s="17"/>
      <c r="P39" s="17"/>
    </row>
    <row r="40" spans="1:16">
      <c r="A40" s="39"/>
      <c r="B40" s="17"/>
      <c r="C40" s="17"/>
      <c r="D40" s="17"/>
      <c r="E40" s="17"/>
      <c r="F40" s="17"/>
      <c r="G40" s="17"/>
      <c r="H40" s="17"/>
      <c r="I40" s="17"/>
      <c r="J40" s="17"/>
      <c r="K40" s="17"/>
      <c r="L40" s="17"/>
      <c r="M40" s="17"/>
      <c r="N40" s="17"/>
      <c r="O40" s="17"/>
      <c r="P40" s="17"/>
    </row>
    <row r="41" spans="1:16">
      <c r="A41" s="40" t="s">
        <v>509</v>
      </c>
      <c r="B41" s="17"/>
      <c r="C41" s="17"/>
      <c r="D41" s="17"/>
      <c r="E41" s="17"/>
      <c r="F41" s="17"/>
      <c r="G41" s="17"/>
      <c r="H41" s="17"/>
      <c r="I41" s="17"/>
      <c r="J41" s="17"/>
      <c r="K41" s="17"/>
      <c r="L41" s="17"/>
      <c r="M41" s="17"/>
      <c r="N41" s="17"/>
      <c r="O41" s="17"/>
      <c r="P41" s="17"/>
    </row>
    <row r="42" spans="1:16">
      <c r="A42" s="40" t="s">
        <v>510</v>
      </c>
      <c r="B42" s="17"/>
      <c r="C42" s="17"/>
      <c r="D42" s="17"/>
      <c r="E42" s="17"/>
      <c r="F42" s="17"/>
      <c r="G42" s="17"/>
      <c r="H42" s="17"/>
      <c r="I42" s="17"/>
      <c r="J42" s="17"/>
      <c r="K42" s="17"/>
      <c r="L42" s="17"/>
      <c r="M42" s="17"/>
      <c r="N42" s="17"/>
      <c r="O42" s="17"/>
      <c r="P42" s="17"/>
    </row>
    <row r="43" spans="1:16">
      <c r="A43" s="40" t="s">
        <v>511</v>
      </c>
      <c r="B43" s="17"/>
      <c r="C43" s="17"/>
      <c r="D43" s="17"/>
      <c r="E43" s="17"/>
      <c r="F43" s="17"/>
      <c r="G43" s="17"/>
      <c r="H43" s="17"/>
      <c r="I43" s="17"/>
      <c r="J43" s="17"/>
      <c r="K43" s="17"/>
      <c r="L43" s="17"/>
      <c r="M43" s="17"/>
      <c r="N43" s="17"/>
      <c r="O43" s="17"/>
      <c r="P43" s="17"/>
    </row>
    <row r="44" spans="1:16">
      <c r="A44" s="40" t="s">
        <v>512</v>
      </c>
      <c r="B44" s="17"/>
      <c r="C44" s="17"/>
      <c r="D44" s="17"/>
      <c r="E44" s="17"/>
      <c r="F44" s="17"/>
      <c r="G44" s="17"/>
      <c r="H44" s="17"/>
      <c r="I44" s="17"/>
      <c r="J44" s="17"/>
      <c r="K44" s="17"/>
      <c r="L44" s="17"/>
      <c r="M44" s="17"/>
      <c r="N44" s="17"/>
      <c r="O44" s="17"/>
      <c r="P44" s="17"/>
    </row>
    <row r="45" spans="1:16">
      <c r="A45" s="40" t="s">
        <v>513</v>
      </c>
      <c r="B45" s="17"/>
      <c r="C45" s="17"/>
      <c r="D45" s="17"/>
      <c r="E45" s="17"/>
      <c r="F45" s="17"/>
      <c r="G45" s="17"/>
      <c r="H45" s="17"/>
      <c r="I45" s="17"/>
      <c r="J45" s="17"/>
      <c r="K45" s="17"/>
      <c r="L45" s="17"/>
      <c r="M45" s="17"/>
      <c r="N45" s="17"/>
      <c r="O45" s="17"/>
      <c r="P45" s="17"/>
    </row>
    <row r="46" spans="1:16">
      <c r="A46" s="40" t="s">
        <v>514</v>
      </c>
      <c r="B46" s="17"/>
      <c r="C46" s="17"/>
      <c r="D46" s="17"/>
      <c r="E46" s="17"/>
      <c r="F46" s="17"/>
      <c r="G46" s="17"/>
      <c r="H46" s="17"/>
      <c r="I46" s="17"/>
      <c r="J46" s="17"/>
      <c r="K46" s="17"/>
      <c r="L46" s="17"/>
      <c r="M46" s="17"/>
      <c r="N46" s="17"/>
      <c r="O46" s="17"/>
      <c r="P46" s="17"/>
    </row>
    <row r="47" spans="1:16">
      <c r="A47" s="40" t="s">
        <v>515</v>
      </c>
      <c r="B47" s="17"/>
      <c r="C47" s="17"/>
      <c r="D47" s="17"/>
      <c r="E47" s="17"/>
      <c r="F47" s="17"/>
      <c r="G47" s="17"/>
      <c r="H47" s="17"/>
      <c r="I47" s="17"/>
      <c r="J47" s="17"/>
      <c r="K47" s="17"/>
      <c r="L47" s="17"/>
      <c r="M47" s="17"/>
      <c r="N47" s="17"/>
      <c r="O47" s="17"/>
      <c r="P47" s="17"/>
    </row>
    <row r="48" spans="1:16" s="28" customFormat="1" ht="14.5">
      <c r="A48" s="17"/>
      <c r="B48" s="17"/>
      <c r="C48" s="17"/>
      <c r="D48" s="17"/>
      <c r="E48" s="17"/>
      <c r="F48" s="17"/>
      <c r="G48" s="17"/>
      <c r="H48" s="17"/>
      <c r="I48" s="17"/>
      <c r="J48" s="17"/>
      <c r="K48" s="17"/>
      <c r="L48" s="17"/>
      <c r="M48" s="17"/>
      <c r="N48" s="17"/>
      <c r="O48" s="17"/>
      <c r="P48" s="17"/>
    </row>
    <row r="49" spans="1:16" s="28" customFormat="1" ht="14.5">
      <c r="A49" s="17"/>
      <c r="B49" s="17"/>
      <c r="C49" s="17"/>
      <c r="D49" s="17"/>
      <c r="E49" s="17"/>
      <c r="F49" s="17"/>
      <c r="G49" s="17"/>
      <c r="H49" s="17"/>
      <c r="I49" s="17"/>
      <c r="J49" s="17"/>
      <c r="K49" s="17"/>
      <c r="L49" s="17"/>
      <c r="M49" s="17"/>
      <c r="N49" s="17"/>
      <c r="O49" s="17"/>
      <c r="P49" s="17"/>
    </row>
    <row r="50" spans="1:16" s="28" customFormat="1" ht="14.5">
      <c r="A50" s="17"/>
      <c r="B50" s="17"/>
      <c r="C50" s="17"/>
      <c r="D50" s="17"/>
      <c r="E50" s="17"/>
      <c r="F50" s="17"/>
      <c r="G50" s="17"/>
      <c r="H50" s="17"/>
      <c r="I50" s="17"/>
      <c r="J50" s="17"/>
      <c r="K50" s="17"/>
      <c r="L50" s="17"/>
      <c r="M50" s="17"/>
      <c r="N50" s="17"/>
      <c r="O50" s="17"/>
      <c r="P50" s="17"/>
    </row>
    <row r="51" spans="1:16" s="28" customFormat="1" ht="14.5">
      <c r="A51" s="17"/>
      <c r="B51" s="17"/>
      <c r="C51" s="17"/>
      <c r="D51" s="17"/>
      <c r="E51" s="17"/>
      <c r="F51" s="17"/>
      <c r="G51" s="17"/>
      <c r="H51" s="17"/>
      <c r="I51" s="17"/>
      <c r="J51" s="17"/>
      <c r="K51" s="17"/>
      <c r="L51" s="17"/>
      <c r="M51" s="17"/>
      <c r="N51" s="17"/>
      <c r="O51" s="17"/>
      <c r="P51" s="17"/>
    </row>
    <row r="52" spans="1:16" s="28" customFormat="1" ht="14.5">
      <c r="A52" s="17"/>
      <c r="B52" s="17"/>
      <c r="C52" s="17"/>
      <c r="D52" s="17"/>
      <c r="E52" s="17"/>
      <c r="F52" s="17"/>
      <c r="G52" s="17"/>
      <c r="H52" s="17"/>
      <c r="I52" s="17"/>
      <c r="J52" s="17"/>
      <c r="K52" s="17"/>
      <c r="L52" s="17"/>
      <c r="M52" s="17"/>
      <c r="N52" s="17"/>
      <c r="O52" s="17"/>
      <c r="P52" s="17"/>
    </row>
    <row r="53" spans="1:16" s="28" customFormat="1" ht="14.5">
      <c r="A53" s="17"/>
      <c r="B53" s="17"/>
      <c r="C53" s="17"/>
      <c r="D53" s="17"/>
      <c r="E53" s="17"/>
      <c r="F53" s="17"/>
      <c r="G53" s="17"/>
      <c r="H53" s="17"/>
      <c r="I53" s="17"/>
      <c r="J53" s="17"/>
      <c r="K53" s="17"/>
      <c r="L53" s="17"/>
      <c r="M53" s="17"/>
      <c r="N53" s="17"/>
      <c r="O53" s="17"/>
      <c r="P53" s="17"/>
    </row>
    <row r="54" spans="1:16" s="28" customFormat="1" ht="14.5">
      <c r="A54" s="17"/>
      <c r="B54" s="17"/>
      <c r="C54" s="17"/>
      <c r="D54" s="17"/>
      <c r="E54" s="17"/>
      <c r="F54" s="17"/>
      <c r="G54" s="17"/>
      <c r="H54" s="17"/>
      <c r="I54" s="17"/>
      <c r="J54" s="17"/>
      <c r="K54" s="17"/>
      <c r="L54" s="17"/>
      <c r="M54" s="17"/>
      <c r="N54" s="17"/>
      <c r="O54" s="17"/>
      <c r="P54" s="17"/>
    </row>
    <row r="55" spans="1:16" s="28" customFormat="1" ht="14.5">
      <c r="A55" s="17"/>
      <c r="B55" s="17"/>
      <c r="C55" s="17"/>
      <c r="D55" s="17"/>
      <c r="E55" s="17"/>
      <c r="F55" s="17"/>
      <c r="G55" s="17"/>
      <c r="H55" s="17"/>
      <c r="I55" s="17"/>
      <c r="J55" s="17"/>
      <c r="K55" s="17"/>
      <c r="L55" s="17"/>
      <c r="M55" s="17"/>
      <c r="N55" s="17"/>
      <c r="O55" s="17"/>
      <c r="P55" s="17"/>
    </row>
    <row r="56" spans="1:16" s="28" customFormat="1" ht="14.5">
      <c r="A56" s="17"/>
      <c r="B56" s="17"/>
      <c r="C56" s="17"/>
      <c r="D56" s="17"/>
      <c r="E56" s="17"/>
      <c r="F56" s="17"/>
      <c r="G56" s="17"/>
      <c r="H56" s="17"/>
      <c r="I56" s="17"/>
      <c r="J56" s="17"/>
      <c r="K56" s="17"/>
      <c r="L56" s="17"/>
      <c r="M56" s="17"/>
      <c r="N56" s="17"/>
      <c r="O56" s="17"/>
      <c r="P56" s="17"/>
    </row>
    <row r="57" spans="1:16" s="28" customFormat="1" ht="14.5">
      <c r="A57" s="17"/>
      <c r="B57" s="17"/>
      <c r="C57" s="17"/>
      <c r="D57" s="17"/>
      <c r="E57" s="17"/>
      <c r="F57" s="17"/>
      <c r="G57" s="17"/>
      <c r="H57" s="17"/>
      <c r="I57" s="17"/>
      <c r="J57" s="17"/>
      <c r="K57" s="17"/>
      <c r="L57" s="17"/>
      <c r="M57" s="17"/>
      <c r="N57" s="17"/>
      <c r="O57" s="17"/>
      <c r="P57" s="17"/>
    </row>
    <row r="58" spans="1:16" s="28" customFormat="1" ht="14.5">
      <c r="A58" s="17"/>
      <c r="B58" s="17"/>
      <c r="C58" s="17"/>
      <c r="D58" s="17"/>
      <c r="E58" s="17"/>
      <c r="F58" s="17"/>
      <c r="G58" s="17"/>
      <c r="H58" s="17"/>
      <c r="I58" s="17"/>
      <c r="J58" s="17"/>
      <c r="K58" s="17"/>
      <c r="L58" s="17"/>
      <c r="M58" s="17"/>
      <c r="N58" s="17"/>
      <c r="O58" s="17"/>
      <c r="P58" s="17"/>
    </row>
    <row r="59" spans="1:16" s="28" customFormat="1" ht="14.5">
      <c r="A59" s="17"/>
      <c r="B59" s="17"/>
      <c r="C59" s="17"/>
      <c r="D59" s="17"/>
      <c r="E59" s="17"/>
      <c r="F59" s="17"/>
      <c r="G59" s="17"/>
      <c r="H59" s="17"/>
      <c r="I59" s="17"/>
      <c r="J59" s="17"/>
      <c r="K59" s="17"/>
      <c r="L59" s="17"/>
      <c r="M59" s="17"/>
      <c r="N59" s="17"/>
      <c r="O59" s="17"/>
      <c r="P59" s="17"/>
    </row>
    <row r="60" spans="1:16" s="28" customFormat="1" ht="14.5">
      <c r="A60" s="17"/>
      <c r="B60" s="17"/>
      <c r="C60" s="17"/>
      <c r="D60" s="17"/>
      <c r="E60" s="17"/>
      <c r="F60" s="17"/>
      <c r="G60" s="17"/>
      <c r="H60" s="17"/>
      <c r="I60" s="17"/>
      <c r="J60" s="17"/>
      <c r="K60" s="17"/>
      <c r="L60" s="17"/>
      <c r="M60" s="17"/>
      <c r="N60" s="17"/>
      <c r="O60" s="17"/>
      <c r="P60" s="17"/>
    </row>
    <row r="61" spans="1:16" s="28" customFormat="1" ht="14.5">
      <c r="A61" s="17"/>
      <c r="B61" s="17"/>
      <c r="C61" s="17"/>
      <c r="D61" s="17"/>
      <c r="E61" s="17"/>
      <c r="F61" s="17"/>
      <c r="G61" s="17"/>
      <c r="H61" s="17"/>
      <c r="I61" s="17"/>
      <c r="J61" s="17"/>
      <c r="K61" s="17"/>
      <c r="L61" s="17"/>
      <c r="M61" s="17"/>
      <c r="N61" s="17"/>
      <c r="O61" s="17"/>
      <c r="P61" s="17"/>
    </row>
    <row r="62" spans="1:16" s="28" customFormat="1" ht="14.5">
      <c r="A62" s="17"/>
      <c r="B62" s="17"/>
      <c r="C62" s="17"/>
      <c r="D62" s="17"/>
      <c r="E62" s="17"/>
      <c r="F62" s="17"/>
      <c r="G62" s="17"/>
      <c r="H62" s="17"/>
      <c r="I62" s="17"/>
      <c r="J62" s="17"/>
      <c r="K62" s="17"/>
      <c r="L62" s="17"/>
      <c r="M62" s="17"/>
      <c r="N62" s="17"/>
      <c r="O62" s="17"/>
      <c r="P62" s="17"/>
    </row>
    <row r="63" spans="1:16" s="28" customFormat="1" ht="14.5">
      <c r="A63" s="17"/>
      <c r="B63" s="17"/>
      <c r="C63" s="17"/>
      <c r="D63" s="17"/>
      <c r="E63" s="17"/>
      <c r="F63" s="17"/>
      <c r="G63" s="17"/>
      <c r="H63" s="17"/>
      <c r="I63" s="17"/>
      <c r="J63" s="17"/>
      <c r="K63" s="17"/>
      <c r="L63" s="17"/>
      <c r="M63" s="17"/>
      <c r="N63" s="17"/>
      <c r="O63" s="17"/>
      <c r="P63" s="17"/>
    </row>
    <row r="64" spans="1:16" s="28" customFormat="1" ht="14.5">
      <c r="A64" s="17"/>
      <c r="B64" s="17"/>
      <c r="C64" s="17"/>
      <c r="D64" s="17"/>
      <c r="E64" s="17"/>
      <c r="F64" s="17"/>
      <c r="G64" s="17"/>
      <c r="H64" s="17"/>
      <c r="I64" s="17"/>
      <c r="J64" s="17"/>
      <c r="K64" s="17"/>
      <c r="L64" s="17"/>
      <c r="M64" s="17"/>
      <c r="N64" s="17"/>
      <c r="O64" s="17"/>
      <c r="P64" s="17"/>
    </row>
    <row r="65" spans="1:16" s="28" customFormat="1" ht="14.5">
      <c r="A65" s="17"/>
      <c r="B65" s="17"/>
      <c r="C65" s="17"/>
      <c r="D65" s="17"/>
      <c r="E65" s="17"/>
      <c r="F65" s="17"/>
      <c r="G65" s="17"/>
      <c r="H65" s="17"/>
      <c r="I65" s="17"/>
      <c r="J65" s="17"/>
      <c r="K65" s="17"/>
      <c r="L65" s="17"/>
      <c r="M65" s="17"/>
      <c r="N65" s="17"/>
      <c r="O65" s="17"/>
      <c r="P65" s="17"/>
    </row>
    <row r="66" spans="1:16" s="28" customFormat="1" ht="14.5">
      <c r="A66" s="17"/>
      <c r="B66" s="17"/>
      <c r="C66" s="17"/>
      <c r="D66" s="17"/>
      <c r="E66" s="17"/>
      <c r="F66" s="17"/>
      <c r="G66" s="17"/>
      <c r="H66" s="17"/>
      <c r="I66" s="17"/>
      <c r="J66" s="17"/>
      <c r="K66" s="17"/>
      <c r="L66" s="17"/>
      <c r="M66" s="17"/>
      <c r="N66" s="17"/>
      <c r="O66" s="17"/>
      <c r="P66" s="17"/>
    </row>
    <row r="67" spans="1:16" s="28" customFormat="1" ht="14.5">
      <c r="A67" s="17"/>
      <c r="B67" s="17"/>
      <c r="C67" s="17"/>
      <c r="D67" s="17"/>
      <c r="E67" s="17"/>
      <c r="F67" s="17"/>
      <c r="G67" s="17"/>
      <c r="H67" s="17"/>
      <c r="I67" s="17"/>
      <c r="J67" s="17"/>
      <c r="K67" s="17"/>
      <c r="L67" s="17"/>
      <c r="M67" s="17"/>
      <c r="N67" s="17"/>
      <c r="O67" s="17"/>
      <c r="P67" s="17"/>
    </row>
    <row r="68" spans="1:16" s="28" customFormat="1" ht="14.5">
      <c r="A68" s="17"/>
      <c r="B68" s="17"/>
      <c r="C68" s="17"/>
      <c r="D68" s="17"/>
      <c r="E68" s="17"/>
      <c r="F68" s="17"/>
      <c r="G68" s="17"/>
      <c r="H68" s="17"/>
      <c r="I68" s="17"/>
      <c r="J68" s="17"/>
      <c r="K68" s="17"/>
      <c r="L68" s="17"/>
      <c r="M68" s="17"/>
      <c r="N68" s="17"/>
      <c r="O68" s="17"/>
      <c r="P68" s="17"/>
    </row>
    <row r="69" spans="1:16" s="28" customFormat="1" ht="14.5">
      <c r="A69" s="17"/>
      <c r="B69" s="17"/>
      <c r="C69" s="17"/>
      <c r="D69" s="17"/>
      <c r="E69" s="17"/>
      <c r="F69" s="17"/>
      <c r="G69" s="17"/>
      <c r="H69" s="17"/>
      <c r="I69" s="17"/>
      <c r="J69" s="17"/>
      <c r="K69" s="17"/>
      <c r="L69" s="17"/>
      <c r="M69" s="17"/>
      <c r="N69" s="17"/>
      <c r="O69" s="17"/>
      <c r="P69" s="17"/>
    </row>
    <row r="70" spans="1:16" s="28" customFormat="1" ht="14.5">
      <c r="A70" s="17"/>
      <c r="B70" s="17"/>
      <c r="C70" s="17"/>
      <c r="D70" s="17"/>
      <c r="E70" s="17"/>
      <c r="F70" s="17"/>
      <c r="G70" s="17"/>
      <c r="H70" s="17"/>
      <c r="I70" s="17"/>
      <c r="J70" s="17"/>
      <c r="K70" s="17"/>
      <c r="L70" s="17"/>
      <c r="M70" s="17"/>
      <c r="N70" s="17"/>
      <c r="O70" s="17"/>
      <c r="P70" s="17"/>
    </row>
    <row r="71" spans="1:16" s="28" customFormat="1" ht="14.5">
      <c r="A71" s="17"/>
      <c r="B71" s="17"/>
      <c r="C71" s="17"/>
      <c r="D71" s="17"/>
      <c r="E71" s="17"/>
      <c r="F71" s="17"/>
      <c r="G71" s="17"/>
      <c r="H71" s="17"/>
      <c r="I71" s="17"/>
      <c r="J71" s="17"/>
      <c r="K71" s="17"/>
      <c r="L71" s="17"/>
      <c r="M71" s="17"/>
      <c r="N71" s="17"/>
      <c r="O71" s="17"/>
      <c r="P71" s="17"/>
    </row>
    <row r="72" spans="1:16" s="28" customFormat="1" ht="14.5">
      <c r="A72" s="17"/>
      <c r="B72" s="17"/>
      <c r="C72" s="17"/>
      <c r="D72" s="17"/>
      <c r="E72" s="17"/>
      <c r="F72" s="17"/>
      <c r="G72" s="17"/>
      <c r="H72" s="17"/>
      <c r="I72" s="17"/>
      <c r="J72" s="17"/>
      <c r="K72" s="17"/>
      <c r="L72" s="17"/>
      <c r="M72" s="17"/>
      <c r="N72" s="17"/>
      <c r="O72" s="17"/>
      <c r="P72" s="17"/>
    </row>
    <row r="73" spans="1:16" s="28" customFormat="1" ht="14.5">
      <c r="A73" s="17"/>
      <c r="B73" s="17"/>
      <c r="C73" s="17"/>
      <c r="D73" s="17"/>
      <c r="E73" s="17"/>
      <c r="F73" s="17"/>
      <c r="G73" s="17"/>
      <c r="H73" s="17"/>
      <c r="I73" s="17"/>
      <c r="J73" s="17"/>
      <c r="K73" s="17"/>
      <c r="L73" s="17"/>
      <c r="M73" s="17"/>
      <c r="N73" s="17"/>
      <c r="O73" s="17"/>
      <c r="P73" s="17"/>
    </row>
    <row r="74" spans="1:16" s="28" customFormat="1" ht="14.5">
      <c r="A74" s="17"/>
      <c r="B74" s="17"/>
      <c r="C74" s="17"/>
      <c r="D74" s="17"/>
      <c r="E74" s="17"/>
      <c r="F74" s="17"/>
      <c r="G74" s="17"/>
      <c r="H74" s="17"/>
      <c r="I74" s="17"/>
      <c r="J74" s="17"/>
      <c r="K74" s="17"/>
      <c r="L74" s="17"/>
      <c r="M74" s="17"/>
      <c r="N74" s="17"/>
      <c r="O74" s="17"/>
      <c r="P74" s="17"/>
    </row>
    <row r="75" spans="1:16" s="28" customFormat="1" ht="14.5">
      <c r="A75" s="17"/>
      <c r="B75" s="17"/>
      <c r="C75" s="17"/>
      <c r="D75" s="17"/>
      <c r="E75" s="17"/>
      <c r="F75" s="17"/>
      <c r="G75" s="17"/>
      <c r="H75" s="17"/>
      <c r="I75" s="17"/>
      <c r="J75" s="17"/>
      <c r="K75" s="17"/>
      <c r="L75" s="17"/>
      <c r="M75" s="17"/>
      <c r="N75" s="17"/>
      <c r="O75" s="17"/>
      <c r="P75" s="17"/>
    </row>
    <row r="76" spans="1:16" s="28" customFormat="1" ht="14.5">
      <c r="A76" s="17"/>
      <c r="B76" s="17"/>
      <c r="C76" s="17"/>
      <c r="D76" s="17"/>
      <c r="E76" s="17"/>
      <c r="F76" s="17"/>
      <c r="G76" s="17"/>
      <c r="H76" s="17"/>
      <c r="I76" s="17"/>
      <c r="J76" s="17"/>
      <c r="K76" s="17"/>
      <c r="L76" s="17"/>
      <c r="M76" s="17"/>
      <c r="N76" s="17"/>
      <c r="O76" s="17"/>
      <c r="P76" s="17"/>
    </row>
    <row r="77" spans="1:16" s="28" customFormat="1" ht="14.5">
      <c r="A77" s="17"/>
      <c r="B77" s="17"/>
      <c r="C77" s="17"/>
      <c r="D77" s="17"/>
      <c r="E77" s="17"/>
      <c r="F77" s="17"/>
      <c r="G77" s="17"/>
      <c r="H77" s="17"/>
      <c r="I77" s="17"/>
      <c r="J77" s="17"/>
      <c r="K77" s="17"/>
      <c r="L77" s="17"/>
      <c r="M77" s="17"/>
      <c r="N77" s="17"/>
      <c r="O77" s="17"/>
      <c r="P77" s="17"/>
    </row>
    <row r="78" spans="1:16" s="28" customFormat="1" ht="14.5">
      <c r="A78" s="17"/>
      <c r="B78" s="17"/>
      <c r="C78" s="17"/>
      <c r="D78" s="17"/>
      <c r="E78" s="17"/>
      <c r="F78" s="17"/>
      <c r="G78" s="17"/>
      <c r="H78" s="17"/>
      <c r="I78" s="17"/>
      <c r="J78" s="17"/>
      <c r="K78" s="17"/>
      <c r="L78" s="17"/>
      <c r="M78" s="17"/>
      <c r="N78" s="17"/>
      <c r="O78" s="17"/>
      <c r="P78" s="17"/>
    </row>
    <row r="79" spans="1:16" s="28" customFormat="1" ht="14.5">
      <c r="A79" s="17"/>
      <c r="B79" s="17"/>
      <c r="C79" s="17"/>
      <c r="D79" s="17"/>
      <c r="E79" s="17"/>
      <c r="F79" s="17"/>
      <c r="G79" s="17"/>
      <c r="H79" s="17"/>
      <c r="I79" s="17"/>
      <c r="J79" s="17"/>
      <c r="K79" s="17"/>
      <c r="L79" s="17"/>
      <c r="M79" s="17"/>
      <c r="N79" s="17"/>
      <c r="O79" s="17"/>
      <c r="P79" s="17"/>
    </row>
    <row r="80" spans="1:16" s="28" customFormat="1" ht="14.5">
      <c r="A80" s="17"/>
      <c r="B80" s="17"/>
      <c r="C80" s="17"/>
      <c r="D80" s="17"/>
      <c r="E80" s="17"/>
      <c r="F80" s="17"/>
      <c r="G80" s="17"/>
      <c r="H80" s="17"/>
      <c r="I80" s="17"/>
      <c r="J80" s="17"/>
      <c r="K80" s="17"/>
      <c r="L80" s="17"/>
      <c r="M80" s="17"/>
      <c r="N80" s="17"/>
      <c r="O80" s="17"/>
      <c r="P80" s="17"/>
    </row>
    <row r="81" spans="1:16" s="28" customFormat="1" ht="14.5">
      <c r="A81" s="17"/>
      <c r="B81" s="17"/>
      <c r="C81" s="17"/>
      <c r="D81" s="17"/>
      <c r="E81" s="17"/>
      <c r="F81" s="17"/>
      <c r="G81" s="17"/>
      <c r="H81" s="17"/>
      <c r="I81" s="17"/>
      <c r="J81" s="17"/>
      <c r="K81" s="17"/>
      <c r="L81" s="17"/>
      <c r="M81" s="17"/>
      <c r="N81" s="17"/>
      <c r="O81" s="17"/>
      <c r="P81" s="17"/>
    </row>
    <row r="82" spans="1:16" s="28" customFormat="1" ht="14.5">
      <c r="A82" s="17"/>
      <c r="B82" s="17"/>
      <c r="C82" s="17"/>
      <c r="D82" s="17"/>
      <c r="E82" s="17"/>
      <c r="F82" s="17"/>
      <c r="G82" s="17"/>
      <c r="H82" s="17"/>
      <c r="I82" s="17"/>
      <c r="J82" s="17"/>
      <c r="K82" s="17"/>
      <c r="L82" s="17"/>
      <c r="M82" s="17"/>
      <c r="N82" s="17"/>
      <c r="O82" s="17"/>
      <c r="P82" s="17"/>
    </row>
    <row r="83" spans="1:16" s="28" customFormat="1" ht="14.5">
      <c r="A83" s="17"/>
      <c r="B83" s="17"/>
      <c r="C83" s="17"/>
      <c r="D83" s="17"/>
      <c r="E83" s="17"/>
      <c r="F83" s="17"/>
      <c r="G83" s="17"/>
      <c r="H83" s="17"/>
      <c r="I83" s="17"/>
      <c r="J83" s="17"/>
      <c r="K83" s="17"/>
      <c r="L83" s="17"/>
      <c r="M83" s="17"/>
      <c r="N83" s="17"/>
      <c r="O83" s="17"/>
      <c r="P83" s="17"/>
    </row>
    <row r="84" spans="1:16" s="28" customFormat="1" ht="14.5">
      <c r="A84" s="17"/>
      <c r="B84" s="17"/>
      <c r="C84" s="17"/>
      <c r="D84" s="17"/>
      <c r="E84" s="17"/>
      <c r="F84" s="17"/>
      <c r="G84" s="17"/>
      <c r="H84" s="17"/>
      <c r="I84" s="17"/>
      <c r="J84" s="17"/>
      <c r="K84" s="17"/>
      <c r="L84" s="17"/>
      <c r="M84" s="17"/>
      <c r="N84" s="17"/>
      <c r="O84" s="17"/>
      <c r="P84" s="17"/>
    </row>
    <row r="85" spans="1:16" s="28" customFormat="1" ht="14.5">
      <c r="A85" s="17"/>
      <c r="B85" s="17"/>
      <c r="C85" s="17"/>
      <c r="D85" s="17"/>
      <c r="E85" s="17"/>
      <c r="F85" s="17"/>
      <c r="G85" s="17"/>
      <c r="H85" s="17"/>
      <c r="I85" s="17"/>
      <c r="J85" s="17"/>
      <c r="K85" s="17"/>
      <c r="L85" s="17"/>
      <c r="M85" s="17"/>
      <c r="N85" s="17"/>
      <c r="O85" s="17"/>
      <c r="P85" s="17"/>
    </row>
    <row r="86" spans="1:16" s="28" customFormat="1" ht="14.5">
      <c r="A86" s="17"/>
      <c r="B86" s="17"/>
      <c r="C86" s="17"/>
      <c r="D86" s="17"/>
      <c r="E86" s="17"/>
      <c r="F86" s="17"/>
      <c r="G86" s="17"/>
      <c r="H86" s="17"/>
      <c r="I86" s="17"/>
      <c r="J86" s="17"/>
      <c r="K86" s="17"/>
      <c r="L86" s="17"/>
      <c r="M86" s="17"/>
      <c r="N86" s="17"/>
      <c r="O86" s="17"/>
      <c r="P86" s="17"/>
    </row>
    <row r="87" spans="1:16" s="28" customFormat="1" ht="14.5">
      <c r="A87" s="17"/>
      <c r="B87" s="17"/>
      <c r="C87" s="17"/>
      <c r="D87" s="17"/>
      <c r="E87" s="17"/>
      <c r="F87" s="17"/>
      <c r="G87" s="17"/>
      <c r="H87" s="17"/>
      <c r="I87" s="17"/>
      <c r="J87" s="17"/>
      <c r="K87" s="17"/>
      <c r="L87" s="17"/>
      <c r="M87" s="17"/>
      <c r="N87" s="17"/>
      <c r="O87" s="17"/>
      <c r="P87" s="17"/>
    </row>
    <row r="88" spans="1:16" s="28" customFormat="1" ht="14.5">
      <c r="A88" s="17"/>
      <c r="B88" s="17"/>
      <c r="C88" s="17"/>
      <c r="D88" s="17"/>
      <c r="E88" s="17"/>
      <c r="F88" s="17"/>
      <c r="G88" s="17"/>
      <c r="H88" s="17"/>
      <c r="I88" s="17"/>
      <c r="J88" s="17"/>
      <c r="K88" s="17"/>
      <c r="L88" s="17"/>
      <c r="M88" s="17"/>
      <c r="N88" s="17"/>
      <c r="O88" s="17"/>
      <c r="P88" s="17"/>
    </row>
    <row r="89" spans="1:16" s="28" customFormat="1" ht="14.5">
      <c r="A89" s="17"/>
      <c r="B89" s="17"/>
      <c r="C89" s="17"/>
      <c r="D89" s="17"/>
      <c r="E89" s="17"/>
      <c r="F89" s="17"/>
      <c r="G89" s="17"/>
      <c r="H89" s="17"/>
      <c r="I89" s="17"/>
      <c r="J89" s="17"/>
      <c r="K89" s="17"/>
      <c r="L89" s="17"/>
      <c r="M89" s="17"/>
      <c r="N89" s="17"/>
      <c r="O89" s="17"/>
      <c r="P89" s="17"/>
    </row>
    <row r="90" spans="1:16" s="28" customFormat="1" ht="14.5">
      <c r="A90" s="17"/>
      <c r="B90" s="17"/>
      <c r="C90" s="17"/>
      <c r="D90" s="17"/>
      <c r="E90" s="17"/>
      <c r="F90" s="17"/>
      <c r="G90" s="17"/>
      <c r="H90" s="17"/>
      <c r="I90" s="17"/>
      <c r="J90" s="17"/>
      <c r="K90" s="17"/>
      <c r="L90" s="17"/>
      <c r="M90" s="17"/>
      <c r="N90" s="17"/>
      <c r="O90" s="17"/>
      <c r="P90" s="17"/>
    </row>
    <row r="91" spans="1:16" s="28" customFormat="1" ht="14.5">
      <c r="A91" s="17"/>
      <c r="B91" s="17"/>
      <c r="C91" s="17"/>
      <c r="D91" s="17"/>
      <c r="E91" s="17"/>
      <c r="F91" s="17"/>
      <c r="G91" s="17"/>
      <c r="H91" s="17"/>
      <c r="I91" s="17"/>
      <c r="J91" s="17"/>
      <c r="K91" s="17"/>
      <c r="L91" s="17"/>
      <c r="M91" s="17"/>
      <c r="N91" s="17"/>
      <c r="O91" s="17"/>
      <c r="P91" s="17"/>
    </row>
    <row r="92" spans="1:16" s="28" customFormat="1" ht="14.5">
      <c r="A92" s="17"/>
      <c r="B92" s="17"/>
      <c r="C92" s="17"/>
      <c r="D92" s="17"/>
      <c r="E92" s="17"/>
      <c r="F92" s="17"/>
      <c r="G92" s="17"/>
      <c r="H92" s="17"/>
      <c r="I92" s="17"/>
      <c r="J92" s="17"/>
      <c r="K92" s="17"/>
      <c r="L92" s="17"/>
      <c r="M92" s="17"/>
      <c r="N92" s="17"/>
      <c r="O92" s="17"/>
      <c r="P92" s="17"/>
    </row>
    <row r="93" spans="1:16" s="28" customFormat="1" ht="14.5">
      <c r="A93" s="17"/>
      <c r="B93" s="17"/>
      <c r="C93" s="17"/>
      <c r="D93" s="17"/>
      <c r="E93" s="17"/>
      <c r="F93" s="17"/>
      <c r="G93" s="17"/>
      <c r="H93" s="17"/>
      <c r="I93" s="17"/>
      <c r="J93" s="17"/>
      <c r="K93" s="17"/>
      <c r="L93" s="17"/>
      <c r="M93" s="17"/>
      <c r="N93" s="17"/>
      <c r="O93" s="17"/>
      <c r="P93" s="17"/>
    </row>
    <row r="94" spans="1:16" s="28" customFormat="1" ht="14.5">
      <c r="A94" s="17"/>
      <c r="B94" s="17"/>
      <c r="C94" s="17"/>
      <c r="D94" s="17"/>
      <c r="E94" s="17"/>
      <c r="F94" s="17"/>
      <c r="G94" s="17"/>
      <c r="H94" s="17"/>
      <c r="I94" s="17"/>
      <c r="J94" s="17"/>
      <c r="K94" s="17"/>
      <c r="L94" s="17"/>
      <c r="M94" s="17"/>
      <c r="N94" s="17"/>
      <c r="O94" s="17"/>
      <c r="P94" s="17"/>
    </row>
    <row r="95" spans="1:16" s="28" customFormat="1" ht="14.5">
      <c r="A95" s="17"/>
      <c r="B95" s="17"/>
      <c r="C95" s="17"/>
      <c r="D95" s="17"/>
      <c r="E95" s="17"/>
      <c r="F95" s="17"/>
      <c r="G95" s="17"/>
      <c r="H95" s="17"/>
      <c r="I95" s="17"/>
      <c r="J95" s="17"/>
      <c r="K95" s="17"/>
      <c r="L95" s="17"/>
      <c r="M95" s="17"/>
      <c r="N95" s="17"/>
      <c r="O95" s="17"/>
      <c r="P95" s="17"/>
    </row>
  </sheetData>
  <sheetProtection formatCells="0" formatColumns="0" formatRows="0" insertColumns="0" insertRows="0" insertHyperlinks="0" deleteColumns="0" deleteRows="0" sort="0" autoFilter="0" pivotTables="0"/>
  <mergeCells count="22">
    <mergeCell ref="A11:P12"/>
    <mergeCell ref="A16:E17"/>
    <mergeCell ref="F16:H17"/>
    <mergeCell ref="I16:M16"/>
    <mergeCell ref="N16:P17"/>
    <mergeCell ref="I17:J17"/>
    <mergeCell ref="K17:L17"/>
    <mergeCell ref="A21:K21"/>
    <mergeCell ref="A24:C25"/>
    <mergeCell ref="D24:H24"/>
    <mergeCell ref="I24:K25"/>
    <mergeCell ref="D25:E25"/>
    <mergeCell ref="F25:G25"/>
    <mergeCell ref="A35:K35"/>
    <mergeCell ref="A36:K36"/>
    <mergeCell ref="A37:K37"/>
    <mergeCell ref="A29:K29"/>
    <mergeCell ref="A30:K30"/>
    <mergeCell ref="A31:K31"/>
    <mergeCell ref="A32:K32"/>
    <mergeCell ref="A33:K33"/>
    <mergeCell ref="A34:K34"/>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3E9B8-8494-4C67-84AF-5D7DE2CCE464}">
  <sheetPr>
    <tabColor rgb="FF92D050"/>
  </sheetPr>
  <dimension ref="A2:N100"/>
  <sheetViews>
    <sheetView showGridLines="0" zoomScale="97" zoomScaleNormal="100" workbookViewId="0">
      <selection activeCell="A9" sqref="A9:A10"/>
    </sheetView>
  </sheetViews>
  <sheetFormatPr baseColWidth="10" defaultColWidth="11.5" defaultRowHeight="14"/>
  <cols>
    <col min="2" max="2" width="48.25" bestFit="1" customWidth="1"/>
    <col min="3" max="3" width="19.25" customWidth="1"/>
    <col min="4" max="4" width="20.83203125" customWidth="1"/>
    <col min="5" max="5" width="26.75" customWidth="1"/>
    <col min="7" max="7" width="17.75" bestFit="1" customWidth="1"/>
    <col min="8" max="8" width="42.25" style="156" bestFit="1" customWidth="1"/>
    <col min="9" max="9" width="11.5" style="44"/>
    <col min="10" max="10" width="28" bestFit="1" customWidth="1"/>
    <col min="12" max="12" width="41.75" bestFit="1" customWidth="1"/>
    <col min="13" max="13" width="16.25" customWidth="1"/>
    <col min="14" max="14" width="16.75" style="44" customWidth="1"/>
  </cols>
  <sheetData>
    <row r="2" spans="1:14" ht="18.5">
      <c r="A2" s="42" t="s">
        <v>7221</v>
      </c>
      <c r="H2" s="219" t="s">
        <v>516</v>
      </c>
      <c r="I2" s="43">
        <v>49</v>
      </c>
    </row>
    <row r="3" spans="1:14">
      <c r="H3" s="219" t="s">
        <v>517</v>
      </c>
      <c r="I3" s="43">
        <f>+I2-I4-I5</f>
        <v>37</v>
      </c>
    </row>
    <row r="4" spans="1:14">
      <c r="H4" s="219" t="s">
        <v>8620</v>
      </c>
      <c r="I4" s="43">
        <v>8</v>
      </c>
    </row>
    <row r="5" spans="1:14">
      <c r="H5" s="220" t="s">
        <v>518</v>
      </c>
      <c r="I5" s="45">
        <v>4</v>
      </c>
    </row>
    <row r="7" spans="1:14" ht="23.5" customHeight="1" thickBot="1">
      <c r="A7" s="854" t="s">
        <v>519</v>
      </c>
      <c r="B7" s="854" t="s">
        <v>520</v>
      </c>
      <c r="C7" s="854" t="s">
        <v>8621</v>
      </c>
      <c r="D7" s="854" t="s">
        <v>8588</v>
      </c>
      <c r="E7" s="854" t="s">
        <v>8587</v>
      </c>
      <c r="F7" s="854" t="s">
        <v>521</v>
      </c>
      <c r="G7" s="855" t="s">
        <v>522</v>
      </c>
      <c r="H7" s="932" t="s">
        <v>523</v>
      </c>
      <c r="I7" s="932"/>
      <c r="J7" s="932"/>
      <c r="K7" s="932"/>
      <c r="L7" s="932"/>
      <c r="M7" s="932"/>
      <c r="N7" s="932"/>
    </row>
    <row r="8" spans="1:14" ht="23.5" customHeight="1">
      <c r="A8" s="855"/>
      <c r="B8" s="855"/>
      <c r="C8" s="855"/>
      <c r="D8" s="855"/>
      <c r="E8" s="855"/>
      <c r="F8" s="855"/>
      <c r="G8" s="856"/>
      <c r="H8" s="585" t="s">
        <v>524</v>
      </c>
      <c r="I8" s="585" t="s">
        <v>525</v>
      </c>
      <c r="J8" s="585" t="s">
        <v>526</v>
      </c>
      <c r="K8" s="585" t="s">
        <v>525</v>
      </c>
      <c r="L8" s="585" t="s">
        <v>527</v>
      </c>
      <c r="M8" s="47" t="s">
        <v>485</v>
      </c>
      <c r="N8" s="47" t="s">
        <v>525</v>
      </c>
    </row>
    <row r="9" spans="1:14" s="52" customFormat="1" ht="39.65" customHeight="1">
      <c r="A9" s="889">
        <v>1</v>
      </c>
      <c r="B9" s="913" t="s">
        <v>69</v>
      </c>
      <c r="C9" s="889" t="s">
        <v>1574</v>
      </c>
      <c r="D9" s="889" t="s">
        <v>1574</v>
      </c>
      <c r="E9" s="902" t="s">
        <v>8595</v>
      </c>
      <c r="F9" s="889" t="s">
        <v>528</v>
      </c>
      <c r="G9" s="889" t="s">
        <v>2747</v>
      </c>
      <c r="H9" s="50" t="s">
        <v>530</v>
      </c>
      <c r="I9" s="51">
        <v>20</v>
      </c>
      <c r="J9" s="889"/>
      <c r="K9" s="889"/>
      <c r="L9" s="889" t="s">
        <v>531</v>
      </c>
      <c r="M9" s="889" t="s">
        <v>532</v>
      </c>
      <c r="N9" s="889">
        <v>75</v>
      </c>
    </row>
    <row r="10" spans="1:14" s="52" customFormat="1" ht="39.65" customHeight="1">
      <c r="A10" s="891"/>
      <c r="B10" s="914"/>
      <c r="C10" s="891"/>
      <c r="D10" s="891"/>
      <c r="E10" s="903"/>
      <c r="F10" s="891"/>
      <c r="G10" s="891"/>
      <c r="H10" s="50" t="s">
        <v>533</v>
      </c>
      <c r="I10" s="51">
        <v>5</v>
      </c>
      <c r="J10" s="891"/>
      <c r="K10" s="891"/>
      <c r="L10" s="891"/>
      <c r="M10" s="891"/>
      <c r="N10" s="891"/>
    </row>
    <row r="11" spans="1:14" s="52" customFormat="1" ht="60">
      <c r="A11" s="221">
        <v>2</v>
      </c>
      <c r="B11" s="222" t="s">
        <v>534</v>
      </c>
      <c r="C11" s="221" t="s">
        <v>1574</v>
      </c>
      <c r="D11" s="221" t="s">
        <v>1574</v>
      </c>
      <c r="E11" s="224" t="s">
        <v>8596</v>
      </c>
      <c r="F11" s="221" t="s">
        <v>535</v>
      </c>
      <c r="G11" s="223" t="s">
        <v>2487</v>
      </c>
      <c r="H11" s="222" t="s">
        <v>536</v>
      </c>
      <c r="I11" s="221">
        <v>20</v>
      </c>
      <c r="J11" s="221"/>
      <c r="K11" s="221"/>
      <c r="L11" s="224" t="s">
        <v>537</v>
      </c>
      <c r="M11" s="221" t="s">
        <v>538</v>
      </c>
      <c r="N11" s="221">
        <v>80</v>
      </c>
    </row>
    <row r="12" spans="1:14">
      <c r="A12" s="51">
        <v>3</v>
      </c>
      <c r="B12" s="50" t="s">
        <v>539</v>
      </c>
      <c r="C12" s="51" t="s">
        <v>1574</v>
      </c>
      <c r="D12" s="51" t="s">
        <v>1247</v>
      </c>
      <c r="E12" s="51" t="s">
        <v>1247</v>
      </c>
      <c r="F12" s="51" t="s">
        <v>540</v>
      </c>
      <c r="G12" s="51" t="s">
        <v>8343</v>
      </c>
      <c r="H12" s="50" t="s">
        <v>541</v>
      </c>
      <c r="I12" s="51">
        <v>28</v>
      </c>
      <c r="J12" s="51"/>
      <c r="K12" s="51"/>
      <c r="L12" s="51" t="s">
        <v>542</v>
      </c>
      <c r="M12" s="51" t="s">
        <v>543</v>
      </c>
      <c r="N12" s="51">
        <v>72</v>
      </c>
    </row>
    <row r="13" spans="1:14">
      <c r="A13" s="915">
        <v>4</v>
      </c>
      <c r="B13" s="898" t="s">
        <v>544</v>
      </c>
      <c r="C13" s="892" t="s">
        <v>1574</v>
      </c>
      <c r="D13" s="892" t="s">
        <v>850</v>
      </c>
      <c r="E13" s="892" t="s">
        <v>850</v>
      </c>
      <c r="F13" s="915" t="s">
        <v>545</v>
      </c>
      <c r="G13" s="915" t="s">
        <v>546</v>
      </c>
      <c r="H13" s="917" t="s">
        <v>547</v>
      </c>
      <c r="I13" s="915">
        <v>5</v>
      </c>
      <c r="J13" s="915"/>
      <c r="K13" s="915"/>
      <c r="L13" s="53" t="s">
        <v>548</v>
      </c>
      <c r="M13" s="53" t="s">
        <v>549</v>
      </c>
      <c r="N13" s="53">
        <v>80</v>
      </c>
    </row>
    <row r="14" spans="1:14">
      <c r="A14" s="930"/>
      <c r="B14" s="921"/>
      <c r="C14" s="896"/>
      <c r="D14" s="896"/>
      <c r="E14" s="896"/>
      <c r="F14" s="930"/>
      <c r="G14" s="930"/>
      <c r="H14" s="931"/>
      <c r="I14" s="930"/>
      <c r="J14" s="930"/>
      <c r="K14" s="930"/>
      <c r="L14" s="53" t="s">
        <v>550</v>
      </c>
      <c r="M14" s="53" t="s">
        <v>549</v>
      </c>
      <c r="N14" s="53">
        <v>5</v>
      </c>
    </row>
    <row r="15" spans="1:14">
      <c r="A15" s="930"/>
      <c r="B15" s="921"/>
      <c r="C15" s="896"/>
      <c r="D15" s="896"/>
      <c r="E15" s="896"/>
      <c r="F15" s="930"/>
      <c r="G15" s="930"/>
      <c r="H15" s="931"/>
      <c r="I15" s="930"/>
      <c r="J15" s="930"/>
      <c r="K15" s="930"/>
      <c r="L15" s="53" t="s">
        <v>551</v>
      </c>
      <c r="M15" s="53" t="s">
        <v>549</v>
      </c>
      <c r="N15" s="53">
        <v>5</v>
      </c>
    </row>
    <row r="16" spans="1:14">
      <c r="A16" s="916"/>
      <c r="B16" s="899"/>
      <c r="C16" s="893"/>
      <c r="D16" s="893"/>
      <c r="E16" s="893"/>
      <c r="F16" s="916"/>
      <c r="G16" s="916"/>
      <c r="H16" s="918"/>
      <c r="I16" s="916"/>
      <c r="J16" s="916"/>
      <c r="K16" s="916"/>
      <c r="L16" s="53" t="s">
        <v>552</v>
      </c>
      <c r="M16" s="53" t="s">
        <v>549</v>
      </c>
      <c r="N16" s="53">
        <v>5</v>
      </c>
    </row>
    <row r="17" spans="1:14" ht="16.5" customHeight="1">
      <c r="A17" s="889">
        <v>5</v>
      </c>
      <c r="B17" s="913" t="s">
        <v>553</v>
      </c>
      <c r="C17" s="889" t="s">
        <v>1574</v>
      </c>
      <c r="D17" s="889" t="s">
        <v>850</v>
      </c>
      <c r="E17" s="889" t="s">
        <v>850</v>
      </c>
      <c r="F17" s="889" t="s">
        <v>554</v>
      </c>
      <c r="G17" s="902" t="s">
        <v>555</v>
      </c>
      <c r="H17" s="50" t="s">
        <v>556</v>
      </c>
      <c r="I17" s="51">
        <v>44</v>
      </c>
      <c r="J17" s="889"/>
      <c r="K17" s="889"/>
      <c r="L17" s="889" t="s">
        <v>557</v>
      </c>
      <c r="M17" s="889" t="s">
        <v>543</v>
      </c>
      <c r="N17" s="889">
        <v>51</v>
      </c>
    </row>
    <row r="18" spans="1:14">
      <c r="A18" s="891"/>
      <c r="B18" s="914"/>
      <c r="C18" s="891"/>
      <c r="D18" s="891"/>
      <c r="E18" s="891"/>
      <c r="F18" s="891"/>
      <c r="G18" s="903"/>
      <c r="H18" s="50" t="s">
        <v>547</v>
      </c>
      <c r="I18" s="51">
        <v>5</v>
      </c>
      <c r="J18" s="891"/>
      <c r="K18" s="891"/>
      <c r="L18" s="891"/>
      <c r="M18" s="891"/>
      <c r="N18" s="891"/>
    </row>
    <row r="19" spans="1:14">
      <c r="A19" s="892">
        <v>6</v>
      </c>
      <c r="B19" s="898" t="s">
        <v>2586</v>
      </c>
      <c r="C19" s="892" t="s">
        <v>1574</v>
      </c>
      <c r="D19" s="892" t="s">
        <v>1247</v>
      </c>
      <c r="E19" s="892" t="s">
        <v>1247</v>
      </c>
      <c r="F19" s="892" t="s">
        <v>2478</v>
      </c>
      <c r="G19" s="927" t="s">
        <v>2748</v>
      </c>
      <c r="H19" s="898"/>
      <c r="I19" s="892"/>
      <c r="J19" s="892"/>
      <c r="K19" s="892"/>
      <c r="L19" s="228" t="s">
        <v>2749</v>
      </c>
      <c r="M19" s="228"/>
      <c r="N19" s="228">
        <v>37</v>
      </c>
    </row>
    <row r="20" spans="1:14">
      <c r="A20" s="896"/>
      <c r="B20" s="921"/>
      <c r="C20" s="896"/>
      <c r="D20" s="896"/>
      <c r="E20" s="896"/>
      <c r="F20" s="896"/>
      <c r="G20" s="928"/>
      <c r="H20" s="921"/>
      <c r="I20" s="896"/>
      <c r="J20" s="896"/>
      <c r="K20" s="896"/>
      <c r="L20" s="228" t="s">
        <v>2750</v>
      </c>
      <c r="M20" s="228" t="s">
        <v>543</v>
      </c>
      <c r="N20" s="228">
        <v>17</v>
      </c>
    </row>
    <row r="21" spans="1:14">
      <c r="A21" s="896"/>
      <c r="B21" s="921"/>
      <c r="C21" s="896"/>
      <c r="D21" s="896"/>
      <c r="E21" s="896"/>
      <c r="F21" s="896"/>
      <c r="G21" s="928"/>
      <c r="H21" s="921"/>
      <c r="I21" s="896"/>
      <c r="J21" s="896"/>
      <c r="K21" s="896"/>
      <c r="L21" s="228" t="s">
        <v>2751</v>
      </c>
      <c r="M21" s="228" t="s">
        <v>543</v>
      </c>
      <c r="N21" s="228">
        <v>13</v>
      </c>
    </row>
    <row r="22" spans="1:14">
      <c r="A22" s="896"/>
      <c r="B22" s="921"/>
      <c r="C22" s="896"/>
      <c r="D22" s="896"/>
      <c r="E22" s="896"/>
      <c r="F22" s="896"/>
      <c r="G22" s="928"/>
      <c r="H22" s="921"/>
      <c r="I22" s="896"/>
      <c r="J22" s="896"/>
      <c r="K22" s="896"/>
      <c r="L22" s="228" t="s">
        <v>2752</v>
      </c>
      <c r="M22" s="228" t="s">
        <v>543</v>
      </c>
      <c r="N22" s="228">
        <v>10</v>
      </c>
    </row>
    <row r="23" spans="1:14">
      <c r="A23" s="896"/>
      <c r="B23" s="921"/>
      <c r="C23" s="896"/>
      <c r="D23" s="896"/>
      <c r="E23" s="896"/>
      <c r="F23" s="896"/>
      <c r="G23" s="928"/>
      <c r="H23" s="921"/>
      <c r="I23" s="896"/>
      <c r="J23" s="896"/>
      <c r="K23" s="896"/>
      <c r="L23" s="228" t="s">
        <v>2753</v>
      </c>
      <c r="M23" s="228" t="s">
        <v>543</v>
      </c>
      <c r="N23" s="228">
        <v>10</v>
      </c>
    </row>
    <row r="24" spans="1:14">
      <c r="A24" s="896"/>
      <c r="B24" s="921"/>
      <c r="C24" s="896"/>
      <c r="D24" s="896"/>
      <c r="E24" s="896"/>
      <c r="F24" s="896"/>
      <c r="G24" s="928"/>
      <c r="H24" s="921"/>
      <c r="I24" s="896"/>
      <c r="J24" s="896"/>
      <c r="K24" s="896"/>
      <c r="L24" s="228" t="s">
        <v>2754</v>
      </c>
      <c r="M24" s="228"/>
      <c r="N24" s="228">
        <v>6</v>
      </c>
    </row>
    <row r="25" spans="1:14">
      <c r="A25" s="896"/>
      <c r="B25" s="921"/>
      <c r="C25" s="896"/>
      <c r="D25" s="896"/>
      <c r="E25" s="896"/>
      <c r="F25" s="896"/>
      <c r="G25" s="928"/>
      <c r="H25" s="921"/>
      <c r="I25" s="896"/>
      <c r="J25" s="896"/>
      <c r="K25" s="896"/>
      <c r="L25" s="228" t="s">
        <v>2755</v>
      </c>
      <c r="M25" s="228"/>
      <c r="N25" s="228">
        <v>5</v>
      </c>
    </row>
    <row r="26" spans="1:14">
      <c r="A26" s="893"/>
      <c r="B26" s="899"/>
      <c r="C26" s="893"/>
      <c r="D26" s="893"/>
      <c r="E26" s="893"/>
      <c r="F26" s="893"/>
      <c r="G26" s="929"/>
      <c r="H26" s="899"/>
      <c r="I26" s="893"/>
      <c r="J26" s="893"/>
      <c r="K26" s="893"/>
      <c r="L26" s="228" t="s">
        <v>2756</v>
      </c>
      <c r="M26" s="228" t="s">
        <v>543</v>
      </c>
      <c r="N26" s="228">
        <v>2</v>
      </c>
    </row>
    <row r="27" spans="1:14">
      <c r="A27" s="51">
        <v>7</v>
      </c>
      <c r="B27" s="177" t="s">
        <v>558</v>
      </c>
      <c r="C27" s="554" t="s">
        <v>850</v>
      </c>
      <c r="D27" s="51" t="s">
        <v>850</v>
      </c>
      <c r="E27" s="51" t="s">
        <v>850</v>
      </c>
      <c r="F27" s="51" t="s">
        <v>559</v>
      </c>
      <c r="G27" s="51" t="s">
        <v>560</v>
      </c>
      <c r="H27" s="50" t="s">
        <v>2747</v>
      </c>
      <c r="I27" s="51" t="s">
        <v>2747</v>
      </c>
      <c r="J27" s="51" t="s">
        <v>2747</v>
      </c>
      <c r="K27" s="51" t="s">
        <v>2747</v>
      </c>
      <c r="L27" s="51" t="s">
        <v>2747</v>
      </c>
      <c r="M27" s="51" t="s">
        <v>2747</v>
      </c>
      <c r="N27" s="51" t="s">
        <v>2747</v>
      </c>
    </row>
    <row r="28" spans="1:14">
      <c r="A28" s="221">
        <v>8</v>
      </c>
      <c r="B28" s="222" t="s">
        <v>562</v>
      </c>
      <c r="C28" s="221" t="s">
        <v>1574</v>
      </c>
      <c r="D28" s="221" t="s">
        <v>850</v>
      </c>
      <c r="E28" s="221" t="s">
        <v>850</v>
      </c>
      <c r="F28" s="221" t="s">
        <v>563</v>
      </c>
      <c r="G28" s="221" t="s">
        <v>1806</v>
      </c>
      <c r="H28" s="222" t="s">
        <v>547</v>
      </c>
      <c r="I28" s="221">
        <v>5</v>
      </c>
      <c r="J28" s="221" t="s">
        <v>2757</v>
      </c>
      <c r="K28" s="221">
        <v>95</v>
      </c>
      <c r="L28" s="221"/>
      <c r="M28" s="221"/>
      <c r="N28" s="221"/>
    </row>
    <row r="29" spans="1:14">
      <c r="A29" s="889">
        <v>9</v>
      </c>
      <c r="B29" s="913" t="s">
        <v>564</v>
      </c>
      <c r="C29" s="889" t="s">
        <v>1574</v>
      </c>
      <c r="D29" s="889" t="s">
        <v>1574</v>
      </c>
      <c r="E29" s="889" t="s">
        <v>8589</v>
      </c>
      <c r="F29" s="889" t="s">
        <v>565</v>
      </c>
      <c r="G29" s="889" t="s">
        <v>566</v>
      </c>
      <c r="H29" s="913" t="s">
        <v>567</v>
      </c>
      <c r="I29" s="889">
        <v>10</v>
      </c>
      <c r="J29" s="889"/>
      <c r="K29" s="889"/>
      <c r="L29" s="51" t="s">
        <v>568</v>
      </c>
      <c r="M29" s="51" t="s">
        <v>2747</v>
      </c>
      <c r="N29" s="51">
        <v>45</v>
      </c>
    </row>
    <row r="30" spans="1:14">
      <c r="A30" s="891"/>
      <c r="B30" s="914"/>
      <c r="C30" s="891"/>
      <c r="D30" s="891"/>
      <c r="E30" s="891"/>
      <c r="F30" s="891"/>
      <c r="G30" s="891"/>
      <c r="H30" s="914"/>
      <c r="I30" s="891"/>
      <c r="J30" s="891"/>
      <c r="K30" s="891"/>
      <c r="L30" s="51" t="s">
        <v>569</v>
      </c>
      <c r="M30" s="51" t="s">
        <v>2747</v>
      </c>
      <c r="N30" s="51">
        <v>45</v>
      </c>
    </row>
    <row r="31" spans="1:14">
      <c r="A31" s="221">
        <v>10</v>
      </c>
      <c r="B31" s="222" t="s">
        <v>570</v>
      </c>
      <c r="C31" s="221" t="s">
        <v>8622</v>
      </c>
      <c r="D31" s="221" t="s">
        <v>1247</v>
      </c>
      <c r="E31" s="221" t="s">
        <v>1247</v>
      </c>
      <c r="F31" s="221" t="s">
        <v>571</v>
      </c>
      <c r="G31" s="221" t="s">
        <v>572</v>
      </c>
      <c r="H31" s="222" t="s">
        <v>573</v>
      </c>
      <c r="I31" s="221">
        <v>100</v>
      </c>
      <c r="J31" s="221"/>
      <c r="K31" s="221"/>
      <c r="L31" s="221"/>
      <c r="M31" s="221"/>
      <c r="N31" s="221"/>
    </row>
    <row r="32" spans="1:14">
      <c r="A32" s="51">
        <v>11</v>
      </c>
      <c r="B32" s="50" t="s">
        <v>574</v>
      </c>
      <c r="C32" s="51" t="s">
        <v>1574</v>
      </c>
      <c r="D32" s="51" t="s">
        <v>1574</v>
      </c>
      <c r="E32" s="51" t="s">
        <v>8590</v>
      </c>
      <c r="F32" s="51" t="s">
        <v>575</v>
      </c>
      <c r="G32" s="51" t="s">
        <v>566</v>
      </c>
      <c r="H32" s="50" t="s">
        <v>561</v>
      </c>
      <c r="I32" s="51">
        <v>5</v>
      </c>
      <c r="J32" s="51"/>
      <c r="K32" s="51"/>
      <c r="L32" s="51" t="s">
        <v>576</v>
      </c>
      <c r="M32" s="51" t="s">
        <v>577</v>
      </c>
      <c r="N32" s="51">
        <v>95</v>
      </c>
    </row>
    <row r="33" spans="1:14">
      <c r="A33" s="892">
        <v>12</v>
      </c>
      <c r="B33" s="898" t="s">
        <v>578</v>
      </c>
      <c r="C33" s="892" t="s">
        <v>1574</v>
      </c>
      <c r="D33" s="892" t="s">
        <v>850</v>
      </c>
      <c r="E33" s="892" t="s">
        <v>850</v>
      </c>
      <c r="F33" s="892" t="s">
        <v>579</v>
      </c>
      <c r="G33" s="892" t="s">
        <v>566</v>
      </c>
      <c r="H33" s="222" t="s">
        <v>556</v>
      </c>
      <c r="I33" s="221">
        <v>30</v>
      </c>
      <c r="J33" s="892"/>
      <c r="K33" s="892"/>
      <c r="L33" s="892" t="s">
        <v>580</v>
      </c>
      <c r="M33" s="892"/>
      <c r="N33" s="892">
        <v>65</v>
      </c>
    </row>
    <row r="34" spans="1:14">
      <c r="A34" s="893"/>
      <c r="B34" s="899"/>
      <c r="C34" s="893"/>
      <c r="D34" s="893"/>
      <c r="E34" s="893"/>
      <c r="F34" s="893"/>
      <c r="G34" s="893"/>
      <c r="H34" s="222" t="s">
        <v>581</v>
      </c>
      <c r="I34" s="221">
        <v>5</v>
      </c>
      <c r="J34" s="893"/>
      <c r="K34" s="893"/>
      <c r="L34" s="893"/>
      <c r="M34" s="893"/>
      <c r="N34" s="893"/>
    </row>
    <row r="35" spans="1:14">
      <c r="A35" s="889">
        <v>13</v>
      </c>
      <c r="B35" s="913" t="s">
        <v>582</v>
      </c>
      <c r="C35" s="889" t="s">
        <v>1574</v>
      </c>
      <c r="D35" s="889" t="s">
        <v>850</v>
      </c>
      <c r="E35" s="889" t="s">
        <v>850</v>
      </c>
      <c r="F35" s="889" t="s">
        <v>583</v>
      </c>
      <c r="G35" s="889" t="s">
        <v>2758</v>
      </c>
      <c r="H35" s="913" t="s">
        <v>584</v>
      </c>
      <c r="I35" s="889">
        <v>5</v>
      </c>
      <c r="J35" s="889" t="s">
        <v>585</v>
      </c>
      <c r="K35" s="889">
        <v>4.75</v>
      </c>
      <c r="L35" s="51" t="s">
        <v>586</v>
      </c>
      <c r="M35" s="51" t="s">
        <v>587</v>
      </c>
      <c r="N35" s="51">
        <v>75</v>
      </c>
    </row>
    <row r="36" spans="1:14">
      <c r="A36" s="891"/>
      <c r="B36" s="914"/>
      <c r="C36" s="891"/>
      <c r="D36" s="891"/>
      <c r="E36" s="891"/>
      <c r="F36" s="891"/>
      <c r="G36" s="891"/>
      <c r="H36" s="914"/>
      <c r="I36" s="891"/>
      <c r="J36" s="891"/>
      <c r="K36" s="891"/>
      <c r="L36" s="51" t="s">
        <v>588</v>
      </c>
      <c r="M36" s="51" t="s">
        <v>589</v>
      </c>
      <c r="N36" s="51">
        <v>15.25</v>
      </c>
    </row>
    <row r="37" spans="1:14">
      <c r="A37" s="892">
        <v>14</v>
      </c>
      <c r="B37" s="898" t="s">
        <v>590</v>
      </c>
      <c r="C37" s="892" t="s">
        <v>1574</v>
      </c>
      <c r="D37" s="892" t="s">
        <v>850</v>
      </c>
      <c r="E37" s="892" t="s">
        <v>850</v>
      </c>
      <c r="F37" s="892" t="s">
        <v>2589</v>
      </c>
      <c r="G37" s="892" t="s">
        <v>592</v>
      </c>
      <c r="H37" s="898"/>
      <c r="I37" s="892"/>
      <c r="J37" s="892"/>
      <c r="K37" s="892"/>
      <c r="L37" s="221" t="s">
        <v>593</v>
      </c>
      <c r="M37" s="221" t="s">
        <v>594</v>
      </c>
      <c r="N37" s="221">
        <v>99.99</v>
      </c>
    </row>
    <row r="38" spans="1:14">
      <c r="A38" s="893"/>
      <c r="B38" s="899"/>
      <c r="C38" s="893"/>
      <c r="D38" s="893"/>
      <c r="E38" s="893"/>
      <c r="F38" s="893"/>
      <c r="G38" s="893"/>
      <c r="H38" s="899"/>
      <c r="I38" s="893"/>
      <c r="J38" s="893"/>
      <c r="K38" s="893"/>
      <c r="L38" s="221" t="s">
        <v>595</v>
      </c>
      <c r="M38" s="221" t="s">
        <v>594</v>
      </c>
      <c r="N38" s="221">
        <v>0.01</v>
      </c>
    </row>
    <row r="39" spans="1:14">
      <c r="A39" s="51">
        <v>15</v>
      </c>
      <c r="B39" s="50" t="s">
        <v>68</v>
      </c>
      <c r="C39" s="51" t="s">
        <v>1574</v>
      </c>
      <c r="D39" s="51" t="s">
        <v>850</v>
      </c>
      <c r="E39" s="51" t="s">
        <v>850</v>
      </c>
      <c r="F39" s="51" t="s">
        <v>596</v>
      </c>
      <c r="G39" s="51" t="s">
        <v>597</v>
      </c>
      <c r="H39" s="50" t="s">
        <v>556</v>
      </c>
      <c r="I39" s="51">
        <v>45</v>
      </c>
      <c r="J39" s="51"/>
      <c r="K39" s="51"/>
      <c r="L39" s="51" t="s">
        <v>598</v>
      </c>
      <c r="M39" s="51" t="s">
        <v>587</v>
      </c>
      <c r="N39" s="51">
        <v>55</v>
      </c>
    </row>
    <row r="40" spans="1:14">
      <c r="A40" s="892">
        <v>16</v>
      </c>
      <c r="B40" s="898" t="s">
        <v>599</v>
      </c>
      <c r="C40" s="892" t="s">
        <v>1574</v>
      </c>
      <c r="D40" s="892" t="s">
        <v>1247</v>
      </c>
      <c r="E40" s="892" t="s">
        <v>1247</v>
      </c>
      <c r="F40" s="892" t="s">
        <v>600</v>
      </c>
      <c r="G40" s="892" t="s">
        <v>1247</v>
      </c>
      <c r="H40" s="898"/>
      <c r="I40" s="892"/>
      <c r="J40" s="892"/>
      <c r="K40" s="892"/>
      <c r="L40" s="222" t="s">
        <v>601</v>
      </c>
      <c r="M40" s="221" t="s">
        <v>602</v>
      </c>
      <c r="N40" s="221">
        <v>0.5</v>
      </c>
    </row>
    <row r="41" spans="1:14">
      <c r="A41" s="896"/>
      <c r="B41" s="921"/>
      <c r="C41" s="896"/>
      <c r="D41" s="896"/>
      <c r="E41" s="896"/>
      <c r="F41" s="896"/>
      <c r="G41" s="896"/>
      <c r="H41" s="921"/>
      <c r="I41" s="896"/>
      <c r="J41" s="896"/>
      <c r="K41" s="896"/>
      <c r="L41" s="222" t="s">
        <v>603</v>
      </c>
      <c r="M41" s="221" t="s">
        <v>604</v>
      </c>
      <c r="N41" s="221">
        <v>8</v>
      </c>
    </row>
    <row r="42" spans="1:14">
      <c r="A42" s="896"/>
      <c r="B42" s="921"/>
      <c r="C42" s="896"/>
      <c r="D42" s="896"/>
      <c r="E42" s="896"/>
      <c r="F42" s="896"/>
      <c r="G42" s="896"/>
      <c r="H42" s="921"/>
      <c r="I42" s="896"/>
      <c r="J42" s="896"/>
      <c r="K42" s="896"/>
      <c r="L42" s="222" t="s">
        <v>605</v>
      </c>
      <c r="M42" s="221" t="s">
        <v>602</v>
      </c>
      <c r="N42" s="221">
        <v>22.5</v>
      </c>
    </row>
    <row r="43" spans="1:14">
      <c r="A43" s="893"/>
      <c r="B43" s="899"/>
      <c r="C43" s="893"/>
      <c r="D43" s="893"/>
      <c r="E43" s="893"/>
      <c r="F43" s="893"/>
      <c r="G43" s="893"/>
      <c r="H43" s="899"/>
      <c r="I43" s="893"/>
      <c r="J43" s="893"/>
      <c r="K43" s="893"/>
      <c r="L43" s="222" t="s">
        <v>606</v>
      </c>
      <c r="M43" s="221" t="s">
        <v>602</v>
      </c>
      <c r="N43" s="221">
        <v>69</v>
      </c>
    </row>
    <row r="44" spans="1:14">
      <c r="A44" s="889">
        <v>17</v>
      </c>
      <c r="B44" s="900" t="s">
        <v>607</v>
      </c>
      <c r="C44" s="894" t="s">
        <v>1574</v>
      </c>
      <c r="D44" s="894" t="s">
        <v>850</v>
      </c>
      <c r="E44" s="894" t="s">
        <v>850</v>
      </c>
      <c r="F44" s="889" t="s">
        <v>608</v>
      </c>
      <c r="G44" s="922" t="s">
        <v>2759</v>
      </c>
      <c r="H44" s="889" t="s">
        <v>561</v>
      </c>
      <c r="I44" s="889">
        <v>5</v>
      </c>
      <c r="J44" s="48"/>
      <c r="K44" s="48"/>
      <c r="L44" s="51" t="s">
        <v>8302</v>
      </c>
      <c r="M44" s="51" t="s">
        <v>8304</v>
      </c>
      <c r="N44" s="51">
        <v>94.99</v>
      </c>
    </row>
    <row r="45" spans="1:14">
      <c r="A45" s="891"/>
      <c r="B45" s="901"/>
      <c r="C45" s="895"/>
      <c r="D45" s="895"/>
      <c r="E45" s="895"/>
      <c r="F45" s="891"/>
      <c r="G45" s="923"/>
      <c r="H45" s="891"/>
      <c r="I45" s="891"/>
      <c r="J45" s="48"/>
      <c r="K45" s="48"/>
      <c r="L45" s="51" t="s">
        <v>8303</v>
      </c>
      <c r="M45" s="51" t="s">
        <v>8305</v>
      </c>
      <c r="N45" s="51">
        <v>0.01</v>
      </c>
    </row>
    <row r="46" spans="1:14">
      <c r="A46" s="221">
        <v>18</v>
      </c>
      <c r="B46" s="222" t="s">
        <v>74</v>
      </c>
      <c r="C46" s="221" t="s">
        <v>1574</v>
      </c>
      <c r="D46" s="221" t="s">
        <v>850</v>
      </c>
      <c r="E46" s="221" t="s">
        <v>850</v>
      </c>
      <c r="F46" s="221" t="s">
        <v>609</v>
      </c>
      <c r="G46" s="221" t="s">
        <v>610</v>
      </c>
      <c r="H46" s="222" t="s">
        <v>556</v>
      </c>
      <c r="I46" s="221">
        <v>25</v>
      </c>
      <c r="J46" s="221"/>
      <c r="K46" s="221"/>
      <c r="L46" s="221" t="s">
        <v>611</v>
      </c>
      <c r="M46" s="221" t="s">
        <v>577</v>
      </c>
      <c r="N46" s="221">
        <v>75</v>
      </c>
    </row>
    <row r="47" spans="1:14">
      <c r="A47" s="904">
        <v>19</v>
      </c>
      <c r="B47" s="907" t="s">
        <v>17</v>
      </c>
      <c r="C47" s="894" t="s">
        <v>1574</v>
      </c>
      <c r="D47" s="894" t="s">
        <v>1574</v>
      </c>
      <c r="E47" s="924" t="s">
        <v>8591</v>
      </c>
      <c r="F47" s="904" t="s">
        <v>1244</v>
      </c>
      <c r="G47" s="910" t="s">
        <v>2760</v>
      </c>
      <c r="H47" s="913" t="s">
        <v>561</v>
      </c>
      <c r="I47" s="889">
        <v>5</v>
      </c>
      <c r="J47" s="913"/>
      <c r="K47" s="913"/>
      <c r="L47" s="51" t="s">
        <v>1633</v>
      </c>
      <c r="M47" s="51" t="s">
        <v>1636</v>
      </c>
      <c r="N47" s="51">
        <v>84</v>
      </c>
    </row>
    <row r="48" spans="1:14">
      <c r="A48" s="905"/>
      <c r="B48" s="908"/>
      <c r="C48" s="897"/>
      <c r="D48" s="897"/>
      <c r="E48" s="925"/>
      <c r="F48" s="905"/>
      <c r="G48" s="911"/>
      <c r="H48" s="919"/>
      <c r="I48" s="890"/>
      <c r="J48" s="919"/>
      <c r="K48" s="919"/>
      <c r="L48" s="51" t="s">
        <v>1634</v>
      </c>
      <c r="M48" s="51" t="s">
        <v>1637</v>
      </c>
      <c r="N48" s="51">
        <v>1</v>
      </c>
    </row>
    <row r="49" spans="1:14">
      <c r="A49" s="906"/>
      <c r="B49" s="909"/>
      <c r="C49" s="895"/>
      <c r="D49" s="895"/>
      <c r="E49" s="926"/>
      <c r="F49" s="906"/>
      <c r="G49" s="912"/>
      <c r="H49" s="914"/>
      <c r="I49" s="891"/>
      <c r="J49" s="914"/>
      <c r="K49" s="914"/>
      <c r="L49" s="51" t="s">
        <v>1635</v>
      </c>
      <c r="M49" s="51" t="s">
        <v>577</v>
      </c>
      <c r="N49" s="51">
        <v>10</v>
      </c>
    </row>
    <row r="50" spans="1:14">
      <c r="A50" s="53">
        <v>20</v>
      </c>
      <c r="B50" s="222" t="s">
        <v>190</v>
      </c>
      <c r="C50" s="221" t="s">
        <v>1574</v>
      </c>
      <c r="D50" s="221" t="s">
        <v>850</v>
      </c>
      <c r="E50" s="221" t="s">
        <v>850</v>
      </c>
      <c r="F50" s="53" t="s">
        <v>612</v>
      </c>
      <c r="G50" s="53" t="s">
        <v>613</v>
      </c>
      <c r="H50" s="54"/>
      <c r="I50" s="53"/>
      <c r="J50" s="53"/>
      <c r="K50" s="53"/>
      <c r="L50" s="53" t="s">
        <v>614</v>
      </c>
      <c r="M50" s="53" t="s">
        <v>543</v>
      </c>
      <c r="N50" s="53">
        <v>100</v>
      </c>
    </row>
    <row r="51" spans="1:14">
      <c r="A51" s="51">
        <v>21</v>
      </c>
      <c r="B51" s="177" t="s">
        <v>615</v>
      </c>
      <c r="C51" s="554" t="s">
        <v>850</v>
      </c>
      <c r="D51" s="554" t="s">
        <v>850</v>
      </c>
      <c r="E51" s="554" t="s">
        <v>850</v>
      </c>
      <c r="F51" s="51" t="s">
        <v>616</v>
      </c>
      <c r="G51" s="51" t="s">
        <v>617</v>
      </c>
      <c r="H51" s="50" t="s">
        <v>2747</v>
      </c>
      <c r="I51" s="51" t="s">
        <v>2747</v>
      </c>
      <c r="J51" s="51" t="s">
        <v>2747</v>
      </c>
      <c r="K51" s="51" t="s">
        <v>2747</v>
      </c>
      <c r="L51" s="51" t="s">
        <v>2747</v>
      </c>
      <c r="M51" s="51" t="s">
        <v>2747</v>
      </c>
      <c r="N51" s="51" t="s">
        <v>2747</v>
      </c>
    </row>
    <row r="52" spans="1:14">
      <c r="A52" s="56">
        <v>22</v>
      </c>
      <c r="B52" s="225" t="s">
        <v>618</v>
      </c>
      <c r="C52" s="226" t="s">
        <v>1574</v>
      </c>
      <c r="D52" s="226" t="s">
        <v>850</v>
      </c>
      <c r="E52" s="226" t="s">
        <v>850</v>
      </c>
      <c r="F52" s="59" t="s">
        <v>619</v>
      </c>
      <c r="G52" s="56" t="s">
        <v>620</v>
      </c>
      <c r="H52" s="54" t="s">
        <v>556</v>
      </c>
      <c r="I52" s="53">
        <v>28</v>
      </c>
      <c r="J52" s="59"/>
      <c r="K52" s="59"/>
      <c r="L52" s="59" t="s">
        <v>621</v>
      </c>
      <c r="M52" s="59" t="s">
        <v>543</v>
      </c>
      <c r="N52" s="56">
        <v>72</v>
      </c>
    </row>
    <row r="53" spans="1:14">
      <c r="A53" s="889">
        <v>23</v>
      </c>
      <c r="B53" s="913" t="s">
        <v>622</v>
      </c>
      <c r="C53" s="889" t="s">
        <v>1574</v>
      </c>
      <c r="D53" s="889" t="s">
        <v>1247</v>
      </c>
      <c r="E53" s="889" t="s">
        <v>1247</v>
      </c>
      <c r="F53" s="889" t="s">
        <v>623</v>
      </c>
      <c r="G53" s="889" t="s">
        <v>566</v>
      </c>
      <c r="H53" s="913" t="s">
        <v>561</v>
      </c>
      <c r="I53" s="889">
        <v>5</v>
      </c>
      <c r="J53" s="889"/>
      <c r="K53" s="889"/>
      <c r="L53" s="50" t="s">
        <v>624</v>
      </c>
      <c r="M53" s="51"/>
      <c r="N53" s="51">
        <v>57</v>
      </c>
    </row>
    <row r="54" spans="1:14">
      <c r="A54" s="890"/>
      <c r="B54" s="919"/>
      <c r="C54" s="890"/>
      <c r="D54" s="890"/>
      <c r="E54" s="890"/>
      <c r="F54" s="890"/>
      <c r="G54" s="890"/>
      <c r="H54" s="919"/>
      <c r="I54" s="890"/>
      <c r="J54" s="890"/>
      <c r="K54" s="890"/>
      <c r="L54" s="50" t="s">
        <v>625</v>
      </c>
      <c r="M54" s="51"/>
      <c r="N54" s="51">
        <v>33.25</v>
      </c>
    </row>
    <row r="55" spans="1:14">
      <c r="A55" s="891"/>
      <c r="B55" s="914"/>
      <c r="C55" s="891"/>
      <c r="D55" s="891"/>
      <c r="E55" s="891"/>
      <c r="F55" s="891"/>
      <c r="G55" s="891"/>
      <c r="H55" s="914"/>
      <c r="I55" s="891"/>
      <c r="J55" s="891"/>
      <c r="K55" s="891"/>
      <c r="L55" s="50" t="s">
        <v>626</v>
      </c>
      <c r="M55" s="51"/>
      <c r="N55" s="51">
        <v>4.75</v>
      </c>
    </row>
    <row r="56" spans="1:14">
      <c r="A56" s="915">
        <v>24</v>
      </c>
      <c r="B56" s="898" t="s">
        <v>130</v>
      </c>
      <c r="C56" s="892" t="s">
        <v>1574</v>
      </c>
      <c r="D56" s="892" t="s">
        <v>1247</v>
      </c>
      <c r="E56" s="892" t="s">
        <v>1247</v>
      </c>
      <c r="F56" s="915" t="s">
        <v>627</v>
      </c>
      <c r="G56" s="915" t="s">
        <v>2747</v>
      </c>
      <c r="H56" s="917"/>
      <c r="I56" s="915"/>
      <c r="J56" s="915"/>
      <c r="K56" s="915"/>
      <c r="L56" s="53" t="s">
        <v>628</v>
      </c>
      <c r="M56" s="53" t="s">
        <v>543</v>
      </c>
      <c r="N56" s="53">
        <v>72</v>
      </c>
    </row>
    <row r="57" spans="1:14">
      <c r="A57" s="916"/>
      <c r="B57" s="899"/>
      <c r="C57" s="893"/>
      <c r="D57" s="893"/>
      <c r="E57" s="893"/>
      <c r="F57" s="916"/>
      <c r="G57" s="916"/>
      <c r="H57" s="918"/>
      <c r="I57" s="916"/>
      <c r="J57" s="916"/>
      <c r="K57" s="916"/>
      <c r="L57" s="53" t="s">
        <v>629</v>
      </c>
      <c r="M57" s="53" t="s">
        <v>543</v>
      </c>
      <c r="N57" s="53">
        <v>28</v>
      </c>
    </row>
    <row r="58" spans="1:14">
      <c r="A58" s="889">
        <v>25</v>
      </c>
      <c r="B58" s="913" t="s">
        <v>630</v>
      </c>
      <c r="C58" s="889" t="s">
        <v>1574</v>
      </c>
      <c r="D58" s="889" t="s">
        <v>1574</v>
      </c>
      <c r="E58" s="889" t="s">
        <v>1247</v>
      </c>
      <c r="F58" s="889" t="s">
        <v>631</v>
      </c>
      <c r="G58" s="889" t="s">
        <v>632</v>
      </c>
      <c r="H58" s="913" t="s">
        <v>633</v>
      </c>
      <c r="I58" s="889">
        <v>23</v>
      </c>
      <c r="J58" s="889"/>
      <c r="K58" s="889"/>
      <c r="L58" s="51" t="s">
        <v>634</v>
      </c>
      <c r="M58" s="51" t="s">
        <v>635</v>
      </c>
      <c r="N58" s="51">
        <v>72.150000000000006</v>
      </c>
    </row>
    <row r="59" spans="1:14">
      <c r="A59" s="891"/>
      <c r="B59" s="914"/>
      <c r="C59" s="891"/>
      <c r="D59" s="891"/>
      <c r="E59" s="891"/>
      <c r="F59" s="891"/>
      <c r="G59" s="891"/>
      <c r="H59" s="914"/>
      <c r="I59" s="891"/>
      <c r="J59" s="891"/>
      <c r="K59" s="891"/>
      <c r="L59" s="51" t="s">
        <v>636</v>
      </c>
      <c r="M59" s="51" t="s">
        <v>635</v>
      </c>
      <c r="N59" s="51">
        <v>4.8499999999999996</v>
      </c>
    </row>
    <row r="60" spans="1:14">
      <c r="A60" s="53">
        <v>26</v>
      </c>
      <c r="B60" s="222" t="s">
        <v>99</v>
      </c>
      <c r="C60" s="221" t="s">
        <v>1574</v>
      </c>
      <c r="D60" s="221" t="s">
        <v>8592</v>
      </c>
      <c r="E60" s="221" t="s">
        <v>1247</v>
      </c>
      <c r="F60" s="53" t="s">
        <v>637</v>
      </c>
      <c r="G60" s="53" t="s">
        <v>638</v>
      </c>
      <c r="H60" s="54" t="s">
        <v>639</v>
      </c>
      <c r="I60" s="53">
        <v>27.5</v>
      </c>
      <c r="J60" s="53"/>
      <c r="K60" s="53"/>
      <c r="L60" s="53" t="s">
        <v>640</v>
      </c>
      <c r="M60" s="53" t="s">
        <v>543</v>
      </c>
      <c r="N60" s="53">
        <v>72.5</v>
      </c>
    </row>
    <row r="61" spans="1:14">
      <c r="A61" s="889">
        <v>27</v>
      </c>
      <c r="B61" s="913" t="s">
        <v>87</v>
      </c>
      <c r="C61" s="889" t="s">
        <v>1574</v>
      </c>
      <c r="D61" s="889" t="s">
        <v>850</v>
      </c>
      <c r="E61" s="889" t="s">
        <v>850</v>
      </c>
      <c r="F61" s="889" t="s">
        <v>642</v>
      </c>
      <c r="G61" s="889" t="s">
        <v>2747</v>
      </c>
      <c r="H61" s="913"/>
      <c r="I61" s="889"/>
      <c r="J61" s="889"/>
      <c r="K61" s="889"/>
      <c r="L61" s="51" t="s">
        <v>643</v>
      </c>
      <c r="M61" s="51" t="s">
        <v>644</v>
      </c>
      <c r="N61" s="51">
        <v>50</v>
      </c>
    </row>
    <row r="62" spans="1:14">
      <c r="A62" s="891"/>
      <c r="B62" s="914"/>
      <c r="C62" s="891"/>
      <c r="D62" s="891"/>
      <c r="E62" s="891"/>
      <c r="F62" s="891"/>
      <c r="G62" s="891"/>
      <c r="H62" s="914"/>
      <c r="I62" s="891"/>
      <c r="J62" s="891"/>
      <c r="K62" s="891"/>
      <c r="L62" s="51" t="s">
        <v>645</v>
      </c>
      <c r="M62" s="51" t="s">
        <v>644</v>
      </c>
      <c r="N62" s="51">
        <v>50</v>
      </c>
    </row>
    <row r="63" spans="1:14" ht="23.5" customHeight="1">
      <c r="A63" s="892">
        <v>28</v>
      </c>
      <c r="B63" s="898" t="s">
        <v>646</v>
      </c>
      <c r="C63" s="892" t="s">
        <v>1574</v>
      </c>
      <c r="D63" s="892" t="s">
        <v>850</v>
      </c>
      <c r="E63" s="892" t="s">
        <v>850</v>
      </c>
      <c r="F63" s="892" t="s">
        <v>647</v>
      </c>
      <c r="G63" s="892" t="s">
        <v>566</v>
      </c>
      <c r="H63" s="898"/>
      <c r="I63" s="892"/>
      <c r="J63" s="892"/>
      <c r="K63" s="892"/>
      <c r="L63" s="221" t="s">
        <v>648</v>
      </c>
      <c r="M63" s="221"/>
      <c r="N63" s="221">
        <v>62.5</v>
      </c>
    </row>
    <row r="64" spans="1:14">
      <c r="A64" s="896"/>
      <c r="B64" s="921"/>
      <c r="C64" s="896"/>
      <c r="D64" s="896"/>
      <c r="E64" s="896"/>
      <c r="F64" s="896"/>
      <c r="G64" s="896"/>
      <c r="H64" s="921"/>
      <c r="I64" s="896"/>
      <c r="J64" s="896"/>
      <c r="K64" s="896"/>
      <c r="L64" s="221" t="s">
        <v>649</v>
      </c>
      <c r="M64" s="221"/>
      <c r="N64" s="221">
        <v>32.5</v>
      </c>
    </row>
    <row r="65" spans="1:14">
      <c r="A65" s="893"/>
      <c r="B65" s="899"/>
      <c r="C65" s="893"/>
      <c r="D65" s="893"/>
      <c r="E65" s="893"/>
      <c r="F65" s="893"/>
      <c r="G65" s="893"/>
      <c r="H65" s="899"/>
      <c r="I65" s="893"/>
      <c r="J65" s="893"/>
      <c r="K65" s="893"/>
      <c r="L65" s="221" t="s">
        <v>650</v>
      </c>
      <c r="M65" s="221"/>
      <c r="N65" s="221">
        <v>5</v>
      </c>
    </row>
    <row r="66" spans="1:14">
      <c r="A66" s="889">
        <v>29</v>
      </c>
      <c r="B66" s="913" t="s">
        <v>651</v>
      </c>
      <c r="C66" s="889" t="s">
        <v>1574</v>
      </c>
      <c r="D66" s="889" t="s">
        <v>850</v>
      </c>
      <c r="E66" s="889" t="s">
        <v>850</v>
      </c>
      <c r="F66" s="889" t="s">
        <v>652</v>
      </c>
      <c r="G66" s="889" t="s">
        <v>653</v>
      </c>
      <c r="H66" s="50" t="s">
        <v>654</v>
      </c>
      <c r="I66" s="51">
        <v>20</v>
      </c>
      <c r="J66" s="889"/>
      <c r="K66" s="889"/>
      <c r="L66" s="230" t="s">
        <v>655</v>
      </c>
      <c r="M66" s="51" t="s">
        <v>602</v>
      </c>
      <c r="N66" s="51">
        <v>41.72</v>
      </c>
    </row>
    <row r="67" spans="1:14">
      <c r="A67" s="890"/>
      <c r="B67" s="919"/>
      <c r="C67" s="890"/>
      <c r="D67" s="890"/>
      <c r="E67" s="890"/>
      <c r="F67" s="890"/>
      <c r="G67" s="890"/>
      <c r="H67" s="913" t="s">
        <v>656</v>
      </c>
      <c r="I67" s="889">
        <v>12</v>
      </c>
      <c r="J67" s="890"/>
      <c r="K67" s="890"/>
      <c r="L67" s="230" t="s">
        <v>657</v>
      </c>
      <c r="M67" s="51" t="s">
        <v>602</v>
      </c>
      <c r="N67" s="51">
        <v>25.28</v>
      </c>
    </row>
    <row r="68" spans="1:14">
      <c r="A68" s="891"/>
      <c r="B68" s="914"/>
      <c r="C68" s="891"/>
      <c r="D68" s="891"/>
      <c r="E68" s="891"/>
      <c r="F68" s="891"/>
      <c r="G68" s="891"/>
      <c r="H68" s="914"/>
      <c r="I68" s="891"/>
      <c r="J68" s="891"/>
      <c r="K68" s="891"/>
      <c r="L68" s="230" t="s">
        <v>658</v>
      </c>
      <c r="M68" s="51" t="s">
        <v>602</v>
      </c>
      <c r="N68" s="51">
        <v>1</v>
      </c>
    </row>
    <row r="69" spans="1:14">
      <c r="A69" s="915">
        <v>30</v>
      </c>
      <c r="B69" s="898" t="s">
        <v>2761</v>
      </c>
      <c r="C69" s="892" t="s">
        <v>1574</v>
      </c>
      <c r="D69" s="892" t="s">
        <v>850</v>
      </c>
      <c r="E69" s="892" t="s">
        <v>850</v>
      </c>
      <c r="F69" s="915" t="s">
        <v>1246</v>
      </c>
      <c r="G69" s="915" t="s">
        <v>1848</v>
      </c>
      <c r="H69" s="917"/>
      <c r="I69" s="915"/>
      <c r="J69" s="915"/>
      <c r="K69" s="915"/>
      <c r="L69" s="60" t="s">
        <v>1849</v>
      </c>
      <c r="M69" s="53"/>
      <c r="N69" s="53">
        <v>10</v>
      </c>
    </row>
    <row r="70" spans="1:14">
      <c r="A70" s="916"/>
      <c r="B70" s="899"/>
      <c r="C70" s="893"/>
      <c r="D70" s="893"/>
      <c r="E70" s="893"/>
      <c r="F70" s="916"/>
      <c r="G70" s="916"/>
      <c r="H70" s="918"/>
      <c r="I70" s="916"/>
      <c r="J70" s="916"/>
      <c r="K70" s="916"/>
      <c r="L70" s="60" t="s">
        <v>1850</v>
      </c>
      <c r="M70" s="53"/>
      <c r="N70" s="53">
        <v>90</v>
      </c>
    </row>
    <row r="71" spans="1:14">
      <c r="A71" s="51">
        <v>31</v>
      </c>
      <c r="B71" s="177" t="s">
        <v>659</v>
      </c>
      <c r="C71" s="554" t="s">
        <v>850</v>
      </c>
      <c r="D71" s="554" t="s">
        <v>1247</v>
      </c>
      <c r="E71" s="554" t="s">
        <v>1247</v>
      </c>
      <c r="F71" s="51" t="s">
        <v>660</v>
      </c>
      <c r="G71" s="51" t="s">
        <v>661</v>
      </c>
      <c r="H71" s="50" t="s">
        <v>2747</v>
      </c>
      <c r="I71" s="51" t="s">
        <v>2747</v>
      </c>
      <c r="J71" s="51" t="s">
        <v>2747</v>
      </c>
      <c r="K71" s="51" t="s">
        <v>2747</v>
      </c>
      <c r="L71" s="51" t="s">
        <v>2747</v>
      </c>
      <c r="M71" s="51" t="s">
        <v>2747</v>
      </c>
      <c r="N71" s="51" t="s">
        <v>2747</v>
      </c>
    </row>
    <row r="72" spans="1:14">
      <c r="A72" s="53">
        <v>32</v>
      </c>
      <c r="B72" s="222" t="s">
        <v>662</v>
      </c>
      <c r="C72" s="221" t="s">
        <v>1574</v>
      </c>
      <c r="D72" s="221" t="s">
        <v>850</v>
      </c>
      <c r="E72" s="221" t="s">
        <v>850</v>
      </c>
      <c r="F72" s="53" t="s">
        <v>663</v>
      </c>
      <c r="G72" s="53" t="s">
        <v>2762</v>
      </c>
      <c r="H72" s="54" t="s">
        <v>561</v>
      </c>
      <c r="I72" s="53">
        <v>5</v>
      </c>
      <c r="J72" s="53" t="s">
        <v>664</v>
      </c>
      <c r="K72" s="53">
        <v>60</v>
      </c>
      <c r="L72" s="53" t="s">
        <v>665</v>
      </c>
      <c r="M72" s="53"/>
      <c r="N72" s="53">
        <v>35</v>
      </c>
    </row>
    <row r="73" spans="1:14" ht="29.5" customHeight="1">
      <c r="A73" s="889">
        <v>33</v>
      </c>
      <c r="B73" s="913" t="s">
        <v>666</v>
      </c>
      <c r="C73" s="889" t="s">
        <v>1574</v>
      </c>
      <c r="D73" s="889" t="s">
        <v>1574</v>
      </c>
      <c r="E73" s="902" t="s">
        <v>8593</v>
      </c>
      <c r="F73" s="889" t="s">
        <v>667</v>
      </c>
      <c r="G73" s="889" t="s">
        <v>668</v>
      </c>
      <c r="H73" s="913" t="s">
        <v>669</v>
      </c>
      <c r="I73" s="889">
        <v>5</v>
      </c>
      <c r="J73" s="889"/>
      <c r="K73" s="889"/>
      <c r="L73" s="51" t="s">
        <v>670</v>
      </c>
      <c r="M73" s="51" t="s">
        <v>671</v>
      </c>
      <c r="N73" s="51">
        <v>0.1</v>
      </c>
    </row>
    <row r="74" spans="1:14" ht="29.5" customHeight="1">
      <c r="A74" s="891"/>
      <c r="B74" s="914"/>
      <c r="C74" s="891"/>
      <c r="D74" s="891"/>
      <c r="E74" s="903"/>
      <c r="F74" s="891"/>
      <c r="G74" s="891"/>
      <c r="H74" s="914"/>
      <c r="I74" s="891"/>
      <c r="J74" s="891"/>
      <c r="K74" s="891"/>
      <c r="L74" s="51" t="s">
        <v>672</v>
      </c>
      <c r="M74" s="51" t="s">
        <v>671</v>
      </c>
      <c r="N74" s="51">
        <v>94.99</v>
      </c>
    </row>
    <row r="75" spans="1:14">
      <c r="A75" s="53">
        <v>34</v>
      </c>
      <c r="B75" s="222" t="s">
        <v>673</v>
      </c>
      <c r="C75" s="221" t="s">
        <v>1574</v>
      </c>
      <c r="D75" s="221" t="s">
        <v>850</v>
      </c>
      <c r="E75" s="221" t="s">
        <v>850</v>
      </c>
      <c r="F75" s="53" t="s">
        <v>674</v>
      </c>
      <c r="G75" s="53" t="s">
        <v>1848</v>
      </c>
      <c r="H75" s="54"/>
      <c r="I75" s="53"/>
      <c r="J75" s="53"/>
      <c r="K75" s="53"/>
      <c r="L75" s="53" t="s">
        <v>675</v>
      </c>
      <c r="M75" s="53"/>
      <c r="N75" s="53">
        <v>100</v>
      </c>
    </row>
    <row r="76" spans="1:14" ht="72">
      <c r="A76" s="51">
        <v>35</v>
      </c>
      <c r="B76" s="50" t="s">
        <v>676</v>
      </c>
      <c r="C76" s="51" t="s">
        <v>1574</v>
      </c>
      <c r="D76" s="51" t="s">
        <v>1574</v>
      </c>
      <c r="E76" s="78" t="s">
        <v>8594</v>
      </c>
      <c r="F76" s="51" t="s">
        <v>677</v>
      </c>
      <c r="G76" s="51" t="s">
        <v>678</v>
      </c>
      <c r="H76" s="50"/>
      <c r="I76" s="51"/>
      <c r="J76" s="51" t="s">
        <v>679</v>
      </c>
      <c r="K76" s="51">
        <v>19.8</v>
      </c>
      <c r="L76" s="51" t="s">
        <v>680</v>
      </c>
      <c r="M76" s="51" t="s">
        <v>543</v>
      </c>
      <c r="N76" s="51">
        <v>80.2</v>
      </c>
    </row>
    <row r="77" spans="1:14">
      <c r="A77" s="53">
        <v>36</v>
      </c>
      <c r="B77" s="222" t="s">
        <v>681</v>
      </c>
      <c r="C77" s="221" t="s">
        <v>1574</v>
      </c>
      <c r="D77" s="221" t="s">
        <v>850</v>
      </c>
      <c r="E77" s="221" t="s">
        <v>850</v>
      </c>
      <c r="F77" s="53" t="s">
        <v>682</v>
      </c>
      <c r="G77" s="53" t="s">
        <v>683</v>
      </c>
      <c r="H77" s="54"/>
      <c r="I77" s="53"/>
      <c r="J77" s="53"/>
      <c r="K77" s="53"/>
      <c r="L77" s="53" t="s">
        <v>2763</v>
      </c>
      <c r="M77" s="53" t="s">
        <v>543</v>
      </c>
      <c r="N77" s="53">
        <v>100</v>
      </c>
    </row>
    <row r="78" spans="1:14">
      <c r="A78" s="889">
        <v>37</v>
      </c>
      <c r="B78" s="913" t="s">
        <v>462</v>
      </c>
      <c r="C78" s="889" t="s">
        <v>1574</v>
      </c>
      <c r="D78" s="889" t="s">
        <v>1574</v>
      </c>
      <c r="E78" s="902" t="s">
        <v>1247</v>
      </c>
      <c r="F78" s="889" t="s">
        <v>685</v>
      </c>
      <c r="G78" s="889" t="s">
        <v>2764</v>
      </c>
      <c r="H78" s="913"/>
      <c r="I78" s="889"/>
      <c r="J78" s="889"/>
      <c r="K78" s="889"/>
      <c r="L78" s="51" t="s">
        <v>2765</v>
      </c>
      <c r="M78" s="51" t="s">
        <v>543</v>
      </c>
      <c r="N78" s="51">
        <v>34.281500000000001</v>
      </c>
    </row>
    <row r="79" spans="1:14">
      <c r="A79" s="890"/>
      <c r="B79" s="919"/>
      <c r="C79" s="890"/>
      <c r="D79" s="890"/>
      <c r="E79" s="920"/>
      <c r="F79" s="890"/>
      <c r="G79" s="890"/>
      <c r="H79" s="919"/>
      <c r="I79" s="890"/>
      <c r="J79" s="890"/>
      <c r="K79" s="890"/>
      <c r="L79" s="48" t="s">
        <v>2766</v>
      </c>
      <c r="M79" s="48" t="s">
        <v>543</v>
      </c>
      <c r="N79" s="48">
        <v>32.918500000000002</v>
      </c>
    </row>
    <row r="80" spans="1:14">
      <c r="A80" s="890"/>
      <c r="B80" s="919"/>
      <c r="C80" s="890"/>
      <c r="D80" s="890"/>
      <c r="E80" s="920"/>
      <c r="F80" s="890"/>
      <c r="G80" s="890"/>
      <c r="H80" s="919"/>
      <c r="I80" s="890"/>
      <c r="J80" s="890"/>
      <c r="K80" s="890"/>
      <c r="L80" s="48" t="s">
        <v>2767</v>
      </c>
      <c r="M80" s="48" t="s">
        <v>543</v>
      </c>
      <c r="N80" s="48">
        <v>19.2</v>
      </c>
    </row>
    <row r="81" spans="1:14">
      <c r="A81" s="890"/>
      <c r="B81" s="919"/>
      <c r="C81" s="890"/>
      <c r="D81" s="890"/>
      <c r="E81" s="920"/>
      <c r="F81" s="890"/>
      <c r="G81" s="890"/>
      <c r="H81" s="919"/>
      <c r="I81" s="890"/>
      <c r="J81" s="890"/>
      <c r="K81" s="890"/>
      <c r="L81" s="48" t="s">
        <v>2768</v>
      </c>
      <c r="M81" s="48" t="s">
        <v>543</v>
      </c>
      <c r="N81" s="48">
        <v>9.6</v>
      </c>
    </row>
    <row r="82" spans="1:14">
      <c r="A82" s="891"/>
      <c r="B82" s="914"/>
      <c r="C82" s="891"/>
      <c r="D82" s="891"/>
      <c r="E82" s="903"/>
      <c r="F82" s="891"/>
      <c r="G82" s="891"/>
      <c r="H82" s="914"/>
      <c r="I82" s="891"/>
      <c r="J82" s="891"/>
      <c r="K82" s="891"/>
      <c r="L82" s="48" t="s">
        <v>2769</v>
      </c>
      <c r="M82" s="48" t="s">
        <v>543</v>
      </c>
      <c r="N82" s="48">
        <v>4</v>
      </c>
    </row>
    <row r="83" spans="1:14">
      <c r="A83" s="915">
        <v>38</v>
      </c>
      <c r="B83" s="898" t="s">
        <v>1248</v>
      </c>
      <c r="C83" s="892" t="s">
        <v>1574</v>
      </c>
      <c r="D83" s="892" t="s">
        <v>1247</v>
      </c>
      <c r="E83" s="892" t="s">
        <v>1247</v>
      </c>
      <c r="F83" s="915" t="s">
        <v>1249</v>
      </c>
      <c r="G83" s="915" t="s">
        <v>560</v>
      </c>
      <c r="H83" s="917" t="s">
        <v>561</v>
      </c>
      <c r="I83" s="915">
        <v>10</v>
      </c>
      <c r="J83" s="53" t="s">
        <v>2770</v>
      </c>
      <c r="K83" s="53">
        <v>5</v>
      </c>
      <c r="L83" s="915" t="s">
        <v>2771</v>
      </c>
      <c r="M83" s="915" t="s">
        <v>587</v>
      </c>
      <c r="N83" s="915">
        <v>80</v>
      </c>
    </row>
    <row r="84" spans="1:14">
      <c r="A84" s="916"/>
      <c r="B84" s="899"/>
      <c r="C84" s="893"/>
      <c r="D84" s="893"/>
      <c r="E84" s="893"/>
      <c r="F84" s="916"/>
      <c r="G84" s="916"/>
      <c r="H84" s="918"/>
      <c r="I84" s="916"/>
      <c r="J84" s="53" t="s">
        <v>2772</v>
      </c>
      <c r="K84" s="53">
        <v>5</v>
      </c>
      <c r="L84" s="916"/>
      <c r="M84" s="916"/>
      <c r="N84" s="916"/>
    </row>
    <row r="85" spans="1:14">
      <c r="A85" s="889">
        <v>39</v>
      </c>
      <c r="B85" s="900" t="s">
        <v>188</v>
      </c>
      <c r="C85" s="894" t="s">
        <v>1574</v>
      </c>
      <c r="D85" s="894" t="s">
        <v>850</v>
      </c>
      <c r="E85" s="894" t="s">
        <v>850</v>
      </c>
      <c r="F85" s="889" t="s">
        <v>686</v>
      </c>
      <c r="G85" s="889" t="s">
        <v>687</v>
      </c>
      <c r="H85" s="50"/>
      <c r="I85" s="51"/>
      <c r="J85" s="51"/>
      <c r="K85" s="51"/>
      <c r="L85" s="51" t="s">
        <v>8299</v>
      </c>
      <c r="M85" s="51" t="s">
        <v>587</v>
      </c>
      <c r="N85" s="51">
        <v>60</v>
      </c>
    </row>
    <row r="86" spans="1:14">
      <c r="A86" s="891"/>
      <c r="B86" s="901"/>
      <c r="C86" s="895"/>
      <c r="D86" s="895"/>
      <c r="E86" s="895"/>
      <c r="F86" s="891"/>
      <c r="G86" s="891"/>
      <c r="H86" s="552"/>
      <c r="I86" s="195"/>
      <c r="J86" s="195"/>
      <c r="K86" s="195"/>
      <c r="L86" s="51" t="s">
        <v>8300</v>
      </c>
      <c r="M86" s="51" t="s">
        <v>587</v>
      </c>
      <c r="N86" s="51">
        <v>40</v>
      </c>
    </row>
    <row r="87" spans="1:14">
      <c r="A87" s="915">
        <v>40</v>
      </c>
      <c r="B87" s="898" t="s">
        <v>2773</v>
      </c>
      <c r="C87" s="892" t="s">
        <v>1574</v>
      </c>
      <c r="D87" s="892" t="s">
        <v>850</v>
      </c>
      <c r="E87" s="892" t="s">
        <v>850</v>
      </c>
      <c r="F87" s="915" t="s">
        <v>1252</v>
      </c>
      <c r="G87" s="915" t="s">
        <v>2774</v>
      </c>
      <c r="H87" s="197"/>
      <c r="I87" s="196"/>
      <c r="J87" s="196" t="s">
        <v>2775</v>
      </c>
      <c r="K87" s="196">
        <v>10</v>
      </c>
      <c r="L87" s="53" t="s">
        <v>2776</v>
      </c>
      <c r="M87" s="53" t="s">
        <v>543</v>
      </c>
      <c r="N87" s="53">
        <v>65</v>
      </c>
    </row>
    <row r="88" spans="1:14">
      <c r="A88" s="916"/>
      <c r="B88" s="899"/>
      <c r="C88" s="893"/>
      <c r="D88" s="893"/>
      <c r="E88" s="893"/>
      <c r="F88" s="916"/>
      <c r="G88" s="916"/>
      <c r="H88" s="197"/>
      <c r="I88" s="196"/>
      <c r="J88" s="196"/>
      <c r="K88" s="196"/>
      <c r="L88" s="53" t="s">
        <v>2775</v>
      </c>
      <c r="M88" s="53" t="s">
        <v>543</v>
      </c>
      <c r="N88" s="53">
        <v>25</v>
      </c>
    </row>
    <row r="89" spans="1:14">
      <c r="A89" s="51">
        <v>41</v>
      </c>
      <c r="B89" s="177" t="s">
        <v>141</v>
      </c>
      <c r="C89" s="554" t="s">
        <v>850</v>
      </c>
      <c r="D89" s="51" t="s">
        <v>850</v>
      </c>
      <c r="E89" s="51" t="s">
        <v>850</v>
      </c>
      <c r="F89" s="51" t="s">
        <v>689</v>
      </c>
      <c r="G89" s="51" t="s">
        <v>690</v>
      </c>
      <c r="H89" s="50" t="s">
        <v>2747</v>
      </c>
      <c r="I89" s="51" t="s">
        <v>2747</v>
      </c>
      <c r="J89" s="51" t="s">
        <v>2747</v>
      </c>
      <c r="K89" s="51" t="s">
        <v>2747</v>
      </c>
      <c r="L89" s="51" t="s">
        <v>2747</v>
      </c>
      <c r="M89" s="51" t="s">
        <v>2747</v>
      </c>
      <c r="N89" s="51" t="s">
        <v>2747</v>
      </c>
    </row>
    <row r="90" spans="1:14">
      <c r="A90" s="53">
        <v>42</v>
      </c>
      <c r="B90" s="222" t="s">
        <v>692</v>
      </c>
      <c r="C90" s="221" t="s">
        <v>8622</v>
      </c>
      <c r="D90" s="221" t="s">
        <v>850</v>
      </c>
      <c r="E90" s="221" t="s">
        <v>850</v>
      </c>
      <c r="F90" s="53" t="s">
        <v>693</v>
      </c>
      <c r="G90" s="53" t="s">
        <v>694</v>
      </c>
      <c r="H90" s="54" t="s">
        <v>561</v>
      </c>
      <c r="I90" s="53">
        <v>50</v>
      </c>
      <c r="J90" s="53"/>
      <c r="K90" s="53"/>
      <c r="L90" s="53" t="s">
        <v>695</v>
      </c>
      <c r="M90" s="53" t="s">
        <v>543</v>
      </c>
      <c r="N90" s="53">
        <v>50</v>
      </c>
    </row>
    <row r="91" spans="1:14">
      <c r="A91" s="51">
        <v>43</v>
      </c>
      <c r="B91" s="50" t="s">
        <v>140</v>
      </c>
      <c r="C91" s="51" t="s">
        <v>1574</v>
      </c>
      <c r="D91" s="51" t="s">
        <v>1247</v>
      </c>
      <c r="E91" s="51" t="s">
        <v>1247</v>
      </c>
      <c r="F91" s="51" t="s">
        <v>698</v>
      </c>
      <c r="G91" s="51" t="s">
        <v>699</v>
      </c>
      <c r="H91" s="50"/>
      <c r="I91" s="51"/>
      <c r="J91" s="51"/>
      <c r="K91" s="51"/>
      <c r="L91" s="51" t="s">
        <v>700</v>
      </c>
      <c r="M91" s="51"/>
      <c r="N91" s="51">
        <v>100</v>
      </c>
    </row>
    <row r="92" spans="1:14">
      <c r="A92" s="51">
        <v>44</v>
      </c>
      <c r="B92" s="50" t="s">
        <v>709</v>
      </c>
      <c r="C92" s="51" t="s">
        <v>8622</v>
      </c>
      <c r="D92" s="51" t="s">
        <v>850</v>
      </c>
      <c r="E92" s="51" t="s">
        <v>850</v>
      </c>
      <c r="F92" s="51" t="s">
        <v>710</v>
      </c>
      <c r="G92" s="51" t="s">
        <v>546</v>
      </c>
      <c r="H92" s="50" t="s">
        <v>561</v>
      </c>
      <c r="I92" s="51">
        <v>100</v>
      </c>
      <c r="J92" s="51"/>
      <c r="K92" s="51"/>
      <c r="L92" s="51"/>
      <c r="M92" s="51"/>
      <c r="N92" s="51"/>
    </row>
    <row r="93" spans="1:14">
      <c r="A93" s="892">
        <v>45</v>
      </c>
      <c r="B93" s="898" t="s">
        <v>714</v>
      </c>
      <c r="C93" s="892" t="s">
        <v>8622</v>
      </c>
      <c r="D93" s="892" t="s">
        <v>850</v>
      </c>
      <c r="E93" s="892" t="s">
        <v>850</v>
      </c>
      <c r="F93" s="892" t="s">
        <v>715</v>
      </c>
      <c r="G93" s="892" t="s">
        <v>716</v>
      </c>
      <c r="H93" s="222" t="s">
        <v>561</v>
      </c>
      <c r="I93" s="221">
        <v>90</v>
      </c>
      <c r="J93" s="221"/>
      <c r="K93" s="221"/>
      <c r="L93" s="221"/>
      <c r="M93" s="221"/>
      <c r="N93" s="221"/>
    </row>
    <row r="94" spans="1:14">
      <c r="A94" s="893"/>
      <c r="B94" s="899"/>
      <c r="C94" s="893"/>
      <c r="D94" s="893"/>
      <c r="E94" s="893"/>
      <c r="F94" s="893"/>
      <c r="G94" s="893"/>
      <c r="H94" s="222" t="s">
        <v>717</v>
      </c>
      <c r="I94" s="221">
        <v>10</v>
      </c>
      <c r="J94" s="221"/>
      <c r="K94" s="221"/>
      <c r="L94" s="221"/>
      <c r="M94" s="221"/>
      <c r="N94" s="221"/>
    </row>
    <row r="95" spans="1:14">
      <c r="A95" s="51">
        <v>46</v>
      </c>
      <c r="B95" s="50" t="s">
        <v>54</v>
      </c>
      <c r="C95" s="51" t="s">
        <v>8622</v>
      </c>
      <c r="D95" s="51" t="s">
        <v>850</v>
      </c>
      <c r="E95" s="51" t="s">
        <v>850</v>
      </c>
      <c r="F95" s="51" t="s">
        <v>728</v>
      </c>
      <c r="G95" s="51" t="s">
        <v>2777</v>
      </c>
      <c r="H95" s="50" t="s">
        <v>561</v>
      </c>
      <c r="I95" s="51">
        <v>100</v>
      </c>
      <c r="J95" s="51"/>
      <c r="K95" s="51"/>
      <c r="L95" s="51"/>
      <c r="M95" s="51"/>
      <c r="N95" s="51"/>
    </row>
    <row r="96" spans="1:14">
      <c r="A96" s="53">
        <v>47</v>
      </c>
      <c r="B96" s="222" t="s">
        <v>46</v>
      </c>
      <c r="C96" s="221" t="s">
        <v>8622</v>
      </c>
      <c r="D96" s="221" t="s">
        <v>850</v>
      </c>
      <c r="E96" s="221" t="s">
        <v>850</v>
      </c>
      <c r="F96" s="53" t="s">
        <v>729</v>
      </c>
      <c r="G96" s="53" t="s">
        <v>730</v>
      </c>
      <c r="H96" s="54" t="s">
        <v>561</v>
      </c>
      <c r="I96" s="53">
        <v>80</v>
      </c>
      <c r="J96" s="53"/>
      <c r="K96" s="53"/>
      <c r="L96" s="53" t="s">
        <v>731</v>
      </c>
      <c r="M96" s="53" t="s">
        <v>732</v>
      </c>
      <c r="N96" s="53">
        <v>20</v>
      </c>
    </row>
    <row r="97" spans="1:14">
      <c r="A97" s="51">
        <v>48</v>
      </c>
      <c r="B97" s="177" t="s">
        <v>64</v>
      </c>
      <c r="C97" s="554" t="s">
        <v>8622</v>
      </c>
      <c r="D97" s="51" t="s">
        <v>1247</v>
      </c>
      <c r="E97" s="51" t="s">
        <v>1247</v>
      </c>
      <c r="F97" s="51" t="s">
        <v>733</v>
      </c>
      <c r="G97" s="51" t="s">
        <v>734</v>
      </c>
      <c r="H97" s="50" t="s">
        <v>2747</v>
      </c>
      <c r="I97" s="51" t="s">
        <v>2747</v>
      </c>
      <c r="J97" s="51" t="s">
        <v>2747</v>
      </c>
      <c r="K97" s="51" t="s">
        <v>2747</v>
      </c>
      <c r="L97" s="51" t="s">
        <v>2747</v>
      </c>
      <c r="M97" s="51" t="s">
        <v>2747</v>
      </c>
      <c r="N97" s="51" t="s">
        <v>2747</v>
      </c>
    </row>
    <row r="98" spans="1:14">
      <c r="A98" s="53">
        <v>49</v>
      </c>
      <c r="B98" s="231" t="s">
        <v>2588</v>
      </c>
      <c r="C98" s="640" t="s">
        <v>8622</v>
      </c>
      <c r="D98" s="221" t="s">
        <v>850</v>
      </c>
      <c r="E98" s="221" t="s">
        <v>850</v>
      </c>
      <c r="F98" s="53" t="s">
        <v>790</v>
      </c>
      <c r="G98" s="53" t="s">
        <v>2778</v>
      </c>
      <c r="H98" s="54" t="s">
        <v>2747</v>
      </c>
      <c r="I98" s="53" t="s">
        <v>2747</v>
      </c>
      <c r="J98" s="53" t="s">
        <v>2747</v>
      </c>
      <c r="K98" s="53" t="s">
        <v>2747</v>
      </c>
      <c r="L98" s="53" t="s">
        <v>2747</v>
      </c>
      <c r="M98" s="53" t="s">
        <v>2747</v>
      </c>
      <c r="N98" s="53" t="s">
        <v>2747</v>
      </c>
    </row>
    <row r="100" spans="1:14">
      <c r="A100" s="641" t="s">
        <v>8623</v>
      </c>
    </row>
  </sheetData>
  <autoFilter ref="H8:N98" xr:uid="{8B03E9B8-8494-4C67-84AF-5D7DE2CCE464}"/>
  <mergeCells count="262">
    <mergeCell ref="L9:L10"/>
    <mergeCell ref="M9:M10"/>
    <mergeCell ref="N9:N10"/>
    <mergeCell ref="K9:K10"/>
    <mergeCell ref="H7:N7"/>
    <mergeCell ref="D7:D8"/>
    <mergeCell ref="E7:E8"/>
    <mergeCell ref="A7:A8"/>
    <mergeCell ref="B7:B8"/>
    <mergeCell ref="F7:F8"/>
    <mergeCell ref="G7:G8"/>
    <mergeCell ref="A9:A10"/>
    <mergeCell ref="B9:B10"/>
    <mergeCell ref="F9:F10"/>
    <mergeCell ref="G9:G10"/>
    <mergeCell ref="J9:J10"/>
    <mergeCell ref="C7:C8"/>
    <mergeCell ref="C9:C10"/>
    <mergeCell ref="A13:A16"/>
    <mergeCell ref="B13:B16"/>
    <mergeCell ref="F13:F16"/>
    <mergeCell ref="G13:G16"/>
    <mergeCell ref="H13:H16"/>
    <mergeCell ref="I13:I16"/>
    <mergeCell ref="J13:J16"/>
    <mergeCell ref="K13:K16"/>
    <mergeCell ref="A17:A18"/>
    <mergeCell ref="B17:B18"/>
    <mergeCell ref="F17:F18"/>
    <mergeCell ref="G17:G18"/>
    <mergeCell ref="J17:J18"/>
    <mergeCell ref="K17:K18"/>
    <mergeCell ref="C13:C16"/>
    <mergeCell ref="M17:M18"/>
    <mergeCell ref="N17:N18"/>
    <mergeCell ref="A19:A26"/>
    <mergeCell ref="B19:B26"/>
    <mergeCell ref="F19:F26"/>
    <mergeCell ref="G19:G26"/>
    <mergeCell ref="H19:H26"/>
    <mergeCell ref="I19:I26"/>
    <mergeCell ref="J19:J26"/>
    <mergeCell ref="K19:K26"/>
    <mergeCell ref="E19:E26"/>
    <mergeCell ref="C17:C18"/>
    <mergeCell ref="C19:C26"/>
    <mergeCell ref="F29:F30"/>
    <mergeCell ref="G29:G30"/>
    <mergeCell ref="H29:H30"/>
    <mergeCell ref="I29:I30"/>
    <mergeCell ref="J29:J30"/>
    <mergeCell ref="K29:K30"/>
    <mergeCell ref="L33:L34"/>
    <mergeCell ref="E29:E30"/>
    <mergeCell ref="L17:L18"/>
    <mergeCell ref="N33:N34"/>
    <mergeCell ref="A35:A36"/>
    <mergeCell ref="B35:B36"/>
    <mergeCell ref="F35:F36"/>
    <mergeCell ref="G35:G36"/>
    <mergeCell ref="H35:H36"/>
    <mergeCell ref="I35:I36"/>
    <mergeCell ref="J35:J36"/>
    <mergeCell ref="A33:A34"/>
    <mergeCell ref="B33:B34"/>
    <mergeCell ref="F33:F34"/>
    <mergeCell ref="G33:G34"/>
    <mergeCell ref="J33:J34"/>
    <mergeCell ref="K33:K34"/>
    <mergeCell ref="K35:K36"/>
    <mergeCell ref="D33:D34"/>
    <mergeCell ref="E33:E34"/>
    <mergeCell ref="D35:D36"/>
    <mergeCell ref="E35:E36"/>
    <mergeCell ref="H37:H38"/>
    <mergeCell ref="I37:I38"/>
    <mergeCell ref="J37:J38"/>
    <mergeCell ref="K37:K38"/>
    <mergeCell ref="J40:J43"/>
    <mergeCell ref="K40:K43"/>
    <mergeCell ref="D37:D38"/>
    <mergeCell ref="E37:E38"/>
    <mergeCell ref="M33:M34"/>
    <mergeCell ref="H47:H49"/>
    <mergeCell ref="I47:I49"/>
    <mergeCell ref="J47:J49"/>
    <mergeCell ref="K47:K49"/>
    <mergeCell ref="A40:A43"/>
    <mergeCell ref="B40:B43"/>
    <mergeCell ref="F40:F43"/>
    <mergeCell ref="G40:G43"/>
    <mergeCell ref="H40:H43"/>
    <mergeCell ref="I40:I43"/>
    <mergeCell ref="B44:B45"/>
    <mergeCell ref="A44:A45"/>
    <mergeCell ref="F44:F45"/>
    <mergeCell ref="G44:G45"/>
    <mergeCell ref="D40:D43"/>
    <mergeCell ref="E40:E43"/>
    <mergeCell ref="D44:D45"/>
    <mergeCell ref="E44:E45"/>
    <mergeCell ref="D47:D49"/>
    <mergeCell ref="E47:E49"/>
    <mergeCell ref="H44:H45"/>
    <mergeCell ref="I44:I45"/>
    <mergeCell ref="J53:J55"/>
    <mergeCell ref="K53:K55"/>
    <mergeCell ref="A56:A57"/>
    <mergeCell ref="B56:B57"/>
    <mergeCell ref="F56:F57"/>
    <mergeCell ref="G56:G57"/>
    <mergeCell ref="H56:H57"/>
    <mergeCell ref="I56:I57"/>
    <mergeCell ref="J56:J57"/>
    <mergeCell ref="K56:K57"/>
    <mergeCell ref="A53:A55"/>
    <mergeCell ref="B53:B55"/>
    <mergeCell ref="F53:F55"/>
    <mergeCell ref="G53:G55"/>
    <mergeCell ref="H53:H55"/>
    <mergeCell ref="I53:I55"/>
    <mergeCell ref="D53:D55"/>
    <mergeCell ref="E53:E55"/>
    <mergeCell ref="D56:D57"/>
    <mergeCell ref="E56:E57"/>
    <mergeCell ref="J58:J59"/>
    <mergeCell ref="K58:K59"/>
    <mergeCell ref="A61:A62"/>
    <mergeCell ref="B61:B62"/>
    <mergeCell ref="F61:F62"/>
    <mergeCell ref="G61:G62"/>
    <mergeCell ref="H61:H62"/>
    <mergeCell ref="I61:I62"/>
    <mergeCell ref="J61:J62"/>
    <mergeCell ref="K61:K62"/>
    <mergeCell ref="A58:A59"/>
    <mergeCell ref="B58:B59"/>
    <mergeCell ref="F58:F59"/>
    <mergeCell ref="G58:G59"/>
    <mergeCell ref="H58:H59"/>
    <mergeCell ref="I58:I59"/>
    <mergeCell ref="D58:D59"/>
    <mergeCell ref="E58:E59"/>
    <mergeCell ref="D61:D62"/>
    <mergeCell ref="E61:E62"/>
    <mergeCell ref="C58:C59"/>
    <mergeCell ref="C61:C62"/>
    <mergeCell ref="J63:J65"/>
    <mergeCell ref="K63:K65"/>
    <mergeCell ref="A66:A68"/>
    <mergeCell ref="B66:B68"/>
    <mergeCell ref="F66:F68"/>
    <mergeCell ref="G66:G68"/>
    <mergeCell ref="J66:J68"/>
    <mergeCell ref="K66:K68"/>
    <mergeCell ref="H67:H68"/>
    <mergeCell ref="I67:I68"/>
    <mergeCell ref="A63:A65"/>
    <mergeCell ref="B63:B65"/>
    <mergeCell ref="F63:F65"/>
    <mergeCell ref="G63:G65"/>
    <mergeCell ref="H63:H65"/>
    <mergeCell ref="I63:I65"/>
    <mergeCell ref="D63:D65"/>
    <mergeCell ref="E63:E65"/>
    <mergeCell ref="D66:D68"/>
    <mergeCell ref="E66:E68"/>
    <mergeCell ref="C63:C65"/>
    <mergeCell ref="C66:C68"/>
    <mergeCell ref="J69:J70"/>
    <mergeCell ref="K69:K70"/>
    <mergeCell ref="A73:A74"/>
    <mergeCell ref="B73:B74"/>
    <mergeCell ref="F73:F74"/>
    <mergeCell ref="G73:G74"/>
    <mergeCell ref="H73:H74"/>
    <mergeCell ref="I73:I74"/>
    <mergeCell ref="J73:J74"/>
    <mergeCell ref="K73:K74"/>
    <mergeCell ref="A69:A70"/>
    <mergeCell ref="B69:B70"/>
    <mergeCell ref="F69:F70"/>
    <mergeCell ref="G69:G70"/>
    <mergeCell ref="H69:H70"/>
    <mergeCell ref="I69:I70"/>
    <mergeCell ref="D69:D70"/>
    <mergeCell ref="E69:E70"/>
    <mergeCell ref="D73:D74"/>
    <mergeCell ref="E73:E74"/>
    <mergeCell ref="C69:C70"/>
    <mergeCell ref="C73:C74"/>
    <mergeCell ref="L83:L84"/>
    <mergeCell ref="M83:M84"/>
    <mergeCell ref="N83:N84"/>
    <mergeCell ref="A87:A88"/>
    <mergeCell ref="B87:B88"/>
    <mergeCell ref="F87:F88"/>
    <mergeCell ref="G87:G88"/>
    <mergeCell ref="J78:J82"/>
    <mergeCell ref="K78:K82"/>
    <mergeCell ref="A83:A84"/>
    <mergeCell ref="B83:B84"/>
    <mergeCell ref="F83:F84"/>
    <mergeCell ref="G83:G84"/>
    <mergeCell ref="H83:H84"/>
    <mergeCell ref="I83:I84"/>
    <mergeCell ref="A78:A82"/>
    <mergeCell ref="B78:B82"/>
    <mergeCell ref="F78:F82"/>
    <mergeCell ref="G78:G82"/>
    <mergeCell ref="H78:H82"/>
    <mergeCell ref="I78:I82"/>
    <mergeCell ref="D78:D82"/>
    <mergeCell ref="E78:E82"/>
    <mergeCell ref="D83:D84"/>
    <mergeCell ref="F93:F94"/>
    <mergeCell ref="G93:G94"/>
    <mergeCell ref="A85:A86"/>
    <mergeCell ref="G85:G86"/>
    <mergeCell ref="F85:F86"/>
    <mergeCell ref="B85:B86"/>
    <mergeCell ref="D9:D10"/>
    <mergeCell ref="D13:D16"/>
    <mergeCell ref="D17:D18"/>
    <mergeCell ref="D19:D26"/>
    <mergeCell ref="D29:D30"/>
    <mergeCell ref="E9:E10"/>
    <mergeCell ref="E13:E16"/>
    <mergeCell ref="E17:E18"/>
    <mergeCell ref="A47:A49"/>
    <mergeCell ref="B47:B49"/>
    <mergeCell ref="F47:F49"/>
    <mergeCell ref="G47:G49"/>
    <mergeCell ref="A37:A38"/>
    <mergeCell ref="B37:B38"/>
    <mergeCell ref="F37:F38"/>
    <mergeCell ref="G37:G38"/>
    <mergeCell ref="A29:A30"/>
    <mergeCell ref="B29:B30"/>
    <mergeCell ref="E83:E84"/>
    <mergeCell ref="D85:D86"/>
    <mergeCell ref="E85:E86"/>
    <mergeCell ref="D87:D88"/>
    <mergeCell ref="E87:E88"/>
    <mergeCell ref="D93:D94"/>
    <mergeCell ref="E93:E94"/>
    <mergeCell ref="A93:A94"/>
    <mergeCell ref="B93:B94"/>
    <mergeCell ref="C78:C82"/>
    <mergeCell ref="C83:C84"/>
    <mergeCell ref="C85:C86"/>
    <mergeCell ref="C87:C88"/>
    <mergeCell ref="C93:C94"/>
    <mergeCell ref="C29:C30"/>
    <mergeCell ref="C33:C34"/>
    <mergeCell ref="C35:C36"/>
    <mergeCell ref="C37:C38"/>
    <mergeCell ref="C40:C43"/>
    <mergeCell ref="C44:C45"/>
    <mergeCell ref="C47:C49"/>
    <mergeCell ref="C53:C55"/>
    <mergeCell ref="C56:C5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1FE08-033F-4A3C-90D3-A1F0828E9FFF}">
  <sheetPr>
    <tabColor rgb="FF92D050"/>
  </sheetPr>
  <dimension ref="A2:O17"/>
  <sheetViews>
    <sheetView showGridLines="0" zoomScaleNormal="100" workbookViewId="0">
      <selection activeCell="C24" sqref="C24"/>
    </sheetView>
  </sheetViews>
  <sheetFormatPr baseColWidth="10" defaultColWidth="11.5" defaultRowHeight="14"/>
  <cols>
    <col min="1" max="1" width="8.75" customWidth="1"/>
    <col min="2" max="2" width="48.25" bestFit="1" customWidth="1"/>
    <col min="3" max="3" width="22" customWidth="1"/>
    <col min="4" max="4" width="25.75" customWidth="1"/>
    <col min="5" max="5" width="22.75" customWidth="1"/>
    <col min="7" max="7" width="17.75" bestFit="1" customWidth="1"/>
    <col min="8" max="8" width="30" customWidth="1"/>
    <col min="9" max="9" width="11.5" style="44"/>
    <col min="10" max="10" width="17.5" bestFit="1" customWidth="1"/>
    <col min="12" max="12" width="23.83203125" customWidth="1"/>
    <col min="13" max="13" width="16.25" customWidth="1"/>
    <col min="14" max="14" width="16.75" style="44" customWidth="1"/>
  </cols>
  <sheetData>
    <row r="2" spans="1:15" ht="18.5">
      <c r="A2" s="42" t="s">
        <v>7222</v>
      </c>
      <c r="H2" s="43" t="s">
        <v>516</v>
      </c>
      <c r="I2" s="43">
        <v>7</v>
      </c>
    </row>
    <row r="3" spans="1:15">
      <c r="H3" s="43" t="s">
        <v>517</v>
      </c>
      <c r="I3" s="43">
        <v>5</v>
      </c>
    </row>
    <row r="4" spans="1:15">
      <c r="H4" s="43" t="s">
        <v>8624</v>
      </c>
      <c r="I4" s="43">
        <v>1</v>
      </c>
    </row>
    <row r="5" spans="1:15">
      <c r="H5" s="45" t="s">
        <v>518</v>
      </c>
      <c r="I5" s="45">
        <v>1</v>
      </c>
    </row>
    <row r="7" spans="1:15" ht="24.65" customHeight="1" thickBot="1">
      <c r="A7" s="854" t="s">
        <v>519</v>
      </c>
      <c r="B7" s="854" t="s">
        <v>520</v>
      </c>
      <c r="C7" s="854" t="s">
        <v>8621</v>
      </c>
      <c r="D7" s="854" t="s">
        <v>8588</v>
      </c>
      <c r="E7" s="854" t="s">
        <v>8587</v>
      </c>
      <c r="F7" s="854" t="s">
        <v>521</v>
      </c>
      <c r="G7" s="855" t="s">
        <v>522</v>
      </c>
      <c r="H7" s="854" t="s">
        <v>523</v>
      </c>
      <c r="I7" s="854"/>
      <c r="J7" s="854"/>
      <c r="K7" s="854"/>
      <c r="L7" s="854"/>
      <c r="M7" s="854"/>
      <c r="N7" s="854"/>
    </row>
    <row r="8" spans="1:15" ht="24.65" customHeight="1">
      <c r="A8" s="855"/>
      <c r="B8" s="855"/>
      <c r="C8" s="855"/>
      <c r="D8" s="855"/>
      <c r="E8" s="855"/>
      <c r="F8" s="855"/>
      <c r="G8" s="856"/>
      <c r="H8" s="47" t="s">
        <v>524</v>
      </c>
      <c r="I8" s="47" t="s">
        <v>525</v>
      </c>
      <c r="J8" s="47" t="s">
        <v>526</v>
      </c>
      <c r="K8" s="47" t="s">
        <v>525</v>
      </c>
      <c r="L8" s="47" t="s">
        <v>527</v>
      </c>
      <c r="M8" s="47" t="s">
        <v>485</v>
      </c>
      <c r="N8" s="47" t="s">
        <v>525</v>
      </c>
    </row>
    <row r="9" spans="1:15" s="52" customFormat="1">
      <c r="A9" s="48">
        <v>1</v>
      </c>
      <c r="B9" s="64" t="s">
        <v>755</v>
      </c>
      <c r="C9" s="48" t="s">
        <v>1574</v>
      </c>
      <c r="D9" s="48" t="s">
        <v>850</v>
      </c>
      <c r="E9" s="48" t="s">
        <v>850</v>
      </c>
      <c r="F9" s="48" t="s">
        <v>756</v>
      </c>
      <c r="G9" s="51" t="s">
        <v>2779</v>
      </c>
      <c r="H9" s="50"/>
      <c r="I9" s="51"/>
      <c r="J9" s="50"/>
      <c r="K9" s="51"/>
      <c r="L9" s="51" t="s">
        <v>757</v>
      </c>
      <c r="M9" s="51" t="s">
        <v>758</v>
      </c>
      <c r="N9" s="51">
        <v>100</v>
      </c>
    </row>
    <row r="10" spans="1:15" s="52" customFormat="1">
      <c r="A10" s="53">
        <v>2</v>
      </c>
      <c r="B10" s="54" t="s">
        <v>759</v>
      </c>
      <c r="C10" s="53" t="s">
        <v>1574</v>
      </c>
      <c r="D10" s="53" t="s">
        <v>850</v>
      </c>
      <c r="E10" s="53" t="s">
        <v>850</v>
      </c>
      <c r="F10" s="53" t="s">
        <v>760</v>
      </c>
      <c r="G10" s="53" t="s">
        <v>1247</v>
      </c>
      <c r="H10" s="54"/>
      <c r="I10" s="53"/>
      <c r="J10" s="53"/>
      <c r="K10" s="53"/>
      <c r="L10" s="55" t="s">
        <v>757</v>
      </c>
      <c r="M10" s="53" t="s">
        <v>758</v>
      </c>
      <c r="N10" s="53">
        <v>100</v>
      </c>
    </row>
    <row r="11" spans="1:15">
      <c r="A11" s="51">
        <v>3</v>
      </c>
      <c r="B11" s="50" t="s">
        <v>761</v>
      </c>
      <c r="C11" s="51" t="s">
        <v>1574</v>
      </c>
      <c r="D11" s="51" t="s">
        <v>850</v>
      </c>
      <c r="E11" s="51" t="s">
        <v>850</v>
      </c>
      <c r="F11" s="51" t="s">
        <v>762</v>
      </c>
      <c r="G11" s="51" t="s">
        <v>1247</v>
      </c>
      <c r="H11" s="50"/>
      <c r="I11" s="51"/>
      <c r="J11" s="50"/>
      <c r="K11" s="51"/>
      <c r="L11" s="51" t="s">
        <v>757</v>
      </c>
      <c r="M11" s="51" t="s">
        <v>758</v>
      </c>
      <c r="N11" s="51">
        <v>100</v>
      </c>
    </row>
    <row r="12" spans="1:15">
      <c r="A12" s="53">
        <v>4</v>
      </c>
      <c r="B12" s="54" t="s">
        <v>763</v>
      </c>
      <c r="C12" s="53" t="s">
        <v>1574</v>
      </c>
      <c r="D12" s="53" t="s">
        <v>850</v>
      </c>
      <c r="E12" s="53" t="s">
        <v>850</v>
      </c>
      <c r="F12" s="53" t="s">
        <v>764</v>
      </c>
      <c r="G12" s="53" t="s">
        <v>2780</v>
      </c>
      <c r="H12" s="54"/>
      <c r="I12" s="53"/>
      <c r="J12" s="53"/>
      <c r="K12" s="53"/>
      <c r="L12" s="55" t="s">
        <v>757</v>
      </c>
      <c r="M12" s="53" t="s">
        <v>758</v>
      </c>
      <c r="N12" s="53">
        <v>100</v>
      </c>
    </row>
    <row r="13" spans="1:15">
      <c r="A13" s="51">
        <v>5</v>
      </c>
      <c r="B13" s="50" t="s">
        <v>765</v>
      </c>
      <c r="C13" s="51" t="s">
        <v>1574</v>
      </c>
      <c r="D13" s="51" t="s">
        <v>1247</v>
      </c>
      <c r="E13" s="51" t="s">
        <v>1247</v>
      </c>
      <c r="F13" s="51" t="s">
        <v>766</v>
      </c>
      <c r="G13" s="51" t="s">
        <v>2781</v>
      </c>
      <c r="H13" s="51" t="s">
        <v>793</v>
      </c>
      <c r="I13" s="51">
        <v>15</v>
      </c>
      <c r="J13" s="50"/>
      <c r="K13" s="51"/>
      <c r="L13" s="51" t="s">
        <v>757</v>
      </c>
      <c r="M13" s="51" t="s">
        <v>758</v>
      </c>
      <c r="N13" s="51">
        <v>85</v>
      </c>
    </row>
    <row r="14" spans="1:15">
      <c r="A14" s="56">
        <v>6</v>
      </c>
      <c r="B14" s="57" t="s">
        <v>767</v>
      </c>
      <c r="C14" s="56" t="s">
        <v>850</v>
      </c>
      <c r="D14" s="56" t="s">
        <v>1247</v>
      </c>
      <c r="E14" s="56" t="s">
        <v>1247</v>
      </c>
      <c r="F14" s="56" t="s">
        <v>768</v>
      </c>
      <c r="G14" s="56" t="s">
        <v>1247</v>
      </c>
      <c r="H14" s="56" t="s">
        <v>1247</v>
      </c>
      <c r="I14" s="56" t="s">
        <v>1247</v>
      </c>
      <c r="J14" s="53" t="s">
        <v>1247</v>
      </c>
      <c r="K14" s="53" t="s">
        <v>1247</v>
      </c>
      <c r="L14" s="55" t="s">
        <v>1247</v>
      </c>
      <c r="M14" s="53" t="s">
        <v>1247</v>
      </c>
      <c r="N14" s="53" t="s">
        <v>1247</v>
      </c>
      <c r="O14" s="4"/>
    </row>
    <row r="15" spans="1:15">
      <c r="A15" s="51">
        <v>7</v>
      </c>
      <c r="B15" s="50" t="s">
        <v>769</v>
      </c>
      <c r="C15" s="51" t="s">
        <v>8622</v>
      </c>
      <c r="D15" s="51" t="s">
        <v>850</v>
      </c>
      <c r="E15" s="51" t="s">
        <v>850</v>
      </c>
      <c r="F15" s="51" t="s">
        <v>770</v>
      </c>
      <c r="G15" s="51" t="s">
        <v>771</v>
      </c>
      <c r="H15" s="51" t="s">
        <v>561</v>
      </c>
      <c r="I15" s="51">
        <v>100</v>
      </c>
      <c r="J15" s="50"/>
      <c r="K15" s="51"/>
      <c r="L15" s="51"/>
      <c r="M15" s="51"/>
      <c r="N15" s="51"/>
    </row>
    <row r="16" spans="1:15">
      <c r="M16" s="44"/>
    </row>
    <row r="17" spans="1:1">
      <c r="A17" s="641" t="s">
        <v>8623</v>
      </c>
    </row>
  </sheetData>
  <autoFilter ref="A7:G10" xr:uid="{B8F004DD-DA04-49AC-A2E4-07ABA442D55D}"/>
  <mergeCells count="8">
    <mergeCell ref="A7:A8"/>
    <mergeCell ref="B7:B8"/>
    <mergeCell ref="F7:F8"/>
    <mergeCell ref="G7:G8"/>
    <mergeCell ref="H7:N7"/>
    <mergeCell ref="D7:D8"/>
    <mergeCell ref="E7:E8"/>
    <mergeCell ref="C7:C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DA4AF-0D1C-4DCF-9048-D6BA5E07603B}">
  <sheetPr>
    <tabColor rgb="FF92D050"/>
  </sheetPr>
  <dimension ref="A2:P76"/>
  <sheetViews>
    <sheetView showGridLines="0" topLeftCell="C1" zoomScale="97" zoomScaleNormal="90" workbookViewId="0">
      <pane ySplit="11" topLeftCell="A12" activePane="bottomLeft" state="frozen"/>
      <selection activeCell="D74" sqref="D74"/>
      <selection pane="bottomLeft" activeCell="D17" sqref="D17:D24"/>
    </sheetView>
  </sheetViews>
  <sheetFormatPr baseColWidth="10" defaultColWidth="11.5" defaultRowHeight="14"/>
  <cols>
    <col min="2" max="2" width="49.1640625" bestFit="1" customWidth="1"/>
    <col min="3" max="3" width="15.25" customWidth="1"/>
    <col min="4" max="4" width="57.4140625" style="156" customWidth="1"/>
    <col min="5" max="5" width="65" bestFit="1" customWidth="1"/>
    <col min="8" max="8" width="28.75" bestFit="1" customWidth="1"/>
    <col min="9" max="9" width="11.5" style="232"/>
    <col min="10" max="10" width="9.25" bestFit="1" customWidth="1"/>
    <col min="11" max="11" width="20.75" bestFit="1" customWidth="1"/>
    <col min="12" max="12" width="22.1640625" style="44" bestFit="1" customWidth="1"/>
    <col min="14" max="14" width="33.25" bestFit="1" customWidth="1"/>
    <col min="15" max="15" width="47.75" bestFit="1" customWidth="1"/>
    <col min="16" max="16" width="32" customWidth="1"/>
  </cols>
  <sheetData>
    <row r="2" spans="1:16" ht="18.5">
      <c r="A2" s="42" t="s">
        <v>7220</v>
      </c>
      <c r="E2" s="43" t="s">
        <v>516</v>
      </c>
      <c r="F2" s="43">
        <v>49</v>
      </c>
      <c r="G2" s="232"/>
      <c r="H2" s="232"/>
    </row>
    <row r="3" spans="1:16">
      <c r="E3" s="43" t="s">
        <v>517</v>
      </c>
      <c r="F3" s="43">
        <v>9</v>
      </c>
      <c r="G3" s="232"/>
      <c r="H3" s="232"/>
    </row>
    <row r="4" spans="1:16">
      <c r="E4" s="43" t="s">
        <v>10178</v>
      </c>
      <c r="F4" s="43">
        <v>9</v>
      </c>
      <c r="G4" s="232"/>
      <c r="H4" s="232"/>
    </row>
    <row r="5" spans="1:16">
      <c r="E5" s="43" t="s">
        <v>10177</v>
      </c>
      <c r="F5" s="43">
        <v>8</v>
      </c>
      <c r="G5" s="232"/>
      <c r="H5" s="232"/>
    </row>
    <row r="6" spans="1:16">
      <c r="E6" s="43" t="s">
        <v>10237</v>
      </c>
      <c r="F6" s="43">
        <v>2</v>
      </c>
      <c r="G6" s="232"/>
      <c r="H6" s="232"/>
    </row>
    <row r="7" spans="1:16">
      <c r="E7" s="45" t="s">
        <v>10238</v>
      </c>
      <c r="F7" s="45">
        <v>8</v>
      </c>
      <c r="G7" s="232"/>
      <c r="H7" s="232"/>
    </row>
    <row r="8" spans="1:16">
      <c r="E8" s="45" t="s">
        <v>518</v>
      </c>
      <c r="F8" s="45">
        <f>+F2-SUM(F3:F7)</f>
        <v>13</v>
      </c>
      <c r="G8" s="232"/>
      <c r="H8" s="232"/>
    </row>
    <row r="10" spans="1:16" ht="21.65" customHeight="1" thickBot="1">
      <c r="A10" s="854" t="s">
        <v>519</v>
      </c>
      <c r="B10" s="854" t="s">
        <v>520</v>
      </c>
      <c r="C10" s="854" t="s">
        <v>521</v>
      </c>
      <c r="D10" s="854" t="s">
        <v>10179</v>
      </c>
      <c r="E10" s="854" t="s">
        <v>736</v>
      </c>
      <c r="F10" s="854" t="s">
        <v>485</v>
      </c>
      <c r="G10" s="854" t="s">
        <v>10183</v>
      </c>
      <c r="H10" s="854" t="s">
        <v>484</v>
      </c>
      <c r="I10" s="938" t="s">
        <v>490</v>
      </c>
      <c r="J10" s="854" t="s">
        <v>491</v>
      </c>
      <c r="K10" s="854" t="s">
        <v>492</v>
      </c>
      <c r="L10" s="854" t="s">
        <v>493</v>
      </c>
      <c r="M10" s="854" t="s">
        <v>494</v>
      </c>
      <c r="N10" s="854" t="s">
        <v>501</v>
      </c>
      <c r="O10" s="854" t="s">
        <v>496</v>
      </c>
      <c r="P10" s="854" t="s">
        <v>497</v>
      </c>
    </row>
    <row r="11" spans="1:16" ht="14.5" thickBot="1">
      <c r="A11" s="855"/>
      <c r="B11" s="855"/>
      <c r="C11" s="855"/>
      <c r="D11" s="855"/>
      <c r="E11" s="855"/>
      <c r="F11" s="854"/>
      <c r="G11" s="854"/>
      <c r="H11" s="854"/>
      <c r="I11" s="938"/>
      <c r="J11" s="854"/>
      <c r="K11" s="854"/>
      <c r="L11" s="854"/>
      <c r="M11" s="854"/>
      <c r="N11" s="854"/>
      <c r="O11" s="854"/>
      <c r="P11" s="854"/>
    </row>
    <row r="12" spans="1:16" s="52" customFormat="1" ht="36">
      <c r="A12" s="48">
        <v>1</v>
      </c>
      <c r="B12" s="693" t="s">
        <v>69</v>
      </c>
      <c r="C12" s="48" t="s">
        <v>528</v>
      </c>
      <c r="D12" s="695" t="s">
        <v>10168</v>
      </c>
      <c r="E12" s="707"/>
      <c r="F12" s="705"/>
      <c r="G12" s="705"/>
      <c r="H12" s="705"/>
      <c r="I12" s="708"/>
      <c r="J12" s="705"/>
      <c r="K12" s="705"/>
      <c r="L12" s="705"/>
      <c r="M12" s="706"/>
      <c r="N12" s="705"/>
      <c r="O12" s="705"/>
      <c r="P12" s="705"/>
    </row>
    <row r="13" spans="1:16" s="52" customFormat="1" ht="36">
      <c r="A13" s="53">
        <v>2</v>
      </c>
      <c r="B13" s="696" t="s">
        <v>534</v>
      </c>
      <c r="C13" s="53" t="s">
        <v>535</v>
      </c>
      <c r="D13" s="697" t="s">
        <v>10169</v>
      </c>
      <c r="E13" s="709"/>
      <c r="F13" s="710"/>
      <c r="G13" s="710"/>
      <c r="H13" s="710"/>
      <c r="I13" s="711"/>
      <c r="J13" s="710"/>
      <c r="K13" s="710"/>
      <c r="L13" s="710"/>
      <c r="M13" s="712"/>
      <c r="N13" s="710"/>
      <c r="O13" s="710"/>
      <c r="P13" s="710"/>
    </row>
    <row r="14" spans="1:16" ht="36">
      <c r="A14" s="51">
        <v>3</v>
      </c>
      <c r="B14" s="50" t="s">
        <v>539</v>
      </c>
      <c r="C14" s="51" t="s">
        <v>540</v>
      </c>
      <c r="D14" s="702" t="s">
        <v>10170</v>
      </c>
      <c r="E14" s="51" t="s">
        <v>8344</v>
      </c>
      <c r="F14" s="48" t="s">
        <v>587</v>
      </c>
      <c r="G14" s="48"/>
      <c r="H14" s="48"/>
      <c r="I14" s="229">
        <v>720</v>
      </c>
      <c r="J14" s="234">
        <v>0.72</v>
      </c>
      <c r="K14" s="243">
        <v>0.72</v>
      </c>
      <c r="L14" s="48"/>
      <c r="M14" s="49"/>
      <c r="N14" s="241">
        <v>41669</v>
      </c>
      <c r="O14" s="58" t="s">
        <v>8345</v>
      </c>
      <c r="P14" s="48"/>
    </row>
    <row r="15" spans="1:16">
      <c r="A15" s="53">
        <v>4</v>
      </c>
      <c r="B15" s="231" t="s">
        <v>544</v>
      </c>
      <c r="C15" s="53" t="s">
        <v>545</v>
      </c>
      <c r="D15" s="231" t="s">
        <v>850</v>
      </c>
      <c r="E15" s="53" t="s">
        <v>1247</v>
      </c>
      <c r="F15" s="53"/>
      <c r="G15" s="53"/>
      <c r="H15" s="53"/>
      <c r="I15" s="233"/>
      <c r="J15" s="53"/>
      <c r="K15" s="53"/>
      <c r="L15" s="53"/>
      <c r="M15" s="54"/>
      <c r="N15" s="53"/>
      <c r="O15" s="53"/>
      <c r="P15" s="53"/>
    </row>
    <row r="16" spans="1:16" ht="19.149999999999999" customHeight="1">
      <c r="A16" s="51">
        <v>5</v>
      </c>
      <c r="B16" s="50" t="s">
        <v>553</v>
      </c>
      <c r="C16" s="51" t="s">
        <v>554</v>
      </c>
      <c r="D16" s="50" t="s">
        <v>10170</v>
      </c>
      <c r="E16" s="51" t="s">
        <v>737</v>
      </c>
      <c r="F16" s="48" t="s">
        <v>561</v>
      </c>
      <c r="G16" s="48"/>
      <c r="H16" s="48"/>
      <c r="I16" s="229">
        <v>4900</v>
      </c>
      <c r="J16" s="234">
        <v>0.49</v>
      </c>
      <c r="K16" s="48"/>
      <c r="L16" s="48"/>
      <c r="M16" s="49"/>
      <c r="N16" s="48" t="s">
        <v>738</v>
      </c>
      <c r="O16" s="48"/>
      <c r="P16" s="48"/>
    </row>
    <row r="17" spans="1:16">
      <c r="A17" s="892">
        <v>6</v>
      </c>
      <c r="B17" s="898" t="s">
        <v>2586</v>
      </c>
      <c r="C17" s="892" t="s">
        <v>2478</v>
      </c>
      <c r="D17" s="939" t="s">
        <v>10170</v>
      </c>
      <c r="E17" s="221" t="s">
        <v>2749</v>
      </c>
      <c r="F17" s="226"/>
      <c r="G17" s="226"/>
      <c r="H17" s="226"/>
      <c r="I17" s="235">
        <v>37</v>
      </c>
      <c r="J17" s="236">
        <v>0.37</v>
      </c>
      <c r="K17" s="226"/>
      <c r="L17" s="226"/>
      <c r="M17" s="225"/>
      <c r="N17" s="226"/>
      <c r="O17" s="226"/>
      <c r="P17" s="226"/>
    </row>
    <row r="18" spans="1:16">
      <c r="A18" s="896"/>
      <c r="B18" s="921"/>
      <c r="C18" s="896"/>
      <c r="D18" s="941"/>
      <c r="E18" s="221" t="s">
        <v>2750</v>
      </c>
      <c r="F18" s="226" t="s">
        <v>587</v>
      </c>
      <c r="G18" s="226"/>
      <c r="H18" s="226"/>
      <c r="I18" s="235">
        <v>17</v>
      </c>
      <c r="J18" s="236">
        <v>0.17</v>
      </c>
      <c r="K18" s="226"/>
      <c r="L18" s="226"/>
      <c r="M18" s="225"/>
      <c r="N18" s="226"/>
      <c r="O18" s="226"/>
      <c r="P18" s="226"/>
    </row>
    <row r="19" spans="1:16">
      <c r="A19" s="896"/>
      <c r="B19" s="921"/>
      <c r="C19" s="896"/>
      <c r="D19" s="941"/>
      <c r="E19" s="221" t="s">
        <v>2751</v>
      </c>
      <c r="F19" s="226" t="s">
        <v>587</v>
      </c>
      <c r="G19" s="226"/>
      <c r="H19" s="226"/>
      <c r="I19" s="235">
        <v>13</v>
      </c>
      <c r="J19" s="236">
        <v>0.13</v>
      </c>
      <c r="K19" s="226"/>
      <c r="L19" s="226"/>
      <c r="M19" s="225"/>
      <c r="N19" s="226"/>
      <c r="O19" s="226"/>
      <c r="P19" s="226"/>
    </row>
    <row r="20" spans="1:16">
      <c r="A20" s="896"/>
      <c r="B20" s="921"/>
      <c r="C20" s="896"/>
      <c r="D20" s="941"/>
      <c r="E20" s="221" t="s">
        <v>2752</v>
      </c>
      <c r="F20" s="226" t="s">
        <v>587</v>
      </c>
      <c r="G20" s="226"/>
      <c r="H20" s="226"/>
      <c r="I20" s="235">
        <v>10</v>
      </c>
      <c r="J20" s="236">
        <v>0.1</v>
      </c>
      <c r="K20" s="226"/>
      <c r="L20" s="226"/>
      <c r="M20" s="225"/>
      <c r="N20" s="226"/>
      <c r="O20" s="226"/>
      <c r="P20" s="226"/>
    </row>
    <row r="21" spans="1:16">
      <c r="A21" s="896"/>
      <c r="B21" s="921"/>
      <c r="C21" s="896"/>
      <c r="D21" s="941"/>
      <c r="E21" s="221" t="s">
        <v>2753</v>
      </c>
      <c r="F21" s="226" t="s">
        <v>587</v>
      </c>
      <c r="G21" s="226"/>
      <c r="H21" s="226"/>
      <c r="I21" s="235">
        <v>10</v>
      </c>
      <c r="J21" s="236">
        <v>0.1</v>
      </c>
      <c r="K21" s="226"/>
      <c r="L21" s="226"/>
      <c r="M21" s="225"/>
      <c r="N21" s="226"/>
      <c r="O21" s="226"/>
      <c r="P21" s="226"/>
    </row>
    <row r="22" spans="1:16">
      <c r="A22" s="896"/>
      <c r="B22" s="921"/>
      <c r="C22" s="896"/>
      <c r="D22" s="941"/>
      <c r="E22" s="221" t="s">
        <v>2754</v>
      </c>
      <c r="F22" s="226"/>
      <c r="G22" s="226"/>
      <c r="H22" s="226"/>
      <c r="I22" s="235">
        <v>6</v>
      </c>
      <c r="J22" s="236">
        <v>0.06</v>
      </c>
      <c r="K22" s="226"/>
      <c r="L22" s="226"/>
      <c r="M22" s="225"/>
      <c r="N22" s="226"/>
      <c r="O22" s="226"/>
      <c r="P22" s="226"/>
    </row>
    <row r="23" spans="1:16">
      <c r="A23" s="896"/>
      <c r="B23" s="921"/>
      <c r="C23" s="896"/>
      <c r="D23" s="941"/>
      <c r="E23" s="221" t="s">
        <v>2755</v>
      </c>
      <c r="F23" s="226"/>
      <c r="G23" s="226"/>
      <c r="H23" s="226"/>
      <c r="I23" s="235">
        <v>5</v>
      </c>
      <c r="J23" s="236">
        <v>0.05</v>
      </c>
      <c r="K23" s="226"/>
      <c r="L23" s="226"/>
      <c r="M23" s="225"/>
      <c r="N23" s="226"/>
      <c r="O23" s="226"/>
      <c r="P23" s="226"/>
    </row>
    <row r="24" spans="1:16">
      <c r="A24" s="893"/>
      <c r="B24" s="899"/>
      <c r="C24" s="893"/>
      <c r="D24" s="940"/>
      <c r="E24" s="221" t="s">
        <v>2756</v>
      </c>
      <c r="F24" s="226" t="s">
        <v>587</v>
      </c>
      <c r="G24" s="226"/>
      <c r="H24" s="226"/>
      <c r="I24" s="235">
        <v>2</v>
      </c>
      <c r="J24" s="236">
        <v>0.02</v>
      </c>
      <c r="K24" s="226"/>
      <c r="L24" s="226"/>
      <c r="M24" s="225"/>
      <c r="N24" s="226"/>
      <c r="O24" s="226"/>
      <c r="P24" s="226"/>
    </row>
    <row r="25" spans="1:16" ht="15" customHeight="1">
      <c r="A25" s="51">
        <v>7</v>
      </c>
      <c r="B25" s="177" t="s">
        <v>558</v>
      </c>
      <c r="C25" s="51" t="s">
        <v>559</v>
      </c>
      <c r="D25" s="177" t="s">
        <v>850</v>
      </c>
      <c r="E25" s="51" t="s">
        <v>1247</v>
      </c>
      <c r="F25" s="51"/>
      <c r="G25" s="51"/>
      <c r="H25" s="51"/>
      <c r="I25" s="88"/>
      <c r="J25" s="51"/>
      <c r="K25" s="51"/>
      <c r="L25" s="51"/>
      <c r="M25" s="50"/>
      <c r="N25" s="51"/>
      <c r="O25" s="51"/>
      <c r="P25" s="51"/>
    </row>
    <row r="26" spans="1:16">
      <c r="A26" s="221">
        <v>8</v>
      </c>
      <c r="B26" s="231" t="s">
        <v>562</v>
      </c>
      <c r="C26" s="221" t="s">
        <v>563</v>
      </c>
      <c r="D26" s="231" t="s">
        <v>850</v>
      </c>
      <c r="E26" s="221" t="s">
        <v>1247</v>
      </c>
      <c r="F26" s="226"/>
      <c r="G26" s="226"/>
      <c r="H26" s="226"/>
      <c r="I26" s="235"/>
      <c r="J26" s="226"/>
      <c r="K26" s="226"/>
      <c r="L26" s="226"/>
      <c r="M26" s="225"/>
      <c r="N26" s="226"/>
      <c r="O26" s="226"/>
      <c r="P26" s="226"/>
    </row>
    <row r="27" spans="1:16" ht="24">
      <c r="A27" s="51">
        <v>9</v>
      </c>
      <c r="B27" s="698" t="s">
        <v>564</v>
      </c>
      <c r="C27" s="51" t="s">
        <v>565</v>
      </c>
      <c r="D27" s="699" t="s">
        <v>10171</v>
      </c>
      <c r="E27" s="713"/>
      <c r="F27" s="704"/>
      <c r="G27" s="704"/>
      <c r="H27" s="704"/>
      <c r="I27" s="714"/>
      <c r="J27" s="704"/>
      <c r="K27" s="704"/>
      <c r="L27" s="704"/>
      <c r="M27" s="715"/>
      <c r="N27" s="704"/>
      <c r="O27" s="704"/>
      <c r="P27" s="704"/>
    </row>
    <row r="28" spans="1:16">
      <c r="A28" s="221">
        <v>10</v>
      </c>
      <c r="B28" s="696" t="s">
        <v>570</v>
      </c>
      <c r="C28" s="221" t="s">
        <v>571</v>
      </c>
      <c r="D28" s="696" t="s">
        <v>10172</v>
      </c>
      <c r="E28" s="716"/>
      <c r="F28" s="717"/>
      <c r="G28" s="717"/>
      <c r="H28" s="717"/>
      <c r="I28" s="718"/>
      <c r="J28" s="717"/>
      <c r="K28" s="717"/>
      <c r="L28" s="717"/>
      <c r="M28" s="719"/>
      <c r="N28" s="717"/>
      <c r="O28" s="717"/>
      <c r="P28" s="717"/>
    </row>
    <row r="29" spans="1:16" s="52" customFormat="1">
      <c r="A29" s="48">
        <v>11</v>
      </c>
      <c r="B29" s="49" t="s">
        <v>574</v>
      </c>
      <c r="C29" s="48" t="s">
        <v>575</v>
      </c>
      <c r="D29" s="700" t="s">
        <v>10173</v>
      </c>
      <c r="E29" s="713"/>
      <c r="F29" s="704"/>
      <c r="G29" s="704"/>
      <c r="H29" s="704"/>
      <c r="I29" s="714"/>
      <c r="J29" s="720"/>
      <c r="K29" s="720"/>
      <c r="L29" s="720"/>
      <c r="M29" s="715"/>
      <c r="N29" s="704"/>
      <c r="O29" s="713"/>
      <c r="P29" s="713"/>
    </row>
    <row r="30" spans="1:16">
      <c r="A30" s="892">
        <v>12</v>
      </c>
      <c r="B30" s="898" t="s">
        <v>578</v>
      </c>
      <c r="C30" s="892" t="s">
        <v>579</v>
      </c>
      <c r="D30" s="939" t="s">
        <v>10170</v>
      </c>
      <c r="E30" s="221" t="s">
        <v>556</v>
      </c>
      <c r="F30" s="226" t="s">
        <v>739</v>
      </c>
      <c r="G30" s="226"/>
      <c r="H30" s="226"/>
      <c r="I30" s="235">
        <v>30</v>
      </c>
      <c r="J30" s="236">
        <v>0.3</v>
      </c>
      <c r="K30" s="236"/>
      <c r="L30" s="226"/>
      <c r="M30" s="225"/>
      <c r="N30" s="226"/>
      <c r="O30" s="226"/>
      <c r="P30" s="226"/>
    </row>
    <row r="31" spans="1:16">
      <c r="A31" s="896"/>
      <c r="B31" s="921"/>
      <c r="C31" s="896"/>
      <c r="D31" s="941"/>
      <c r="E31" s="221" t="s">
        <v>740</v>
      </c>
      <c r="F31" s="226" t="s">
        <v>739</v>
      </c>
      <c r="G31" s="226"/>
      <c r="H31" s="226"/>
      <c r="I31" s="235">
        <v>5</v>
      </c>
      <c r="J31" s="236">
        <v>0.05</v>
      </c>
      <c r="K31" s="236"/>
      <c r="L31" s="226"/>
      <c r="M31" s="225"/>
      <c r="N31" s="226"/>
      <c r="O31" s="226"/>
      <c r="P31" s="226"/>
    </row>
    <row r="32" spans="1:16">
      <c r="A32" s="893"/>
      <c r="B32" s="899"/>
      <c r="C32" s="893"/>
      <c r="D32" s="940"/>
      <c r="E32" s="221" t="s">
        <v>580</v>
      </c>
      <c r="F32" s="226" t="s">
        <v>602</v>
      </c>
      <c r="G32" s="226"/>
      <c r="H32" s="226"/>
      <c r="I32" s="235">
        <v>65</v>
      </c>
      <c r="J32" s="236">
        <v>0.65</v>
      </c>
      <c r="K32" s="236"/>
      <c r="L32" s="226"/>
      <c r="M32" s="225"/>
      <c r="N32" s="226"/>
      <c r="O32" s="226"/>
      <c r="P32" s="226"/>
    </row>
    <row r="33" spans="1:16">
      <c r="A33" s="51">
        <v>13</v>
      </c>
      <c r="B33" s="50" t="s">
        <v>582</v>
      </c>
      <c r="C33" s="51" t="s">
        <v>583</v>
      </c>
      <c r="D33" s="50" t="s">
        <v>1574</v>
      </c>
      <c r="E33" s="51" t="s">
        <v>2782</v>
      </c>
      <c r="F33" s="51" t="s">
        <v>587</v>
      </c>
      <c r="G33" s="51" t="s">
        <v>602</v>
      </c>
      <c r="H33" s="51" t="s">
        <v>10185</v>
      </c>
      <c r="I33" s="88"/>
      <c r="J33" s="51"/>
      <c r="K33" s="51"/>
      <c r="L33" s="51"/>
      <c r="M33" s="50"/>
      <c r="N33" s="51"/>
      <c r="O33" s="51"/>
      <c r="P33" s="51"/>
    </row>
    <row r="34" spans="1:16">
      <c r="A34" s="221">
        <v>14</v>
      </c>
      <c r="B34" s="231" t="s">
        <v>590</v>
      </c>
      <c r="C34" s="221" t="s">
        <v>2589</v>
      </c>
      <c r="D34" s="231" t="s">
        <v>850</v>
      </c>
      <c r="E34" s="221" t="s">
        <v>1247</v>
      </c>
      <c r="F34" s="226"/>
      <c r="G34" s="226"/>
      <c r="H34" s="226"/>
      <c r="I34" s="235"/>
      <c r="J34" s="226"/>
      <c r="K34" s="226"/>
      <c r="L34" s="226"/>
      <c r="M34" s="225"/>
      <c r="N34" s="226"/>
      <c r="O34" s="226"/>
      <c r="P34" s="226"/>
    </row>
    <row r="35" spans="1:16" ht="16.149999999999999" customHeight="1">
      <c r="A35" s="889">
        <v>15</v>
      </c>
      <c r="B35" s="913" t="s">
        <v>68</v>
      </c>
      <c r="C35" s="889" t="s">
        <v>596</v>
      </c>
      <c r="D35" s="933" t="s">
        <v>10170</v>
      </c>
      <c r="E35" s="51" t="s">
        <v>741</v>
      </c>
      <c r="F35" s="50" t="s">
        <v>561</v>
      </c>
      <c r="G35" s="50"/>
      <c r="H35" s="50"/>
      <c r="I35" s="88">
        <v>450</v>
      </c>
      <c r="J35" s="83">
        <v>0.45</v>
      </c>
      <c r="K35" s="83">
        <v>0.45</v>
      </c>
      <c r="L35" s="51"/>
      <c r="M35" s="51"/>
      <c r="N35" s="51">
        <v>2016</v>
      </c>
      <c r="O35" s="51"/>
      <c r="P35" s="51"/>
    </row>
    <row r="36" spans="1:16" ht="16.149999999999999" customHeight="1">
      <c r="A36" s="891"/>
      <c r="B36" s="914"/>
      <c r="C36" s="891"/>
      <c r="D36" s="935"/>
      <c r="E36" s="51" t="s">
        <v>742</v>
      </c>
      <c r="F36" s="50" t="s">
        <v>602</v>
      </c>
      <c r="G36" s="50"/>
      <c r="H36" s="50"/>
      <c r="I36" s="88">
        <v>550</v>
      </c>
      <c r="J36" s="83">
        <v>0.55000000000000004</v>
      </c>
      <c r="K36" s="83">
        <v>0.55000000000000004</v>
      </c>
      <c r="L36" s="51"/>
      <c r="M36" s="51"/>
      <c r="N36" s="51">
        <v>2016</v>
      </c>
      <c r="O36" s="51"/>
      <c r="P36" s="51"/>
    </row>
    <row r="37" spans="1:16">
      <c r="A37" s="226">
        <v>16</v>
      </c>
      <c r="B37" s="237" t="s">
        <v>599</v>
      </c>
      <c r="C37" s="226" t="s">
        <v>600</v>
      </c>
      <c r="D37" s="237" t="s">
        <v>850</v>
      </c>
      <c r="E37" s="221" t="s">
        <v>1247</v>
      </c>
      <c r="F37" s="226"/>
      <c r="G37" s="226"/>
      <c r="H37" s="226"/>
      <c r="I37" s="235"/>
      <c r="J37" s="226"/>
      <c r="K37" s="225"/>
      <c r="L37" s="226"/>
      <c r="M37" s="238"/>
      <c r="N37" s="236"/>
      <c r="O37" s="238"/>
      <c r="P37" s="236"/>
    </row>
    <row r="38" spans="1:16">
      <c r="A38" s="51">
        <v>17</v>
      </c>
      <c r="B38" s="177" t="s">
        <v>607</v>
      </c>
      <c r="C38" s="51" t="s">
        <v>608</v>
      </c>
      <c r="D38" s="177" t="s">
        <v>850</v>
      </c>
      <c r="E38" s="51" t="s">
        <v>1247</v>
      </c>
      <c r="F38" s="51"/>
      <c r="G38" s="51"/>
      <c r="H38" s="51"/>
      <c r="I38" s="88"/>
      <c r="J38" s="51"/>
      <c r="K38" s="83"/>
      <c r="L38" s="51"/>
      <c r="M38" s="50"/>
      <c r="N38" s="51"/>
      <c r="O38" s="51"/>
      <c r="P38" s="51"/>
    </row>
    <row r="39" spans="1:16" ht="17.5" customHeight="1">
      <c r="A39" s="892">
        <v>18</v>
      </c>
      <c r="B39" s="898" t="s">
        <v>74</v>
      </c>
      <c r="C39" s="892" t="s">
        <v>609</v>
      </c>
      <c r="D39" s="939" t="s">
        <v>10170</v>
      </c>
      <c r="E39" s="221" t="s">
        <v>536</v>
      </c>
      <c r="F39" s="226" t="s">
        <v>561</v>
      </c>
      <c r="G39" s="226"/>
      <c r="H39" s="226"/>
      <c r="I39" s="235">
        <v>3000</v>
      </c>
      <c r="J39" s="239">
        <v>0.25</v>
      </c>
      <c r="K39" s="239">
        <v>0.25</v>
      </c>
      <c r="L39" s="226">
        <v>25</v>
      </c>
      <c r="M39" s="225"/>
      <c r="N39" s="240"/>
      <c r="O39" s="226"/>
      <c r="P39" s="226"/>
    </row>
    <row r="40" spans="1:16" ht="17.5" customHeight="1">
      <c r="A40" s="893"/>
      <c r="B40" s="899"/>
      <c r="C40" s="893"/>
      <c r="D40" s="940"/>
      <c r="E40" s="221" t="s">
        <v>611</v>
      </c>
      <c r="F40" s="226" t="s">
        <v>744</v>
      </c>
      <c r="G40" s="226"/>
      <c r="H40" s="226"/>
      <c r="I40" s="235">
        <v>8400</v>
      </c>
      <c r="J40" s="239">
        <v>0.7</v>
      </c>
      <c r="K40" s="239">
        <v>0.7</v>
      </c>
      <c r="L40" s="226"/>
      <c r="M40" s="225"/>
      <c r="N40" s="240"/>
      <c r="O40" s="226"/>
      <c r="P40" s="226"/>
    </row>
    <row r="41" spans="1:16" ht="24">
      <c r="A41" s="195">
        <v>19</v>
      </c>
      <c r="B41" s="694" t="s">
        <v>17</v>
      </c>
      <c r="C41" s="195" t="s">
        <v>1244</v>
      </c>
      <c r="D41" s="701" t="s">
        <v>10174</v>
      </c>
      <c r="E41" s="713"/>
      <c r="F41" s="705"/>
      <c r="G41" s="705"/>
      <c r="H41" s="705"/>
      <c r="I41" s="708"/>
      <c r="J41" s="705"/>
      <c r="K41" s="705"/>
      <c r="L41" s="705"/>
      <c r="M41" s="706"/>
      <c r="N41" s="721"/>
      <c r="O41" s="705"/>
      <c r="P41" s="705"/>
    </row>
    <row r="42" spans="1:16">
      <c r="A42" s="53">
        <v>20</v>
      </c>
      <c r="B42" s="222" t="s">
        <v>190</v>
      </c>
      <c r="C42" s="53" t="s">
        <v>612</v>
      </c>
      <c r="D42" s="222" t="s">
        <v>1574</v>
      </c>
      <c r="E42" s="53" t="s">
        <v>745</v>
      </c>
      <c r="F42" s="53" t="s">
        <v>587</v>
      </c>
      <c r="G42" s="53" t="s">
        <v>602</v>
      </c>
      <c r="H42" s="53" t="s">
        <v>10184</v>
      </c>
      <c r="I42" s="233">
        <v>1000</v>
      </c>
      <c r="J42" s="242">
        <v>1</v>
      </c>
      <c r="K42" s="242">
        <v>1</v>
      </c>
      <c r="L42" s="53"/>
      <c r="M42" s="54"/>
      <c r="N42" s="53" t="s">
        <v>2783</v>
      </c>
      <c r="O42" s="53"/>
      <c r="P42" s="53"/>
    </row>
    <row r="43" spans="1:16">
      <c r="A43" s="51">
        <v>21</v>
      </c>
      <c r="B43" s="177" t="s">
        <v>615</v>
      </c>
      <c r="C43" s="51" t="s">
        <v>616</v>
      </c>
      <c r="D43" s="177" t="s">
        <v>850</v>
      </c>
      <c r="E43" s="51" t="s">
        <v>1247</v>
      </c>
      <c r="F43" s="48"/>
      <c r="G43" s="48"/>
      <c r="H43" s="48"/>
      <c r="I43" s="229"/>
      <c r="J43" s="243"/>
      <c r="K43" s="243"/>
      <c r="L43" s="48"/>
      <c r="M43" s="49"/>
      <c r="N43" s="48"/>
      <c r="O43" s="48"/>
      <c r="P43" s="48"/>
    </row>
    <row r="44" spans="1:16" ht="24">
      <c r="A44" s="56">
        <v>22</v>
      </c>
      <c r="B44" s="225" t="s">
        <v>618</v>
      </c>
      <c r="C44" s="56" t="s">
        <v>619</v>
      </c>
      <c r="D44" s="703" t="s">
        <v>10182</v>
      </c>
      <c r="E44" s="710"/>
      <c r="F44" s="710"/>
      <c r="G44" s="710"/>
      <c r="H44" s="710"/>
      <c r="I44" s="711"/>
      <c r="J44" s="722"/>
      <c r="K44" s="710"/>
      <c r="L44" s="710"/>
      <c r="M44" s="712"/>
      <c r="N44" s="710"/>
      <c r="O44" s="710"/>
      <c r="P44" s="710"/>
    </row>
    <row r="45" spans="1:16">
      <c r="A45" s="889">
        <v>23</v>
      </c>
      <c r="B45" s="913" t="s">
        <v>622</v>
      </c>
      <c r="C45" s="889" t="s">
        <v>623</v>
      </c>
      <c r="D45" s="933" t="s">
        <v>10170</v>
      </c>
      <c r="E45" s="51" t="s">
        <v>2784</v>
      </c>
      <c r="F45" s="48" t="s">
        <v>743</v>
      </c>
      <c r="G45" s="48"/>
      <c r="H45" s="48"/>
      <c r="I45" s="229"/>
      <c r="J45" s="234">
        <v>0.56999999999999995</v>
      </c>
      <c r="K45" s="234">
        <v>0.56999999999999995</v>
      </c>
      <c r="L45" s="234">
        <v>0.56999999999999995</v>
      </c>
      <c r="M45" s="49"/>
      <c r="N45" s="48"/>
      <c r="O45" s="48"/>
      <c r="P45" s="48"/>
    </row>
    <row r="46" spans="1:16">
      <c r="A46" s="890"/>
      <c r="B46" s="919"/>
      <c r="C46" s="890"/>
      <c r="D46" s="934"/>
      <c r="E46" s="51" t="s">
        <v>625</v>
      </c>
      <c r="F46" s="48" t="s">
        <v>602</v>
      </c>
      <c r="G46" s="48"/>
      <c r="H46" s="48"/>
      <c r="I46" s="229"/>
      <c r="J46" s="244">
        <v>0.33250000000000002</v>
      </c>
      <c r="K46" s="244">
        <v>0.33250000000000002</v>
      </c>
      <c r="L46" s="244">
        <v>0.33250000000000002</v>
      </c>
      <c r="M46" s="49"/>
      <c r="N46" s="48"/>
      <c r="O46" s="48"/>
      <c r="P46" s="48"/>
    </row>
    <row r="47" spans="1:16">
      <c r="A47" s="890"/>
      <c r="B47" s="919"/>
      <c r="C47" s="890"/>
      <c r="D47" s="934"/>
      <c r="E47" s="51" t="s">
        <v>561</v>
      </c>
      <c r="F47" s="48" t="s">
        <v>561</v>
      </c>
      <c r="G47" s="48"/>
      <c r="H47" s="48"/>
      <c r="I47" s="229"/>
      <c r="J47" s="234">
        <v>0.05</v>
      </c>
      <c r="K47" s="234">
        <v>0.05</v>
      </c>
      <c r="L47" s="234">
        <v>0.05</v>
      </c>
      <c r="M47" s="49"/>
      <c r="N47" s="48"/>
      <c r="O47" s="48"/>
      <c r="P47" s="48"/>
    </row>
    <row r="48" spans="1:16">
      <c r="A48" s="891"/>
      <c r="B48" s="914"/>
      <c r="C48" s="891"/>
      <c r="D48" s="935"/>
      <c r="E48" s="51" t="s">
        <v>626</v>
      </c>
      <c r="F48" s="48" t="s">
        <v>2785</v>
      </c>
      <c r="G48" s="48"/>
      <c r="H48" s="48"/>
      <c r="I48" s="229"/>
      <c r="J48" s="244">
        <v>4.7500000000000001E-2</v>
      </c>
      <c r="K48" s="244">
        <v>4.7500000000000001E-2</v>
      </c>
      <c r="L48" s="244">
        <v>4.7500000000000001E-2</v>
      </c>
      <c r="M48" s="49"/>
      <c r="N48" s="48"/>
      <c r="O48" s="48"/>
      <c r="P48" s="48"/>
    </row>
    <row r="49" spans="1:16">
      <c r="A49" s="56">
        <v>24</v>
      </c>
      <c r="B49" s="237" t="s">
        <v>130</v>
      </c>
      <c r="C49" s="56" t="s">
        <v>627</v>
      </c>
      <c r="D49" s="237" t="s">
        <v>850</v>
      </c>
      <c r="E49" s="53" t="s">
        <v>1247</v>
      </c>
      <c r="F49" s="53"/>
      <c r="G49" s="53"/>
      <c r="H49" s="53"/>
      <c r="I49" s="233"/>
      <c r="J49" s="61"/>
      <c r="K49" s="53"/>
      <c r="L49" s="53"/>
      <c r="M49" s="54"/>
      <c r="N49" s="53"/>
      <c r="O49" s="53"/>
      <c r="P49" s="53"/>
    </row>
    <row r="50" spans="1:16" ht="45.65" customHeight="1">
      <c r="A50" s="51">
        <v>25</v>
      </c>
      <c r="B50" s="698" t="s">
        <v>630</v>
      </c>
      <c r="C50" s="51" t="s">
        <v>631</v>
      </c>
      <c r="D50" s="699" t="s">
        <v>10175</v>
      </c>
      <c r="E50" s="713"/>
      <c r="F50" s="705"/>
      <c r="G50" s="705"/>
      <c r="H50" s="705"/>
      <c r="I50" s="708"/>
      <c r="J50" s="705"/>
      <c r="K50" s="705"/>
      <c r="L50" s="705"/>
      <c r="M50" s="706"/>
      <c r="N50" s="705"/>
      <c r="O50" s="705"/>
      <c r="P50" s="705"/>
    </row>
    <row r="51" spans="1:16">
      <c r="A51" s="53">
        <v>26</v>
      </c>
      <c r="B51" s="222" t="s">
        <v>99</v>
      </c>
      <c r="C51" s="53" t="s">
        <v>637</v>
      </c>
      <c r="D51" s="222" t="s">
        <v>1574</v>
      </c>
      <c r="E51" s="53" t="s">
        <v>746</v>
      </c>
      <c r="F51" s="53" t="s">
        <v>10186</v>
      </c>
      <c r="G51" s="53" t="s">
        <v>602</v>
      </c>
      <c r="H51" s="53">
        <v>600490</v>
      </c>
      <c r="I51" s="233">
        <v>2175</v>
      </c>
      <c r="J51" s="245">
        <v>0.72499999999999998</v>
      </c>
      <c r="K51" s="242">
        <v>1</v>
      </c>
      <c r="L51" s="53"/>
      <c r="M51" s="54"/>
      <c r="N51" s="63">
        <v>39083</v>
      </c>
      <c r="O51" s="53" t="s">
        <v>747</v>
      </c>
      <c r="P51" s="53"/>
    </row>
    <row r="52" spans="1:16">
      <c r="A52" s="889">
        <v>27</v>
      </c>
      <c r="B52" s="913" t="s">
        <v>87</v>
      </c>
      <c r="C52" s="889" t="s">
        <v>642</v>
      </c>
      <c r="D52" s="913" t="s">
        <v>1574</v>
      </c>
      <c r="E52" s="51" t="s">
        <v>748</v>
      </c>
      <c r="F52" s="51" t="s">
        <v>704</v>
      </c>
      <c r="G52" s="51" t="s">
        <v>10187</v>
      </c>
      <c r="H52" s="51"/>
      <c r="I52" s="88">
        <v>5000</v>
      </c>
      <c r="J52" s="246">
        <v>0.5</v>
      </c>
      <c r="K52" s="246">
        <v>0.5</v>
      </c>
      <c r="L52" s="51"/>
      <c r="M52" s="50"/>
      <c r="N52" s="87">
        <v>37237</v>
      </c>
      <c r="O52" s="51" t="s">
        <v>749</v>
      </c>
      <c r="P52" s="51"/>
    </row>
    <row r="53" spans="1:16">
      <c r="A53" s="891"/>
      <c r="B53" s="914"/>
      <c r="C53" s="891"/>
      <c r="D53" s="914"/>
      <c r="E53" s="51" t="s">
        <v>750</v>
      </c>
      <c r="F53" s="51" t="s">
        <v>704</v>
      </c>
      <c r="G53" s="51" t="s">
        <v>10187</v>
      </c>
      <c r="H53" s="51"/>
      <c r="I53" s="88">
        <v>5000</v>
      </c>
      <c r="J53" s="246">
        <v>0.5</v>
      </c>
      <c r="K53" s="246">
        <v>0.5</v>
      </c>
      <c r="L53" s="51"/>
      <c r="M53" s="50"/>
      <c r="N53" s="51" t="s">
        <v>751</v>
      </c>
      <c r="O53" s="51" t="s">
        <v>752</v>
      </c>
      <c r="P53" s="51"/>
    </row>
    <row r="54" spans="1:16">
      <c r="A54" s="221">
        <v>28</v>
      </c>
      <c r="B54" s="231" t="s">
        <v>646</v>
      </c>
      <c r="C54" s="221" t="s">
        <v>647</v>
      </c>
      <c r="D54" s="231" t="s">
        <v>850</v>
      </c>
      <c r="E54" s="221" t="s">
        <v>1247</v>
      </c>
      <c r="F54" s="226"/>
      <c r="G54" s="226"/>
      <c r="H54" s="226"/>
      <c r="I54" s="235"/>
      <c r="J54" s="226"/>
      <c r="K54" s="226"/>
      <c r="L54" s="226"/>
      <c r="M54" s="225"/>
      <c r="N54" s="226"/>
      <c r="O54" s="226"/>
      <c r="P54" s="226"/>
    </row>
    <row r="55" spans="1:16" ht="34.9" customHeight="1">
      <c r="A55" s="51">
        <v>29</v>
      </c>
      <c r="B55" s="698" t="s">
        <v>651</v>
      </c>
      <c r="C55" s="51" t="s">
        <v>652</v>
      </c>
      <c r="D55" s="699" t="s">
        <v>10181</v>
      </c>
      <c r="E55" s="704"/>
      <c r="F55" s="704"/>
      <c r="G55" s="704"/>
      <c r="H55" s="704"/>
      <c r="I55" s="714"/>
      <c r="J55" s="704"/>
      <c r="K55" s="704"/>
      <c r="L55" s="704"/>
      <c r="M55" s="715"/>
      <c r="N55" s="704"/>
      <c r="O55" s="704"/>
      <c r="P55" s="704"/>
    </row>
    <row r="56" spans="1:16">
      <c r="A56" s="53">
        <v>30</v>
      </c>
      <c r="B56" s="231" t="s">
        <v>1847</v>
      </c>
      <c r="C56" s="53" t="s">
        <v>1246</v>
      </c>
      <c r="D56" s="231" t="s">
        <v>850</v>
      </c>
      <c r="E56" s="53" t="s">
        <v>1247</v>
      </c>
      <c r="F56" s="56"/>
      <c r="G56" s="56"/>
      <c r="H56" s="56"/>
      <c r="I56" s="198"/>
      <c r="J56" s="56"/>
      <c r="K56" s="56"/>
      <c r="L56" s="56"/>
      <c r="M56" s="57"/>
      <c r="N56" s="56"/>
      <c r="O56" s="56"/>
      <c r="P56" s="56"/>
    </row>
    <row r="57" spans="1:16">
      <c r="A57" s="51">
        <v>31</v>
      </c>
      <c r="B57" s="50" t="s">
        <v>659</v>
      </c>
      <c r="C57" s="51" t="s">
        <v>660</v>
      </c>
      <c r="D57" s="50" t="s">
        <v>1574</v>
      </c>
      <c r="E57" s="51" t="s">
        <v>748</v>
      </c>
      <c r="F57" s="48" t="s">
        <v>704</v>
      </c>
      <c r="G57" s="48" t="s">
        <v>10188</v>
      </c>
      <c r="H57" s="48" t="s">
        <v>10189</v>
      </c>
      <c r="I57" s="229"/>
      <c r="J57" s="48"/>
      <c r="K57" s="48"/>
      <c r="L57" s="48"/>
      <c r="M57" s="49"/>
      <c r="N57" s="48"/>
      <c r="O57" s="48"/>
      <c r="P57" s="48"/>
    </row>
    <row r="58" spans="1:16">
      <c r="A58" s="53">
        <v>32</v>
      </c>
      <c r="B58" s="222" t="s">
        <v>662</v>
      </c>
      <c r="C58" s="53" t="s">
        <v>663</v>
      </c>
      <c r="D58" s="222" t="s">
        <v>1574</v>
      </c>
      <c r="E58" s="53" t="s">
        <v>753</v>
      </c>
      <c r="F58" s="53" t="s">
        <v>587</v>
      </c>
      <c r="G58" s="53" t="s">
        <v>602</v>
      </c>
      <c r="H58" s="53" t="s">
        <v>10190</v>
      </c>
      <c r="I58" s="233"/>
      <c r="J58" s="61">
        <v>1</v>
      </c>
      <c r="K58" s="61">
        <v>1</v>
      </c>
      <c r="L58" s="61">
        <v>1</v>
      </c>
      <c r="M58" s="54"/>
      <c r="N58" s="53"/>
      <c r="O58" s="53"/>
      <c r="P58" s="53"/>
    </row>
    <row r="59" spans="1:16" ht="24">
      <c r="A59" s="51">
        <v>33</v>
      </c>
      <c r="B59" s="698" t="s">
        <v>666</v>
      </c>
      <c r="C59" s="51" t="s">
        <v>667</v>
      </c>
      <c r="D59" s="699" t="s">
        <v>10176</v>
      </c>
      <c r="E59" s="713"/>
      <c r="F59" s="705"/>
      <c r="G59" s="705"/>
      <c r="H59" s="705"/>
      <c r="I59" s="708"/>
      <c r="J59" s="705"/>
      <c r="K59" s="705"/>
      <c r="L59" s="705"/>
      <c r="M59" s="706"/>
      <c r="N59" s="705"/>
      <c r="O59" s="705"/>
      <c r="P59" s="705"/>
    </row>
    <row r="60" spans="1:16">
      <c r="A60" s="53">
        <v>34</v>
      </c>
      <c r="B60" s="222" t="s">
        <v>673</v>
      </c>
      <c r="C60" s="53" t="s">
        <v>674</v>
      </c>
      <c r="D60" s="222" t="s">
        <v>10238</v>
      </c>
      <c r="E60" s="53" t="s">
        <v>648</v>
      </c>
      <c r="F60" s="53" t="s">
        <v>587</v>
      </c>
      <c r="G60" s="53"/>
      <c r="H60" s="53"/>
      <c r="I60" s="233">
        <v>100</v>
      </c>
      <c r="J60" s="242">
        <v>1</v>
      </c>
      <c r="K60" s="242">
        <v>1</v>
      </c>
      <c r="L60" s="53">
        <v>100</v>
      </c>
      <c r="M60" s="54"/>
      <c r="N60" s="53"/>
      <c r="O60" s="53" t="s">
        <v>2786</v>
      </c>
      <c r="P60" s="53"/>
    </row>
    <row r="61" spans="1:16" ht="24">
      <c r="A61" s="51">
        <v>35</v>
      </c>
      <c r="B61" s="50" t="s">
        <v>676</v>
      </c>
      <c r="C61" s="51" t="s">
        <v>677</v>
      </c>
      <c r="D61" s="699" t="s">
        <v>10194</v>
      </c>
      <c r="E61" s="704"/>
      <c r="F61" s="705"/>
      <c r="G61" s="705"/>
      <c r="H61" s="705"/>
      <c r="I61" s="708"/>
      <c r="J61" s="723"/>
      <c r="K61" s="705"/>
      <c r="L61" s="705"/>
      <c r="M61" s="706"/>
      <c r="N61" s="721"/>
      <c r="O61" s="705"/>
      <c r="P61" s="705"/>
    </row>
    <row r="62" spans="1:16">
      <c r="A62" s="53">
        <v>36</v>
      </c>
      <c r="B62" s="222" t="s">
        <v>681</v>
      </c>
      <c r="C62" s="53" t="s">
        <v>682</v>
      </c>
      <c r="D62" s="222" t="s">
        <v>1574</v>
      </c>
      <c r="E62" s="53" t="s">
        <v>2787</v>
      </c>
      <c r="F62" s="53" t="s">
        <v>587</v>
      </c>
      <c r="G62" s="53" t="s">
        <v>602</v>
      </c>
      <c r="H62" s="53" t="s">
        <v>10191</v>
      </c>
      <c r="I62" s="233"/>
      <c r="J62" s="53"/>
      <c r="K62" s="53"/>
      <c r="L62" s="53"/>
      <c r="M62" s="54"/>
      <c r="N62" s="53"/>
      <c r="O62" s="53"/>
      <c r="P62" s="53"/>
    </row>
    <row r="63" spans="1:16">
      <c r="A63" s="51">
        <v>37</v>
      </c>
      <c r="B63" s="50" t="s">
        <v>462</v>
      </c>
      <c r="C63" s="51" t="s">
        <v>685</v>
      </c>
      <c r="D63" s="698" t="s">
        <v>10175</v>
      </c>
      <c r="E63" s="704"/>
      <c r="F63" s="705"/>
      <c r="G63" s="705"/>
      <c r="H63" s="705"/>
      <c r="I63" s="708"/>
      <c r="J63" s="723"/>
      <c r="K63" s="705"/>
      <c r="L63" s="705"/>
      <c r="M63" s="706"/>
      <c r="N63" s="721"/>
      <c r="O63" s="705"/>
      <c r="P63" s="705"/>
    </row>
    <row r="64" spans="1:16">
      <c r="A64" s="53">
        <v>38</v>
      </c>
      <c r="B64" s="222" t="s">
        <v>1248</v>
      </c>
      <c r="C64" s="53" t="s">
        <v>1249</v>
      </c>
      <c r="D64" s="222" t="s">
        <v>1574</v>
      </c>
      <c r="E64" s="53" t="s">
        <v>2771</v>
      </c>
      <c r="F64" s="53" t="s">
        <v>543</v>
      </c>
      <c r="G64" s="53" t="s">
        <v>10192</v>
      </c>
      <c r="H64" s="53"/>
      <c r="I64" s="233"/>
      <c r="J64" s="53"/>
      <c r="K64" s="53"/>
      <c r="L64" s="53"/>
      <c r="M64" s="54"/>
      <c r="N64" s="53"/>
      <c r="O64" s="53"/>
      <c r="P64" s="53"/>
    </row>
    <row r="65" spans="1:16" ht="18.649999999999999" customHeight="1">
      <c r="A65" s="889">
        <v>39</v>
      </c>
      <c r="B65" s="900" t="s">
        <v>188</v>
      </c>
      <c r="C65" s="889" t="s">
        <v>686</v>
      </c>
      <c r="D65" s="936" t="s">
        <v>10170</v>
      </c>
      <c r="E65" s="51" t="s">
        <v>8299</v>
      </c>
      <c r="F65" s="48" t="s">
        <v>8301</v>
      </c>
      <c r="G65" s="48"/>
      <c r="H65" s="48"/>
      <c r="I65" s="229"/>
      <c r="J65" s="247">
        <v>0.6</v>
      </c>
      <c r="K65" s="48"/>
      <c r="L65" s="48"/>
      <c r="M65" s="49"/>
      <c r="N65" s="241"/>
      <c r="O65" s="48"/>
      <c r="P65" s="48"/>
    </row>
    <row r="66" spans="1:16" ht="18.649999999999999" customHeight="1">
      <c r="A66" s="891"/>
      <c r="B66" s="901"/>
      <c r="C66" s="891"/>
      <c r="D66" s="937"/>
      <c r="E66" s="51" t="s">
        <v>8300</v>
      </c>
      <c r="F66" s="48" t="s">
        <v>8301</v>
      </c>
      <c r="G66" s="48"/>
      <c r="H66" s="48"/>
      <c r="I66" s="229"/>
      <c r="J66" s="247">
        <v>0.4</v>
      </c>
      <c r="K66" s="48"/>
      <c r="L66" s="48"/>
      <c r="M66" s="49"/>
      <c r="N66" s="241"/>
      <c r="O66" s="48"/>
      <c r="P66" s="48"/>
    </row>
    <row r="67" spans="1:16">
      <c r="A67" s="53">
        <v>40</v>
      </c>
      <c r="B67" s="222" t="s">
        <v>2773</v>
      </c>
      <c r="C67" s="53" t="s">
        <v>1252</v>
      </c>
      <c r="D67" s="222" t="s">
        <v>1574</v>
      </c>
      <c r="E67" s="53" t="s">
        <v>1851</v>
      </c>
      <c r="F67" s="53" t="s">
        <v>543</v>
      </c>
      <c r="G67" s="53" t="s">
        <v>744</v>
      </c>
      <c r="H67" s="53"/>
      <c r="I67" s="233">
        <v>90</v>
      </c>
      <c r="J67" s="61">
        <v>0.9</v>
      </c>
      <c r="K67" s="61">
        <v>0.9</v>
      </c>
      <c r="L67" s="53"/>
      <c r="M67" s="54"/>
      <c r="N67" s="53"/>
      <c r="O67" s="53"/>
      <c r="P67" s="53"/>
    </row>
    <row r="68" spans="1:16">
      <c r="A68" s="51">
        <v>41</v>
      </c>
      <c r="B68" s="177" t="s">
        <v>141</v>
      </c>
      <c r="C68" s="51" t="s">
        <v>689</v>
      </c>
      <c r="D68" s="177" t="s">
        <v>850</v>
      </c>
      <c r="E68" s="51" t="s">
        <v>1247</v>
      </c>
      <c r="F68" s="48"/>
      <c r="G68" s="48"/>
      <c r="H68" s="48"/>
      <c r="I68" s="229"/>
      <c r="J68" s="247"/>
      <c r="K68" s="48"/>
      <c r="L68" s="48"/>
      <c r="M68" s="49"/>
      <c r="N68" s="241"/>
      <c r="O68" s="48"/>
      <c r="P68" s="48"/>
    </row>
    <row r="69" spans="1:16">
      <c r="A69" s="53">
        <v>42</v>
      </c>
      <c r="B69" s="222" t="s">
        <v>692</v>
      </c>
      <c r="C69" s="53" t="s">
        <v>693</v>
      </c>
      <c r="D69" s="696" t="s">
        <v>10172</v>
      </c>
      <c r="E69" s="710" t="s">
        <v>754</v>
      </c>
      <c r="F69" s="710" t="s">
        <v>587</v>
      </c>
      <c r="G69" s="710" t="s">
        <v>10193</v>
      </c>
      <c r="H69" s="710"/>
      <c r="I69" s="711">
        <v>500</v>
      </c>
      <c r="J69" s="710">
        <v>0.5</v>
      </c>
      <c r="K69" s="710"/>
      <c r="L69" s="710"/>
      <c r="M69" s="712"/>
      <c r="N69" s="710">
        <v>41351</v>
      </c>
      <c r="O69" s="710"/>
      <c r="P69" s="710"/>
    </row>
    <row r="70" spans="1:16">
      <c r="A70" s="51">
        <v>43</v>
      </c>
      <c r="B70" s="177" t="s">
        <v>140</v>
      </c>
      <c r="C70" s="51" t="s">
        <v>698</v>
      </c>
      <c r="D70" s="177" t="s">
        <v>850</v>
      </c>
      <c r="E70" s="51" t="s">
        <v>1247</v>
      </c>
      <c r="F70" s="48"/>
      <c r="G70" s="48"/>
      <c r="H70" s="48"/>
      <c r="I70" s="229"/>
      <c r="J70" s="247"/>
      <c r="K70" s="48"/>
      <c r="L70" s="48"/>
      <c r="M70" s="49"/>
      <c r="N70" s="241"/>
      <c r="O70" s="48"/>
      <c r="P70" s="48"/>
    </row>
    <row r="71" spans="1:16">
      <c r="A71" s="53">
        <v>44</v>
      </c>
      <c r="B71" s="696" t="s">
        <v>709</v>
      </c>
      <c r="C71" s="53" t="s">
        <v>710</v>
      </c>
      <c r="D71" s="696" t="s">
        <v>10172</v>
      </c>
      <c r="E71" s="710"/>
      <c r="F71" s="710"/>
      <c r="G71" s="710"/>
      <c r="H71" s="710"/>
      <c r="I71" s="711"/>
      <c r="J71" s="710"/>
      <c r="K71" s="710"/>
      <c r="L71" s="710"/>
      <c r="M71" s="712"/>
      <c r="N71" s="710"/>
      <c r="O71" s="710"/>
      <c r="P71" s="710"/>
    </row>
    <row r="72" spans="1:16">
      <c r="A72" s="51">
        <v>45</v>
      </c>
      <c r="B72" s="698" t="s">
        <v>714</v>
      </c>
      <c r="C72" s="51" t="s">
        <v>715</v>
      </c>
      <c r="D72" s="698" t="s">
        <v>10172</v>
      </c>
      <c r="E72" s="704"/>
      <c r="F72" s="705"/>
      <c r="G72" s="705"/>
      <c r="H72" s="705"/>
      <c r="I72" s="708"/>
      <c r="J72" s="723"/>
      <c r="K72" s="705"/>
      <c r="L72" s="705"/>
      <c r="M72" s="706"/>
      <c r="N72" s="721"/>
      <c r="O72" s="705"/>
      <c r="P72" s="705"/>
    </row>
    <row r="73" spans="1:16">
      <c r="A73" s="53">
        <v>46</v>
      </c>
      <c r="B73" s="222" t="s">
        <v>54</v>
      </c>
      <c r="C73" s="53" t="s">
        <v>728</v>
      </c>
      <c r="D73" s="222" t="s">
        <v>10172</v>
      </c>
      <c r="E73" s="710"/>
      <c r="F73" s="710"/>
      <c r="G73" s="710"/>
      <c r="H73" s="710"/>
      <c r="I73" s="711"/>
      <c r="J73" s="710"/>
      <c r="K73" s="710"/>
      <c r="L73" s="710"/>
      <c r="M73" s="712"/>
      <c r="N73" s="710"/>
      <c r="O73" s="710"/>
      <c r="P73" s="710"/>
    </row>
    <row r="74" spans="1:16">
      <c r="A74" s="51">
        <v>47</v>
      </c>
      <c r="B74" s="698" t="s">
        <v>46</v>
      </c>
      <c r="C74" s="51" t="s">
        <v>729</v>
      </c>
      <c r="D74" s="698" t="s">
        <v>10172</v>
      </c>
      <c r="E74" s="704"/>
      <c r="F74" s="705"/>
      <c r="G74" s="705"/>
      <c r="H74" s="705"/>
      <c r="I74" s="708"/>
      <c r="J74" s="723"/>
      <c r="K74" s="705"/>
      <c r="L74" s="705"/>
      <c r="M74" s="706"/>
      <c r="N74" s="721"/>
      <c r="O74" s="705"/>
      <c r="P74" s="705"/>
    </row>
    <row r="75" spans="1:16">
      <c r="A75" s="53">
        <v>48</v>
      </c>
      <c r="B75" s="696" t="s">
        <v>64</v>
      </c>
      <c r="C75" s="53" t="s">
        <v>733</v>
      </c>
      <c r="D75" s="696" t="s">
        <v>10172</v>
      </c>
      <c r="E75" s="710"/>
      <c r="F75" s="710"/>
      <c r="G75" s="710"/>
      <c r="H75" s="710"/>
      <c r="I75" s="711"/>
      <c r="J75" s="710"/>
      <c r="K75" s="710"/>
      <c r="L75" s="710"/>
      <c r="M75" s="712"/>
      <c r="N75" s="710"/>
      <c r="O75" s="710"/>
      <c r="P75" s="710"/>
    </row>
    <row r="76" spans="1:16">
      <c r="A76" s="51">
        <v>49</v>
      </c>
      <c r="B76" s="698" t="s">
        <v>2588</v>
      </c>
      <c r="C76" s="51" t="s">
        <v>790</v>
      </c>
      <c r="D76" s="698" t="s">
        <v>10172</v>
      </c>
      <c r="E76" s="704"/>
      <c r="F76" s="705"/>
      <c r="G76" s="705"/>
      <c r="H76" s="705"/>
      <c r="I76" s="708"/>
      <c r="J76" s="723"/>
      <c r="K76" s="705"/>
      <c r="L76" s="705"/>
      <c r="M76" s="706"/>
      <c r="N76" s="721"/>
      <c r="O76" s="705"/>
      <c r="P76" s="705"/>
    </row>
  </sheetData>
  <autoFilter ref="A10:P76" xr:uid="{FD5DA4AF-0D1C-4DCF-9048-D6BA5E07603B}"/>
  <mergeCells count="44">
    <mergeCell ref="D17:D24"/>
    <mergeCell ref="C10:C11"/>
    <mergeCell ref="C17:C24"/>
    <mergeCell ref="P10:P11"/>
    <mergeCell ref="A17:A24"/>
    <mergeCell ref="B17:B24"/>
    <mergeCell ref="L10:L11"/>
    <mergeCell ref="M10:M11"/>
    <mergeCell ref="N10:N11"/>
    <mergeCell ref="O10:O11"/>
    <mergeCell ref="G10:G11"/>
    <mergeCell ref="H10:H11"/>
    <mergeCell ref="J10:J11"/>
    <mergeCell ref="K10:K11"/>
    <mergeCell ref="A10:A11"/>
    <mergeCell ref="B10:B11"/>
    <mergeCell ref="E10:E11"/>
    <mergeCell ref="F10:F11"/>
    <mergeCell ref="I10:I11"/>
    <mergeCell ref="D10:D11"/>
    <mergeCell ref="A39:A40"/>
    <mergeCell ref="B39:B40"/>
    <mergeCell ref="D39:D40"/>
    <mergeCell ref="C39:C40"/>
    <mergeCell ref="A30:A32"/>
    <mergeCell ref="B30:B32"/>
    <mergeCell ref="A35:A36"/>
    <mergeCell ref="B35:B36"/>
    <mergeCell ref="D30:D32"/>
    <mergeCell ref="D35:D36"/>
    <mergeCell ref="C30:C32"/>
    <mergeCell ref="C35:C36"/>
    <mergeCell ref="D45:D48"/>
    <mergeCell ref="D52:D53"/>
    <mergeCell ref="D65:D66"/>
    <mergeCell ref="C45:C48"/>
    <mergeCell ref="C52:C53"/>
    <mergeCell ref="C65:C66"/>
    <mergeCell ref="A65:A66"/>
    <mergeCell ref="B65:B66"/>
    <mergeCell ref="A45:A48"/>
    <mergeCell ref="B45:B48"/>
    <mergeCell ref="A52:A53"/>
    <mergeCell ref="B52:B53"/>
  </mergeCells>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15C55-2107-442C-9449-5D14FE026AEC}">
  <sheetPr>
    <tabColor rgb="FF92D050"/>
  </sheetPr>
  <dimension ref="A2:Q19"/>
  <sheetViews>
    <sheetView showGridLines="0" topLeftCell="B1" zoomScale="90" zoomScaleNormal="90" workbookViewId="0">
      <selection activeCell="F10" sqref="F10"/>
    </sheetView>
  </sheetViews>
  <sheetFormatPr baseColWidth="10" defaultColWidth="11.5" defaultRowHeight="14"/>
  <cols>
    <col min="2" max="2" width="37.75" bestFit="1" customWidth="1"/>
    <col min="3" max="3" width="15.25" customWidth="1"/>
    <col min="4" max="4" width="32.5" customWidth="1"/>
    <col min="5" max="5" width="32.75" bestFit="1" customWidth="1"/>
    <col min="10" max="10" width="9.25" bestFit="1" customWidth="1"/>
    <col min="11" max="11" width="20.75" bestFit="1" customWidth="1"/>
    <col min="12" max="12" width="22.25" bestFit="1" customWidth="1"/>
    <col min="14" max="14" width="33.25" bestFit="1" customWidth="1"/>
    <col min="15" max="15" width="63.83203125" bestFit="1" customWidth="1"/>
    <col min="16" max="16" width="21.75" customWidth="1"/>
  </cols>
  <sheetData>
    <row r="2" spans="1:17" ht="18.5">
      <c r="A2" s="42" t="s">
        <v>7219</v>
      </c>
      <c r="E2" s="43" t="s">
        <v>516</v>
      </c>
      <c r="F2" s="43">
        <v>7</v>
      </c>
      <c r="G2" s="43"/>
      <c r="H2" s="43"/>
    </row>
    <row r="3" spans="1:17">
      <c r="E3" s="43" t="s">
        <v>517</v>
      </c>
      <c r="F3" s="43">
        <v>0</v>
      </c>
      <c r="G3" s="43"/>
      <c r="H3" s="43"/>
    </row>
    <row r="4" spans="1:17">
      <c r="E4" s="43" t="s">
        <v>10177</v>
      </c>
      <c r="F4" s="43">
        <v>1</v>
      </c>
      <c r="G4" s="43"/>
      <c r="H4" s="43"/>
    </row>
    <row r="5" spans="1:17">
      <c r="E5" s="45" t="s">
        <v>518</v>
      </c>
      <c r="F5" s="45">
        <v>6</v>
      </c>
      <c r="G5" s="45"/>
      <c r="H5" s="45"/>
    </row>
    <row r="7" spans="1:17" ht="14.5" thickBot="1">
      <c r="A7" s="854" t="s">
        <v>519</v>
      </c>
      <c r="B7" s="854" t="s">
        <v>520</v>
      </c>
      <c r="C7" s="854" t="s">
        <v>521</v>
      </c>
      <c r="D7" s="854" t="s">
        <v>10167</v>
      </c>
      <c r="E7" s="854" t="s">
        <v>736</v>
      </c>
      <c r="F7" s="854" t="s">
        <v>485</v>
      </c>
      <c r="G7" s="854" t="s">
        <v>10183</v>
      </c>
      <c r="H7" s="854" t="s">
        <v>484</v>
      </c>
      <c r="I7" s="854" t="s">
        <v>490</v>
      </c>
      <c r="J7" s="854" t="s">
        <v>491</v>
      </c>
      <c r="K7" s="854" t="s">
        <v>492</v>
      </c>
      <c r="L7" s="854" t="s">
        <v>493</v>
      </c>
      <c r="M7" s="854" t="s">
        <v>494</v>
      </c>
      <c r="N7" s="854" t="s">
        <v>501</v>
      </c>
      <c r="O7" s="854" t="s">
        <v>496</v>
      </c>
      <c r="P7" s="854" t="s">
        <v>497</v>
      </c>
    </row>
    <row r="8" spans="1:17" ht="14.5" thickBot="1">
      <c r="A8" s="855"/>
      <c r="B8" s="855"/>
      <c r="C8" s="855"/>
      <c r="D8" s="855"/>
      <c r="E8" s="855"/>
      <c r="F8" s="854"/>
      <c r="G8" s="854"/>
      <c r="H8" s="854"/>
      <c r="I8" s="854"/>
      <c r="J8" s="854"/>
      <c r="K8" s="854"/>
      <c r="L8" s="854"/>
      <c r="M8" s="854"/>
      <c r="N8" s="854"/>
      <c r="O8" s="854"/>
      <c r="P8" s="854"/>
    </row>
    <row r="9" spans="1:17" s="52" customFormat="1">
      <c r="A9" s="889">
        <v>1</v>
      </c>
      <c r="B9" s="913" t="s">
        <v>755</v>
      </c>
      <c r="C9" s="889" t="s">
        <v>756</v>
      </c>
      <c r="D9" s="889" t="s">
        <v>850</v>
      </c>
      <c r="E9" s="48" t="s">
        <v>772</v>
      </c>
      <c r="F9" s="48"/>
      <c r="G9" s="48"/>
      <c r="H9" s="48"/>
      <c r="I9" s="48">
        <v>999</v>
      </c>
      <c r="J9" s="48"/>
      <c r="K9" s="48"/>
      <c r="L9" s="48"/>
      <c r="M9" s="49"/>
      <c r="N9" s="48"/>
      <c r="O9" s="49" t="s">
        <v>773</v>
      </c>
      <c r="P9" s="48"/>
    </row>
    <row r="10" spans="1:17" s="52" customFormat="1">
      <c r="A10" s="891"/>
      <c r="B10" s="914"/>
      <c r="C10" s="891"/>
      <c r="D10" s="891"/>
      <c r="E10" s="48" t="s">
        <v>774</v>
      </c>
      <c r="F10" s="48"/>
      <c r="G10" s="48"/>
      <c r="H10" s="48"/>
      <c r="I10" s="48">
        <v>1</v>
      </c>
      <c r="J10" s="48"/>
      <c r="K10" s="48"/>
      <c r="L10" s="48"/>
      <c r="M10" s="49"/>
      <c r="N10" s="48"/>
      <c r="O10" s="49" t="s">
        <v>775</v>
      </c>
      <c r="P10" s="48"/>
    </row>
    <row r="11" spans="1:17">
      <c r="A11" s="53">
        <v>2</v>
      </c>
      <c r="B11" s="54" t="s">
        <v>759</v>
      </c>
      <c r="C11" s="53" t="s">
        <v>760</v>
      </c>
      <c r="D11" s="53" t="s">
        <v>850</v>
      </c>
      <c r="E11" s="704"/>
      <c r="F11" s="704"/>
      <c r="G11" s="705"/>
      <c r="H11" s="705"/>
      <c r="I11" s="705"/>
      <c r="J11" s="705"/>
      <c r="K11" s="705"/>
      <c r="L11" s="705"/>
      <c r="M11" s="705"/>
      <c r="N11" s="706"/>
      <c r="O11" s="705"/>
      <c r="P11" s="705"/>
      <c r="Q11" s="4"/>
    </row>
    <row r="12" spans="1:17">
      <c r="A12" s="51">
        <v>3</v>
      </c>
      <c r="B12" s="50" t="s">
        <v>761</v>
      </c>
      <c r="C12" s="51" t="s">
        <v>762</v>
      </c>
      <c r="D12" s="51" t="s">
        <v>850</v>
      </c>
      <c r="E12" s="704"/>
      <c r="F12" s="704"/>
      <c r="G12" s="705"/>
      <c r="H12" s="705"/>
      <c r="I12" s="705"/>
      <c r="J12" s="705"/>
      <c r="K12" s="705"/>
      <c r="L12" s="705"/>
      <c r="M12" s="705"/>
      <c r="N12" s="706"/>
      <c r="O12" s="705"/>
      <c r="P12" s="705"/>
      <c r="Q12" s="4"/>
    </row>
    <row r="13" spans="1:17">
      <c r="A13" s="915">
        <v>4</v>
      </c>
      <c r="B13" s="917" t="s">
        <v>763</v>
      </c>
      <c r="C13" s="915" t="s">
        <v>764</v>
      </c>
      <c r="D13" s="915" t="s">
        <v>850</v>
      </c>
      <c r="E13" s="53" t="s">
        <v>776</v>
      </c>
      <c r="F13" s="53"/>
      <c r="G13" s="53"/>
      <c r="H13" s="53"/>
      <c r="I13" s="53">
        <v>180</v>
      </c>
      <c r="J13" s="53"/>
      <c r="K13" s="53"/>
      <c r="L13" s="53"/>
      <c r="M13" s="54"/>
      <c r="N13" s="53"/>
      <c r="O13" s="54" t="s">
        <v>777</v>
      </c>
      <c r="P13" s="53"/>
    </row>
    <row r="14" spans="1:17">
      <c r="A14" s="916"/>
      <c r="B14" s="918"/>
      <c r="C14" s="916"/>
      <c r="D14" s="916"/>
      <c r="E14" s="53" t="s">
        <v>778</v>
      </c>
      <c r="F14" s="53"/>
      <c r="G14" s="53"/>
      <c r="H14" s="53"/>
      <c r="I14" s="53">
        <v>20</v>
      </c>
      <c r="J14" s="53"/>
      <c r="K14" s="53"/>
      <c r="L14" s="53"/>
      <c r="M14" s="54"/>
      <c r="N14" s="53"/>
      <c r="O14" s="54" t="s">
        <v>779</v>
      </c>
      <c r="P14" s="53"/>
    </row>
    <row r="15" spans="1:17">
      <c r="A15" s="889">
        <v>5</v>
      </c>
      <c r="B15" s="913" t="s">
        <v>765</v>
      </c>
      <c r="C15" s="889" t="s">
        <v>766</v>
      </c>
      <c r="D15" s="889" t="s">
        <v>850</v>
      </c>
      <c r="E15" s="51" t="s">
        <v>776</v>
      </c>
      <c r="F15" s="48"/>
      <c r="G15" s="48"/>
      <c r="H15" s="48"/>
      <c r="I15" s="48">
        <v>168</v>
      </c>
      <c r="J15" s="48"/>
      <c r="K15" s="48"/>
      <c r="L15" s="48"/>
      <c r="M15" s="49"/>
      <c r="N15" s="48"/>
      <c r="O15" s="49" t="s">
        <v>777</v>
      </c>
      <c r="P15" s="48"/>
    </row>
    <row r="16" spans="1:17">
      <c r="A16" s="890"/>
      <c r="B16" s="919"/>
      <c r="C16" s="890"/>
      <c r="D16" s="890"/>
      <c r="E16" s="51" t="s">
        <v>778</v>
      </c>
      <c r="F16" s="48"/>
      <c r="G16" s="48"/>
      <c r="H16" s="48"/>
      <c r="I16" s="48">
        <v>2</v>
      </c>
      <c r="J16" s="48"/>
      <c r="K16" s="48"/>
      <c r="L16" s="48"/>
      <c r="M16" s="49"/>
      <c r="N16" s="48"/>
      <c r="O16" s="49" t="s">
        <v>779</v>
      </c>
      <c r="P16" s="48"/>
    </row>
    <row r="17" spans="1:17">
      <c r="A17" s="891"/>
      <c r="B17" s="914"/>
      <c r="C17" s="891"/>
      <c r="D17" s="891"/>
      <c r="E17" s="51" t="s">
        <v>780</v>
      </c>
      <c r="F17" s="48"/>
      <c r="G17" s="48"/>
      <c r="H17" s="48"/>
      <c r="I17" s="48">
        <v>30</v>
      </c>
      <c r="J17" s="48"/>
      <c r="K17" s="48"/>
      <c r="L17" s="48"/>
      <c r="M17" s="49"/>
      <c r="N17" s="48"/>
      <c r="O17" s="49" t="s">
        <v>2788</v>
      </c>
      <c r="P17" s="48"/>
    </row>
    <row r="18" spans="1:17">
      <c r="A18" s="53">
        <v>6</v>
      </c>
      <c r="B18" s="54" t="s">
        <v>767</v>
      </c>
      <c r="C18" s="53" t="s">
        <v>768</v>
      </c>
      <c r="D18" s="53" t="s">
        <v>850</v>
      </c>
      <c r="E18" s="704"/>
      <c r="F18" s="705"/>
      <c r="G18" s="705"/>
      <c r="H18" s="705"/>
      <c r="I18" s="705"/>
      <c r="J18" s="705"/>
      <c r="K18" s="705"/>
      <c r="L18" s="705"/>
      <c r="M18" s="706"/>
      <c r="N18" s="705"/>
      <c r="O18" s="705"/>
      <c r="P18" s="705"/>
      <c r="Q18" s="4"/>
    </row>
    <row r="19" spans="1:17">
      <c r="A19" s="51">
        <v>7</v>
      </c>
      <c r="B19" s="50" t="s">
        <v>769</v>
      </c>
      <c r="C19" s="51" t="s">
        <v>770</v>
      </c>
      <c r="D19" s="51" t="s">
        <v>10180</v>
      </c>
      <c r="E19" s="704"/>
      <c r="F19" s="705"/>
      <c r="G19" s="705"/>
      <c r="H19" s="705"/>
      <c r="I19" s="705"/>
      <c r="J19" s="705"/>
      <c r="K19" s="705"/>
      <c r="L19" s="705"/>
      <c r="M19" s="706"/>
      <c r="N19" s="705"/>
      <c r="O19" s="705"/>
      <c r="P19" s="705"/>
      <c r="Q19" s="4"/>
    </row>
  </sheetData>
  <autoFilter ref="A7:E15" xr:uid="{4F9B0B42-9BDC-474F-B2B5-A8584CC52985}"/>
  <mergeCells count="28">
    <mergeCell ref="A15:A17"/>
    <mergeCell ref="B15:B17"/>
    <mergeCell ref="C15:C17"/>
    <mergeCell ref="P7:P8"/>
    <mergeCell ref="A9:A10"/>
    <mergeCell ref="B9:B10"/>
    <mergeCell ref="C9:C10"/>
    <mergeCell ref="A13:A14"/>
    <mergeCell ref="B13:B14"/>
    <mergeCell ref="C13:C14"/>
    <mergeCell ref="J7:J8"/>
    <mergeCell ref="K7:K8"/>
    <mergeCell ref="L7:L8"/>
    <mergeCell ref="M7:M8"/>
    <mergeCell ref="N7:N8"/>
    <mergeCell ref="O7:O8"/>
    <mergeCell ref="I7:I8"/>
    <mergeCell ref="A7:A8"/>
    <mergeCell ref="B7:B8"/>
    <mergeCell ref="C7:C8"/>
    <mergeCell ref="E7:E8"/>
    <mergeCell ref="F7:F8"/>
    <mergeCell ref="D7:D8"/>
    <mergeCell ref="D9:D10"/>
    <mergeCell ref="D13:D14"/>
    <mergeCell ref="D15:D17"/>
    <mergeCell ref="G7:G8"/>
    <mergeCell ref="H7:H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678C5-011A-40F2-939C-A71EBA5AEBFB}">
  <sheetPr>
    <tabColor rgb="FF92D050"/>
  </sheetPr>
  <dimension ref="A3:O43"/>
  <sheetViews>
    <sheetView zoomScaleNormal="100" workbookViewId="0">
      <selection activeCell="D3" sqref="D3"/>
    </sheetView>
  </sheetViews>
  <sheetFormatPr baseColWidth="10" defaultColWidth="11.5" defaultRowHeight="14"/>
  <cols>
    <col min="2" max="2" width="55.75" bestFit="1" customWidth="1"/>
    <col min="8" max="8" width="12.4140625" bestFit="1" customWidth="1"/>
    <col min="9" max="9" width="29" bestFit="1" customWidth="1"/>
    <col min="15" max="15" width="27.5" bestFit="1" customWidth="1"/>
  </cols>
  <sheetData>
    <row r="3" spans="1:15" ht="15.5">
      <c r="A3" s="7" t="s">
        <v>8597</v>
      </c>
    </row>
    <row r="6" spans="1:15" ht="14.5" thickBot="1">
      <c r="A6" s="1" t="s">
        <v>3</v>
      </c>
      <c r="B6" s="1" t="s">
        <v>6</v>
      </c>
      <c r="C6" s="1" t="s">
        <v>7</v>
      </c>
      <c r="D6" s="1" t="s">
        <v>7228</v>
      </c>
      <c r="E6" s="1" t="s">
        <v>9</v>
      </c>
      <c r="F6" s="1" t="s">
        <v>10</v>
      </c>
      <c r="G6" s="1" t="s">
        <v>11</v>
      </c>
      <c r="H6" s="1" t="s">
        <v>2</v>
      </c>
      <c r="I6" s="1" t="s">
        <v>7229</v>
      </c>
      <c r="J6" s="1" t="s">
        <v>7</v>
      </c>
      <c r="K6" s="1" t="s">
        <v>785</v>
      </c>
      <c r="L6" s="1" t="s">
        <v>9</v>
      </c>
      <c r="M6" s="1" t="s">
        <v>10</v>
      </c>
      <c r="N6" s="1" t="s">
        <v>11</v>
      </c>
      <c r="O6" s="1" t="s">
        <v>784</v>
      </c>
    </row>
    <row r="7" spans="1:15" ht="14.5" thickTop="1">
      <c r="A7" s="11">
        <v>377</v>
      </c>
      <c r="B7" s="11" t="s">
        <v>39</v>
      </c>
      <c r="C7" s="11">
        <v>1297</v>
      </c>
      <c r="D7" s="11" t="s">
        <v>18</v>
      </c>
      <c r="E7" s="11">
        <v>64</v>
      </c>
      <c r="F7" s="12">
        <v>41612</v>
      </c>
      <c r="G7" s="12">
        <v>43437</v>
      </c>
      <c r="H7" s="11" t="s">
        <v>20</v>
      </c>
      <c r="I7" s="11" t="s">
        <v>393</v>
      </c>
      <c r="J7" s="11">
        <v>1297</v>
      </c>
      <c r="K7" s="11" t="s">
        <v>13</v>
      </c>
      <c r="L7" s="11">
        <v>64</v>
      </c>
      <c r="M7" s="12">
        <v>44813</v>
      </c>
      <c r="N7" s="12">
        <v>53943</v>
      </c>
      <c r="O7" s="11" t="s">
        <v>51</v>
      </c>
    </row>
    <row r="8" spans="1:15">
      <c r="A8" s="13">
        <v>1567</v>
      </c>
      <c r="B8" s="13" t="s">
        <v>140</v>
      </c>
      <c r="C8" s="13">
        <v>12162</v>
      </c>
      <c r="D8" s="13" t="s">
        <v>18</v>
      </c>
      <c r="E8" s="13">
        <v>140</v>
      </c>
      <c r="F8" s="14">
        <v>42232</v>
      </c>
      <c r="G8" s="14">
        <v>42777</v>
      </c>
      <c r="H8" s="13" t="s">
        <v>14</v>
      </c>
      <c r="I8" s="13" t="s">
        <v>393</v>
      </c>
      <c r="J8" s="13">
        <v>12162</v>
      </c>
      <c r="K8" s="13" t="s">
        <v>13</v>
      </c>
      <c r="L8" s="13">
        <v>140</v>
      </c>
      <c r="M8" s="14">
        <v>44805</v>
      </c>
      <c r="N8" s="14">
        <v>53935</v>
      </c>
      <c r="O8" s="13" t="s">
        <v>6861</v>
      </c>
    </row>
    <row r="9" spans="1:15">
      <c r="A9" s="11">
        <v>1577</v>
      </c>
      <c r="B9" s="11" t="s">
        <v>140</v>
      </c>
      <c r="C9" s="11">
        <v>12172</v>
      </c>
      <c r="D9" s="11" t="s">
        <v>18</v>
      </c>
      <c r="E9" s="11">
        <v>180</v>
      </c>
      <c r="F9" s="12">
        <v>42778</v>
      </c>
      <c r="G9" s="12">
        <v>44603</v>
      </c>
      <c r="H9" s="11" t="s">
        <v>14</v>
      </c>
      <c r="I9" s="11" t="s">
        <v>393</v>
      </c>
      <c r="J9" s="11">
        <v>12172</v>
      </c>
      <c r="K9" s="11" t="s">
        <v>13</v>
      </c>
      <c r="L9" s="11">
        <v>180</v>
      </c>
      <c r="M9" s="12">
        <v>44805</v>
      </c>
      <c r="N9" s="12">
        <v>53935</v>
      </c>
      <c r="O9" s="11" t="s">
        <v>6861</v>
      </c>
    </row>
    <row r="10" spans="1:15">
      <c r="A10" s="13">
        <v>1578</v>
      </c>
      <c r="B10" s="13" t="s">
        <v>140</v>
      </c>
      <c r="C10" s="13">
        <v>12173</v>
      </c>
      <c r="D10" s="13" t="s">
        <v>18</v>
      </c>
      <c r="E10" s="13">
        <v>115</v>
      </c>
      <c r="F10" s="14">
        <v>42778</v>
      </c>
      <c r="G10" s="14">
        <v>44603</v>
      </c>
      <c r="H10" s="13" t="s">
        <v>14</v>
      </c>
      <c r="I10" s="13" t="s">
        <v>393</v>
      </c>
      <c r="J10" s="13">
        <v>12173</v>
      </c>
      <c r="K10" s="13" t="s">
        <v>13</v>
      </c>
      <c r="L10" s="13">
        <v>115</v>
      </c>
      <c r="M10" s="14">
        <v>44805</v>
      </c>
      <c r="N10" s="14">
        <v>53935</v>
      </c>
      <c r="O10" s="13" t="s">
        <v>6861</v>
      </c>
    </row>
    <row r="11" spans="1:15">
      <c r="A11" s="11">
        <v>1580</v>
      </c>
      <c r="B11" s="11" t="s">
        <v>140</v>
      </c>
      <c r="C11" s="11">
        <v>12175</v>
      </c>
      <c r="D11" s="11" t="s">
        <v>18</v>
      </c>
      <c r="E11" s="11">
        <v>126</v>
      </c>
      <c r="F11" s="12">
        <v>42778</v>
      </c>
      <c r="G11" s="12">
        <v>44603</v>
      </c>
      <c r="H11" s="11" t="s">
        <v>14</v>
      </c>
      <c r="I11" s="11" t="s">
        <v>393</v>
      </c>
      <c r="J11" s="11">
        <v>12175</v>
      </c>
      <c r="K11" s="11" t="s">
        <v>13</v>
      </c>
      <c r="L11" s="11">
        <v>126</v>
      </c>
      <c r="M11" s="12">
        <v>44805</v>
      </c>
      <c r="N11" s="12">
        <v>53935</v>
      </c>
      <c r="O11" s="11" t="s">
        <v>6861</v>
      </c>
    </row>
    <row r="12" spans="1:15">
      <c r="A12" s="13">
        <v>1587</v>
      </c>
      <c r="B12" s="13" t="s">
        <v>140</v>
      </c>
      <c r="C12" s="13">
        <v>12182</v>
      </c>
      <c r="D12" s="13" t="s">
        <v>18</v>
      </c>
      <c r="E12" s="13">
        <v>200</v>
      </c>
      <c r="F12" s="14">
        <v>42778</v>
      </c>
      <c r="G12" s="14">
        <v>44603</v>
      </c>
      <c r="H12" s="13" t="s">
        <v>14</v>
      </c>
      <c r="I12" s="13" t="s">
        <v>393</v>
      </c>
      <c r="J12" s="13">
        <v>12182</v>
      </c>
      <c r="K12" s="13" t="s">
        <v>13</v>
      </c>
      <c r="L12" s="13">
        <v>200</v>
      </c>
      <c r="M12" s="14">
        <v>44805</v>
      </c>
      <c r="N12" s="14">
        <v>53935</v>
      </c>
      <c r="O12" s="13" t="s">
        <v>6861</v>
      </c>
    </row>
    <row r="13" spans="1:15">
      <c r="A13" s="11">
        <v>1588</v>
      </c>
      <c r="B13" s="11" t="s">
        <v>140</v>
      </c>
      <c r="C13" s="11">
        <v>12183</v>
      </c>
      <c r="D13" s="11" t="s">
        <v>18</v>
      </c>
      <c r="E13" s="11">
        <v>200</v>
      </c>
      <c r="F13" s="12">
        <v>42778</v>
      </c>
      <c r="G13" s="12">
        <v>44603</v>
      </c>
      <c r="H13" s="11" t="s">
        <v>14</v>
      </c>
      <c r="I13" s="11" t="s">
        <v>393</v>
      </c>
      <c r="J13" s="11">
        <v>12183</v>
      </c>
      <c r="K13" s="11" t="s">
        <v>13</v>
      </c>
      <c r="L13" s="11">
        <v>200</v>
      </c>
      <c r="M13" s="12">
        <v>44805</v>
      </c>
      <c r="N13" s="12">
        <v>53935</v>
      </c>
      <c r="O13" s="11" t="s">
        <v>6861</v>
      </c>
    </row>
    <row r="14" spans="1:15">
      <c r="A14" s="13">
        <v>1592</v>
      </c>
      <c r="B14" s="13" t="s">
        <v>140</v>
      </c>
      <c r="C14" s="13">
        <v>12188</v>
      </c>
      <c r="D14" s="13" t="s">
        <v>18</v>
      </c>
      <c r="E14" s="13">
        <v>175</v>
      </c>
      <c r="F14" s="14">
        <v>42778</v>
      </c>
      <c r="G14" s="14">
        <v>44603</v>
      </c>
      <c r="H14" s="13" t="s">
        <v>14</v>
      </c>
      <c r="I14" s="13" t="s">
        <v>393</v>
      </c>
      <c r="J14" s="13">
        <v>12188</v>
      </c>
      <c r="K14" s="13" t="s">
        <v>13</v>
      </c>
      <c r="L14" s="13">
        <v>175</v>
      </c>
      <c r="M14" s="14">
        <v>44805</v>
      </c>
      <c r="N14" s="14">
        <v>53935</v>
      </c>
      <c r="O14" s="13" t="s">
        <v>6861</v>
      </c>
    </row>
    <row r="15" spans="1:15">
      <c r="A15" s="11">
        <v>1667</v>
      </c>
      <c r="B15" s="11" t="s">
        <v>7230</v>
      </c>
      <c r="C15" s="11">
        <v>12447</v>
      </c>
      <c r="D15" s="11" t="s">
        <v>6898</v>
      </c>
      <c r="E15" s="11">
        <v>460</v>
      </c>
      <c r="F15" s="12">
        <v>42611</v>
      </c>
      <c r="G15" s="12">
        <v>43705</v>
      </c>
      <c r="H15" s="11" t="s">
        <v>7231</v>
      </c>
      <c r="I15" s="11" t="s">
        <v>7232</v>
      </c>
      <c r="J15" s="11">
        <v>12447</v>
      </c>
      <c r="K15" s="11" t="s">
        <v>13</v>
      </c>
      <c r="L15" s="11">
        <v>460</v>
      </c>
      <c r="M15" s="12">
        <v>44909</v>
      </c>
      <c r="N15" s="12">
        <v>54039</v>
      </c>
      <c r="O15" s="11" t="s">
        <v>51</v>
      </c>
    </row>
    <row r="18" spans="1:15" ht="15.5">
      <c r="A18" s="7" t="s">
        <v>8598</v>
      </c>
    </row>
    <row r="21" spans="1:15" ht="14.5" thickBot="1">
      <c r="A21" s="1" t="s">
        <v>3</v>
      </c>
      <c r="B21" s="1" t="s">
        <v>6</v>
      </c>
      <c r="C21" s="1" t="s">
        <v>7</v>
      </c>
      <c r="D21" s="1" t="s">
        <v>7228</v>
      </c>
      <c r="E21" s="1" t="s">
        <v>9</v>
      </c>
      <c r="F21" s="1" t="s">
        <v>10</v>
      </c>
      <c r="G21" s="1" t="s">
        <v>11</v>
      </c>
      <c r="H21" s="1" t="s">
        <v>2</v>
      </c>
      <c r="I21" s="1" t="s">
        <v>784</v>
      </c>
      <c r="J21" s="1" t="s">
        <v>7</v>
      </c>
      <c r="K21" s="1" t="s">
        <v>8599</v>
      </c>
      <c r="L21" s="1" t="s">
        <v>9</v>
      </c>
      <c r="M21" s="1" t="s">
        <v>10</v>
      </c>
      <c r="N21" s="1" t="s">
        <v>11</v>
      </c>
      <c r="O21" s="1" t="s">
        <v>8600</v>
      </c>
    </row>
    <row r="22" spans="1:15" ht="14.5" thickTop="1">
      <c r="A22" s="11">
        <v>201</v>
      </c>
      <c r="B22" s="11" t="s">
        <v>392</v>
      </c>
      <c r="C22" s="11">
        <v>704</v>
      </c>
      <c r="D22" s="11" t="s">
        <v>18</v>
      </c>
      <c r="E22" s="11">
        <v>117</v>
      </c>
      <c r="F22" s="12">
        <v>44144</v>
      </c>
      <c r="G22" s="12">
        <v>44441</v>
      </c>
      <c r="H22" s="11" t="s">
        <v>16</v>
      </c>
      <c r="I22" s="11" t="s">
        <v>393</v>
      </c>
      <c r="J22" s="11">
        <v>704</v>
      </c>
      <c r="K22" s="12" t="s">
        <v>13</v>
      </c>
      <c r="L22" s="11">
        <v>117</v>
      </c>
      <c r="M22" s="12">
        <v>45033</v>
      </c>
      <c r="N22" s="12">
        <v>54164</v>
      </c>
      <c r="O22" s="11" t="s">
        <v>51</v>
      </c>
    </row>
    <row r="23" spans="1:15">
      <c r="A23" s="13">
        <v>202</v>
      </c>
      <c r="B23" s="13" t="s">
        <v>392</v>
      </c>
      <c r="C23" s="13">
        <v>706</v>
      </c>
      <c r="D23" s="13" t="s">
        <v>18</v>
      </c>
      <c r="E23" s="13">
        <v>103</v>
      </c>
      <c r="F23" s="14">
        <v>44144</v>
      </c>
      <c r="G23" s="14">
        <v>44441</v>
      </c>
      <c r="H23" s="13" t="s">
        <v>16</v>
      </c>
      <c r="I23" s="13" t="s">
        <v>393</v>
      </c>
      <c r="J23" s="13">
        <v>706</v>
      </c>
      <c r="K23" s="14" t="s">
        <v>13</v>
      </c>
      <c r="L23" s="13">
        <v>103</v>
      </c>
      <c r="M23" s="14">
        <v>45033</v>
      </c>
      <c r="N23" s="14">
        <v>54164</v>
      </c>
      <c r="O23" s="13" t="s">
        <v>51</v>
      </c>
    </row>
    <row r="24" spans="1:15">
      <c r="A24" s="11">
        <v>204</v>
      </c>
      <c r="B24" s="11" t="s">
        <v>392</v>
      </c>
      <c r="C24" s="11">
        <v>708</v>
      </c>
      <c r="D24" s="11" t="s">
        <v>18</v>
      </c>
      <c r="E24" s="11">
        <v>106</v>
      </c>
      <c r="F24" s="12">
        <v>44144</v>
      </c>
      <c r="G24" s="12">
        <v>44441</v>
      </c>
      <c r="H24" s="11" t="s">
        <v>16</v>
      </c>
      <c r="I24" s="11" t="s">
        <v>393</v>
      </c>
      <c r="J24" s="11">
        <v>708</v>
      </c>
      <c r="K24" s="12" t="s">
        <v>13</v>
      </c>
      <c r="L24" s="11">
        <v>106</v>
      </c>
      <c r="M24" s="12">
        <v>45033</v>
      </c>
      <c r="N24" s="12">
        <v>54164</v>
      </c>
      <c r="O24" s="11" t="s">
        <v>51</v>
      </c>
    </row>
    <row r="25" spans="1:15">
      <c r="A25" s="13">
        <v>208</v>
      </c>
      <c r="B25" s="13" t="s">
        <v>392</v>
      </c>
      <c r="C25" s="13">
        <v>714</v>
      </c>
      <c r="D25" s="13" t="s">
        <v>18</v>
      </c>
      <c r="E25" s="13">
        <v>98</v>
      </c>
      <c r="F25" s="14">
        <v>44144</v>
      </c>
      <c r="G25" s="14">
        <v>44441</v>
      </c>
      <c r="H25" s="13" t="s">
        <v>16</v>
      </c>
      <c r="I25" s="13" t="s">
        <v>393</v>
      </c>
      <c r="J25" s="13">
        <v>714</v>
      </c>
      <c r="K25" s="14" t="s">
        <v>13</v>
      </c>
      <c r="L25" s="13">
        <v>98</v>
      </c>
      <c r="M25" s="14">
        <v>45033</v>
      </c>
      <c r="N25" s="14">
        <v>54164</v>
      </c>
      <c r="O25" s="13" t="s">
        <v>51</v>
      </c>
    </row>
    <row r="26" spans="1:15">
      <c r="A26" s="11">
        <v>218</v>
      </c>
      <c r="B26" s="11" t="s">
        <v>395</v>
      </c>
      <c r="C26" s="11">
        <v>750</v>
      </c>
      <c r="D26" s="11" t="s">
        <v>18</v>
      </c>
      <c r="E26" s="11">
        <v>100</v>
      </c>
      <c r="F26" s="12">
        <v>43389</v>
      </c>
      <c r="G26" s="12">
        <v>44484</v>
      </c>
      <c r="H26" s="11" t="s">
        <v>14</v>
      </c>
      <c r="I26" s="11" t="s">
        <v>393</v>
      </c>
      <c r="J26" s="11">
        <v>750</v>
      </c>
      <c r="K26" s="12" t="s">
        <v>13</v>
      </c>
      <c r="L26" s="11">
        <v>100</v>
      </c>
      <c r="M26" s="12">
        <v>43389</v>
      </c>
      <c r="N26" s="12">
        <v>44484</v>
      </c>
      <c r="O26" s="11" t="s">
        <v>1710</v>
      </c>
    </row>
    <row r="27" spans="1:15">
      <c r="A27" s="13">
        <v>752</v>
      </c>
      <c r="B27" s="13" t="s">
        <v>96</v>
      </c>
      <c r="C27" s="13">
        <v>4295</v>
      </c>
      <c r="D27" s="13" t="s">
        <v>18</v>
      </c>
      <c r="E27" s="13">
        <v>471</v>
      </c>
      <c r="F27" s="14">
        <v>38589</v>
      </c>
      <c r="G27" s="14">
        <v>40414</v>
      </c>
      <c r="H27" s="13" t="s">
        <v>45</v>
      </c>
      <c r="I27" s="13" t="s">
        <v>393</v>
      </c>
      <c r="J27" s="13">
        <v>4295</v>
      </c>
      <c r="K27" s="14" t="s">
        <v>13</v>
      </c>
      <c r="L27" s="13">
        <v>471</v>
      </c>
      <c r="M27" s="14">
        <v>45093</v>
      </c>
      <c r="N27" s="14">
        <v>50571</v>
      </c>
      <c r="O27" s="13" t="s">
        <v>51</v>
      </c>
    </row>
    <row r="28" spans="1:15">
      <c r="A28" s="11">
        <v>1587</v>
      </c>
      <c r="B28" s="11" t="s">
        <v>447</v>
      </c>
      <c r="C28" s="11">
        <v>12442</v>
      </c>
      <c r="D28" s="11" t="s">
        <v>18</v>
      </c>
      <c r="E28" s="11">
        <v>192</v>
      </c>
      <c r="F28" s="12">
        <v>40784</v>
      </c>
      <c r="G28" s="12">
        <v>42610</v>
      </c>
      <c r="H28" s="11" t="s">
        <v>43</v>
      </c>
      <c r="I28" s="11" t="s">
        <v>393</v>
      </c>
      <c r="J28" s="11">
        <v>12442</v>
      </c>
      <c r="K28" s="12" t="s">
        <v>13</v>
      </c>
      <c r="L28" s="11">
        <v>192</v>
      </c>
      <c r="M28" s="12">
        <v>45140</v>
      </c>
      <c r="N28" s="12">
        <v>54271</v>
      </c>
      <c r="O28" s="11" t="s">
        <v>51</v>
      </c>
    </row>
    <row r="29" spans="1:15">
      <c r="A29" s="13">
        <v>1598</v>
      </c>
      <c r="B29" s="13" t="s">
        <v>447</v>
      </c>
      <c r="C29" s="13">
        <v>12458</v>
      </c>
      <c r="D29" s="13" t="s">
        <v>18</v>
      </c>
      <c r="E29" s="13">
        <v>252</v>
      </c>
      <c r="F29" s="14">
        <v>40784</v>
      </c>
      <c r="G29" s="14">
        <v>42610</v>
      </c>
      <c r="H29" s="13" t="s">
        <v>45</v>
      </c>
      <c r="I29" s="13" t="s">
        <v>393</v>
      </c>
      <c r="J29" s="13">
        <v>12458</v>
      </c>
      <c r="K29" s="14" t="s">
        <v>13</v>
      </c>
      <c r="L29" s="13">
        <v>252</v>
      </c>
      <c r="M29" s="14">
        <v>45140</v>
      </c>
      <c r="N29" s="14">
        <v>54271</v>
      </c>
      <c r="O29" s="13" t="s">
        <v>51</v>
      </c>
    </row>
    <row r="30" spans="1:15">
      <c r="A30" s="11">
        <v>2286</v>
      </c>
      <c r="B30" s="11" t="s">
        <v>356</v>
      </c>
      <c r="C30" s="11">
        <v>14386</v>
      </c>
      <c r="D30" s="11" t="s">
        <v>18</v>
      </c>
      <c r="E30" s="11">
        <v>5</v>
      </c>
      <c r="F30" s="12">
        <v>43529</v>
      </c>
      <c r="G30" s="12">
        <v>45355</v>
      </c>
      <c r="H30" s="11" t="s">
        <v>14</v>
      </c>
      <c r="I30" s="11" t="s">
        <v>393</v>
      </c>
      <c r="J30" s="11">
        <v>14386</v>
      </c>
      <c r="K30" s="12" t="s">
        <v>13</v>
      </c>
      <c r="L30" s="11">
        <v>5</v>
      </c>
      <c r="M30" s="12">
        <v>45007</v>
      </c>
      <c r="N30" s="12">
        <v>54138</v>
      </c>
      <c r="O30" s="11" t="s">
        <v>51</v>
      </c>
    </row>
    <row r="31" spans="1:15">
      <c r="A31" s="13">
        <v>2480</v>
      </c>
      <c r="B31" s="13" t="s">
        <v>269</v>
      </c>
      <c r="C31" s="13">
        <v>14625</v>
      </c>
      <c r="D31" s="13" t="s">
        <v>18</v>
      </c>
      <c r="E31" s="13">
        <v>38</v>
      </c>
      <c r="F31" s="14">
        <v>43670</v>
      </c>
      <c r="G31" s="14">
        <v>45496</v>
      </c>
      <c r="H31" s="13" t="s">
        <v>28</v>
      </c>
      <c r="I31" s="13" t="s">
        <v>393</v>
      </c>
      <c r="J31" s="13">
        <v>14625</v>
      </c>
      <c r="K31" s="14" t="s">
        <v>13</v>
      </c>
      <c r="L31" s="13">
        <v>38</v>
      </c>
      <c r="M31" s="14">
        <v>45000</v>
      </c>
      <c r="N31" s="14">
        <v>54131</v>
      </c>
      <c r="O31" s="13" t="s">
        <v>51</v>
      </c>
    </row>
    <row r="32" spans="1:15">
      <c r="A32" s="11">
        <v>2548</v>
      </c>
      <c r="B32" s="11" t="s">
        <v>269</v>
      </c>
      <c r="C32" s="11">
        <v>14717</v>
      </c>
      <c r="D32" s="11" t="s">
        <v>18</v>
      </c>
      <c r="E32" s="11">
        <v>32</v>
      </c>
      <c r="F32" s="12">
        <v>43690</v>
      </c>
      <c r="G32" s="12">
        <v>45516</v>
      </c>
      <c r="H32" s="11" t="s">
        <v>28</v>
      </c>
      <c r="I32" s="11" t="s">
        <v>393</v>
      </c>
      <c r="J32" s="11">
        <v>14717</v>
      </c>
      <c r="K32" s="12" t="s">
        <v>13</v>
      </c>
      <c r="L32" s="11">
        <v>32</v>
      </c>
      <c r="M32" s="12">
        <v>44966</v>
      </c>
      <c r="N32" s="12">
        <v>54096</v>
      </c>
      <c r="O32" s="11" t="s">
        <v>51</v>
      </c>
    </row>
    <row r="33" spans="1:15">
      <c r="A33" s="13">
        <v>2549</v>
      </c>
      <c r="B33" s="13" t="s">
        <v>269</v>
      </c>
      <c r="C33" s="13">
        <v>14718</v>
      </c>
      <c r="D33" s="13" t="s">
        <v>18</v>
      </c>
      <c r="E33" s="13">
        <v>31</v>
      </c>
      <c r="F33" s="14">
        <v>43783</v>
      </c>
      <c r="G33" s="14">
        <v>45609</v>
      </c>
      <c r="H33" s="13" t="s">
        <v>28</v>
      </c>
      <c r="I33" s="13" t="s">
        <v>393</v>
      </c>
      <c r="J33" s="13">
        <v>14718</v>
      </c>
      <c r="K33" s="14" t="s">
        <v>13</v>
      </c>
      <c r="L33" s="13">
        <v>31</v>
      </c>
      <c r="M33" s="14">
        <v>44966</v>
      </c>
      <c r="N33" s="14">
        <v>54096</v>
      </c>
      <c r="O33" s="13" t="s">
        <v>51</v>
      </c>
    </row>
    <row r="34" spans="1:15">
      <c r="A34" s="11">
        <v>2551</v>
      </c>
      <c r="B34" s="11" t="s">
        <v>282</v>
      </c>
      <c r="C34" s="11">
        <v>14720</v>
      </c>
      <c r="D34" s="11" t="s">
        <v>18</v>
      </c>
      <c r="E34" s="11">
        <v>26</v>
      </c>
      <c r="F34" s="12">
        <v>43711</v>
      </c>
      <c r="G34" s="12">
        <v>45537</v>
      </c>
      <c r="H34" s="11" t="s">
        <v>28</v>
      </c>
      <c r="I34" s="11" t="s">
        <v>1672</v>
      </c>
      <c r="J34" s="11">
        <v>14720</v>
      </c>
      <c r="K34" s="12" t="s">
        <v>13</v>
      </c>
      <c r="L34" s="11">
        <v>26</v>
      </c>
      <c r="M34" s="12">
        <v>44966</v>
      </c>
      <c r="N34" s="12">
        <v>54096</v>
      </c>
      <c r="O34" s="11" t="s">
        <v>51</v>
      </c>
    </row>
    <row r="35" spans="1:15">
      <c r="A35" s="13">
        <v>2552</v>
      </c>
      <c r="B35" s="13" t="s">
        <v>282</v>
      </c>
      <c r="C35" s="13">
        <v>14721</v>
      </c>
      <c r="D35" s="13" t="s">
        <v>18</v>
      </c>
      <c r="E35" s="13">
        <v>19</v>
      </c>
      <c r="F35" s="14">
        <v>43714</v>
      </c>
      <c r="G35" s="14">
        <v>45540</v>
      </c>
      <c r="H35" s="13" t="s">
        <v>21</v>
      </c>
      <c r="I35" s="13" t="s">
        <v>1672</v>
      </c>
      <c r="J35" s="13">
        <v>14721</v>
      </c>
      <c r="K35" s="14" t="s">
        <v>13</v>
      </c>
      <c r="L35" s="13">
        <v>19</v>
      </c>
      <c r="M35" s="14">
        <v>44966</v>
      </c>
      <c r="N35" s="14">
        <v>54096</v>
      </c>
      <c r="O35" s="13" t="s">
        <v>51</v>
      </c>
    </row>
    <row r="36" spans="1:15">
      <c r="A36" s="11">
        <v>2553</v>
      </c>
      <c r="B36" s="11" t="s">
        <v>282</v>
      </c>
      <c r="C36" s="11">
        <v>14722</v>
      </c>
      <c r="D36" s="11" t="s">
        <v>18</v>
      </c>
      <c r="E36" s="11">
        <v>38</v>
      </c>
      <c r="F36" s="12">
        <v>43711</v>
      </c>
      <c r="G36" s="12">
        <v>45537</v>
      </c>
      <c r="H36" s="11" t="s">
        <v>28</v>
      </c>
      <c r="I36" s="11" t="s">
        <v>1672</v>
      </c>
      <c r="J36" s="11">
        <v>14722</v>
      </c>
      <c r="K36" s="12" t="s">
        <v>13</v>
      </c>
      <c r="L36" s="11">
        <v>38</v>
      </c>
      <c r="M36" s="12">
        <v>43711</v>
      </c>
      <c r="N36" s="12">
        <v>45537</v>
      </c>
      <c r="O36" s="11" t="s">
        <v>1710</v>
      </c>
    </row>
    <row r="37" spans="1:15">
      <c r="A37" s="13">
        <v>2556</v>
      </c>
      <c r="B37" s="13" t="s">
        <v>282</v>
      </c>
      <c r="C37" s="13">
        <v>14725</v>
      </c>
      <c r="D37" s="13" t="s">
        <v>18</v>
      </c>
      <c r="E37" s="13">
        <v>25</v>
      </c>
      <c r="F37" s="14">
        <v>43714</v>
      </c>
      <c r="G37" s="14">
        <v>45540</v>
      </c>
      <c r="H37" s="13" t="s">
        <v>28</v>
      </c>
      <c r="I37" s="13" t="s">
        <v>1672</v>
      </c>
      <c r="J37" s="13">
        <v>14725</v>
      </c>
      <c r="K37" s="14" t="s">
        <v>13</v>
      </c>
      <c r="L37" s="13">
        <v>25</v>
      </c>
      <c r="M37" s="14">
        <v>44966</v>
      </c>
      <c r="N37" s="14">
        <v>54096</v>
      </c>
      <c r="O37" s="13" t="s">
        <v>51</v>
      </c>
    </row>
    <row r="38" spans="1:15">
      <c r="A38" s="11">
        <v>2557</v>
      </c>
      <c r="B38" s="11" t="s">
        <v>282</v>
      </c>
      <c r="C38" s="11">
        <v>14726</v>
      </c>
      <c r="D38" s="11" t="s">
        <v>18</v>
      </c>
      <c r="E38" s="11">
        <v>38</v>
      </c>
      <c r="F38" s="12">
        <v>43714</v>
      </c>
      <c r="G38" s="12">
        <v>45540</v>
      </c>
      <c r="H38" s="11" t="s">
        <v>28</v>
      </c>
      <c r="I38" s="11" t="s">
        <v>1672</v>
      </c>
      <c r="J38" s="11">
        <v>14726</v>
      </c>
      <c r="K38" s="12" t="s">
        <v>13</v>
      </c>
      <c r="L38" s="11">
        <v>38</v>
      </c>
      <c r="M38" s="12">
        <v>44966</v>
      </c>
      <c r="N38" s="12">
        <v>54096</v>
      </c>
      <c r="O38" s="11" t="s">
        <v>51</v>
      </c>
    </row>
    <row r="39" spans="1:15">
      <c r="A39" s="13">
        <v>2563</v>
      </c>
      <c r="B39" s="13" t="s">
        <v>282</v>
      </c>
      <c r="C39" s="13">
        <v>14732</v>
      </c>
      <c r="D39" s="13" t="s">
        <v>18</v>
      </c>
      <c r="E39" s="13">
        <v>27</v>
      </c>
      <c r="F39" s="14">
        <v>43714</v>
      </c>
      <c r="G39" s="14">
        <v>45540</v>
      </c>
      <c r="H39" s="13" t="s">
        <v>56</v>
      </c>
      <c r="I39" s="13" t="s">
        <v>1672</v>
      </c>
      <c r="J39" s="13">
        <v>14732</v>
      </c>
      <c r="K39" s="14" t="s">
        <v>13</v>
      </c>
      <c r="L39" s="13">
        <v>27</v>
      </c>
      <c r="M39" s="14">
        <v>44966</v>
      </c>
      <c r="N39" s="14">
        <v>54096</v>
      </c>
      <c r="O39" s="13" t="s">
        <v>51</v>
      </c>
    </row>
    <row r="40" spans="1:15">
      <c r="A40" s="11">
        <v>2750</v>
      </c>
      <c r="B40" s="11" t="s">
        <v>467</v>
      </c>
      <c r="C40" s="11">
        <v>15015</v>
      </c>
      <c r="D40" s="11" t="s">
        <v>18</v>
      </c>
      <c r="E40" s="11">
        <v>32</v>
      </c>
      <c r="F40" s="12">
        <v>44313</v>
      </c>
      <c r="G40" s="12">
        <v>46138</v>
      </c>
      <c r="H40" s="11" t="s">
        <v>41</v>
      </c>
      <c r="I40" s="11" t="s">
        <v>393</v>
      </c>
      <c r="J40" s="11">
        <v>15015</v>
      </c>
      <c r="K40" s="12" t="s">
        <v>13</v>
      </c>
      <c r="L40" s="11">
        <v>32</v>
      </c>
      <c r="M40" s="12">
        <v>45243</v>
      </c>
      <c r="N40" s="12">
        <v>50721</v>
      </c>
      <c r="O40" s="11" t="s">
        <v>51</v>
      </c>
    </row>
    <row r="41" spans="1:15">
      <c r="A41" s="13">
        <v>2857</v>
      </c>
      <c r="B41" s="13" t="s">
        <v>368</v>
      </c>
      <c r="C41" s="13">
        <v>15188</v>
      </c>
      <c r="D41" s="13" t="s">
        <v>18</v>
      </c>
      <c r="E41" s="13">
        <v>72</v>
      </c>
      <c r="F41" s="14">
        <v>44558</v>
      </c>
      <c r="G41" s="14">
        <v>46383</v>
      </c>
      <c r="H41" s="13" t="s">
        <v>56</v>
      </c>
      <c r="I41" s="13" t="s">
        <v>51</v>
      </c>
      <c r="J41" s="13">
        <v>15188</v>
      </c>
      <c r="K41" s="14" t="s">
        <v>13</v>
      </c>
      <c r="L41" s="13">
        <v>72</v>
      </c>
      <c r="M41" s="14">
        <v>45245</v>
      </c>
      <c r="N41" s="14">
        <v>54376</v>
      </c>
      <c r="O41" s="13" t="s">
        <v>51</v>
      </c>
    </row>
    <row r="42" spans="1:15">
      <c r="A42" s="11">
        <v>2858</v>
      </c>
      <c r="B42" s="11" t="s">
        <v>368</v>
      </c>
      <c r="C42" s="11">
        <v>15189</v>
      </c>
      <c r="D42" s="11" t="s">
        <v>18</v>
      </c>
      <c r="E42" s="11">
        <v>55</v>
      </c>
      <c r="F42" s="12">
        <v>44558</v>
      </c>
      <c r="G42" s="12">
        <v>46383</v>
      </c>
      <c r="H42" s="11" t="s">
        <v>56</v>
      </c>
      <c r="I42" s="11" t="s">
        <v>51</v>
      </c>
      <c r="J42" s="11">
        <v>15189</v>
      </c>
      <c r="K42" s="12" t="s">
        <v>13</v>
      </c>
      <c r="L42" s="11">
        <v>55</v>
      </c>
      <c r="M42" s="12">
        <v>45245</v>
      </c>
      <c r="N42" s="12">
        <v>54376</v>
      </c>
      <c r="O42" s="11" t="s">
        <v>51</v>
      </c>
    </row>
    <row r="43" spans="1:15">
      <c r="A43" s="13">
        <v>2859</v>
      </c>
      <c r="B43" s="13" t="s">
        <v>368</v>
      </c>
      <c r="C43" s="13">
        <v>15190</v>
      </c>
      <c r="D43" s="13" t="s">
        <v>18</v>
      </c>
      <c r="E43" s="13">
        <v>29</v>
      </c>
      <c r="F43" s="14">
        <v>44558</v>
      </c>
      <c r="G43" s="14">
        <v>46383</v>
      </c>
      <c r="H43" s="13" t="s">
        <v>56</v>
      </c>
      <c r="I43" s="13" t="s">
        <v>51</v>
      </c>
      <c r="J43" s="13">
        <v>15190</v>
      </c>
      <c r="K43" s="14" t="s">
        <v>13</v>
      </c>
      <c r="L43" s="13">
        <v>29</v>
      </c>
      <c r="M43" s="14">
        <v>44558</v>
      </c>
      <c r="N43" s="14">
        <v>46383</v>
      </c>
      <c r="O43" s="13" t="s">
        <v>1710</v>
      </c>
    </row>
  </sheetData>
  <autoFilter ref="A21:O21" xr:uid="{FE2678C5-011A-40F2-939C-A71EBA5AEBFB}"/>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1F256-E914-4983-A834-C6F6149E0C19}">
  <sheetPr>
    <tabColor rgb="FF92D050"/>
  </sheetPr>
  <dimension ref="A3:E15"/>
  <sheetViews>
    <sheetView workbookViewId="0">
      <selection activeCell="C17" sqref="C17"/>
    </sheetView>
  </sheetViews>
  <sheetFormatPr baseColWidth="10" defaultColWidth="11.5" defaultRowHeight="14"/>
  <cols>
    <col min="2" max="2" width="57.5" bestFit="1" customWidth="1"/>
    <col min="5" max="5" width="20.5" bestFit="1" customWidth="1"/>
  </cols>
  <sheetData>
    <row r="3" spans="1:5" ht="15.5">
      <c r="A3" s="7" t="s">
        <v>7225</v>
      </c>
    </row>
    <row r="6" spans="1:5" ht="24.5" thickBot="1">
      <c r="A6" s="1" t="s">
        <v>786</v>
      </c>
      <c r="B6" s="1" t="s">
        <v>787</v>
      </c>
      <c r="C6" s="1" t="s">
        <v>521</v>
      </c>
      <c r="D6" s="1" t="s">
        <v>794</v>
      </c>
      <c r="E6" s="1" t="s">
        <v>795</v>
      </c>
    </row>
    <row r="7" spans="1:5" ht="14.5" thickTop="1">
      <c r="A7" s="3">
        <v>1</v>
      </c>
      <c r="B7" s="66" t="s">
        <v>32</v>
      </c>
      <c r="C7" s="67" t="s">
        <v>571</v>
      </c>
      <c r="D7" s="67" t="s">
        <v>788</v>
      </c>
      <c r="E7" s="67" t="s">
        <v>789</v>
      </c>
    </row>
    <row r="8" spans="1:5">
      <c r="A8" s="68">
        <v>2</v>
      </c>
      <c r="B8" s="69" t="s">
        <v>30</v>
      </c>
      <c r="C8" s="70" t="s">
        <v>693</v>
      </c>
      <c r="D8" s="70" t="s">
        <v>788</v>
      </c>
      <c r="E8" s="70" t="s">
        <v>789</v>
      </c>
    </row>
    <row r="9" spans="1:5">
      <c r="A9" s="3">
        <v>3</v>
      </c>
      <c r="B9" s="66" t="s">
        <v>40</v>
      </c>
      <c r="C9" s="67" t="s">
        <v>710</v>
      </c>
      <c r="D9" s="67" t="s">
        <v>788</v>
      </c>
      <c r="E9" s="67" t="s">
        <v>788</v>
      </c>
    </row>
    <row r="10" spans="1:5">
      <c r="A10" s="68">
        <v>4</v>
      </c>
      <c r="B10" s="69" t="s">
        <v>151</v>
      </c>
      <c r="C10" s="70" t="s">
        <v>715</v>
      </c>
      <c r="D10" s="70" t="s">
        <v>788</v>
      </c>
      <c r="E10" s="70" t="s">
        <v>788</v>
      </c>
    </row>
    <row r="11" spans="1:5">
      <c r="A11" s="3">
        <v>5</v>
      </c>
      <c r="B11" s="66" t="s">
        <v>107</v>
      </c>
      <c r="C11" s="67" t="s">
        <v>790</v>
      </c>
      <c r="D11" s="67" t="s">
        <v>788</v>
      </c>
      <c r="E11" s="67" t="s">
        <v>789</v>
      </c>
    </row>
    <row r="12" spans="1:5">
      <c r="A12" s="68">
        <v>6</v>
      </c>
      <c r="B12" s="69" t="s">
        <v>54</v>
      </c>
      <c r="C12" s="70" t="s">
        <v>728</v>
      </c>
      <c r="D12" s="70" t="s">
        <v>788</v>
      </c>
      <c r="E12" s="70" t="s">
        <v>788</v>
      </c>
    </row>
    <row r="13" spans="1:5">
      <c r="A13" s="3">
        <v>7</v>
      </c>
      <c r="B13" s="66" t="s">
        <v>46</v>
      </c>
      <c r="C13" s="67" t="s">
        <v>729</v>
      </c>
      <c r="D13" s="67" t="s">
        <v>788</v>
      </c>
      <c r="E13" s="67" t="s">
        <v>789</v>
      </c>
    </row>
    <row r="14" spans="1:5">
      <c r="A14" s="68">
        <v>8</v>
      </c>
      <c r="B14" s="69" t="s">
        <v>64</v>
      </c>
      <c r="C14" s="70" t="s">
        <v>792</v>
      </c>
      <c r="D14" s="70" t="s">
        <v>788</v>
      </c>
      <c r="E14" s="70" t="s">
        <v>789</v>
      </c>
    </row>
    <row r="15" spans="1:5">
      <c r="A15" s="3">
        <v>9</v>
      </c>
      <c r="B15" s="66" t="s">
        <v>793</v>
      </c>
      <c r="C15" s="67" t="s">
        <v>770</v>
      </c>
      <c r="D15" s="67" t="s">
        <v>788</v>
      </c>
      <c r="E15" s="67" t="s">
        <v>789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4DBEE-AC22-4256-AED1-2096FCCEE4CA}">
  <sheetPr>
    <tabColor rgb="FF92D050"/>
  </sheetPr>
  <dimension ref="A2:AJ88"/>
  <sheetViews>
    <sheetView showGridLines="0" zoomScaleNormal="100" workbookViewId="0">
      <pane xSplit="3" ySplit="7" topLeftCell="F8" activePane="bottomRight" state="frozen"/>
      <selection activeCell="B71" sqref="B71:B72"/>
      <selection pane="topRight" activeCell="B71" sqref="B71:B72"/>
      <selection pane="bottomLeft" activeCell="B71" sqref="B71:B72"/>
      <selection pane="bottomRight" activeCell="A2" sqref="A2"/>
    </sheetView>
  </sheetViews>
  <sheetFormatPr baseColWidth="10" defaultColWidth="11.5" defaultRowHeight="14"/>
  <cols>
    <col min="2" max="2" width="47.75" bestFit="1" customWidth="1"/>
    <col min="4" max="4" width="8.75" customWidth="1"/>
    <col min="5" max="5" width="8.4140625" customWidth="1"/>
    <col min="6" max="6" width="37.1640625" bestFit="1" customWidth="1"/>
    <col min="7" max="7" width="10" bestFit="1" customWidth="1"/>
    <col min="8" max="8" width="13.4140625" bestFit="1" customWidth="1"/>
    <col min="9" max="9" width="12.25" bestFit="1" customWidth="1"/>
    <col min="10" max="10" width="13.4140625" bestFit="1" customWidth="1"/>
    <col min="11" max="11" width="12.25" bestFit="1" customWidth="1"/>
    <col min="12" max="12" width="13.4140625" bestFit="1" customWidth="1"/>
    <col min="13" max="13" width="12.25" bestFit="1" customWidth="1"/>
    <col min="14" max="14" width="13.4140625" bestFit="1" customWidth="1"/>
    <col min="15" max="15" width="12.25" bestFit="1" customWidth="1"/>
    <col min="16" max="16" width="13.4140625" bestFit="1" customWidth="1"/>
    <col min="17" max="17" width="12.25" bestFit="1" customWidth="1"/>
    <col min="18" max="18" width="13.4140625" bestFit="1" customWidth="1"/>
    <col min="19" max="19" width="12.25" bestFit="1" customWidth="1"/>
    <col min="20" max="20" width="13.4140625" bestFit="1" customWidth="1"/>
    <col min="21" max="21" width="12.25" bestFit="1" customWidth="1"/>
    <col min="22" max="22" width="13.4140625" bestFit="1" customWidth="1"/>
    <col min="23" max="23" width="12.25" bestFit="1" customWidth="1"/>
    <col min="24" max="24" width="13.4140625" bestFit="1" customWidth="1"/>
    <col min="25" max="25" width="12.25" bestFit="1" customWidth="1"/>
    <col min="26" max="26" width="13.4140625" bestFit="1" customWidth="1"/>
    <col min="27" max="27" width="14.5" bestFit="1" customWidth="1"/>
    <col min="28" max="28" width="13.4140625" bestFit="1" customWidth="1"/>
    <col min="29" max="29" width="12.25" bestFit="1" customWidth="1"/>
    <col min="30" max="30" width="13.4140625" bestFit="1" customWidth="1"/>
    <col min="31" max="31" width="13.75" bestFit="1" customWidth="1"/>
    <col min="32" max="32" width="15.83203125" bestFit="1" customWidth="1"/>
    <col min="34" max="34" width="18.75" bestFit="1" customWidth="1"/>
    <col min="35" max="35" width="11.75" bestFit="1" customWidth="1"/>
    <col min="36" max="36" width="13.75" bestFit="1" customWidth="1"/>
  </cols>
  <sheetData>
    <row r="2" spans="1:34" ht="15.5">
      <c r="A2" s="7" t="s">
        <v>8283</v>
      </c>
      <c r="F2" s="43" t="s">
        <v>516</v>
      </c>
      <c r="G2" s="43">
        <v>49</v>
      </c>
    </row>
    <row r="3" spans="1:34">
      <c r="F3" s="43" t="s">
        <v>517</v>
      </c>
      <c r="G3" s="43">
        <f>+G2-G4</f>
        <v>37</v>
      </c>
    </row>
    <row r="4" spans="1:34">
      <c r="F4" s="45" t="s">
        <v>518</v>
      </c>
      <c r="G4" s="45">
        <v>12</v>
      </c>
    </row>
    <row r="6" spans="1:34" ht="14.5" thickBot="1">
      <c r="A6" s="854" t="s">
        <v>519</v>
      </c>
      <c r="B6" s="854" t="s">
        <v>520</v>
      </c>
      <c r="C6" s="854" t="s">
        <v>521</v>
      </c>
      <c r="D6" s="855" t="s">
        <v>1075</v>
      </c>
      <c r="E6" s="854" t="s">
        <v>1076</v>
      </c>
      <c r="F6" s="855" t="s">
        <v>1077</v>
      </c>
      <c r="G6" s="942">
        <v>44927</v>
      </c>
      <c r="H6" s="854"/>
      <c r="I6" s="942">
        <v>44958</v>
      </c>
      <c r="J6" s="854"/>
      <c r="K6" s="942">
        <v>44986</v>
      </c>
      <c r="L6" s="854"/>
      <c r="M6" s="942">
        <v>45017</v>
      </c>
      <c r="N6" s="854"/>
      <c r="O6" s="942">
        <v>45047</v>
      </c>
      <c r="P6" s="854"/>
      <c r="Q6" s="942">
        <v>45078</v>
      </c>
      <c r="R6" s="854"/>
      <c r="S6" s="942">
        <v>45108</v>
      </c>
      <c r="T6" s="854"/>
      <c r="U6" s="942">
        <v>45139</v>
      </c>
      <c r="V6" s="854"/>
      <c r="W6" s="942">
        <v>45170</v>
      </c>
      <c r="X6" s="854"/>
      <c r="Y6" s="942">
        <v>45200</v>
      </c>
      <c r="Z6" s="854"/>
      <c r="AA6" s="942">
        <v>45231</v>
      </c>
      <c r="AB6" s="854"/>
      <c r="AC6" s="942">
        <v>45261</v>
      </c>
      <c r="AD6" s="854"/>
      <c r="AE6" s="854" t="s">
        <v>1078</v>
      </c>
      <c r="AF6" s="854"/>
      <c r="AG6" s="854" t="s">
        <v>1079</v>
      </c>
      <c r="AH6" s="854" t="s">
        <v>1080</v>
      </c>
    </row>
    <row r="7" spans="1:34">
      <c r="A7" s="855"/>
      <c r="B7" s="855"/>
      <c r="C7" s="855"/>
      <c r="D7" s="856"/>
      <c r="E7" s="855"/>
      <c r="F7" s="856"/>
      <c r="G7" s="89" t="s">
        <v>1081</v>
      </c>
      <c r="H7" s="90" t="s">
        <v>1082</v>
      </c>
      <c r="I7" s="89" t="s">
        <v>1081</v>
      </c>
      <c r="J7" s="90" t="s">
        <v>1082</v>
      </c>
      <c r="K7" s="89" t="s">
        <v>1081</v>
      </c>
      <c r="L7" s="90" t="s">
        <v>1082</v>
      </c>
      <c r="M7" s="89" t="s">
        <v>1081</v>
      </c>
      <c r="N7" s="90" t="s">
        <v>1082</v>
      </c>
      <c r="O7" s="89" t="s">
        <v>1081</v>
      </c>
      <c r="P7" s="90" t="s">
        <v>1082</v>
      </c>
      <c r="Q7" s="89" t="s">
        <v>1081</v>
      </c>
      <c r="R7" s="90" t="s">
        <v>1082</v>
      </c>
      <c r="S7" s="89" t="s">
        <v>1081</v>
      </c>
      <c r="T7" s="90" t="s">
        <v>1082</v>
      </c>
      <c r="U7" s="89" t="s">
        <v>1081</v>
      </c>
      <c r="V7" s="90" t="s">
        <v>1082</v>
      </c>
      <c r="W7" s="89" t="s">
        <v>1081</v>
      </c>
      <c r="X7" s="90" t="s">
        <v>1082</v>
      </c>
      <c r="Y7" s="89" t="s">
        <v>1081</v>
      </c>
      <c r="Z7" s="90" t="s">
        <v>1082</v>
      </c>
      <c r="AA7" s="89" t="s">
        <v>1081</v>
      </c>
      <c r="AB7" s="90" t="s">
        <v>1082</v>
      </c>
      <c r="AC7" s="89" t="s">
        <v>1081</v>
      </c>
      <c r="AD7" s="90" t="s">
        <v>1082</v>
      </c>
      <c r="AE7" s="46" t="s">
        <v>1081</v>
      </c>
      <c r="AF7" s="46" t="s">
        <v>1082</v>
      </c>
      <c r="AG7" s="855"/>
      <c r="AH7" s="855"/>
    </row>
    <row r="8" spans="1:34">
      <c r="A8" s="48">
        <v>1</v>
      </c>
      <c r="B8" s="248" t="s">
        <v>69</v>
      </c>
      <c r="C8" s="48" t="s">
        <v>528</v>
      </c>
      <c r="D8" s="51" t="s">
        <v>1247</v>
      </c>
      <c r="E8" s="51" t="s">
        <v>1247</v>
      </c>
      <c r="F8" s="50" t="s">
        <v>1247</v>
      </c>
      <c r="G8" s="81"/>
      <c r="H8" s="81"/>
      <c r="I8" s="81"/>
      <c r="J8" s="81"/>
      <c r="K8" s="81"/>
      <c r="L8" s="81"/>
      <c r="M8" s="81"/>
      <c r="N8" s="81"/>
      <c r="O8" s="81"/>
      <c r="P8" s="81"/>
      <c r="Q8" s="81"/>
      <c r="R8" s="81"/>
      <c r="S8" s="81"/>
      <c r="T8" s="81"/>
      <c r="U8" s="81"/>
      <c r="V8" s="81"/>
      <c r="W8" s="81"/>
      <c r="X8" s="81"/>
      <c r="Y8" s="81"/>
      <c r="Z8" s="81"/>
      <c r="AA8" s="81"/>
      <c r="AB8" s="81"/>
      <c r="AC8" s="81"/>
      <c r="AD8" s="81"/>
      <c r="AE8" s="81"/>
      <c r="AF8" s="81"/>
      <c r="AG8" s="51"/>
      <c r="AH8" s="51"/>
    </row>
    <row r="9" spans="1:34">
      <c r="A9" s="915">
        <v>2</v>
      </c>
      <c r="B9" s="892" t="s">
        <v>534</v>
      </c>
      <c r="C9" s="915" t="s">
        <v>535</v>
      </c>
      <c r="D9" s="53" t="s">
        <v>1105</v>
      </c>
      <c r="E9" s="53" t="s">
        <v>1083</v>
      </c>
      <c r="F9" s="54" t="s">
        <v>1084</v>
      </c>
      <c r="G9" s="82">
        <v>1650.0081506013348</v>
      </c>
      <c r="H9" s="82">
        <v>13491412</v>
      </c>
      <c r="I9" s="82">
        <v>1660.0106494417494</v>
      </c>
      <c r="J9" s="82">
        <v>11705743</v>
      </c>
      <c r="K9" s="82">
        <v>1719.63563967818</v>
      </c>
      <c r="L9" s="82">
        <v>13193810</v>
      </c>
      <c r="M9" s="82">
        <v>1838.2172848005148</v>
      </c>
      <c r="N9" s="82">
        <v>13542050</v>
      </c>
      <c r="O9" s="82">
        <v>1639.3012300608893</v>
      </c>
      <c r="P9" s="82">
        <v>12180415</v>
      </c>
      <c r="Q9" s="82">
        <v>1646.8515336818245</v>
      </c>
      <c r="R9" s="82">
        <v>15137877</v>
      </c>
      <c r="S9" s="82">
        <v>2020.0148292957419</v>
      </c>
      <c r="T9" s="82">
        <v>16768821</v>
      </c>
      <c r="U9" s="82">
        <v>2113.6164670541843</v>
      </c>
      <c r="V9" s="82">
        <v>19949726</v>
      </c>
      <c r="W9" s="82">
        <v>1552.8062841630788</v>
      </c>
      <c r="X9" s="82">
        <v>11343350</v>
      </c>
      <c r="Y9" s="82">
        <v>1639.3309073459475</v>
      </c>
      <c r="Z9" s="82">
        <v>19833087</v>
      </c>
      <c r="AA9" s="82">
        <v>1584.0729240090986</v>
      </c>
      <c r="AB9" s="82">
        <v>17445350</v>
      </c>
      <c r="AC9" s="82">
        <v>2527.7655002922902</v>
      </c>
      <c r="AD9" s="82">
        <v>25631535</v>
      </c>
      <c r="AE9" s="91">
        <f t="shared" ref="AE9:AF18" si="0">AC9+AA9+Y9+W9+U9+S9+Q9+O9+M9+K9+I9+G9</f>
        <v>21591.631400424834</v>
      </c>
      <c r="AF9" s="92">
        <f t="shared" si="0"/>
        <v>190223176</v>
      </c>
      <c r="AG9" s="53"/>
      <c r="AH9" s="53"/>
    </row>
    <row r="10" spans="1:34">
      <c r="A10" s="916"/>
      <c r="B10" s="893"/>
      <c r="C10" s="916"/>
      <c r="D10" s="53" t="s">
        <v>1095</v>
      </c>
      <c r="E10" s="53" t="s">
        <v>1085</v>
      </c>
      <c r="F10" s="54" t="s">
        <v>1087</v>
      </c>
      <c r="G10" s="82">
        <v>20895.972358262145</v>
      </c>
      <c r="H10" s="82">
        <v>86388489</v>
      </c>
      <c r="I10" s="82">
        <v>19960.123460586859</v>
      </c>
      <c r="J10" s="82">
        <v>78167734</v>
      </c>
      <c r="K10" s="82">
        <v>20949.686290977872</v>
      </c>
      <c r="L10" s="82">
        <v>89946908</v>
      </c>
      <c r="M10" s="82">
        <v>20882.315372254641</v>
      </c>
      <c r="N10" s="82">
        <v>87101215</v>
      </c>
      <c r="O10" s="82">
        <v>22398.638583311265</v>
      </c>
      <c r="P10" s="82">
        <v>109874710</v>
      </c>
      <c r="Q10" s="82">
        <v>21413.119746663211</v>
      </c>
      <c r="R10" s="82">
        <v>111057401</v>
      </c>
      <c r="S10" s="82">
        <v>22692.133238586957</v>
      </c>
      <c r="T10" s="82">
        <v>105728289</v>
      </c>
      <c r="U10" s="82">
        <v>23553.088224714742</v>
      </c>
      <c r="V10" s="82">
        <v>114977565</v>
      </c>
      <c r="W10" s="82">
        <v>23509.904275679655</v>
      </c>
      <c r="X10" s="82">
        <v>116927305</v>
      </c>
      <c r="Y10" s="82">
        <v>24537.247104903603</v>
      </c>
      <c r="Z10" s="82">
        <v>110417875</v>
      </c>
      <c r="AA10" s="82">
        <v>26251.358611207572</v>
      </c>
      <c r="AB10" s="82">
        <v>114008880</v>
      </c>
      <c r="AC10" s="82">
        <v>33253.415498385839</v>
      </c>
      <c r="AD10" s="82">
        <v>124284298</v>
      </c>
      <c r="AE10" s="91">
        <f t="shared" si="0"/>
        <v>280297.00276553433</v>
      </c>
      <c r="AF10" s="92">
        <f t="shared" si="0"/>
        <v>1248880669</v>
      </c>
      <c r="AG10" s="53"/>
      <c r="AH10" s="53"/>
    </row>
    <row r="11" spans="1:34">
      <c r="A11" s="902">
        <v>3</v>
      </c>
      <c r="B11" s="902" t="s">
        <v>539</v>
      </c>
      <c r="C11" s="889" t="s">
        <v>540</v>
      </c>
      <c r="D11" s="51" t="s">
        <v>1105</v>
      </c>
      <c r="E11" s="51" t="s">
        <v>1083</v>
      </c>
      <c r="F11" s="50" t="s">
        <v>1084</v>
      </c>
      <c r="G11" s="81">
        <v>148.529</v>
      </c>
      <c r="H11" s="81">
        <v>1622659.8359211001</v>
      </c>
      <c r="I11" s="81">
        <v>110.39400000000001</v>
      </c>
      <c r="J11" s="81">
        <v>1206039.96476563</v>
      </c>
      <c r="K11" s="81">
        <v>133.40299999999999</v>
      </c>
      <c r="L11" s="81">
        <v>1457410.2706635201</v>
      </c>
      <c r="M11" s="81">
        <v>238.66</v>
      </c>
      <c r="N11" s="81">
        <v>2607329.1844752799</v>
      </c>
      <c r="O11" s="81">
        <v>239.684</v>
      </c>
      <c r="P11" s="81">
        <v>2618516.2501121801</v>
      </c>
      <c r="Q11" s="81">
        <v>224.89400000000001</v>
      </c>
      <c r="R11" s="81">
        <v>2456965.5907667102</v>
      </c>
      <c r="S11" s="81">
        <v>223.488</v>
      </c>
      <c r="T11" s="81">
        <v>2441577.07525355</v>
      </c>
      <c r="U11" s="81">
        <v>208.62899999999999</v>
      </c>
      <c r="V11" s="81">
        <v>2279244.4499618402</v>
      </c>
      <c r="W11" s="81">
        <v>229.51599999999999</v>
      </c>
      <c r="X11" s="81">
        <v>2507432.1842957698</v>
      </c>
      <c r="Y11" s="81">
        <v>186.34200000000001</v>
      </c>
      <c r="Z11" s="81">
        <v>2035761.89932746</v>
      </c>
      <c r="AA11" s="81">
        <v>207.42599999999999</v>
      </c>
      <c r="AB11" s="81">
        <v>2266101.8328122399</v>
      </c>
      <c r="AC11" s="81">
        <v>155.52199999999999</v>
      </c>
      <c r="AD11" s="81">
        <v>1699057.4433418401</v>
      </c>
      <c r="AE11" s="81">
        <f t="shared" si="0"/>
        <v>2306.4870000000001</v>
      </c>
      <c r="AF11" s="81">
        <f t="shared" si="0"/>
        <v>25198095.98169712</v>
      </c>
      <c r="AG11" s="51"/>
      <c r="AH11" s="51"/>
    </row>
    <row r="12" spans="1:34">
      <c r="A12" s="920"/>
      <c r="B12" s="920"/>
      <c r="C12" s="890"/>
      <c r="D12" s="51" t="s">
        <v>1113</v>
      </c>
      <c r="E12" s="51" t="s">
        <v>1085</v>
      </c>
      <c r="F12" s="50" t="s">
        <v>1090</v>
      </c>
      <c r="G12" s="81">
        <v>218.72499999999999</v>
      </c>
      <c r="H12" s="81">
        <v>792592.174474912</v>
      </c>
      <c r="I12" s="81">
        <v>318.26299999999998</v>
      </c>
      <c r="J12" s="81">
        <v>1153287.29329024</v>
      </c>
      <c r="K12" s="81">
        <v>187.71</v>
      </c>
      <c r="L12" s="81">
        <v>680203.34699136205</v>
      </c>
      <c r="M12" s="81">
        <v>297.54500000000002</v>
      </c>
      <c r="N12" s="81">
        <v>1078211.6290050901</v>
      </c>
      <c r="O12" s="81">
        <v>329.065</v>
      </c>
      <c r="P12" s="81">
        <v>1192430.4212759701</v>
      </c>
      <c r="Q12" s="81">
        <v>320.35199999999998</v>
      </c>
      <c r="R12" s="81">
        <v>1160857.18723231</v>
      </c>
      <c r="S12" s="81">
        <v>296.49299999999999</v>
      </c>
      <c r="T12" s="81">
        <v>1074429.7343391899</v>
      </c>
      <c r="U12" s="81">
        <v>406.053</v>
      </c>
      <c r="V12" s="81">
        <v>1471411.27087467</v>
      </c>
      <c r="W12" s="81">
        <v>-387.90800000000002</v>
      </c>
      <c r="X12" s="81">
        <v>-1405659.3677733</v>
      </c>
      <c r="Y12" s="81">
        <v>163.21265803108801</v>
      </c>
      <c r="Z12" s="81">
        <v>591432.50899846898</v>
      </c>
      <c r="AA12" s="81">
        <v>-131.483</v>
      </c>
      <c r="AB12" s="81">
        <v>-476453.98046169803</v>
      </c>
      <c r="AC12" s="81">
        <v>-42.243000000000002</v>
      </c>
      <c r="AD12" s="81">
        <v>-153075.64853740399</v>
      </c>
      <c r="AE12" s="81">
        <f t="shared" si="0"/>
        <v>1975.7846580310879</v>
      </c>
      <c r="AF12" s="81">
        <f t="shared" si="0"/>
        <v>7159666.5697098104</v>
      </c>
      <c r="AG12" s="51"/>
      <c r="AH12" s="51"/>
    </row>
    <row r="13" spans="1:34">
      <c r="A13" s="920"/>
      <c r="B13" s="920"/>
      <c r="C13" s="890"/>
      <c r="D13" s="51" t="s">
        <v>1115</v>
      </c>
      <c r="E13" s="51" t="s">
        <v>1085</v>
      </c>
      <c r="F13" s="50" t="s">
        <v>1091</v>
      </c>
      <c r="G13" s="81">
        <v>1675.8979999999999</v>
      </c>
      <c r="H13" s="81">
        <v>7564769.7190735703</v>
      </c>
      <c r="I13" s="81">
        <v>4753.1490000000003</v>
      </c>
      <c r="J13" s="81">
        <v>21455051.336922001</v>
      </c>
      <c r="K13" s="81">
        <v>3041.4110000000001</v>
      </c>
      <c r="L13" s="81">
        <v>13728504.8589218</v>
      </c>
      <c r="M13" s="81">
        <v>2961.1779999999999</v>
      </c>
      <c r="N13" s="81">
        <v>13366344.2925446</v>
      </c>
      <c r="O13" s="81">
        <v>3755.971</v>
      </c>
      <c r="P13" s="81">
        <v>16953928.990021199</v>
      </c>
      <c r="Q13" s="81">
        <v>3343.5349999999999</v>
      </c>
      <c r="R13" s="81">
        <v>15092250.4368778</v>
      </c>
      <c r="S13" s="81">
        <v>3061.67</v>
      </c>
      <c r="T13" s="81">
        <v>13819951.1580036</v>
      </c>
      <c r="U13" s="81">
        <v>3405.7190000000001</v>
      </c>
      <c r="V13" s="81">
        <v>15372954.7757922</v>
      </c>
      <c r="W13" s="81">
        <v>3184.1010000000001</v>
      </c>
      <c r="X13" s="81">
        <v>14372587.6081193</v>
      </c>
      <c r="Y13" s="81">
        <v>2627.89</v>
      </c>
      <c r="Z13" s="81">
        <v>11861928.7671781</v>
      </c>
      <c r="AA13" s="81">
        <v>4033.0140000000001</v>
      </c>
      <c r="AB13" s="81">
        <v>18204462.433751799</v>
      </c>
      <c r="AC13" s="81">
        <v>3547.8209999999999</v>
      </c>
      <c r="AD13" s="81">
        <v>16014368.9350386</v>
      </c>
      <c r="AE13" s="81">
        <f t="shared" si="0"/>
        <v>39391.357000000004</v>
      </c>
      <c r="AF13" s="81">
        <f t="shared" si="0"/>
        <v>177807103.31224456</v>
      </c>
      <c r="AG13" s="51"/>
      <c r="AH13" s="51"/>
    </row>
    <row r="14" spans="1:34">
      <c r="A14" s="920"/>
      <c r="B14" s="920"/>
      <c r="C14" s="890"/>
      <c r="D14" s="51" t="s">
        <v>1108</v>
      </c>
      <c r="E14" s="51" t="s">
        <v>1085</v>
      </c>
      <c r="F14" s="50" t="s">
        <v>1092</v>
      </c>
      <c r="G14" s="81">
        <v>1386.828</v>
      </c>
      <c r="H14" s="81">
        <v>3649027.4150579302</v>
      </c>
      <c r="I14" s="81">
        <v>-375.10500000000002</v>
      </c>
      <c r="J14" s="81">
        <v>-986977.785655685</v>
      </c>
      <c r="K14" s="81">
        <v>1820.848</v>
      </c>
      <c r="L14" s="81">
        <v>4791022.5858241897</v>
      </c>
      <c r="M14" s="81">
        <v>471.33600000000001</v>
      </c>
      <c r="N14" s="81">
        <v>1240181.18014905</v>
      </c>
      <c r="O14" s="81">
        <v>12.294999999999799</v>
      </c>
      <c r="P14" s="81">
        <v>32350.653482722199</v>
      </c>
      <c r="Q14" s="81">
        <v>-1555.4707387450001</v>
      </c>
      <c r="R14" s="81">
        <v>-4092760.8679669802</v>
      </c>
      <c r="S14" s="81">
        <v>-1438.579</v>
      </c>
      <c r="T14" s="81">
        <v>-3785194.8545361198</v>
      </c>
      <c r="U14" s="81">
        <v>-1260.047</v>
      </c>
      <c r="V14" s="81">
        <v>-3315440.7376123699</v>
      </c>
      <c r="W14" s="81">
        <v>463.29</v>
      </c>
      <c r="X14" s="81">
        <v>1219004.56256694</v>
      </c>
      <c r="Y14" s="81">
        <v>-181.25299999999999</v>
      </c>
      <c r="Z14" s="81">
        <v>-476913.62307473901</v>
      </c>
      <c r="AA14" s="81">
        <v>22.501000000000101</v>
      </c>
      <c r="AB14" s="81">
        <v>59204.721758010899</v>
      </c>
      <c r="AC14" s="81">
        <v>493.791</v>
      </c>
      <c r="AD14" s="81">
        <v>1299264.8665219201</v>
      </c>
      <c r="AE14" s="249">
        <f t="shared" si="0"/>
        <v>-139.56573874500009</v>
      </c>
      <c r="AF14" s="249">
        <f t="shared" si="0"/>
        <v>-367231.88348513003</v>
      </c>
      <c r="AG14" s="51"/>
      <c r="AH14" s="51"/>
    </row>
    <row r="15" spans="1:34">
      <c r="A15" s="920"/>
      <c r="B15" s="920"/>
      <c r="C15" s="890"/>
      <c r="D15" s="51" t="s">
        <v>1095</v>
      </c>
      <c r="E15" s="51" t="s">
        <v>1085</v>
      </c>
      <c r="F15" s="50" t="s">
        <v>1087</v>
      </c>
      <c r="G15" s="81">
        <v>5664.2867999999999</v>
      </c>
      <c r="H15" s="81">
        <v>26355803.9902399</v>
      </c>
      <c r="I15" s="81">
        <v>4523.1538200000005</v>
      </c>
      <c r="J15" s="81">
        <v>21046136.911292098</v>
      </c>
      <c r="K15" s="81">
        <v>5543.2700199999999</v>
      </c>
      <c r="L15" s="81">
        <v>25792715.529886801</v>
      </c>
      <c r="M15" s="81">
        <v>6545.027</v>
      </c>
      <c r="N15" s="81">
        <v>30453869.094839599</v>
      </c>
      <c r="O15" s="81">
        <v>6424.576</v>
      </c>
      <c r="P15" s="81">
        <v>29893413.1965915</v>
      </c>
      <c r="Q15" s="81">
        <v>7685.5529999999999</v>
      </c>
      <c r="R15" s="81">
        <v>35760711.908973202</v>
      </c>
      <c r="S15" s="81">
        <v>6348.4327599999997</v>
      </c>
      <c r="T15" s="81">
        <v>29539120.347468499</v>
      </c>
      <c r="U15" s="81">
        <v>6500.08601</v>
      </c>
      <c r="V15" s="81">
        <v>30244759.640218101</v>
      </c>
      <c r="W15" s="81">
        <v>6217.2657600000002</v>
      </c>
      <c r="X15" s="81">
        <v>28928803.132953901</v>
      </c>
      <c r="Y15" s="81">
        <v>6107.0159400000002</v>
      </c>
      <c r="Z15" s="81">
        <v>28415813.104645502</v>
      </c>
      <c r="AA15" s="81">
        <v>6329.8985400000001</v>
      </c>
      <c r="AB15" s="81">
        <v>29452881.022610899</v>
      </c>
      <c r="AC15" s="81">
        <v>5032.3280000000004</v>
      </c>
      <c r="AD15" s="81">
        <v>23415310.149944201</v>
      </c>
      <c r="AE15" s="81">
        <f t="shared" si="0"/>
        <v>72920.893650000013</v>
      </c>
      <c r="AF15" s="81">
        <f t="shared" si="0"/>
        <v>339299338.02966422</v>
      </c>
      <c r="AG15" s="51"/>
      <c r="AH15" s="51"/>
    </row>
    <row r="16" spans="1:34">
      <c r="A16" s="903"/>
      <c r="B16" s="903"/>
      <c r="C16" s="891"/>
      <c r="D16" s="51" t="s">
        <v>2789</v>
      </c>
      <c r="E16" s="51" t="s">
        <v>1085</v>
      </c>
      <c r="F16" s="50" t="s">
        <v>2790</v>
      </c>
      <c r="G16" s="81">
        <v>2657.835</v>
      </c>
      <c r="H16" s="81">
        <v>10880780.030053901</v>
      </c>
      <c r="I16" s="81">
        <v>96.845000000000297</v>
      </c>
      <c r="J16" s="81">
        <v>396468.98397025099</v>
      </c>
      <c r="K16" s="81">
        <v>796.005</v>
      </c>
      <c r="L16" s="81">
        <v>3258725.7327196999</v>
      </c>
      <c r="M16" s="81">
        <v>1405.5260000000001</v>
      </c>
      <c r="N16" s="81">
        <v>5754013.7866050899</v>
      </c>
      <c r="O16" s="81">
        <v>89.241</v>
      </c>
      <c r="P16" s="81">
        <v>365339.34223232098</v>
      </c>
      <c r="Q16" s="81">
        <v>1091.942</v>
      </c>
      <c r="R16" s="81">
        <v>4470247.6668330096</v>
      </c>
      <c r="S16" s="81">
        <v>744.202</v>
      </c>
      <c r="T16" s="81">
        <v>3046651.9779919302</v>
      </c>
      <c r="U16" s="81">
        <v>1023.573</v>
      </c>
      <c r="V16" s="81">
        <v>4190355.1791974902</v>
      </c>
      <c r="W16" s="81">
        <v>1123.2570000000001</v>
      </c>
      <c r="X16" s="81">
        <v>4598446.6056840504</v>
      </c>
      <c r="Y16" s="81">
        <v>2129.7049999999999</v>
      </c>
      <c r="Z16" s="81">
        <v>8718694.5893578604</v>
      </c>
      <c r="AA16" s="81">
        <v>914.15899999999999</v>
      </c>
      <c r="AB16" s="81">
        <v>3742430.5841009901</v>
      </c>
      <c r="AC16" s="81">
        <v>796.21100000000001</v>
      </c>
      <c r="AD16" s="81">
        <v>3259569.0659913998</v>
      </c>
      <c r="AE16" s="81">
        <f t="shared" si="0"/>
        <v>12868.501</v>
      </c>
      <c r="AF16" s="81">
        <f t="shared" si="0"/>
        <v>52681723.544737987</v>
      </c>
      <c r="AG16" s="51"/>
      <c r="AH16" s="51"/>
    </row>
    <row r="17" spans="1:36">
      <c r="A17" s="915">
        <v>4</v>
      </c>
      <c r="B17" s="892" t="s">
        <v>544</v>
      </c>
      <c r="C17" s="915" t="s">
        <v>545</v>
      </c>
      <c r="D17" s="53" t="s">
        <v>1093</v>
      </c>
      <c r="E17" s="53" t="s">
        <v>1083</v>
      </c>
      <c r="F17" s="54" t="s">
        <v>1094</v>
      </c>
      <c r="G17" s="82">
        <v>1706.77</v>
      </c>
      <c r="H17" s="82">
        <v>128787297.5777553</v>
      </c>
      <c r="I17" s="82">
        <v>1601.99</v>
      </c>
      <c r="J17" s="82">
        <v>98598821.93581675</v>
      </c>
      <c r="K17" s="82">
        <v>1481.95</v>
      </c>
      <c r="L17" s="82">
        <v>101057128.2126164</v>
      </c>
      <c r="M17" s="82">
        <v>1617.07</v>
      </c>
      <c r="N17" s="82">
        <v>69013974.646803483</v>
      </c>
      <c r="O17" s="82">
        <v>1919.26</v>
      </c>
      <c r="P17" s="82">
        <v>84592116.176659867</v>
      </c>
      <c r="Q17" s="82">
        <v>1794.24</v>
      </c>
      <c r="R17" s="82">
        <v>83755946.76862061</v>
      </c>
      <c r="S17" s="82">
        <v>1725.78</v>
      </c>
      <c r="T17" s="82">
        <v>79107809.726652294</v>
      </c>
      <c r="U17" s="82">
        <v>1742.82</v>
      </c>
      <c r="V17" s="82">
        <v>81157323.39842312</v>
      </c>
      <c r="W17" s="82">
        <v>1601.13</v>
      </c>
      <c r="X17" s="82">
        <v>80393831.851897806</v>
      </c>
      <c r="Y17" s="82">
        <v>1620.82</v>
      </c>
      <c r="Z17" s="82">
        <v>81832696.666385904</v>
      </c>
      <c r="AA17" s="82">
        <v>1620.2</v>
      </c>
      <c r="AB17" s="82">
        <v>62500910.279116191</v>
      </c>
      <c r="AC17" s="82">
        <v>1587.15</v>
      </c>
      <c r="AD17" s="82">
        <v>51293006.858614303</v>
      </c>
      <c r="AE17" s="91">
        <f t="shared" si="0"/>
        <v>20019.18</v>
      </c>
      <c r="AF17" s="92">
        <f t="shared" si="0"/>
        <v>1002090864.0993621</v>
      </c>
      <c r="AG17" s="53" t="s">
        <v>8585</v>
      </c>
      <c r="AH17" s="53" t="s">
        <v>8586</v>
      </c>
    </row>
    <row r="18" spans="1:36">
      <c r="A18" s="916"/>
      <c r="B18" s="893"/>
      <c r="C18" s="916"/>
      <c r="D18" s="53" t="s">
        <v>1095</v>
      </c>
      <c r="E18" s="82" t="s">
        <v>1085</v>
      </c>
      <c r="F18" s="93" t="s">
        <v>1087</v>
      </c>
      <c r="G18" s="82">
        <v>7747.76</v>
      </c>
      <c r="H18" s="82">
        <v>30216807.804320946</v>
      </c>
      <c r="I18" s="82">
        <v>8176.69</v>
      </c>
      <c r="J18" s="82">
        <v>35627185.424358204</v>
      </c>
      <c r="K18" s="82">
        <v>8594.2900000000009</v>
      </c>
      <c r="L18" s="82">
        <v>35811443.65737997</v>
      </c>
      <c r="M18" s="82">
        <v>8787.61</v>
      </c>
      <c r="N18" s="82">
        <v>30870245.548169009</v>
      </c>
      <c r="O18" s="82">
        <v>8469.07</v>
      </c>
      <c r="P18" s="82">
        <v>29994259.166224107</v>
      </c>
      <c r="Q18" s="82">
        <v>8656.77</v>
      </c>
      <c r="R18" s="82">
        <v>35185958.091885276</v>
      </c>
      <c r="S18" s="82">
        <v>9027.15</v>
      </c>
      <c r="T18" s="82">
        <v>44977674.74461738</v>
      </c>
      <c r="U18" s="82">
        <v>8740.0499999999993</v>
      </c>
      <c r="V18" s="82">
        <v>32129078.388000622</v>
      </c>
      <c r="W18" s="82">
        <v>8561.7800000000007</v>
      </c>
      <c r="X18" s="82">
        <v>32647914.386690825</v>
      </c>
      <c r="Y18" s="82">
        <v>8656.85</v>
      </c>
      <c r="Z18" s="82">
        <v>33580746.146287061</v>
      </c>
      <c r="AA18" s="82">
        <v>8765.4</v>
      </c>
      <c r="AB18" s="82">
        <v>47350739.105877303</v>
      </c>
      <c r="AC18" s="82">
        <v>8412.67</v>
      </c>
      <c r="AD18" s="82">
        <v>40319969.168287024</v>
      </c>
      <c r="AE18" s="91">
        <f t="shared" si="0"/>
        <v>102596.08999999998</v>
      </c>
      <c r="AF18" s="92">
        <f t="shared" si="0"/>
        <v>428712021.63209766</v>
      </c>
      <c r="AG18" s="53" t="s">
        <v>8585</v>
      </c>
      <c r="AH18" s="53" t="s">
        <v>8586</v>
      </c>
    </row>
    <row r="19" spans="1:36">
      <c r="A19" s="889">
        <v>5</v>
      </c>
      <c r="B19" s="902" t="s">
        <v>553</v>
      </c>
      <c r="C19" s="902" t="s">
        <v>554</v>
      </c>
      <c r="D19" s="51" t="s">
        <v>1105</v>
      </c>
      <c r="E19" s="51" t="s">
        <v>1083</v>
      </c>
      <c r="F19" s="50" t="s">
        <v>1084</v>
      </c>
      <c r="G19" s="81">
        <v>600.67399999999998</v>
      </c>
      <c r="H19" s="81">
        <v>6689087.1299999999</v>
      </c>
      <c r="I19" s="81">
        <v>650</v>
      </c>
      <c r="J19" s="81">
        <v>7111488.3300000001</v>
      </c>
      <c r="K19" s="81">
        <v>645.98400000000004</v>
      </c>
      <c r="L19" s="81">
        <v>7101457.1900000004</v>
      </c>
      <c r="M19" s="81">
        <v>616.53</v>
      </c>
      <c r="N19" s="81">
        <v>6620187.3399999999</v>
      </c>
      <c r="O19" s="81">
        <v>590.58900000000006</v>
      </c>
      <c r="P19" s="81">
        <v>5319222.0199999996</v>
      </c>
      <c r="Q19" s="81">
        <v>600.00099999999998</v>
      </c>
      <c r="R19" s="81">
        <v>5995285.1699999999</v>
      </c>
      <c r="S19" s="81">
        <v>720.14099999999996</v>
      </c>
      <c r="T19" s="81">
        <v>6215257.5099999998</v>
      </c>
      <c r="U19" s="81">
        <v>652.27499999999998</v>
      </c>
      <c r="V19" s="81">
        <v>5762410.96</v>
      </c>
      <c r="W19" s="81">
        <v>606.48299999999995</v>
      </c>
      <c r="X19" s="81">
        <v>3928395.92</v>
      </c>
      <c r="Y19" s="81">
        <v>681.12300000000005</v>
      </c>
      <c r="Z19" s="81">
        <v>4618942.0199999996</v>
      </c>
      <c r="AA19" s="81">
        <v>680.68100000000004</v>
      </c>
      <c r="AB19" s="81">
        <v>5536029.96</v>
      </c>
      <c r="AC19" s="81">
        <v>640.05100000000004</v>
      </c>
      <c r="AD19" s="81">
        <v>7082087.4100000001</v>
      </c>
      <c r="AE19" s="81">
        <f t="shared" ref="AE19:AF20" si="1">AC19+AA19+Y19+W19+U19+S19+Q19+O19+M19+K19+I19+G19</f>
        <v>7684.5320000000002</v>
      </c>
      <c r="AF19" s="81">
        <f t="shared" si="1"/>
        <v>71979850.959999993</v>
      </c>
      <c r="AG19" s="889" t="s">
        <v>1096</v>
      </c>
      <c r="AH19" s="889" t="s">
        <v>804</v>
      </c>
    </row>
    <row r="20" spans="1:36">
      <c r="A20" s="891"/>
      <c r="B20" s="903"/>
      <c r="C20" s="903"/>
      <c r="D20" s="51" t="s">
        <v>1095</v>
      </c>
      <c r="E20" s="51" t="s">
        <v>1085</v>
      </c>
      <c r="F20" s="50" t="s">
        <v>1087</v>
      </c>
      <c r="G20" s="81">
        <v>7608.5720000000001</v>
      </c>
      <c r="H20" s="81">
        <v>26419108.649999999</v>
      </c>
      <c r="I20" s="81">
        <v>7180</v>
      </c>
      <c r="J20" s="81">
        <v>23436350.34</v>
      </c>
      <c r="K20" s="81">
        <v>7880.2759999999998</v>
      </c>
      <c r="L20" s="81">
        <v>28695426.260000002</v>
      </c>
      <c r="M20" s="81">
        <v>7980.2619999999997</v>
      </c>
      <c r="N20" s="81">
        <v>23767097.879999999</v>
      </c>
      <c r="O20" s="81">
        <v>7916.8909999999996</v>
      </c>
      <c r="P20" s="81">
        <v>24352165.719999999</v>
      </c>
      <c r="Q20" s="81">
        <v>6812.9449999999997</v>
      </c>
      <c r="R20" s="81">
        <v>27701553.82</v>
      </c>
      <c r="S20" s="81">
        <v>7020.8440000000001</v>
      </c>
      <c r="T20" s="81">
        <v>21627217.02</v>
      </c>
      <c r="U20" s="81">
        <v>6305.6279999999997</v>
      </c>
      <c r="V20" s="81">
        <v>16309904.689999999</v>
      </c>
      <c r="W20" s="81">
        <v>6904.62</v>
      </c>
      <c r="X20" s="81">
        <v>5350884.04</v>
      </c>
      <c r="Y20" s="81">
        <v>6806.4319999999998</v>
      </c>
      <c r="Z20" s="81">
        <v>15688840.109999999</v>
      </c>
      <c r="AA20" s="81">
        <v>6411.4179999999997</v>
      </c>
      <c r="AB20" s="81">
        <v>13230347.16</v>
      </c>
      <c r="AC20" s="81">
        <v>6200.96</v>
      </c>
      <c r="AD20" s="81">
        <v>30663977.199999999</v>
      </c>
      <c r="AE20" s="81">
        <f t="shared" si="1"/>
        <v>85028.847999999998</v>
      </c>
      <c r="AF20" s="81">
        <f t="shared" si="1"/>
        <v>257242872.88999999</v>
      </c>
      <c r="AG20" s="891"/>
      <c r="AH20" s="891"/>
    </row>
    <row r="21" spans="1:36">
      <c r="A21" s="226">
        <v>6</v>
      </c>
      <c r="B21" s="250" t="s">
        <v>2586</v>
      </c>
      <c r="C21" s="227" t="s">
        <v>2478</v>
      </c>
      <c r="D21" s="221" t="s">
        <v>1247</v>
      </c>
      <c r="E21" s="221" t="s">
        <v>1247</v>
      </c>
      <c r="F21" s="222" t="s">
        <v>1247</v>
      </c>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28"/>
      <c r="AH21" s="228"/>
    </row>
    <row r="22" spans="1:36">
      <c r="A22" s="889">
        <v>7</v>
      </c>
      <c r="B22" s="902" t="s">
        <v>558</v>
      </c>
      <c r="C22" s="889" t="s">
        <v>559</v>
      </c>
      <c r="D22" s="51" t="s">
        <v>1098</v>
      </c>
      <c r="E22" s="51" t="s">
        <v>1099</v>
      </c>
      <c r="F22" s="50" t="s">
        <v>1097</v>
      </c>
      <c r="G22" s="81">
        <v>4901</v>
      </c>
      <c r="H22" s="81"/>
      <c r="I22" s="81">
        <v>5900</v>
      </c>
      <c r="J22" s="81"/>
      <c r="K22" s="81">
        <v>9113</v>
      </c>
      <c r="L22" s="81"/>
      <c r="M22" s="81">
        <v>11688</v>
      </c>
      <c r="N22" s="81"/>
      <c r="O22" s="81">
        <v>10135</v>
      </c>
      <c r="P22" s="81"/>
      <c r="Q22" s="81">
        <v>7579</v>
      </c>
      <c r="R22" s="81"/>
      <c r="S22" s="81">
        <v>15310</v>
      </c>
      <c r="T22" s="81"/>
      <c r="U22" s="81">
        <v>18653</v>
      </c>
      <c r="V22" s="81"/>
      <c r="W22" s="81">
        <v>9681</v>
      </c>
      <c r="X22" s="81"/>
      <c r="Y22" s="81">
        <v>11961</v>
      </c>
      <c r="Z22" s="81"/>
      <c r="AA22" s="81">
        <v>10778</v>
      </c>
      <c r="AB22" s="81"/>
      <c r="AC22" s="81">
        <v>9347</v>
      </c>
      <c r="AD22" s="81"/>
      <c r="AE22" s="81">
        <f t="shared" ref="AE22:AF24" si="2">AC22+AA22+Y22+W22+U22+S22+Q22+O22+M22+K22+I22+G22</f>
        <v>125046</v>
      </c>
      <c r="AF22" s="81">
        <f t="shared" si="2"/>
        <v>0</v>
      </c>
      <c r="AG22" s="51"/>
      <c r="AH22" s="51"/>
    </row>
    <row r="23" spans="1:36">
      <c r="A23" s="891"/>
      <c r="B23" s="903"/>
      <c r="C23" s="891"/>
      <c r="D23" s="51" t="s">
        <v>1115</v>
      </c>
      <c r="E23" s="51" t="s">
        <v>1085</v>
      </c>
      <c r="F23" s="50" t="s">
        <v>1091</v>
      </c>
      <c r="G23" s="81">
        <v>25</v>
      </c>
      <c r="H23" s="81"/>
      <c r="I23" s="81">
        <v>62</v>
      </c>
      <c r="J23" s="81"/>
      <c r="K23" s="81">
        <v>50</v>
      </c>
      <c r="L23" s="81"/>
      <c r="M23" s="81">
        <v>100</v>
      </c>
      <c r="N23" s="81"/>
      <c r="O23" s="81">
        <v>65</v>
      </c>
      <c r="P23" s="81"/>
      <c r="Q23" s="81">
        <v>387</v>
      </c>
      <c r="R23" s="81"/>
      <c r="S23" s="81">
        <v>820</v>
      </c>
      <c r="T23" s="81"/>
      <c r="U23" s="81">
        <v>696</v>
      </c>
      <c r="V23" s="81"/>
      <c r="W23" s="81">
        <v>71</v>
      </c>
      <c r="X23" s="81"/>
      <c r="Y23" s="81">
        <v>1211</v>
      </c>
      <c r="Z23" s="81"/>
      <c r="AA23" s="81">
        <v>730</v>
      </c>
      <c r="AB23" s="81"/>
      <c r="AC23" s="81">
        <v>140</v>
      </c>
      <c r="AD23" s="81"/>
      <c r="AE23" s="81">
        <f t="shared" si="2"/>
        <v>4357</v>
      </c>
      <c r="AF23" s="81">
        <f t="shared" si="2"/>
        <v>0</v>
      </c>
      <c r="AG23" s="51"/>
      <c r="AH23" s="51"/>
    </row>
    <row r="24" spans="1:36">
      <c r="A24" s="221">
        <v>8</v>
      </c>
      <c r="B24" s="221" t="s">
        <v>562</v>
      </c>
      <c r="C24" s="221" t="s">
        <v>563</v>
      </c>
      <c r="D24" s="221" t="s">
        <v>1100</v>
      </c>
      <c r="E24" s="221" t="s">
        <v>1085</v>
      </c>
      <c r="F24" s="222" t="s">
        <v>1101</v>
      </c>
      <c r="G24" s="251">
        <v>6671.81</v>
      </c>
      <c r="H24" s="251">
        <v>29060575.561615795</v>
      </c>
      <c r="I24" s="251">
        <v>4909.3</v>
      </c>
      <c r="J24" s="251">
        <v>21383565.120205823</v>
      </c>
      <c r="K24" s="251">
        <v>5260.63</v>
      </c>
      <c r="L24" s="251">
        <v>25912090.560976397</v>
      </c>
      <c r="M24" s="251">
        <v>4258.7</v>
      </c>
      <c r="N24" s="251">
        <v>17395962.796360511</v>
      </c>
      <c r="O24" s="251">
        <v>5342.66</v>
      </c>
      <c r="P24" s="251">
        <v>23479286.605614413</v>
      </c>
      <c r="Q24" s="251">
        <v>6007.4</v>
      </c>
      <c r="R24" s="251">
        <v>26838591.543032505</v>
      </c>
      <c r="S24" s="251">
        <v>7100.9</v>
      </c>
      <c r="T24" s="251">
        <v>32927950.342792928</v>
      </c>
      <c r="U24" s="251">
        <v>5752.79</v>
      </c>
      <c r="V24" s="251">
        <v>26350411.996691238</v>
      </c>
      <c r="W24" s="251">
        <v>4896.32</v>
      </c>
      <c r="X24" s="251">
        <v>22420521.096382741</v>
      </c>
      <c r="Y24" s="251">
        <v>4340.76</v>
      </c>
      <c r="Z24" s="251">
        <v>17969707.887354583</v>
      </c>
      <c r="AA24" s="251">
        <v>2889.46</v>
      </c>
      <c r="AB24" s="251">
        <v>12214425.999774856</v>
      </c>
      <c r="AC24" s="251">
        <v>3250.41</v>
      </c>
      <c r="AD24" s="251">
        <v>14150386.728660669</v>
      </c>
      <c r="AE24" s="251">
        <f t="shared" si="2"/>
        <v>60681.139999999992</v>
      </c>
      <c r="AF24" s="251">
        <f t="shared" si="2"/>
        <v>270103476.23946249</v>
      </c>
      <c r="AG24" s="221"/>
      <c r="AH24" s="221"/>
    </row>
    <row r="25" spans="1:36">
      <c r="A25" s="51">
        <v>9</v>
      </c>
      <c r="B25" s="51" t="s">
        <v>564</v>
      </c>
      <c r="C25" s="51" t="s">
        <v>565</v>
      </c>
      <c r="D25" s="51" t="s">
        <v>1102</v>
      </c>
      <c r="E25" s="51" t="s">
        <v>1103</v>
      </c>
      <c r="F25" s="50" t="s">
        <v>1104</v>
      </c>
      <c r="G25" s="81">
        <v>1991.1794</v>
      </c>
      <c r="H25" s="81">
        <v>42221615.579999991</v>
      </c>
      <c r="I25" s="81">
        <v>1680.145</v>
      </c>
      <c r="J25" s="81">
        <v>47054132.25999999</v>
      </c>
      <c r="K25" s="81">
        <v>1770.6541</v>
      </c>
      <c r="L25" s="81">
        <v>58019774.180354044</v>
      </c>
      <c r="M25" s="81">
        <v>2286.1685000000002</v>
      </c>
      <c r="N25" s="81">
        <v>46857561.969645955</v>
      </c>
      <c r="O25" s="81">
        <v>2596.9969999999998</v>
      </c>
      <c r="P25" s="81">
        <v>46854920.170000002</v>
      </c>
      <c r="Q25" s="81">
        <v>2594.0329999999999</v>
      </c>
      <c r="R25" s="81">
        <v>59358473.629999988</v>
      </c>
      <c r="S25" s="81">
        <v>2725.1091999999999</v>
      </c>
      <c r="T25" s="81">
        <v>44192310.720000006</v>
      </c>
      <c r="U25" s="81">
        <v>2850.1</v>
      </c>
      <c r="V25" s="81">
        <v>49109102.719999999</v>
      </c>
      <c r="W25" s="81">
        <v>2951.8820000000001</v>
      </c>
      <c r="X25" s="81">
        <v>57632130.719999999</v>
      </c>
      <c r="Y25" s="81">
        <v>2790.5475000000001</v>
      </c>
      <c r="Z25" s="81">
        <v>53079728.429999992</v>
      </c>
      <c r="AA25" s="81">
        <v>2367.8009999999999</v>
      </c>
      <c r="AB25" s="81">
        <v>40804290.630000003</v>
      </c>
      <c r="AC25" s="81">
        <v>2811.6354999999999</v>
      </c>
      <c r="AD25" s="81">
        <v>58452740.600000001</v>
      </c>
      <c r="AE25" s="252">
        <f>AC25+AA25+Y25+W25+U25+S25+Q25+O25+M25+K25+I25+G25</f>
        <v>29416.252199999999</v>
      </c>
      <c r="AF25" s="253">
        <f>AD25+AB25+Z25+X25+V25+T25+R25+P25+N25+L25+J25+H25</f>
        <v>603636781.61000001</v>
      </c>
      <c r="AG25" s="51"/>
      <c r="AH25" s="51"/>
    </row>
    <row r="26" spans="1:36">
      <c r="A26" s="892">
        <v>10</v>
      </c>
      <c r="B26" s="927" t="s">
        <v>570</v>
      </c>
      <c r="C26" s="892" t="s">
        <v>571</v>
      </c>
      <c r="D26" s="221" t="s">
        <v>1105</v>
      </c>
      <c r="E26" s="221" t="s">
        <v>1083</v>
      </c>
      <c r="F26" s="222" t="s">
        <v>1084</v>
      </c>
      <c r="G26" s="251">
        <v>11.400000000000002</v>
      </c>
      <c r="H26" s="251"/>
      <c r="I26" s="251">
        <v>10.008142857142857</v>
      </c>
      <c r="J26" s="251"/>
      <c r="K26" s="251">
        <v>9.7854285714285716</v>
      </c>
      <c r="L26" s="251"/>
      <c r="M26" s="251">
        <v>4.6057142857142859</v>
      </c>
      <c r="N26" s="251"/>
      <c r="O26" s="251">
        <v>3.7142857142857149</v>
      </c>
      <c r="P26" s="251"/>
      <c r="Q26" s="251">
        <v>15.884285714285715</v>
      </c>
      <c r="R26" s="251"/>
      <c r="S26" s="251">
        <v>10.434285714285716</v>
      </c>
      <c r="T26" s="251"/>
      <c r="U26" s="251">
        <v>6.2571428571428571</v>
      </c>
      <c r="V26" s="251"/>
      <c r="W26" s="251">
        <v>0.28571428571428575</v>
      </c>
      <c r="X26" s="251"/>
      <c r="Y26" s="251">
        <v>7.4571428571428573</v>
      </c>
      <c r="Z26" s="251"/>
      <c r="AA26" s="251">
        <v>4.5771428571428574</v>
      </c>
      <c r="AB26" s="251"/>
      <c r="AC26" s="251">
        <v>4.6571428571428592</v>
      </c>
      <c r="AD26" s="251"/>
      <c r="AE26" s="251">
        <f t="shared" ref="AE26:AF28" si="3">AC26+AA26+Y26+W26+U26+S26+Q26+O26+M26+K26+I26+G26</f>
        <v>89.066428571428588</v>
      </c>
      <c r="AF26" s="251">
        <f t="shared" si="3"/>
        <v>0</v>
      </c>
      <c r="AG26" s="221"/>
      <c r="AH26" s="221"/>
    </row>
    <row r="27" spans="1:36">
      <c r="A27" s="896"/>
      <c r="B27" s="928"/>
      <c r="C27" s="896"/>
      <c r="D27" s="221" t="s">
        <v>2791</v>
      </c>
      <c r="E27" s="221" t="s">
        <v>1085</v>
      </c>
      <c r="F27" s="222" t="s">
        <v>1124</v>
      </c>
      <c r="G27" s="251">
        <v>500.28232823282326</v>
      </c>
      <c r="H27" s="251"/>
      <c r="I27" s="251">
        <v>313.57435743574359</v>
      </c>
      <c r="J27" s="251"/>
      <c r="K27" s="251">
        <v>353.34733473347336</v>
      </c>
      <c r="L27" s="251"/>
      <c r="M27" s="251">
        <v>263.79091509150919</v>
      </c>
      <c r="N27" s="251"/>
      <c r="O27" s="251">
        <v>0</v>
      </c>
      <c r="P27" s="251"/>
      <c r="Q27" s="251">
        <v>181.39945994599461</v>
      </c>
      <c r="R27" s="251"/>
      <c r="S27" s="251">
        <v>391.41299999999995</v>
      </c>
      <c r="T27" s="251"/>
      <c r="U27" s="251">
        <v>569.83298329832985</v>
      </c>
      <c r="V27" s="251"/>
      <c r="W27" s="251">
        <v>281.79001240124012</v>
      </c>
      <c r="X27" s="251"/>
      <c r="Y27" s="251">
        <v>784.29590689068925</v>
      </c>
      <c r="Z27" s="251"/>
      <c r="AA27" s="251">
        <v>947.18911891189111</v>
      </c>
      <c r="AB27" s="251"/>
      <c r="AC27" s="251">
        <v>686.24902490249019</v>
      </c>
      <c r="AD27" s="251"/>
      <c r="AE27" s="251">
        <f t="shared" si="3"/>
        <v>5273.1644418441847</v>
      </c>
      <c r="AF27" s="251">
        <f t="shared" si="3"/>
        <v>0</v>
      </c>
      <c r="AG27" s="221"/>
      <c r="AH27" s="221"/>
    </row>
    <row r="28" spans="1:36">
      <c r="A28" s="896"/>
      <c r="B28" s="928"/>
      <c r="C28" s="896"/>
      <c r="D28" s="221" t="s">
        <v>1106</v>
      </c>
      <c r="E28" s="221" t="s">
        <v>1085</v>
      </c>
      <c r="F28" s="222" t="s">
        <v>1086</v>
      </c>
      <c r="G28" s="251">
        <v>339.38345051379122</v>
      </c>
      <c r="H28" s="251"/>
      <c r="I28" s="251">
        <v>376.2682531097891</v>
      </c>
      <c r="J28" s="251"/>
      <c r="K28" s="251">
        <v>316.92806922660895</v>
      </c>
      <c r="L28" s="251"/>
      <c r="M28" s="251">
        <v>214.16982152514873</v>
      </c>
      <c r="N28" s="251"/>
      <c r="O28" s="251">
        <v>168.73985938345052</v>
      </c>
      <c r="P28" s="251"/>
      <c r="Q28" s="251">
        <v>337.47971876690104</v>
      </c>
      <c r="R28" s="251"/>
      <c r="S28" s="251">
        <v>528.93455922120063</v>
      </c>
      <c r="T28" s="251"/>
      <c r="U28" s="251">
        <v>277.98810167658195</v>
      </c>
      <c r="V28" s="251"/>
      <c r="W28" s="251">
        <v>135.20822065981611</v>
      </c>
      <c r="X28" s="251"/>
      <c r="Y28" s="251">
        <v>56.246619794483507</v>
      </c>
      <c r="Z28" s="251"/>
      <c r="AA28" s="251">
        <v>110.32990805840996</v>
      </c>
      <c r="AB28" s="251"/>
      <c r="AC28" s="251">
        <v>239.04813412655488</v>
      </c>
      <c r="AD28" s="251"/>
      <c r="AE28" s="251">
        <f t="shared" si="3"/>
        <v>3100.7247160627358</v>
      </c>
      <c r="AF28" s="251">
        <f t="shared" si="3"/>
        <v>0</v>
      </c>
      <c r="AG28" s="221"/>
      <c r="AH28" s="221"/>
    </row>
    <row r="29" spans="1:36">
      <c r="A29" s="889">
        <v>11</v>
      </c>
      <c r="B29" s="889" t="s">
        <v>574</v>
      </c>
      <c r="C29" s="889" t="s">
        <v>575</v>
      </c>
      <c r="D29" s="51" t="s">
        <v>1105</v>
      </c>
      <c r="E29" s="51" t="s">
        <v>1083</v>
      </c>
      <c r="F29" s="50" t="s">
        <v>1084</v>
      </c>
      <c r="G29" s="81">
        <v>888</v>
      </c>
      <c r="H29" s="81">
        <v>12627740.083695939</v>
      </c>
      <c r="I29" s="81">
        <v>1018</v>
      </c>
      <c r="J29" s="81">
        <v>12795869.125011463</v>
      </c>
      <c r="K29" s="81">
        <v>911</v>
      </c>
      <c r="L29" s="81">
        <v>12349375.948767725</v>
      </c>
      <c r="M29" s="81">
        <v>1011</v>
      </c>
      <c r="N29" s="81">
        <v>12463348.346751673</v>
      </c>
      <c r="O29" s="81">
        <v>1027</v>
      </c>
      <c r="P29" s="81">
        <v>12385223.663282862</v>
      </c>
      <c r="Q29" s="81">
        <v>987.10734126379759</v>
      </c>
      <c r="R29" s="81">
        <v>10867238.988912428</v>
      </c>
      <c r="S29" s="81">
        <v>1098.8578290691898</v>
      </c>
      <c r="T29" s="81">
        <v>12049352.384763828</v>
      </c>
      <c r="U29" s="81">
        <v>1115.4121665841494</v>
      </c>
      <c r="V29" s="81">
        <v>13444831.267865237</v>
      </c>
      <c r="W29" s="81">
        <v>803.79230032662986</v>
      </c>
      <c r="X29" s="81">
        <v>10451669.984694721</v>
      </c>
      <c r="Y29" s="81">
        <v>733</v>
      </c>
      <c r="Z29" s="81">
        <v>10191544.287407253</v>
      </c>
      <c r="AA29" s="81">
        <v>691.56770337263026</v>
      </c>
      <c r="AB29" s="81">
        <v>10549032.512071693</v>
      </c>
      <c r="AC29" s="81">
        <v>910.30015102470009</v>
      </c>
      <c r="AD29" s="81">
        <v>13586423.42207375</v>
      </c>
      <c r="AE29" s="252">
        <f>AC29+AA29+Y29+W29+U29+S29+Q29+O29+M29+K29+I29+G29</f>
        <v>11195.037491641096</v>
      </c>
      <c r="AF29" s="253">
        <f>AD29+AB29+Z29+X29+V29+T29+R29+P29+N29+L29+J29+H29</f>
        <v>143761650.01529858</v>
      </c>
      <c r="AG29" s="51"/>
      <c r="AH29" s="51"/>
    </row>
    <row r="30" spans="1:36">
      <c r="A30" s="891"/>
      <c r="B30" s="891"/>
      <c r="C30" s="891"/>
      <c r="D30" s="51" t="s">
        <v>1095</v>
      </c>
      <c r="E30" s="51" t="s">
        <v>1085</v>
      </c>
      <c r="F30" s="50" t="s">
        <v>1087</v>
      </c>
      <c r="G30" s="81">
        <v>2543</v>
      </c>
      <c r="H30" s="81">
        <v>14523825.824537311</v>
      </c>
      <c r="I30" s="81">
        <v>2996.28</v>
      </c>
      <c r="J30" s="81">
        <v>14462781.816058999</v>
      </c>
      <c r="K30" s="81">
        <v>2670</v>
      </c>
      <c r="L30" s="81">
        <v>11983880.785362469</v>
      </c>
      <c r="M30" s="81">
        <v>3078</v>
      </c>
      <c r="N30" s="81">
        <v>12228929.522615947</v>
      </c>
      <c r="O30" s="81">
        <v>3614</v>
      </c>
      <c r="P30" s="81">
        <v>12338253.793537477</v>
      </c>
      <c r="Q30" s="81">
        <v>2949.8049999999994</v>
      </c>
      <c r="R30" s="81">
        <v>10479803.844597118</v>
      </c>
      <c r="S30" s="81">
        <v>2979.9009999999998</v>
      </c>
      <c r="T30" s="81">
        <v>9995852.0223374255</v>
      </c>
      <c r="U30" s="81">
        <v>3333.261</v>
      </c>
      <c r="V30" s="81">
        <v>10521381.819548065</v>
      </c>
      <c r="W30" s="81">
        <v>2728.3560000000011</v>
      </c>
      <c r="X30" s="81">
        <v>11103185.081947478</v>
      </c>
      <c r="Y30" s="81">
        <v>2630.8660000000004</v>
      </c>
      <c r="Z30" s="81">
        <v>8630098.4145330321</v>
      </c>
      <c r="AA30" s="81">
        <v>2615.6790000000001</v>
      </c>
      <c r="AB30" s="81">
        <v>9482177.351755891</v>
      </c>
      <c r="AC30" s="81">
        <v>2949.1820000000002</v>
      </c>
      <c r="AD30" s="81">
        <v>11535631.475289477</v>
      </c>
      <c r="AE30" s="252">
        <f>AC30+AA30+Y30+W30+U30+S30+Q30+O30+M30+K30+I30+G30</f>
        <v>35088.33</v>
      </c>
      <c r="AF30" s="253">
        <f>AD30+AB30+Z30+X30+V30+T30+R30+P30+N30+L30+J30+H30</f>
        <v>137285801.7521207</v>
      </c>
      <c r="AG30" s="51"/>
      <c r="AH30" s="51"/>
    </row>
    <row r="31" spans="1:36">
      <c r="A31" s="892">
        <v>12</v>
      </c>
      <c r="B31" s="927" t="s">
        <v>578</v>
      </c>
      <c r="C31" s="892" t="s">
        <v>579</v>
      </c>
      <c r="D31" s="221" t="s">
        <v>1093</v>
      </c>
      <c r="E31" s="221" t="s">
        <v>1083</v>
      </c>
      <c r="F31" s="222" t="s">
        <v>1094</v>
      </c>
      <c r="G31" s="254"/>
      <c r="H31" s="251">
        <v>810000</v>
      </c>
      <c r="I31" s="251">
        <v>342649.17</v>
      </c>
      <c r="J31" s="251">
        <v>975000</v>
      </c>
      <c r="K31" s="251">
        <v>402152.82</v>
      </c>
      <c r="L31" s="251">
        <v>1605347</v>
      </c>
      <c r="M31" s="251">
        <v>666545.19999999995</v>
      </c>
      <c r="N31" s="251">
        <v>1004154</v>
      </c>
      <c r="O31" s="251">
        <v>416736.91</v>
      </c>
      <c r="P31" s="251">
        <v>521526</v>
      </c>
      <c r="Q31" s="251">
        <v>227813.33</v>
      </c>
      <c r="R31" s="251">
        <v>367556</v>
      </c>
      <c r="S31" s="251">
        <v>163243.29999999999</v>
      </c>
      <c r="T31" s="251">
        <v>1863522</v>
      </c>
      <c r="U31" s="251">
        <v>731264.5</v>
      </c>
      <c r="V31" s="251">
        <v>1326466</v>
      </c>
      <c r="W31" s="251">
        <v>461322.45</v>
      </c>
      <c r="X31" s="251">
        <v>1097902</v>
      </c>
      <c r="Y31" s="251">
        <v>364395.49</v>
      </c>
      <c r="Z31" s="251">
        <v>968434</v>
      </c>
      <c r="AA31" s="251">
        <v>371234.29</v>
      </c>
      <c r="AB31" s="251">
        <v>772585</v>
      </c>
      <c r="AC31" s="251">
        <v>264993</v>
      </c>
      <c r="AD31" s="251">
        <v>1432496</v>
      </c>
      <c r="AE31" s="251">
        <f t="shared" ref="AE31:AF32" si="4">AC31+AA31+Y31+W31+U31+S31+Q31+O31+M31+K31+I31+G31</f>
        <v>4412350.46</v>
      </c>
      <c r="AF31" s="251">
        <f>AD31+AB31+Z31+X31+V31+T31+R31+P31+N31+L31+J31+H31</f>
        <v>12744988</v>
      </c>
      <c r="AG31" s="221"/>
      <c r="AH31" s="221"/>
      <c r="AI31" s="4"/>
      <c r="AJ31" s="86"/>
    </row>
    <row r="32" spans="1:36">
      <c r="A32" s="893"/>
      <c r="B32" s="929"/>
      <c r="C32" s="893"/>
      <c r="D32" s="221" t="s">
        <v>1100</v>
      </c>
      <c r="E32" s="221" t="s">
        <v>1085</v>
      </c>
      <c r="F32" s="222" t="s">
        <v>1101</v>
      </c>
      <c r="G32" s="254"/>
      <c r="H32" s="251">
        <v>844960</v>
      </c>
      <c r="I32" s="251">
        <v>178173.53</v>
      </c>
      <c r="J32" s="251">
        <v>2431428</v>
      </c>
      <c r="K32" s="251">
        <v>518912.48</v>
      </c>
      <c r="L32" s="251">
        <v>2735462</v>
      </c>
      <c r="M32" s="251">
        <v>600328.89</v>
      </c>
      <c r="N32" s="251">
        <v>1278814</v>
      </c>
      <c r="O32" s="251">
        <v>279030.14</v>
      </c>
      <c r="P32" s="251">
        <v>347391</v>
      </c>
      <c r="Q32" s="251">
        <v>75461.63</v>
      </c>
      <c r="R32" s="251">
        <v>561300</v>
      </c>
      <c r="S32" s="251">
        <v>119759.07</v>
      </c>
      <c r="T32" s="251">
        <v>2314518</v>
      </c>
      <c r="U32" s="251">
        <v>472826.77</v>
      </c>
      <c r="V32" s="251">
        <v>667039</v>
      </c>
      <c r="W32" s="251">
        <v>129021.09</v>
      </c>
      <c r="X32" s="251">
        <v>667039</v>
      </c>
      <c r="Y32" s="251">
        <v>129021.09</v>
      </c>
      <c r="Z32" s="251"/>
      <c r="AA32" s="251"/>
      <c r="AB32" s="251">
        <v>919164</v>
      </c>
      <c r="AC32" s="251">
        <v>177426.68</v>
      </c>
      <c r="AD32" s="251">
        <v>1957714</v>
      </c>
      <c r="AE32" s="251">
        <f t="shared" si="4"/>
        <v>2679961.37</v>
      </c>
      <c r="AF32" s="251">
        <f t="shared" si="4"/>
        <v>14724829</v>
      </c>
      <c r="AG32" s="221"/>
      <c r="AH32" s="221"/>
      <c r="AI32" s="4"/>
      <c r="AJ32" s="86"/>
    </row>
    <row r="33" spans="1:35">
      <c r="A33" s="889">
        <v>13</v>
      </c>
      <c r="B33" s="902" t="s">
        <v>582</v>
      </c>
      <c r="C33" s="902" t="s">
        <v>583</v>
      </c>
      <c r="D33" s="51" t="s">
        <v>1105</v>
      </c>
      <c r="E33" s="51" t="s">
        <v>1083</v>
      </c>
      <c r="F33" s="50" t="s">
        <v>1084</v>
      </c>
      <c r="G33" s="81">
        <v>514.05449999999996</v>
      </c>
      <c r="H33" s="81"/>
      <c r="I33" s="81">
        <v>376.35599999999999</v>
      </c>
      <c r="J33" s="81"/>
      <c r="K33" s="81">
        <v>441.3422000000001</v>
      </c>
      <c r="L33" s="81"/>
      <c r="M33" s="81">
        <v>487.04450000000003</v>
      </c>
      <c r="N33" s="81"/>
      <c r="O33" s="81">
        <v>360.33530000000002</v>
      </c>
      <c r="P33" s="81"/>
      <c r="Q33" s="81">
        <v>433.10089999999997</v>
      </c>
      <c r="R33" s="81"/>
      <c r="S33" s="81">
        <v>386.05979999999994</v>
      </c>
      <c r="T33" s="81"/>
      <c r="U33" s="81">
        <v>391.66589999999997</v>
      </c>
      <c r="V33" s="81"/>
      <c r="W33" s="81">
        <v>388.98649999999998</v>
      </c>
      <c r="X33" s="81"/>
      <c r="Y33" s="81">
        <v>360.70839999999998</v>
      </c>
      <c r="Z33" s="81"/>
      <c r="AA33" s="81">
        <v>374.50779999999997</v>
      </c>
      <c r="AB33" s="81"/>
      <c r="AC33" s="81">
        <v>295.6570999999999</v>
      </c>
      <c r="AD33" s="81"/>
      <c r="AE33" s="252">
        <f>AC33+AA33+Y33+W33+U33+S33+Q33+O33+M33+K33+I33+G33</f>
        <v>4809.8189000000002</v>
      </c>
      <c r="AF33" s="253">
        <f>AD33+AB33+Z33+X33+V33+T33+R33+P33+N33+L33+J33+H33</f>
        <v>0</v>
      </c>
      <c r="AG33" s="51"/>
      <c r="AH33" s="51"/>
    </row>
    <row r="34" spans="1:35">
      <c r="A34" s="891"/>
      <c r="B34" s="903"/>
      <c r="C34" s="903"/>
      <c r="D34" s="51" t="s">
        <v>1095</v>
      </c>
      <c r="E34" s="51" t="s">
        <v>1085</v>
      </c>
      <c r="F34" s="50" t="s">
        <v>1087</v>
      </c>
      <c r="G34" s="81">
        <v>4000.1312000000007</v>
      </c>
      <c r="H34" s="81"/>
      <c r="I34" s="81">
        <v>3301.0889999999999</v>
      </c>
      <c r="J34" s="81"/>
      <c r="K34" s="81">
        <v>3190.9907000000003</v>
      </c>
      <c r="L34" s="81"/>
      <c r="M34" s="81">
        <v>4102.8243999999995</v>
      </c>
      <c r="N34" s="81"/>
      <c r="O34" s="81">
        <v>4224.9809999999998</v>
      </c>
      <c r="P34" s="81"/>
      <c r="Q34" s="81">
        <v>4002.1977000000011</v>
      </c>
      <c r="R34" s="81"/>
      <c r="S34" s="81">
        <v>4151.7911999999997</v>
      </c>
      <c r="T34" s="81"/>
      <c r="U34" s="81">
        <v>4158.718499999999</v>
      </c>
      <c r="V34" s="81"/>
      <c r="W34" s="81">
        <v>3700.1895</v>
      </c>
      <c r="X34" s="81"/>
      <c r="Y34" s="81">
        <v>3861.5012999999994</v>
      </c>
      <c r="Z34" s="81"/>
      <c r="AA34" s="81">
        <v>4428.3827999999994</v>
      </c>
      <c r="AB34" s="81"/>
      <c r="AC34" s="81">
        <v>3379.2674999999999</v>
      </c>
      <c r="AD34" s="81"/>
      <c r="AE34" s="252">
        <f>AC34+AA34+Y34+W34+U34+S34+Q34+O34+M34+K34+I34+G34</f>
        <v>46502.064800000007</v>
      </c>
      <c r="AF34" s="253">
        <f>AD34+AB34+Z34+X34+V34+T34+R34+P34+N34+L34+J34+H34</f>
        <v>0</v>
      </c>
      <c r="AG34" s="51"/>
      <c r="AH34" s="51"/>
    </row>
    <row r="35" spans="1:35">
      <c r="A35" s="892">
        <v>14</v>
      </c>
      <c r="B35" s="892" t="s">
        <v>590</v>
      </c>
      <c r="C35" s="892" t="s">
        <v>2589</v>
      </c>
      <c r="D35" s="221" t="s">
        <v>1105</v>
      </c>
      <c r="E35" s="221" t="s">
        <v>1083</v>
      </c>
      <c r="F35" s="222" t="s">
        <v>1084</v>
      </c>
      <c r="G35" s="251"/>
      <c r="H35" s="251">
        <v>0</v>
      </c>
      <c r="I35" s="251">
        <v>0</v>
      </c>
      <c r="J35" s="251">
        <v>0</v>
      </c>
      <c r="K35" s="251">
        <v>0</v>
      </c>
      <c r="L35" s="251">
        <v>0</v>
      </c>
      <c r="M35" s="251">
        <v>0</v>
      </c>
      <c r="N35" s="251">
        <v>0</v>
      </c>
      <c r="O35" s="251">
        <v>0</v>
      </c>
      <c r="P35" s="251">
        <v>0</v>
      </c>
      <c r="Q35" s="251">
        <v>0</v>
      </c>
      <c r="R35" s="251">
        <v>0</v>
      </c>
      <c r="S35" s="251">
        <v>0</v>
      </c>
      <c r="T35" s="251">
        <v>0</v>
      </c>
      <c r="U35" s="251">
        <v>0</v>
      </c>
      <c r="V35" s="251">
        <v>0</v>
      </c>
      <c r="W35" s="251">
        <v>0</v>
      </c>
      <c r="X35" s="251">
        <v>0</v>
      </c>
      <c r="Y35" s="251">
        <v>0</v>
      </c>
      <c r="Z35" s="251">
        <v>0</v>
      </c>
      <c r="AA35" s="251">
        <v>0</v>
      </c>
      <c r="AB35" s="251">
        <v>0</v>
      </c>
      <c r="AC35" s="251">
        <v>55036.98</v>
      </c>
      <c r="AD35" s="251">
        <v>1491469.24</v>
      </c>
      <c r="AE35" s="251">
        <f t="shared" ref="AE35:AF36" si="5">AC35+AA35+Y35+W35+U35+S35+Q35+O35+M35+K35+I35+G35</f>
        <v>55036.98</v>
      </c>
      <c r="AF35" s="251">
        <f t="shared" si="5"/>
        <v>1491469.24</v>
      </c>
      <c r="AG35" s="221" t="s">
        <v>8298</v>
      </c>
      <c r="AH35" s="221" t="s">
        <v>14</v>
      </c>
    </row>
    <row r="36" spans="1:35">
      <c r="A36" s="893"/>
      <c r="B36" s="893"/>
      <c r="C36" s="893"/>
      <c r="D36" s="221" t="s">
        <v>1095</v>
      </c>
      <c r="E36" s="221" t="s">
        <v>1085</v>
      </c>
      <c r="F36" s="222" t="s">
        <v>1087</v>
      </c>
      <c r="G36" s="251">
        <v>3355.375</v>
      </c>
      <c r="H36" s="251">
        <v>18832909.010000002</v>
      </c>
      <c r="I36" s="251">
        <v>3352.8009999999999</v>
      </c>
      <c r="J36" s="251">
        <v>17586107.449999999</v>
      </c>
      <c r="K36" s="251">
        <v>3602.3130000000001</v>
      </c>
      <c r="L36" s="251">
        <v>33863840.380000003</v>
      </c>
      <c r="M36" s="251">
        <v>4455.1319999999996</v>
      </c>
      <c r="N36" s="251">
        <v>30693502.050000001</v>
      </c>
      <c r="O36" s="251">
        <v>3400.6019999999999</v>
      </c>
      <c r="P36" s="251">
        <v>30641749.280000001</v>
      </c>
      <c r="Q36" s="251">
        <v>3475.2579999999998</v>
      </c>
      <c r="R36" s="251">
        <v>23302218.140000001</v>
      </c>
      <c r="S36" s="251">
        <v>4051.3719999999998</v>
      </c>
      <c r="T36" s="251">
        <v>29219906.620000001</v>
      </c>
      <c r="U36" s="251">
        <v>4008.0050000000001</v>
      </c>
      <c r="V36" s="251">
        <v>20115317.32</v>
      </c>
      <c r="W36" s="251">
        <v>4160.41</v>
      </c>
      <c r="X36" s="251">
        <v>18749124.510000002</v>
      </c>
      <c r="Y36" s="251">
        <v>2767.2550000000001</v>
      </c>
      <c r="Z36" s="251">
        <v>19773482.09</v>
      </c>
      <c r="AA36" s="251">
        <v>3776.2450370000001</v>
      </c>
      <c r="AB36" s="251">
        <v>23840161.68</v>
      </c>
      <c r="AC36" s="251">
        <v>3662.8130000000001</v>
      </c>
      <c r="AD36" s="251">
        <v>29351118.177700002</v>
      </c>
      <c r="AE36" s="251">
        <f t="shared" si="5"/>
        <v>44067.581036999996</v>
      </c>
      <c r="AF36" s="251">
        <f t="shared" si="5"/>
        <v>295969436.70770001</v>
      </c>
      <c r="AG36" s="221" t="s">
        <v>8298</v>
      </c>
      <c r="AH36" s="221" t="s">
        <v>14</v>
      </c>
    </row>
    <row r="37" spans="1:35">
      <c r="A37" s="889">
        <v>15</v>
      </c>
      <c r="B37" s="889" t="s">
        <v>68</v>
      </c>
      <c r="C37" s="889" t="s">
        <v>596</v>
      </c>
      <c r="D37" s="51" t="s">
        <v>1105</v>
      </c>
      <c r="E37" s="51" t="s">
        <v>1083</v>
      </c>
      <c r="F37" s="50" t="s">
        <v>1084</v>
      </c>
      <c r="G37" s="81">
        <v>424.13799999999998</v>
      </c>
      <c r="H37" s="81">
        <v>7589949.9790000003</v>
      </c>
      <c r="I37" s="81">
        <v>33.643999999999998</v>
      </c>
      <c r="J37" s="81">
        <v>601083.65</v>
      </c>
      <c r="K37" s="81">
        <v>54.95</v>
      </c>
      <c r="L37" s="81">
        <v>1128171.42</v>
      </c>
      <c r="M37" s="81">
        <v>860.12199999999996</v>
      </c>
      <c r="N37" s="81">
        <v>17885185.350000001</v>
      </c>
      <c r="O37" s="81">
        <v>251.47499999999999</v>
      </c>
      <c r="P37" s="81">
        <v>4921295.34</v>
      </c>
      <c r="Q37" s="81">
        <v>121.88200000000001</v>
      </c>
      <c r="R37" s="81">
        <v>2267497.6</v>
      </c>
      <c r="S37" s="81">
        <v>918.73699999999997</v>
      </c>
      <c r="T37" s="81">
        <v>16794874.800000001</v>
      </c>
      <c r="U37" s="81">
        <v>280.66000000000003</v>
      </c>
      <c r="V37" s="81">
        <v>3848151.2</v>
      </c>
      <c r="W37" s="81">
        <v>0</v>
      </c>
      <c r="X37" s="81">
        <v>0</v>
      </c>
      <c r="Y37" s="81">
        <v>258.67500000000001</v>
      </c>
      <c r="Z37" s="81">
        <v>3248245.75</v>
      </c>
      <c r="AA37" s="81">
        <v>0</v>
      </c>
      <c r="AB37" s="81">
        <v>0</v>
      </c>
      <c r="AC37" s="81">
        <v>0</v>
      </c>
      <c r="AD37" s="81">
        <v>0</v>
      </c>
      <c r="AE37" s="252">
        <f>AC37+AA37+Y37+W37+U37+S37+Q37+O37+M37+K37+I37+G37</f>
        <v>3204.2829999999994</v>
      </c>
      <c r="AF37" s="253">
        <f>AD37+AB37+Z37+X37+V37+T37+R37+P37+N37+L37+J37+H37</f>
        <v>58284455.089000009</v>
      </c>
      <c r="AG37" s="51"/>
      <c r="AH37" s="51"/>
      <c r="AI37" s="4"/>
    </row>
    <row r="38" spans="1:35">
      <c r="A38" s="891"/>
      <c r="B38" s="891"/>
      <c r="C38" s="891"/>
      <c r="D38" s="51" t="s">
        <v>1095</v>
      </c>
      <c r="E38" s="51" t="s">
        <v>1085</v>
      </c>
      <c r="F38" s="50" t="s">
        <v>1087</v>
      </c>
      <c r="G38" s="81">
        <v>1840.8861100000001</v>
      </c>
      <c r="H38" s="81">
        <v>17714193.609999999</v>
      </c>
      <c r="I38" s="81">
        <v>4425.9939999999997</v>
      </c>
      <c r="J38" s="81">
        <v>43301467.130000003</v>
      </c>
      <c r="K38" s="81">
        <v>1511.829</v>
      </c>
      <c r="L38" s="81">
        <v>14327141.129999999</v>
      </c>
      <c r="M38" s="81">
        <v>2399.4550000000004</v>
      </c>
      <c r="N38" s="81">
        <v>20799313.729999997</v>
      </c>
      <c r="O38" s="81">
        <v>2176.299</v>
      </c>
      <c r="P38" s="81">
        <v>22181316</v>
      </c>
      <c r="Q38" s="81">
        <v>2649.3490000000002</v>
      </c>
      <c r="R38" s="81">
        <v>25299414.450000003</v>
      </c>
      <c r="S38" s="81">
        <v>1905.7249999999999</v>
      </c>
      <c r="T38" s="81">
        <v>17379119</v>
      </c>
      <c r="U38" s="81">
        <v>3011.8159999999998</v>
      </c>
      <c r="V38" s="81">
        <v>23129391.004000001</v>
      </c>
      <c r="W38" s="81">
        <v>961.38599999999997</v>
      </c>
      <c r="X38" s="81">
        <v>7509951.1030000001</v>
      </c>
      <c r="Y38" s="81">
        <v>2449.7240000000002</v>
      </c>
      <c r="Z38" s="81">
        <v>20121419.7447</v>
      </c>
      <c r="AA38" s="81">
        <v>1134874411.684</v>
      </c>
      <c r="AB38" s="81">
        <v>35607326.859799996</v>
      </c>
      <c r="AC38" s="81">
        <v>136415</v>
      </c>
      <c r="AD38" s="81">
        <v>1055016.79</v>
      </c>
      <c r="AE38" s="252">
        <f>AC38+AA38+Y38+W38+U38+S38+Q38+O38+M38+K38+I38+G38</f>
        <v>1135034159.1471097</v>
      </c>
      <c r="AF38" s="253">
        <f>AD38+AB38+Z38+X38+V38+T38+R38+P38+N38+L38+J38+H38</f>
        <v>248425070.55149996</v>
      </c>
      <c r="AG38" s="51"/>
      <c r="AH38" s="51"/>
      <c r="AI38" s="4"/>
    </row>
    <row r="39" spans="1:35">
      <c r="A39" s="221">
        <v>16</v>
      </c>
      <c r="B39" s="255" t="s">
        <v>599</v>
      </c>
      <c r="C39" s="221" t="s">
        <v>600</v>
      </c>
      <c r="D39" s="221" t="s">
        <v>1247</v>
      </c>
      <c r="E39" s="221" t="s">
        <v>1247</v>
      </c>
      <c r="F39" s="222" t="s">
        <v>1247</v>
      </c>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51"/>
      <c r="AF39" s="251"/>
      <c r="AG39" s="221"/>
      <c r="AH39" s="221"/>
    </row>
    <row r="40" spans="1:35">
      <c r="A40" s="889">
        <v>17</v>
      </c>
      <c r="B40" s="889" t="s">
        <v>607</v>
      </c>
      <c r="C40" s="889" t="s">
        <v>608</v>
      </c>
      <c r="D40" s="51" t="s">
        <v>1105</v>
      </c>
      <c r="E40" s="51" t="s">
        <v>1083</v>
      </c>
      <c r="F40" s="50" t="s">
        <v>1084</v>
      </c>
      <c r="G40" s="81">
        <v>182.99845476780558</v>
      </c>
      <c r="H40" s="81"/>
      <c r="I40" s="81">
        <v>160</v>
      </c>
      <c r="J40" s="81"/>
      <c r="K40" s="81">
        <v>129</v>
      </c>
      <c r="L40" s="81"/>
      <c r="M40" s="81">
        <v>143</v>
      </c>
      <c r="N40" s="81"/>
      <c r="O40" s="81">
        <v>165</v>
      </c>
      <c r="P40" s="81"/>
      <c r="Q40" s="81">
        <v>117</v>
      </c>
      <c r="R40" s="81"/>
      <c r="S40" s="81">
        <v>112</v>
      </c>
      <c r="T40" s="81"/>
      <c r="U40" s="81">
        <v>143</v>
      </c>
      <c r="V40" s="81"/>
      <c r="W40" s="81">
        <v>204</v>
      </c>
      <c r="X40" s="81"/>
      <c r="Y40" s="81">
        <v>184</v>
      </c>
      <c r="Z40" s="81"/>
      <c r="AA40" s="81">
        <v>189</v>
      </c>
      <c r="AB40" s="81"/>
      <c r="AC40" s="81"/>
      <c r="AD40" s="81"/>
      <c r="AE40" s="252">
        <f>AC40+AA40+Y40+W40+U40+S40+Q40+O40+M40+K40+I40+G40</f>
        <v>1728.9984547678055</v>
      </c>
      <c r="AF40" s="253">
        <f>AD40+AB40+Z40+X40+V40+T40+R40+P40+N40+L40+J40+H40</f>
        <v>0</v>
      </c>
      <c r="AG40" s="51"/>
      <c r="AH40" s="51"/>
    </row>
    <row r="41" spans="1:35">
      <c r="A41" s="891"/>
      <c r="B41" s="891"/>
      <c r="C41" s="891"/>
      <c r="D41" s="51" t="s">
        <v>1095</v>
      </c>
      <c r="E41" s="51" t="s">
        <v>1085</v>
      </c>
      <c r="F41" s="50" t="s">
        <v>1087</v>
      </c>
      <c r="G41" s="81">
        <v>946</v>
      </c>
      <c r="H41" s="81"/>
      <c r="I41" s="81">
        <v>1043</v>
      </c>
      <c r="J41" s="81"/>
      <c r="K41" s="81">
        <v>1246</v>
      </c>
      <c r="L41" s="81"/>
      <c r="M41" s="81">
        <v>1617</v>
      </c>
      <c r="N41" s="81"/>
      <c r="O41" s="81">
        <v>1567</v>
      </c>
      <c r="P41" s="81"/>
      <c r="Q41" s="81">
        <v>1403</v>
      </c>
      <c r="R41" s="81"/>
      <c r="S41" s="81">
        <v>1442</v>
      </c>
      <c r="T41" s="81"/>
      <c r="U41" s="81">
        <v>1518</v>
      </c>
      <c r="V41" s="81"/>
      <c r="W41" s="81">
        <v>1471</v>
      </c>
      <c r="X41" s="81"/>
      <c r="Y41" s="81">
        <v>1593</v>
      </c>
      <c r="Z41" s="81"/>
      <c r="AA41" s="81">
        <v>1729</v>
      </c>
      <c r="AB41" s="81"/>
      <c r="AC41" s="81"/>
      <c r="AD41" s="81"/>
      <c r="AE41" s="252">
        <f>AC41+AA41+Y41+W41+U41+S41+Q41+O41+M41+K41+I41+G41</f>
        <v>15575</v>
      </c>
      <c r="AF41" s="253">
        <f>AD41+AB41+Z41+X41+V41+T41+R41+P41+N41+L41+J41+H41</f>
        <v>0</v>
      </c>
      <c r="AG41" s="51"/>
      <c r="AH41" s="51"/>
    </row>
    <row r="42" spans="1:35">
      <c r="A42" s="892">
        <v>18</v>
      </c>
      <c r="B42" s="892" t="s">
        <v>74</v>
      </c>
      <c r="C42" s="892" t="s">
        <v>609</v>
      </c>
      <c r="D42" s="221" t="s">
        <v>1105</v>
      </c>
      <c r="E42" s="221" t="s">
        <v>1083</v>
      </c>
      <c r="F42" s="222" t="s">
        <v>1084</v>
      </c>
      <c r="G42" s="251">
        <v>216.6</v>
      </c>
      <c r="H42" s="251">
        <v>4824494.1241324609</v>
      </c>
      <c r="I42" s="251">
        <v>208.76</v>
      </c>
      <c r="J42" s="251">
        <v>4817368.4678598726</v>
      </c>
      <c r="K42" s="251">
        <v>268</v>
      </c>
      <c r="L42" s="251">
        <v>6295755.3329091258</v>
      </c>
      <c r="M42" s="251">
        <v>171.08</v>
      </c>
      <c r="N42" s="251">
        <v>4029698.2648515077</v>
      </c>
      <c r="O42" s="251">
        <v>238.29</v>
      </c>
      <c r="P42" s="251">
        <v>5419130.1629948495</v>
      </c>
      <c r="Q42" s="251">
        <v>141.6</v>
      </c>
      <c r="R42" s="251">
        <v>3246596.568054263</v>
      </c>
      <c r="S42" s="251">
        <v>150.94999999999999</v>
      </c>
      <c r="T42" s="251">
        <v>3385200.0360851055</v>
      </c>
      <c r="U42" s="251">
        <v>149.71</v>
      </c>
      <c r="V42" s="251">
        <v>3298006.1023345976</v>
      </c>
      <c r="W42" s="251">
        <v>126.89</v>
      </c>
      <c r="X42" s="251">
        <v>2783241.4904310922</v>
      </c>
      <c r="Y42" s="251">
        <v>175</v>
      </c>
      <c r="Z42" s="251">
        <v>3614580.3656006213</v>
      </c>
      <c r="AA42" s="251">
        <v>233.4</v>
      </c>
      <c r="AB42" s="251">
        <v>4382334.6504043359</v>
      </c>
      <c r="AC42" s="251">
        <v>209</v>
      </c>
      <c r="AD42" s="251">
        <v>3661652.7810384468</v>
      </c>
      <c r="AE42" s="251">
        <f t="shared" ref="AE42:AF45" si="6">AC42+AA42+Y42+W42+U42+S42+Q42+O42+M42+K42+I42+G42</f>
        <v>2289.2799999999997</v>
      </c>
      <c r="AF42" s="251">
        <f t="shared" si="6"/>
        <v>49758058.346696287</v>
      </c>
      <c r="AG42" s="221" t="s">
        <v>2792</v>
      </c>
      <c r="AH42" s="221">
        <v>578</v>
      </c>
    </row>
    <row r="43" spans="1:35">
      <c r="A43" s="896"/>
      <c r="B43" s="896"/>
      <c r="C43" s="896"/>
      <c r="D43" s="221" t="s">
        <v>1114</v>
      </c>
      <c r="E43" s="221" t="s">
        <v>1085</v>
      </c>
      <c r="F43" s="222" t="s">
        <v>1097</v>
      </c>
      <c r="G43" s="251"/>
      <c r="H43" s="251"/>
      <c r="I43" s="251"/>
      <c r="J43" s="251"/>
      <c r="K43" s="251"/>
      <c r="L43" s="251"/>
      <c r="M43" s="251"/>
      <c r="N43" s="251"/>
      <c r="O43" s="251">
        <v>1826.41</v>
      </c>
      <c r="P43" s="251">
        <v>944124.184972852</v>
      </c>
      <c r="Q43" s="251">
        <v>5475</v>
      </c>
      <c r="R43" s="251">
        <v>1862883.3699499839</v>
      </c>
      <c r="S43" s="251">
        <v>5734.59</v>
      </c>
      <c r="T43" s="251">
        <v>1917532.2058066637</v>
      </c>
      <c r="U43" s="251">
        <v>4768.1000000000004</v>
      </c>
      <c r="V43" s="251">
        <v>1553686.4860534081</v>
      </c>
      <c r="W43" s="251">
        <v>4521.93</v>
      </c>
      <c r="X43" s="251">
        <v>1451117.7261332236</v>
      </c>
      <c r="Y43" s="251">
        <v>2481.77</v>
      </c>
      <c r="Z43" s="251">
        <v>808364.0381745873</v>
      </c>
      <c r="AA43" s="251">
        <v>206.62</v>
      </c>
      <c r="AB43" s="251">
        <v>71201.736007238869</v>
      </c>
      <c r="AC43" s="251">
        <v>1</v>
      </c>
      <c r="AD43" s="251">
        <v>385.80963521831995</v>
      </c>
      <c r="AE43" s="251">
        <f t="shared" si="6"/>
        <v>25015.420000000002</v>
      </c>
      <c r="AF43" s="251">
        <f t="shared" si="6"/>
        <v>8609295.5567331761</v>
      </c>
      <c r="AG43" s="221" t="s">
        <v>2792</v>
      </c>
      <c r="AH43" s="221">
        <v>578</v>
      </c>
    </row>
    <row r="44" spans="1:35">
      <c r="A44" s="893"/>
      <c r="B44" s="893"/>
      <c r="C44" s="893"/>
      <c r="D44" s="221" t="s">
        <v>1095</v>
      </c>
      <c r="E44" s="221" t="s">
        <v>1085</v>
      </c>
      <c r="F44" s="222" t="s">
        <v>1087</v>
      </c>
      <c r="G44" s="251">
        <v>2175</v>
      </c>
      <c r="H44" s="251">
        <v>17245334.672391068</v>
      </c>
      <c r="I44" s="251">
        <v>1711</v>
      </c>
      <c r="J44" s="251">
        <v>14542718.412359191</v>
      </c>
      <c r="K44" s="251">
        <v>1595</v>
      </c>
      <c r="L44" s="251">
        <v>14269614.069576148</v>
      </c>
      <c r="M44" s="251">
        <v>2619</v>
      </c>
      <c r="N44" s="251">
        <v>15084637.070860209</v>
      </c>
      <c r="O44" s="251">
        <v>2668</v>
      </c>
      <c r="P44" s="251">
        <v>15838559.125731455</v>
      </c>
      <c r="Q44" s="251">
        <v>2376</v>
      </c>
      <c r="R44" s="251">
        <v>14791041.694205837</v>
      </c>
      <c r="S44" s="251">
        <v>2512</v>
      </c>
      <c r="T44" s="251">
        <v>15257485.801436178</v>
      </c>
      <c r="U44" s="251">
        <v>2638</v>
      </c>
      <c r="V44" s="251">
        <v>16271458.390042776</v>
      </c>
      <c r="W44" s="251">
        <v>2276</v>
      </c>
      <c r="X44" s="251">
        <v>13596455.914073261</v>
      </c>
      <c r="Y44" s="251">
        <v>2130</v>
      </c>
      <c r="Z44" s="251">
        <v>12770715.262540257</v>
      </c>
      <c r="AA44" s="251">
        <v>2217</v>
      </c>
      <c r="AB44" s="251">
        <v>14864932.60051297</v>
      </c>
      <c r="AC44" s="251">
        <v>1919</v>
      </c>
      <c r="AD44" s="251">
        <v>10842410.022693295</v>
      </c>
      <c r="AE44" s="251">
        <f t="shared" si="6"/>
        <v>26836</v>
      </c>
      <c r="AF44" s="251">
        <f t="shared" si="6"/>
        <v>175375363.03642261</v>
      </c>
      <c r="AG44" s="221" t="s">
        <v>2792</v>
      </c>
      <c r="AH44" s="221">
        <v>578</v>
      </c>
    </row>
    <row r="45" spans="1:35">
      <c r="A45" s="194">
        <v>19</v>
      </c>
      <c r="B45" s="194" t="s">
        <v>2793</v>
      </c>
      <c r="C45" s="194" t="s">
        <v>1244</v>
      </c>
      <c r="D45" s="51" t="s">
        <v>1119</v>
      </c>
      <c r="E45" s="51" t="s">
        <v>1120</v>
      </c>
      <c r="F45" s="50" t="s">
        <v>1121</v>
      </c>
      <c r="G45" s="81">
        <v>1971.787</v>
      </c>
      <c r="H45" s="81"/>
      <c r="I45" s="81">
        <v>1654.3799999999997</v>
      </c>
      <c r="J45" s="81"/>
      <c r="K45" s="81">
        <v>1881.6299999999999</v>
      </c>
      <c r="L45" s="81"/>
      <c r="M45" s="81">
        <v>1813</v>
      </c>
      <c r="N45" s="81"/>
      <c r="O45" s="81">
        <v>1829.1100000000001</v>
      </c>
      <c r="P45" s="81"/>
      <c r="Q45" s="81">
        <v>1929.0999999999997</v>
      </c>
      <c r="R45" s="81"/>
      <c r="S45" s="81">
        <v>1876.5</v>
      </c>
      <c r="T45" s="81"/>
      <c r="U45" s="81">
        <v>1783.66</v>
      </c>
      <c r="V45" s="81"/>
      <c r="W45" s="81">
        <v>1772.55</v>
      </c>
      <c r="X45" s="81"/>
      <c r="Y45" s="81">
        <v>1823.0099999999998</v>
      </c>
      <c r="Z45" s="81"/>
      <c r="AA45" s="81">
        <v>1750.33</v>
      </c>
      <c r="AB45" s="81"/>
      <c r="AC45" s="81">
        <v>1842.0621356244826</v>
      </c>
      <c r="AD45" s="81"/>
      <c r="AE45" s="81">
        <f t="shared" si="6"/>
        <v>21927.119135624485</v>
      </c>
      <c r="AF45" s="81">
        <f t="shared" si="6"/>
        <v>0</v>
      </c>
      <c r="AG45" s="51"/>
      <c r="AH45" s="51"/>
    </row>
    <row r="46" spans="1:35">
      <c r="A46" s="915">
        <v>20</v>
      </c>
      <c r="B46" s="892" t="s">
        <v>190</v>
      </c>
      <c r="C46" s="915" t="s">
        <v>612</v>
      </c>
      <c r="D46" s="53" t="s">
        <v>1105</v>
      </c>
      <c r="E46" s="53" t="s">
        <v>1083</v>
      </c>
      <c r="F46" s="54" t="s">
        <v>1084</v>
      </c>
      <c r="G46" s="82"/>
      <c r="H46" s="82"/>
      <c r="I46" s="82"/>
      <c r="J46" s="82"/>
      <c r="K46" s="82"/>
      <c r="L46" s="82"/>
      <c r="M46" s="82">
        <v>1283.95</v>
      </c>
      <c r="N46" s="82"/>
      <c r="O46" s="82">
        <v>665.35</v>
      </c>
      <c r="P46" s="82"/>
      <c r="Q46" s="82">
        <v>691</v>
      </c>
      <c r="R46" s="82"/>
      <c r="S46" s="82">
        <v>658.25</v>
      </c>
      <c r="T46" s="82"/>
      <c r="U46" s="82">
        <v>377.69</v>
      </c>
      <c r="V46" s="82"/>
      <c r="W46" s="82">
        <v>1300</v>
      </c>
      <c r="X46" s="82"/>
      <c r="Y46" s="82">
        <v>1047.9000000000001</v>
      </c>
      <c r="Z46" s="82"/>
      <c r="AA46" s="82">
        <v>209.4</v>
      </c>
      <c r="AB46" s="82"/>
      <c r="AC46" s="82">
        <v>789</v>
      </c>
      <c r="AD46" s="82"/>
      <c r="AE46" s="91">
        <f>AC46+AA46+Y46+W46+U46+S46+Q46+O46+M46+K46+I46+G46</f>
        <v>7022.54</v>
      </c>
      <c r="AF46" s="92">
        <f>AD46+AB46+Z46+X46+V46+T46+R46+P46+N46+L46+J46+H46</f>
        <v>0</v>
      </c>
      <c r="AG46" s="53"/>
      <c r="AH46" s="53"/>
    </row>
    <row r="47" spans="1:35">
      <c r="A47" s="916"/>
      <c r="B47" s="893"/>
      <c r="C47" s="916"/>
      <c r="D47" s="53" t="s">
        <v>1095</v>
      </c>
      <c r="E47" s="53" t="s">
        <v>1085</v>
      </c>
      <c r="F47" s="54" t="s">
        <v>1087</v>
      </c>
      <c r="G47" s="82">
        <v>5816.8519999999999</v>
      </c>
      <c r="H47" s="82"/>
      <c r="I47" s="82">
        <v>5487.8789999999999</v>
      </c>
      <c r="J47" s="82"/>
      <c r="K47" s="82">
        <v>4827.09</v>
      </c>
      <c r="L47" s="82"/>
      <c r="M47" s="82">
        <v>5355.4350000000004</v>
      </c>
      <c r="N47" s="82"/>
      <c r="O47" s="82">
        <v>5539.857</v>
      </c>
      <c r="P47" s="82"/>
      <c r="Q47" s="82">
        <v>4479.183</v>
      </c>
      <c r="R47" s="82"/>
      <c r="S47" s="82">
        <v>5536.9</v>
      </c>
      <c r="T47" s="82"/>
      <c r="U47" s="82">
        <v>4711.3100000000004</v>
      </c>
      <c r="V47" s="82"/>
      <c r="W47" s="82">
        <v>8457.2729999999992</v>
      </c>
      <c r="X47" s="82"/>
      <c r="Y47" s="82">
        <v>4913.1090000000004</v>
      </c>
      <c r="Z47" s="82"/>
      <c r="AA47" s="82">
        <v>5061.4179999999997</v>
      </c>
      <c r="AB47" s="82"/>
      <c r="AC47" s="82">
        <v>5390.2</v>
      </c>
      <c r="AD47" s="82"/>
      <c r="AE47" s="91">
        <f>AC47+AA47+Y47+W47+U47+S47+Q47+O47+M47+K47+I47+G47</f>
        <v>65576.505999999994</v>
      </c>
      <c r="AF47" s="92">
        <f>AD47+AB47+Z47+X47+V47+T47+R47+P47+N47+L47+J47+H47</f>
        <v>0</v>
      </c>
      <c r="AG47" s="53"/>
      <c r="AH47" s="53"/>
    </row>
    <row r="48" spans="1:35">
      <c r="A48" s="51">
        <v>21</v>
      </c>
      <c r="B48" s="51" t="s">
        <v>615</v>
      </c>
      <c r="C48" s="51" t="s">
        <v>616</v>
      </c>
      <c r="D48" s="51" t="s">
        <v>1095</v>
      </c>
      <c r="E48" s="51" t="s">
        <v>1085</v>
      </c>
      <c r="F48" s="50" t="s">
        <v>1087</v>
      </c>
      <c r="G48" s="81"/>
      <c r="H48" s="81"/>
      <c r="I48" s="81"/>
      <c r="J48" s="81"/>
      <c r="K48" s="81"/>
      <c r="L48" s="81"/>
      <c r="M48" s="81"/>
      <c r="N48" s="81"/>
      <c r="O48" s="81"/>
      <c r="P48" s="81"/>
      <c r="Q48" s="81"/>
      <c r="R48" s="81"/>
      <c r="S48" s="81"/>
      <c r="T48" s="81"/>
      <c r="U48" s="81"/>
      <c r="V48" s="81"/>
      <c r="W48" s="81"/>
      <c r="X48" s="81"/>
      <c r="Y48" s="81"/>
      <c r="Z48" s="81"/>
      <c r="AA48" s="81"/>
      <c r="AB48" s="81"/>
      <c r="AC48" s="81"/>
      <c r="AD48" s="81"/>
      <c r="AE48" s="81">
        <f t="shared" ref="AE48:AF48" si="7">AC48+AA48+Y48+W48+U48+S48+Q48+O48+M48+K48+I48+G48</f>
        <v>0</v>
      </c>
      <c r="AF48" s="81">
        <f t="shared" si="7"/>
        <v>0</v>
      </c>
      <c r="AG48" s="51"/>
      <c r="AH48" s="51"/>
    </row>
    <row r="49" spans="1:34">
      <c r="A49" s="915">
        <v>22</v>
      </c>
      <c r="B49" s="892" t="s">
        <v>618</v>
      </c>
      <c r="C49" s="915" t="s">
        <v>619</v>
      </c>
      <c r="D49" s="53" t="s">
        <v>1105</v>
      </c>
      <c r="E49" s="53" t="s">
        <v>1083</v>
      </c>
      <c r="F49" s="54" t="s">
        <v>1084</v>
      </c>
      <c r="G49" s="82">
        <v>22325</v>
      </c>
      <c r="H49" s="82">
        <v>1003110.75</v>
      </c>
      <c r="I49" s="82">
        <v>40598</v>
      </c>
      <c r="J49" s="82">
        <v>1114250.24</v>
      </c>
      <c r="K49" s="82">
        <v>44860</v>
      </c>
      <c r="L49" s="82">
        <v>1386160.92</v>
      </c>
      <c r="M49" s="82">
        <v>87322</v>
      </c>
      <c r="N49" s="82">
        <v>1265271.6200000001</v>
      </c>
      <c r="O49" s="82">
        <v>97846</v>
      </c>
      <c r="P49" s="82">
        <v>1005423.76</v>
      </c>
      <c r="Q49" s="82">
        <v>70546</v>
      </c>
      <c r="R49" s="82">
        <v>1094708.95</v>
      </c>
      <c r="S49" s="82">
        <v>63705</v>
      </c>
      <c r="T49" s="82">
        <v>1183928.49</v>
      </c>
      <c r="U49" s="82">
        <v>44831</v>
      </c>
      <c r="V49" s="82">
        <v>1061407.69</v>
      </c>
      <c r="W49" s="82">
        <v>29360</v>
      </c>
      <c r="X49" s="82">
        <v>1228779.27</v>
      </c>
      <c r="Y49" s="82">
        <v>0</v>
      </c>
      <c r="Z49" s="82">
        <v>0</v>
      </c>
      <c r="AA49" s="82">
        <v>0</v>
      </c>
      <c r="AB49" s="82">
        <v>0</v>
      </c>
      <c r="AC49" s="82">
        <v>0</v>
      </c>
      <c r="AD49" s="82">
        <v>0</v>
      </c>
      <c r="AE49" s="91">
        <f>AC49+AA49+Y49+W49+U49+S49+Q49+O49+M49+K49+I49+G49</f>
        <v>501393</v>
      </c>
      <c r="AF49" s="92">
        <f>AD49+AB49+Z49+X49+V49+T49+R49+P49+N49+L49+J49+H49</f>
        <v>10343041.689999999</v>
      </c>
      <c r="AG49" s="53" t="s">
        <v>2794</v>
      </c>
      <c r="AH49" s="53" t="s">
        <v>2795</v>
      </c>
    </row>
    <row r="50" spans="1:34">
      <c r="A50" s="916"/>
      <c r="B50" s="893"/>
      <c r="C50" s="916"/>
      <c r="D50" s="53" t="s">
        <v>1095</v>
      </c>
      <c r="E50" s="53" t="s">
        <v>1085</v>
      </c>
      <c r="F50" s="54" t="s">
        <v>1087</v>
      </c>
      <c r="G50" s="82">
        <v>1837.501</v>
      </c>
      <c r="H50" s="82">
        <v>9821775.3800000008</v>
      </c>
      <c r="I50" s="82">
        <v>1963.931</v>
      </c>
      <c r="J50" s="82">
        <v>9734172.8100000005</v>
      </c>
      <c r="K50" s="82">
        <v>1985.87</v>
      </c>
      <c r="L50" s="82">
        <v>10757942.619999999</v>
      </c>
      <c r="M50" s="82">
        <v>2781.471</v>
      </c>
      <c r="N50" s="82">
        <v>11912178.439999999</v>
      </c>
      <c r="O50" s="82">
        <v>2150.0529999999999</v>
      </c>
      <c r="P50" s="82">
        <v>9642207</v>
      </c>
      <c r="Q50" s="82">
        <v>2862.527</v>
      </c>
      <c r="R50" s="82">
        <v>17272759.539999999</v>
      </c>
      <c r="S50" s="82">
        <v>2901.9209999999998</v>
      </c>
      <c r="T50" s="82">
        <v>12217830.42</v>
      </c>
      <c r="U50" s="82">
        <v>3020.152</v>
      </c>
      <c r="V50" s="82">
        <v>13977740.33</v>
      </c>
      <c r="W50" s="82">
        <v>3089.4389999999999</v>
      </c>
      <c r="X50" s="82">
        <v>15422200.970000001</v>
      </c>
      <c r="Y50" s="82">
        <v>2501.4839999999999</v>
      </c>
      <c r="Z50" s="82">
        <v>13990753.810000001</v>
      </c>
      <c r="AA50" s="82">
        <v>3033.1930000000002</v>
      </c>
      <c r="AB50" s="82">
        <v>15026672.699999999</v>
      </c>
      <c r="AC50" s="82">
        <v>1957.5809999999999</v>
      </c>
      <c r="AD50" s="82">
        <v>13595160.699999999</v>
      </c>
      <c r="AE50" s="91">
        <f>AC50+AA50+Y50+W50+U50+S50+Q50+O50+M50+K50+I50+G50</f>
        <v>30085.123</v>
      </c>
      <c r="AF50" s="92">
        <f>AD50+AB50+Z50+X50+V50+T50+R50+P50+N50+L50+J50+H50</f>
        <v>153371394.72</v>
      </c>
      <c r="AG50" s="53" t="s">
        <v>2794</v>
      </c>
      <c r="AH50" s="53" t="s">
        <v>2795</v>
      </c>
    </row>
    <row r="51" spans="1:34">
      <c r="A51" s="51">
        <v>23</v>
      </c>
      <c r="B51" s="51" t="s">
        <v>622</v>
      </c>
      <c r="C51" s="51" t="s">
        <v>623</v>
      </c>
      <c r="D51" s="51" t="s">
        <v>1095</v>
      </c>
      <c r="E51" s="51" t="s">
        <v>1085</v>
      </c>
      <c r="F51" s="50" t="s">
        <v>1087</v>
      </c>
      <c r="G51" s="81">
        <v>3328.34</v>
      </c>
      <c r="H51" s="81"/>
      <c r="I51" s="81">
        <v>3022.35</v>
      </c>
      <c r="J51" s="81"/>
      <c r="K51" s="81">
        <v>2954.47</v>
      </c>
      <c r="L51" s="81"/>
      <c r="M51" s="81">
        <v>3118.78</v>
      </c>
      <c r="N51" s="81"/>
      <c r="O51" s="81">
        <v>3244.85</v>
      </c>
      <c r="P51" s="81"/>
      <c r="Q51" s="81">
        <v>3008.54</v>
      </c>
      <c r="R51" s="81"/>
      <c r="S51" s="81">
        <v>3168.55</v>
      </c>
      <c r="T51" s="81"/>
      <c r="U51" s="81">
        <v>3205.33</v>
      </c>
      <c r="V51" s="81"/>
      <c r="W51" s="81">
        <v>3121.44</v>
      </c>
      <c r="X51" s="81"/>
      <c r="Y51" s="81">
        <v>3579.58</v>
      </c>
      <c r="Z51" s="81"/>
      <c r="AA51" s="81">
        <v>2908.85</v>
      </c>
      <c r="AB51" s="81"/>
      <c r="AC51" s="81">
        <v>2181.04</v>
      </c>
      <c r="AD51" s="81"/>
      <c r="AE51" s="81">
        <f t="shared" ref="AE51:AF51" si="8">AC51+AA51+Y51+W51+U51+S51+Q51+O51+M51+K51+I51+G51</f>
        <v>36842.119999999995</v>
      </c>
      <c r="AF51" s="81">
        <f t="shared" si="8"/>
        <v>0</v>
      </c>
      <c r="AG51" s="51"/>
      <c r="AH51" s="51"/>
    </row>
    <row r="52" spans="1:34">
      <c r="A52" s="53">
        <v>24</v>
      </c>
      <c r="B52" s="255" t="s">
        <v>130</v>
      </c>
      <c r="C52" s="53" t="s">
        <v>627</v>
      </c>
      <c r="D52" s="53" t="s">
        <v>1247</v>
      </c>
      <c r="E52" s="53" t="s">
        <v>1247</v>
      </c>
      <c r="F52" s="54" t="s">
        <v>1247</v>
      </c>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53"/>
      <c r="AH52" s="53"/>
    </row>
    <row r="53" spans="1:34">
      <c r="A53" s="51">
        <v>25</v>
      </c>
      <c r="B53" s="51" t="s">
        <v>630</v>
      </c>
      <c r="C53" s="51" t="s">
        <v>631</v>
      </c>
      <c r="D53" s="51" t="s">
        <v>1100</v>
      </c>
      <c r="E53" s="51" t="s">
        <v>1085</v>
      </c>
      <c r="F53" s="50" t="s">
        <v>1101</v>
      </c>
      <c r="G53" s="81">
        <v>5395.18</v>
      </c>
      <c r="H53" s="81">
        <v>7461699.0499999989</v>
      </c>
      <c r="I53" s="81">
        <v>5274.66</v>
      </c>
      <c r="J53" s="81">
        <v>6444861.4599999981</v>
      </c>
      <c r="K53" s="81">
        <v>5576.34</v>
      </c>
      <c r="L53" s="81">
        <v>7113202.6599999992</v>
      </c>
      <c r="M53" s="81">
        <v>4305.18</v>
      </c>
      <c r="N53" s="81">
        <v>7248082.5199999977</v>
      </c>
      <c r="O53" s="81">
        <v>6037.701</v>
      </c>
      <c r="P53" s="81">
        <v>6906405.5600000005</v>
      </c>
      <c r="Q53" s="81">
        <v>6574.47</v>
      </c>
      <c r="R53" s="81">
        <v>7047663.7800000012</v>
      </c>
      <c r="S53" s="81">
        <v>5295.46</v>
      </c>
      <c r="T53" s="81">
        <v>7028819.5499999998</v>
      </c>
      <c r="U53" s="81">
        <v>5686.5</v>
      </c>
      <c r="V53" s="81">
        <v>7531588.2599999998</v>
      </c>
      <c r="W53" s="81">
        <v>4935.2350749999996</v>
      </c>
      <c r="X53" s="81">
        <v>5385242.4100000001</v>
      </c>
      <c r="Y53" s="81">
        <v>4962.6250186205261</v>
      </c>
      <c r="Z53" s="81">
        <v>7153341.9400000004</v>
      </c>
      <c r="AA53" s="81">
        <v>4292.5961715293015</v>
      </c>
      <c r="AB53" s="81">
        <v>6986184.25</v>
      </c>
      <c r="AC53" s="81">
        <v>5604.39</v>
      </c>
      <c r="AD53" s="81">
        <v>8347633.5800000001</v>
      </c>
      <c r="AE53" s="81">
        <f t="shared" ref="AE53:AF58" si="9">AC53+AA53+Y53+W53+U53+S53+Q53+O53+M53+K53+I53+G53</f>
        <v>63940.337265149828</v>
      </c>
      <c r="AF53" s="81">
        <f t="shared" si="9"/>
        <v>84654725.019999981</v>
      </c>
      <c r="AG53" s="51" t="s">
        <v>2796</v>
      </c>
      <c r="AH53" s="51" t="s">
        <v>2797</v>
      </c>
    </row>
    <row r="54" spans="1:34">
      <c r="A54" s="56">
        <v>26</v>
      </c>
      <c r="B54" s="256" t="s">
        <v>99</v>
      </c>
      <c r="C54" s="56" t="s">
        <v>637</v>
      </c>
      <c r="D54" s="53" t="s">
        <v>1247</v>
      </c>
      <c r="E54" s="53" t="s">
        <v>1247</v>
      </c>
      <c r="F54" s="54" t="s">
        <v>1247</v>
      </c>
      <c r="G54" s="82"/>
      <c r="H54" s="82"/>
      <c r="I54" s="82"/>
      <c r="J54" s="82"/>
      <c r="K54" s="82"/>
      <c r="L54" s="82"/>
      <c r="M54" s="82"/>
      <c r="N54" s="82"/>
      <c r="O54" s="82"/>
      <c r="P54" s="82"/>
      <c r="Q54" s="82"/>
      <c r="R54" s="82"/>
      <c r="S54" s="82"/>
      <c r="T54" s="82"/>
      <c r="U54" s="82"/>
      <c r="V54" s="82"/>
      <c r="W54" s="82"/>
      <c r="X54" s="82"/>
      <c r="Y54" s="82"/>
      <c r="Z54" s="82"/>
      <c r="AA54" s="82"/>
      <c r="AB54" s="82"/>
      <c r="AC54" s="82"/>
      <c r="AD54" s="82"/>
      <c r="AE54" s="91">
        <f t="shared" si="9"/>
        <v>0</v>
      </c>
      <c r="AF54" s="92">
        <f t="shared" si="9"/>
        <v>0</v>
      </c>
      <c r="AG54" s="53"/>
      <c r="AH54" s="53"/>
    </row>
    <row r="55" spans="1:34">
      <c r="A55" s="889">
        <v>27</v>
      </c>
      <c r="B55" s="889" t="s">
        <v>87</v>
      </c>
      <c r="C55" s="889" t="s">
        <v>642</v>
      </c>
      <c r="D55" s="51" t="s">
        <v>1105</v>
      </c>
      <c r="E55" s="51" t="s">
        <v>1083</v>
      </c>
      <c r="F55" s="50" t="s">
        <v>1084</v>
      </c>
      <c r="G55" s="81"/>
      <c r="H55" s="81"/>
      <c r="I55" s="81"/>
      <c r="J55" s="81"/>
      <c r="K55" s="81"/>
      <c r="L55" s="81"/>
      <c r="M55" s="81"/>
      <c r="N55" s="81"/>
      <c r="O55" s="81"/>
      <c r="P55" s="81"/>
      <c r="Q55" s="81">
        <v>276</v>
      </c>
      <c r="R55" s="81">
        <v>713911.34</v>
      </c>
      <c r="S55" s="81"/>
      <c r="T55" s="81"/>
      <c r="U55" s="81"/>
      <c r="V55" s="81"/>
      <c r="W55" s="81"/>
      <c r="X55" s="81"/>
      <c r="Y55" s="81"/>
      <c r="Z55" s="81"/>
      <c r="AA55" s="81"/>
      <c r="AB55" s="81"/>
      <c r="AC55" s="81"/>
      <c r="AD55" s="81"/>
      <c r="AE55" s="252">
        <f t="shared" si="9"/>
        <v>276</v>
      </c>
      <c r="AF55" s="253">
        <f t="shared" si="9"/>
        <v>713911.34</v>
      </c>
      <c r="AG55" s="51"/>
      <c r="AH55" s="51"/>
    </row>
    <row r="56" spans="1:34">
      <c r="A56" s="890"/>
      <c r="B56" s="890"/>
      <c r="C56" s="890"/>
      <c r="D56" s="51" t="s">
        <v>1095</v>
      </c>
      <c r="E56" s="51" t="s">
        <v>1085</v>
      </c>
      <c r="F56" s="50" t="s">
        <v>1087</v>
      </c>
      <c r="G56" s="81">
        <v>4145.68</v>
      </c>
      <c r="H56" s="81">
        <v>32647444.960000001</v>
      </c>
      <c r="I56" s="81">
        <v>3228.66</v>
      </c>
      <c r="J56" s="81">
        <v>25425890.309999999</v>
      </c>
      <c r="K56" s="81">
        <v>3492.3</v>
      </c>
      <c r="L56" s="81">
        <v>27502087.27</v>
      </c>
      <c r="M56" s="81">
        <v>2059.4699999999998</v>
      </c>
      <c r="N56" s="81">
        <v>16218408.140000001</v>
      </c>
      <c r="O56" s="81">
        <v>2269.61</v>
      </c>
      <c r="P56" s="81">
        <v>17873347.75</v>
      </c>
      <c r="Q56" s="81">
        <v>2342.21</v>
      </c>
      <c r="R56" s="81">
        <v>18445054.16</v>
      </c>
      <c r="S56" s="81">
        <v>2464.48</v>
      </c>
      <c r="T56" s="81">
        <v>19407928.109999999</v>
      </c>
      <c r="U56" s="81">
        <v>5215.53</v>
      </c>
      <c r="V56" s="81">
        <v>41072592.049999997</v>
      </c>
      <c r="W56" s="81">
        <v>1914.27</v>
      </c>
      <c r="X56" s="81">
        <v>15074995.32</v>
      </c>
      <c r="Y56" s="81">
        <v>4940.42</v>
      </c>
      <c r="Z56" s="81">
        <v>38906125.659999996</v>
      </c>
      <c r="AA56" s="81">
        <v>2472.12</v>
      </c>
      <c r="AB56" s="81">
        <v>19468107.73</v>
      </c>
      <c r="AC56" s="81">
        <v>3664.24</v>
      </c>
      <c r="AD56" s="81">
        <v>28856128.77</v>
      </c>
      <c r="AE56" s="252">
        <f t="shared" si="9"/>
        <v>38208.99</v>
      </c>
      <c r="AF56" s="253">
        <f t="shared" si="9"/>
        <v>300898110.23000002</v>
      </c>
      <c r="AG56" s="51"/>
      <c r="AH56" s="51"/>
    </row>
    <row r="57" spans="1:34">
      <c r="A57" s="890"/>
      <c r="B57" s="890"/>
      <c r="C57" s="890"/>
      <c r="D57" s="51" t="s">
        <v>1108</v>
      </c>
      <c r="E57" s="51" t="s">
        <v>1085</v>
      </c>
      <c r="F57" s="50" t="s">
        <v>1092</v>
      </c>
      <c r="G57" s="81">
        <v>23441.31</v>
      </c>
      <c r="H57" s="81">
        <v>965683.93</v>
      </c>
      <c r="I57" s="81">
        <v>22586.41</v>
      </c>
      <c r="J57" s="81">
        <v>930465.63</v>
      </c>
      <c r="K57" s="81">
        <v>22314.76</v>
      </c>
      <c r="L57" s="81">
        <v>919274.78</v>
      </c>
      <c r="M57" s="81">
        <v>4405.3</v>
      </c>
      <c r="N57" s="81">
        <v>181479.94</v>
      </c>
      <c r="O57" s="81">
        <v>38491.72</v>
      </c>
      <c r="P57" s="81">
        <v>1585697.9</v>
      </c>
      <c r="Q57" s="81">
        <v>8765.6299999999992</v>
      </c>
      <c r="R57" s="81">
        <v>361107.3</v>
      </c>
      <c r="S57" s="81"/>
      <c r="T57" s="81"/>
      <c r="U57" s="81">
        <v>44311.38</v>
      </c>
      <c r="V57" s="81">
        <v>1825443.53</v>
      </c>
      <c r="W57" s="81">
        <v>12216.89</v>
      </c>
      <c r="X57" s="81">
        <v>503284.77</v>
      </c>
      <c r="Y57" s="81"/>
      <c r="Z57" s="81"/>
      <c r="AA57" s="81">
        <v>36697.31</v>
      </c>
      <c r="AB57" s="81">
        <v>1511775.69</v>
      </c>
      <c r="AC57" s="81"/>
      <c r="AD57" s="81"/>
      <c r="AE57" s="252">
        <f t="shared" si="9"/>
        <v>213230.71</v>
      </c>
      <c r="AF57" s="253">
        <f t="shared" si="9"/>
        <v>8784213.4700000007</v>
      </c>
      <c r="AG57" s="51"/>
      <c r="AH57" s="51"/>
    </row>
    <row r="58" spans="1:34">
      <c r="A58" s="226">
        <v>28</v>
      </c>
      <c r="B58" s="226" t="s">
        <v>646</v>
      </c>
      <c r="C58" s="226" t="s">
        <v>647</v>
      </c>
      <c r="D58" s="226"/>
      <c r="E58" s="226"/>
      <c r="F58" s="222" t="s">
        <v>1109</v>
      </c>
      <c r="G58" s="251">
        <v>1972.0129999999999</v>
      </c>
      <c r="H58" s="251"/>
      <c r="I58" s="251">
        <v>1510.3710000000001</v>
      </c>
      <c r="J58" s="251"/>
      <c r="K58" s="251">
        <v>1881</v>
      </c>
      <c r="L58" s="251"/>
      <c r="M58" s="251">
        <v>2302.4720000000002</v>
      </c>
      <c r="N58" s="251"/>
      <c r="O58" s="251">
        <v>1755.778</v>
      </c>
      <c r="P58" s="251"/>
      <c r="Q58" s="251">
        <v>1170.8679999999999</v>
      </c>
      <c r="R58" s="251"/>
      <c r="S58" s="251">
        <v>2065.4229999999998</v>
      </c>
      <c r="T58" s="251"/>
      <c r="U58" s="251">
        <v>1544.646</v>
      </c>
      <c r="V58" s="251"/>
      <c r="W58" s="251">
        <v>2048.942</v>
      </c>
      <c r="X58" s="251"/>
      <c r="Y58" s="251">
        <v>1939.925</v>
      </c>
      <c r="Z58" s="251"/>
      <c r="AA58" s="251">
        <v>1725.848</v>
      </c>
      <c r="AB58" s="251"/>
      <c r="AC58" s="251">
        <v>2126.3969999999999</v>
      </c>
      <c r="AD58" s="251"/>
      <c r="AE58" s="251">
        <f t="shared" si="9"/>
        <v>22043.683000000001</v>
      </c>
      <c r="AF58" s="251">
        <f t="shared" si="9"/>
        <v>0</v>
      </c>
      <c r="AG58" s="221"/>
      <c r="AH58" s="221"/>
    </row>
    <row r="59" spans="1:34">
      <c r="A59" s="889">
        <v>29</v>
      </c>
      <c r="B59" s="889" t="s">
        <v>651</v>
      </c>
      <c r="C59" s="889" t="s">
        <v>652</v>
      </c>
      <c r="D59" s="51" t="s">
        <v>1110</v>
      </c>
      <c r="E59" s="51" t="s">
        <v>1111</v>
      </c>
      <c r="F59" s="50" t="s">
        <v>1112</v>
      </c>
      <c r="G59" s="81">
        <v>307.79809999999998</v>
      </c>
      <c r="H59" s="81"/>
      <c r="I59" s="81">
        <v>295.1628</v>
      </c>
      <c r="J59" s="81"/>
      <c r="K59" s="81">
        <v>285.3845</v>
      </c>
      <c r="L59" s="81"/>
      <c r="M59" s="81">
        <v>385.77379999999999</v>
      </c>
      <c r="N59" s="81"/>
      <c r="O59" s="81">
        <v>377.08609999999999</v>
      </c>
      <c r="P59" s="81"/>
      <c r="Q59" s="81">
        <v>329.40600000000001</v>
      </c>
      <c r="R59" s="81"/>
      <c r="S59" s="81">
        <v>330.77629999999999</v>
      </c>
      <c r="T59" s="81"/>
      <c r="U59" s="81">
        <v>308.14440000000002</v>
      </c>
      <c r="V59" s="81"/>
      <c r="W59" s="81">
        <v>356.63529999999997</v>
      </c>
      <c r="X59" s="81"/>
      <c r="Y59" s="81">
        <v>308.15309999999999</v>
      </c>
      <c r="Z59" s="81"/>
      <c r="AA59" s="81">
        <v>322.8091</v>
      </c>
      <c r="AB59" s="81"/>
      <c r="AC59" s="81">
        <v>281.70710000000003</v>
      </c>
      <c r="AD59" s="81"/>
      <c r="AE59" s="252">
        <f>AC59+AA59+Y59+W59+U59+S59+Q59+O59+M59+K59+I59+G59</f>
        <v>3888.8366000000001</v>
      </c>
      <c r="AF59" s="253"/>
      <c r="AG59" s="51"/>
      <c r="AH59" s="51"/>
    </row>
    <row r="60" spans="1:34">
      <c r="A60" s="891"/>
      <c r="B60" s="891"/>
      <c r="C60" s="891"/>
      <c r="D60" s="51" t="s">
        <v>1095</v>
      </c>
      <c r="E60" s="51" t="s">
        <v>1085</v>
      </c>
      <c r="F60" s="50" t="s">
        <v>1087</v>
      </c>
      <c r="G60" s="81">
        <v>21757.098000000002</v>
      </c>
      <c r="H60" s="81"/>
      <c r="I60" s="81">
        <v>17171.257000000001</v>
      </c>
      <c r="J60" s="81"/>
      <c r="K60" s="81">
        <v>24026.3</v>
      </c>
      <c r="L60" s="81"/>
      <c r="M60" s="81">
        <v>23405.903999999999</v>
      </c>
      <c r="N60" s="81"/>
      <c r="O60" s="81">
        <v>20298.221000000001</v>
      </c>
      <c r="P60" s="81"/>
      <c r="Q60" s="81">
        <v>20041.585999999999</v>
      </c>
      <c r="R60" s="81"/>
      <c r="S60" s="81">
        <v>21740.537</v>
      </c>
      <c r="T60" s="81"/>
      <c r="U60" s="81">
        <v>19115.562999999998</v>
      </c>
      <c r="V60" s="81"/>
      <c r="W60" s="81">
        <v>21634.782999999999</v>
      </c>
      <c r="X60" s="81"/>
      <c r="Y60" s="81">
        <v>17863.175999999999</v>
      </c>
      <c r="Z60" s="81"/>
      <c r="AA60" s="81">
        <v>15948.785</v>
      </c>
      <c r="AB60" s="81"/>
      <c r="AC60" s="81">
        <v>12491.003000000001</v>
      </c>
      <c r="AD60" s="81"/>
      <c r="AE60" s="252">
        <f>AC60+AA60+Y60+W60+U60+S60+Q60+O60+M60+K60+I60+G60</f>
        <v>235494.21299999999</v>
      </c>
      <c r="AF60" s="253"/>
      <c r="AG60" s="51"/>
      <c r="AH60" s="51"/>
    </row>
    <row r="61" spans="1:34">
      <c r="A61" s="915">
        <v>30</v>
      </c>
      <c r="B61" s="927" t="s">
        <v>1847</v>
      </c>
      <c r="C61" s="915" t="s">
        <v>1246</v>
      </c>
      <c r="D61" s="53" t="s">
        <v>1105</v>
      </c>
      <c r="E61" s="53" t="s">
        <v>1083</v>
      </c>
      <c r="F61" s="54" t="s">
        <v>1084</v>
      </c>
      <c r="G61" s="82"/>
      <c r="H61" s="82"/>
      <c r="I61" s="82"/>
      <c r="J61" s="82"/>
      <c r="K61" s="82"/>
      <c r="L61" s="82"/>
      <c r="M61" s="82"/>
      <c r="N61" s="82"/>
      <c r="O61" s="82"/>
      <c r="P61" s="82"/>
      <c r="Q61" s="82"/>
      <c r="R61" s="82"/>
      <c r="S61" s="82"/>
      <c r="T61" s="82"/>
      <c r="U61" s="82"/>
      <c r="V61" s="82"/>
      <c r="W61" s="82">
        <v>497.7</v>
      </c>
      <c r="X61" s="82">
        <v>2647131.9210000001</v>
      </c>
      <c r="Y61" s="82">
        <v>360.137</v>
      </c>
      <c r="Z61" s="82">
        <v>1915588.979301</v>
      </c>
      <c r="AA61" s="82">
        <v>475.99099999999999</v>
      </c>
      <c r="AB61" s="82">
        <v>2531810.8847210002</v>
      </c>
      <c r="AC61" s="82">
        <v>371.92</v>
      </c>
      <c r="AD61" s="82">
        <v>1979517.7936799999</v>
      </c>
      <c r="AE61" s="91">
        <f t="shared" ref="AE61:AF67" si="10">AC61+AA61+Y61+W61+U61+S61+Q61+O61+M61+K61+I61+G61</f>
        <v>1705.748</v>
      </c>
      <c r="AF61" s="92">
        <f t="shared" si="10"/>
        <v>9074049.578701999</v>
      </c>
      <c r="AG61" s="53"/>
      <c r="AH61" s="53"/>
    </row>
    <row r="62" spans="1:34">
      <c r="A62" s="916"/>
      <c r="B62" s="929"/>
      <c r="C62" s="916"/>
      <c r="D62" s="53" t="s">
        <v>1095</v>
      </c>
      <c r="E62" s="53" t="s">
        <v>1085</v>
      </c>
      <c r="F62" s="54" t="s">
        <v>1087</v>
      </c>
      <c r="G62" s="82">
        <v>3264.5940000000001</v>
      </c>
      <c r="H62" s="82">
        <v>27296804.79318</v>
      </c>
      <c r="I62" s="82">
        <v>2977.221</v>
      </c>
      <c r="J62" s="82">
        <v>26723267.74611</v>
      </c>
      <c r="K62" s="82">
        <v>3174.5940000000001</v>
      </c>
      <c r="L62" s="82">
        <v>28426584.513599999</v>
      </c>
      <c r="M62" s="82">
        <v>3318.4479999999999</v>
      </c>
      <c r="N62" s="82">
        <v>29317426.17664</v>
      </c>
      <c r="O62" s="82">
        <v>2992.105</v>
      </c>
      <c r="P62" s="82">
        <v>26377126.839000002</v>
      </c>
      <c r="Q62" s="79">
        <v>3009.1779999999999</v>
      </c>
      <c r="R62" s="82">
        <v>24833572.454580002</v>
      </c>
      <c r="S62" s="82">
        <v>3168.056</v>
      </c>
      <c r="T62" s="82">
        <v>26565923.671360001</v>
      </c>
      <c r="U62" s="82">
        <v>2865.002</v>
      </c>
      <c r="V62" s="82">
        <v>24187893.98508</v>
      </c>
      <c r="W62" s="82">
        <v>2862.3879999999999</v>
      </c>
      <c r="X62" s="82">
        <v>23908839.990880001</v>
      </c>
      <c r="Y62" s="82">
        <v>2952.098</v>
      </c>
      <c r="Z62" s="82">
        <v>24414411.358619999</v>
      </c>
      <c r="AA62" s="82">
        <v>2527.5210000000002</v>
      </c>
      <c r="AB62" s="82">
        <v>20066595.824039999</v>
      </c>
      <c r="AC62" s="82">
        <v>1931.367</v>
      </c>
      <c r="AD62" s="82">
        <v>15785989.54716</v>
      </c>
      <c r="AE62" s="91">
        <f t="shared" si="10"/>
        <v>35042.572</v>
      </c>
      <c r="AF62" s="92">
        <f t="shared" si="10"/>
        <v>297904436.90024996</v>
      </c>
      <c r="AG62" s="53"/>
      <c r="AH62" s="53"/>
    </row>
    <row r="63" spans="1:34">
      <c r="A63" s="889">
        <v>31</v>
      </c>
      <c r="B63" s="889" t="s">
        <v>659</v>
      </c>
      <c r="C63" s="889" t="s">
        <v>660</v>
      </c>
      <c r="D63" s="51" t="s">
        <v>1105</v>
      </c>
      <c r="E63" s="51" t="s">
        <v>1083</v>
      </c>
      <c r="F63" s="50" t="s">
        <v>1084</v>
      </c>
      <c r="G63" s="81"/>
      <c r="H63" s="81"/>
      <c r="I63" s="81"/>
      <c r="J63" s="81"/>
      <c r="K63" s="81"/>
      <c r="L63" s="81"/>
      <c r="M63" s="81"/>
      <c r="N63" s="81"/>
      <c r="O63" s="81"/>
      <c r="P63" s="81"/>
      <c r="Q63" s="81"/>
      <c r="R63" s="81"/>
      <c r="S63" s="81">
        <v>354.1746</v>
      </c>
      <c r="T63" s="81">
        <v>1490743.97</v>
      </c>
      <c r="U63" s="81">
        <v>198.4528</v>
      </c>
      <c r="V63" s="81">
        <v>979879.39420799876</v>
      </c>
      <c r="W63" s="81">
        <v>554.52019999999993</v>
      </c>
      <c r="X63" s="81">
        <v>2949341.3171828128</v>
      </c>
      <c r="Y63" s="81"/>
      <c r="Z63" s="81"/>
      <c r="AA63" s="81"/>
      <c r="AB63" s="81"/>
      <c r="AC63" s="81"/>
      <c r="AD63" s="81"/>
      <c r="AE63" s="81">
        <f t="shared" si="10"/>
        <v>1107.1476</v>
      </c>
      <c r="AF63" s="81">
        <f t="shared" si="10"/>
        <v>5419964.6813908117</v>
      </c>
      <c r="AG63" s="51"/>
      <c r="AH63" s="51"/>
    </row>
    <row r="64" spans="1:34">
      <c r="A64" s="891"/>
      <c r="B64" s="891"/>
      <c r="C64" s="891"/>
      <c r="D64" s="51" t="s">
        <v>1095</v>
      </c>
      <c r="E64" s="51" t="s">
        <v>1085</v>
      </c>
      <c r="F64" s="50" t="s">
        <v>1087</v>
      </c>
      <c r="G64" s="81">
        <v>1246</v>
      </c>
      <c r="H64" s="81">
        <v>10418391.619999999</v>
      </c>
      <c r="I64" s="81">
        <v>2210</v>
      </c>
      <c r="J64" s="81">
        <v>19475470.379999999</v>
      </c>
      <c r="K64" s="81">
        <v>2468</v>
      </c>
      <c r="L64" s="81">
        <v>22099409.199999996</v>
      </c>
      <c r="M64" s="81">
        <v>2520</v>
      </c>
      <c r="N64" s="81">
        <v>22263393.599999998</v>
      </c>
      <c r="O64" s="81">
        <v>1866</v>
      </c>
      <c r="P64" s="81">
        <v>16449890.939999999</v>
      </c>
      <c r="Q64" s="81">
        <v>3043</v>
      </c>
      <c r="R64" s="81">
        <v>26226794.580000002</v>
      </c>
      <c r="S64" s="81">
        <v>1604</v>
      </c>
      <c r="T64" s="81">
        <v>13450433.100000001</v>
      </c>
      <c r="U64" s="81">
        <v>2668</v>
      </c>
      <c r="V64" s="81">
        <v>22524685.28571428</v>
      </c>
      <c r="W64" s="81">
        <v>2834</v>
      </c>
      <c r="X64" s="81">
        <v>23671723.020833343</v>
      </c>
      <c r="Y64" s="81">
        <v>1766</v>
      </c>
      <c r="Z64" s="81">
        <v>14605156.38095239</v>
      </c>
      <c r="AA64" s="81">
        <v>2986</v>
      </c>
      <c r="AB64" s="81">
        <v>23706566.568181816</v>
      </c>
      <c r="AC64" s="81">
        <v>1712</v>
      </c>
      <c r="AD64" s="81">
        <v>14023836.874458877</v>
      </c>
      <c r="AE64" s="81">
        <f t="shared" si="10"/>
        <v>26923</v>
      </c>
      <c r="AF64" s="81">
        <f t="shared" si="10"/>
        <v>228915751.55014071</v>
      </c>
      <c r="AG64" s="51"/>
      <c r="AH64" s="51"/>
    </row>
    <row r="65" spans="1:34">
      <c r="A65" s="53">
        <v>32</v>
      </c>
      <c r="B65" s="221" t="s">
        <v>662</v>
      </c>
      <c r="C65" s="53" t="s">
        <v>663</v>
      </c>
      <c r="D65" s="53" t="s">
        <v>1095</v>
      </c>
      <c r="E65" s="53" t="s">
        <v>1085</v>
      </c>
      <c r="F65" s="54" t="s">
        <v>1087</v>
      </c>
      <c r="G65" s="82">
        <v>2840.06</v>
      </c>
      <c r="H65" s="82"/>
      <c r="I65" s="82">
        <v>2242.16</v>
      </c>
      <c r="J65" s="82"/>
      <c r="K65" s="82">
        <v>2735.75</v>
      </c>
      <c r="L65" s="82"/>
      <c r="M65" s="82">
        <v>2579.92</v>
      </c>
      <c r="N65" s="82"/>
      <c r="O65" s="82">
        <v>2775.05</v>
      </c>
      <c r="P65" s="82"/>
      <c r="Q65" s="82">
        <v>2799.89</v>
      </c>
      <c r="R65" s="82"/>
      <c r="S65" s="82">
        <v>2882.31</v>
      </c>
      <c r="T65" s="82"/>
      <c r="U65" s="82">
        <v>2871.78</v>
      </c>
      <c r="V65" s="82"/>
      <c r="W65" s="82">
        <v>2716.22</v>
      </c>
      <c r="X65" s="82"/>
      <c r="Y65" s="82">
        <v>2766.46</v>
      </c>
      <c r="Z65" s="82"/>
      <c r="AA65" s="82">
        <v>2891.76</v>
      </c>
      <c r="AB65" s="82"/>
      <c r="AC65" s="82">
        <v>2861.36</v>
      </c>
      <c r="AD65" s="82"/>
      <c r="AE65" s="91">
        <f t="shared" si="10"/>
        <v>32962.720000000001</v>
      </c>
      <c r="AF65" s="92">
        <f t="shared" si="10"/>
        <v>0</v>
      </c>
      <c r="AG65" s="53"/>
      <c r="AH65" s="53"/>
    </row>
    <row r="66" spans="1:34">
      <c r="A66" s="889">
        <v>33</v>
      </c>
      <c r="B66" s="889" t="s">
        <v>666</v>
      </c>
      <c r="C66" s="889" t="s">
        <v>667</v>
      </c>
      <c r="D66" s="51" t="s">
        <v>1105</v>
      </c>
      <c r="E66" s="51" t="s">
        <v>1083</v>
      </c>
      <c r="F66" s="50" t="s">
        <v>1084</v>
      </c>
      <c r="G66" s="81">
        <v>0</v>
      </c>
      <c r="H66" s="81">
        <v>0</v>
      </c>
      <c r="I66" s="81">
        <v>0</v>
      </c>
      <c r="J66" s="81">
        <v>0</v>
      </c>
      <c r="K66" s="81">
        <v>359.20844383468</v>
      </c>
      <c r="L66" s="81">
        <v>528281.46</v>
      </c>
      <c r="M66" s="81">
        <v>3162.2869320949699</v>
      </c>
      <c r="N66" s="81">
        <v>3157293.97</v>
      </c>
      <c r="O66" s="81">
        <v>7285.1341280930701</v>
      </c>
      <c r="P66" s="81">
        <v>22263807.140000001</v>
      </c>
      <c r="Q66" s="81">
        <v>12028.5159671444</v>
      </c>
      <c r="R66" s="81">
        <v>15879114.6</v>
      </c>
      <c r="S66" s="81">
        <v>13568.212762442599</v>
      </c>
      <c r="T66" s="81">
        <v>26692572.550000001</v>
      </c>
      <c r="U66" s="81">
        <v>10443.255879374599</v>
      </c>
      <c r="V66" s="81">
        <v>18755523.129999999</v>
      </c>
      <c r="W66" s="81">
        <v>8495.5497446967693</v>
      </c>
      <c r="X66" s="81">
        <v>19422853.07</v>
      </c>
      <c r="Y66" s="81">
        <v>9708.4488119591406</v>
      </c>
      <c r="Z66" s="81">
        <v>20571447.760000002</v>
      </c>
      <c r="AA66" s="81">
        <v>9685.5665790346393</v>
      </c>
      <c r="AB66" s="81">
        <v>20736420.93</v>
      </c>
      <c r="AC66" s="81">
        <v>14263.8207513251</v>
      </c>
      <c r="AD66" s="81">
        <v>58040123.409999996</v>
      </c>
      <c r="AE66" s="81">
        <f t="shared" si="10"/>
        <v>88999.999999999956</v>
      </c>
      <c r="AF66" s="81">
        <f t="shared" si="10"/>
        <v>206047438.02000004</v>
      </c>
      <c r="AG66" s="51" t="s">
        <v>2504</v>
      </c>
      <c r="AH66" s="51" t="s">
        <v>2798</v>
      </c>
    </row>
    <row r="67" spans="1:34">
      <c r="A67" s="891"/>
      <c r="B67" s="891"/>
      <c r="C67" s="891"/>
      <c r="D67" s="51" t="s">
        <v>1095</v>
      </c>
      <c r="E67" s="51" t="s">
        <v>1085</v>
      </c>
      <c r="F67" s="50" t="s">
        <v>1087</v>
      </c>
      <c r="G67" s="81">
        <v>0</v>
      </c>
      <c r="H67" s="81">
        <v>0</v>
      </c>
      <c r="I67" s="81">
        <v>0</v>
      </c>
      <c r="J67" s="81">
        <v>0</v>
      </c>
      <c r="K67" s="81">
        <v>4581.1233466170697</v>
      </c>
      <c r="L67" s="81">
        <v>7507304.6299999999</v>
      </c>
      <c r="M67" s="81">
        <v>5402.5993436213103</v>
      </c>
      <c r="N67" s="81">
        <v>8566226.1199999992</v>
      </c>
      <c r="O67" s="81">
        <v>8211.9357151418608</v>
      </c>
      <c r="P67" s="81">
        <v>15012706.01</v>
      </c>
      <c r="Q67" s="81">
        <v>10654.8088069853</v>
      </c>
      <c r="R67" s="81">
        <v>18495275.93</v>
      </c>
      <c r="S67" s="81">
        <v>12366.2492242183</v>
      </c>
      <c r="T67" s="81">
        <v>16901770.59</v>
      </c>
      <c r="U67" s="81">
        <v>13426.482641246601</v>
      </c>
      <c r="V67" s="81">
        <v>23097114.710000001</v>
      </c>
      <c r="W67" s="81">
        <v>13940.364479906701</v>
      </c>
      <c r="X67" s="81">
        <v>29512365.57</v>
      </c>
      <c r="Y67" s="81">
        <v>14407.9881387803</v>
      </c>
      <c r="Z67" s="81">
        <v>31897640.949999999</v>
      </c>
      <c r="AA67" s="81">
        <v>12622.0402199617</v>
      </c>
      <c r="AB67" s="81">
        <v>27270687.129999999</v>
      </c>
      <c r="AC67" s="81">
        <v>14386.408083520801</v>
      </c>
      <c r="AD67" s="81">
        <v>37961419.759999998</v>
      </c>
      <c r="AE67" s="81">
        <f t="shared" si="10"/>
        <v>109999.99999999994</v>
      </c>
      <c r="AF67" s="81">
        <f t="shared" si="10"/>
        <v>216222511.40000001</v>
      </c>
      <c r="AG67" s="51" t="s">
        <v>2504</v>
      </c>
      <c r="AH67" s="51" t="s">
        <v>2798</v>
      </c>
    </row>
    <row r="68" spans="1:34">
      <c r="A68" s="915">
        <v>34</v>
      </c>
      <c r="B68" s="927" t="s">
        <v>673</v>
      </c>
      <c r="C68" s="915" t="s">
        <v>674</v>
      </c>
      <c r="D68" s="53" t="s">
        <v>1100</v>
      </c>
      <c r="E68" s="53" t="s">
        <v>1085</v>
      </c>
      <c r="F68" s="54" t="s">
        <v>1101</v>
      </c>
      <c r="G68" s="82"/>
      <c r="H68" s="82"/>
      <c r="I68" s="82"/>
      <c r="J68" s="82"/>
      <c r="K68" s="82">
        <v>927.7</v>
      </c>
      <c r="L68" s="82"/>
      <c r="M68" s="82">
        <v>1803.16</v>
      </c>
      <c r="N68" s="82"/>
      <c r="O68" s="82">
        <v>1689.18</v>
      </c>
      <c r="P68" s="82"/>
      <c r="Q68" s="82">
        <v>1402.06</v>
      </c>
      <c r="R68" s="82"/>
      <c r="S68" s="82">
        <v>1625.82</v>
      </c>
      <c r="T68" s="82"/>
      <c r="U68" s="82">
        <v>1596.12</v>
      </c>
      <c r="V68" s="82"/>
      <c r="W68" s="82">
        <v>1607.48</v>
      </c>
      <c r="X68" s="82"/>
      <c r="Y68" s="82">
        <v>1550.03</v>
      </c>
      <c r="Z68" s="82"/>
      <c r="AA68" s="82">
        <v>1723.58</v>
      </c>
      <c r="AB68" s="82"/>
      <c r="AC68" s="82">
        <v>1549.15</v>
      </c>
      <c r="AD68" s="82"/>
      <c r="AE68" s="91">
        <f>AC68+AA68+Y68+W68+U68+S68+Q68+O68+M68+K68+I68+G68</f>
        <v>15474.28</v>
      </c>
      <c r="AF68" s="92">
        <f>AD68+AB68+Z68+X68+V68+T68+R68+P68+N68+L68+J68+H68</f>
        <v>0</v>
      </c>
      <c r="AG68" s="53"/>
      <c r="AH68" s="53"/>
    </row>
    <row r="69" spans="1:34">
      <c r="A69" s="930"/>
      <c r="B69" s="928"/>
      <c r="C69" s="930"/>
      <c r="D69" s="53" t="s">
        <v>1095</v>
      </c>
      <c r="E69" s="53" t="s">
        <v>1085</v>
      </c>
      <c r="F69" s="54" t="s">
        <v>1087</v>
      </c>
      <c r="G69" s="82">
        <v>1497.405</v>
      </c>
      <c r="H69" s="82"/>
      <c r="I69" s="82">
        <v>1478.4639999999999</v>
      </c>
      <c r="J69" s="82"/>
      <c r="K69" s="82">
        <v>1346.171</v>
      </c>
      <c r="L69" s="82"/>
      <c r="M69" s="82">
        <v>1531.2239999999999</v>
      </c>
      <c r="N69" s="82"/>
      <c r="O69" s="82">
        <v>726.476</v>
      </c>
      <c r="P69" s="82"/>
      <c r="Q69" s="82">
        <v>1468.338</v>
      </c>
      <c r="R69" s="82"/>
      <c r="S69" s="82">
        <v>1643.3489999999999</v>
      </c>
      <c r="T69" s="82"/>
      <c r="U69" s="82">
        <v>1755.5429999999999</v>
      </c>
      <c r="V69" s="82"/>
      <c r="W69" s="82">
        <v>1725.4169999999999</v>
      </c>
      <c r="X69" s="82"/>
      <c r="Y69" s="82">
        <v>1643.944</v>
      </c>
      <c r="Z69" s="82"/>
      <c r="AA69" s="82">
        <v>1759.547</v>
      </c>
      <c r="AB69" s="82"/>
      <c r="AC69" s="82">
        <v>1689.998</v>
      </c>
      <c r="AD69" s="82"/>
      <c r="AE69" s="91">
        <f t="shared" ref="AE69:AF76" si="11">AC69+AA69+Y69+W69+U69+S69+Q69+O69+M69+K69+I69+G69</f>
        <v>18265.875999999997</v>
      </c>
      <c r="AF69" s="92">
        <f t="shared" si="11"/>
        <v>0</v>
      </c>
      <c r="AG69" s="53"/>
      <c r="AH69" s="53"/>
    </row>
    <row r="70" spans="1:34">
      <c r="A70" s="51">
        <v>35</v>
      </c>
      <c r="B70" s="51" t="s">
        <v>676</v>
      </c>
      <c r="C70" s="51" t="s">
        <v>677</v>
      </c>
      <c r="D70" s="51" t="s">
        <v>1109</v>
      </c>
      <c r="E70" s="51" t="s">
        <v>2799</v>
      </c>
      <c r="F70" s="50" t="s">
        <v>1109</v>
      </c>
      <c r="G70" s="81">
        <v>0</v>
      </c>
      <c r="H70" s="81">
        <v>194058.07</v>
      </c>
      <c r="I70" s="81">
        <v>2337.5140000000001</v>
      </c>
      <c r="J70" s="81">
        <v>18507763.760000002</v>
      </c>
      <c r="K70" s="81">
        <v>1965.1780000000001</v>
      </c>
      <c r="L70" s="81">
        <v>15514102.68</v>
      </c>
      <c r="M70" s="81">
        <v>1943.6079999999999</v>
      </c>
      <c r="N70" s="81">
        <v>16294909.439999999</v>
      </c>
      <c r="O70" s="81">
        <v>1653.0219999999999</v>
      </c>
      <c r="P70" s="81">
        <v>16583320.189999999</v>
      </c>
      <c r="Q70" s="81">
        <v>1747.52</v>
      </c>
      <c r="R70" s="81">
        <v>17601532.940000001</v>
      </c>
      <c r="S70" s="81">
        <v>1847.998</v>
      </c>
      <c r="T70" s="81">
        <v>17093994.559999999</v>
      </c>
      <c r="U70" s="81">
        <v>687.58299999999997</v>
      </c>
      <c r="V70" s="81">
        <v>5148564.0199999996</v>
      </c>
      <c r="W70" s="81">
        <v>1478.4760000000001</v>
      </c>
      <c r="X70" s="81">
        <v>11174295.380000001</v>
      </c>
      <c r="Y70" s="81">
        <v>1569.2180000000001</v>
      </c>
      <c r="Z70" s="81">
        <v>13213490.970000001</v>
      </c>
      <c r="AA70" s="81">
        <v>1087.4960000000001</v>
      </c>
      <c r="AB70" s="81">
        <v>10705669.93</v>
      </c>
      <c r="AC70" s="81">
        <v>1860.8130000000001</v>
      </c>
      <c r="AD70" s="81">
        <v>15787886.470000001</v>
      </c>
      <c r="AE70" s="81">
        <f t="shared" si="11"/>
        <v>18178.425999999999</v>
      </c>
      <c r="AF70" s="81">
        <f t="shared" si="11"/>
        <v>157819588.40999997</v>
      </c>
      <c r="AG70" s="51"/>
      <c r="AH70" s="51"/>
    </row>
    <row r="71" spans="1:34">
      <c r="A71" s="915">
        <v>36</v>
      </c>
      <c r="B71" s="927" t="s">
        <v>681</v>
      </c>
      <c r="C71" s="915" t="s">
        <v>682</v>
      </c>
      <c r="D71" s="53" t="s">
        <v>1095</v>
      </c>
      <c r="E71" s="53" t="s">
        <v>1085</v>
      </c>
      <c r="F71" s="54" t="s">
        <v>1087</v>
      </c>
      <c r="G71" s="82">
        <v>1777.296</v>
      </c>
      <c r="H71" s="82">
        <v>16198275.74</v>
      </c>
      <c r="I71" s="82">
        <v>1949.0519999999999</v>
      </c>
      <c r="J71" s="82">
        <v>15787321.199999999</v>
      </c>
      <c r="K71" s="82">
        <v>3773.41</v>
      </c>
      <c r="L71" s="82">
        <v>30564621</v>
      </c>
      <c r="M71" s="82">
        <v>4445.4520000000002</v>
      </c>
      <c r="N71" s="82">
        <v>36674979</v>
      </c>
      <c r="O71" s="82">
        <v>4683.8280000000004</v>
      </c>
      <c r="P71" s="82">
        <v>39812538</v>
      </c>
      <c r="Q71" s="82">
        <v>3954.4029999999998</v>
      </c>
      <c r="R71" s="82">
        <v>34007865.799999997</v>
      </c>
      <c r="S71" s="82">
        <v>6366.02</v>
      </c>
      <c r="T71" s="82">
        <v>52201364</v>
      </c>
      <c r="U71" s="82">
        <v>3230.6179999999999</v>
      </c>
      <c r="V71" s="82">
        <v>27783314.800000001</v>
      </c>
      <c r="W71" s="82">
        <v>4281.9799999999996</v>
      </c>
      <c r="X71" s="82">
        <v>36396830</v>
      </c>
      <c r="Y71" s="82">
        <v>6129.9089999999997</v>
      </c>
      <c r="Z71" s="82">
        <v>47813290.200000003</v>
      </c>
      <c r="AA71" s="82">
        <v>3941.674</v>
      </c>
      <c r="AB71" s="82">
        <v>34095480.100000001</v>
      </c>
      <c r="AC71" s="82">
        <v>2894.7510000000002</v>
      </c>
      <c r="AD71" s="82">
        <v>23736958.199999999</v>
      </c>
      <c r="AE71" s="82">
        <f t="shared" si="11"/>
        <v>47428.393000000004</v>
      </c>
      <c r="AF71" s="82">
        <f t="shared" si="11"/>
        <v>395072838.04000002</v>
      </c>
      <c r="AG71" s="53"/>
      <c r="AH71" s="53"/>
    </row>
    <row r="72" spans="1:34">
      <c r="A72" s="916"/>
      <c r="B72" s="929"/>
      <c r="C72" s="916"/>
      <c r="D72" s="53" t="s">
        <v>1105</v>
      </c>
      <c r="E72" s="53" t="s">
        <v>1083</v>
      </c>
      <c r="F72" s="54" t="s">
        <v>1084</v>
      </c>
      <c r="G72" s="82">
        <v>985.875</v>
      </c>
      <c r="H72" s="82">
        <v>8021522.6440000003</v>
      </c>
      <c r="I72" s="82">
        <v>825.28399999999999</v>
      </c>
      <c r="J72" s="82">
        <v>5116760.8</v>
      </c>
      <c r="K72" s="82">
        <v>1466.5820000000001</v>
      </c>
      <c r="L72" s="82">
        <v>9092808.4000000004</v>
      </c>
      <c r="M72" s="82">
        <v>1233.8900000000001</v>
      </c>
      <c r="N72" s="82">
        <v>8020285</v>
      </c>
      <c r="O72" s="82">
        <v>582.62800000000004</v>
      </c>
      <c r="P72" s="82">
        <v>3495768</v>
      </c>
      <c r="Q72" s="82">
        <v>1278.9559999999999</v>
      </c>
      <c r="R72" s="82">
        <v>8121370.5999999996</v>
      </c>
      <c r="S72" s="82">
        <v>975.35400000000004</v>
      </c>
      <c r="T72" s="82">
        <v>6047194.7999999998</v>
      </c>
      <c r="U72" s="82">
        <v>799.41600000000005</v>
      </c>
      <c r="V72" s="82">
        <v>5196204.5199999996</v>
      </c>
      <c r="W72" s="82">
        <v>883.85799999999995</v>
      </c>
      <c r="X72" s="82">
        <v>5700884.0999999996</v>
      </c>
      <c r="Y72" s="82">
        <v>274.488</v>
      </c>
      <c r="Z72" s="82">
        <v>1770447.6</v>
      </c>
      <c r="AA72" s="82">
        <v>1116.598</v>
      </c>
      <c r="AB72" s="82">
        <v>7760356.0999999996</v>
      </c>
      <c r="AC72" s="82">
        <v>1155.508</v>
      </c>
      <c r="AD72" s="82">
        <v>7510802</v>
      </c>
      <c r="AE72" s="82">
        <f t="shared" si="11"/>
        <v>11578.437</v>
      </c>
      <c r="AF72" s="82">
        <f t="shared" si="11"/>
        <v>75854404.563999996</v>
      </c>
      <c r="AG72" s="53"/>
      <c r="AH72" s="53"/>
    </row>
    <row r="73" spans="1:34">
      <c r="A73" s="889">
        <v>37</v>
      </c>
      <c r="B73" s="889" t="s">
        <v>462</v>
      </c>
      <c r="C73" s="889" t="s">
        <v>685</v>
      </c>
      <c r="D73" s="51" t="s">
        <v>1105</v>
      </c>
      <c r="E73" s="51" t="s">
        <v>1083</v>
      </c>
      <c r="F73" s="50" t="s">
        <v>1084</v>
      </c>
      <c r="G73" s="81">
        <v>1100</v>
      </c>
      <c r="H73" s="81"/>
      <c r="I73" s="81">
        <v>1300</v>
      </c>
      <c r="J73" s="81"/>
      <c r="K73" s="81">
        <v>800</v>
      </c>
      <c r="L73" s="81"/>
      <c r="M73" s="81">
        <v>850</v>
      </c>
      <c r="N73" s="81"/>
      <c r="O73" s="81">
        <v>800</v>
      </c>
      <c r="P73" s="81"/>
      <c r="Q73" s="81">
        <v>850</v>
      </c>
      <c r="R73" s="81"/>
      <c r="S73" s="81">
        <v>810</v>
      </c>
      <c r="T73" s="81"/>
      <c r="U73" s="81">
        <v>500</v>
      </c>
      <c r="V73" s="81"/>
      <c r="W73" s="81">
        <v>400</v>
      </c>
      <c r="X73" s="81"/>
      <c r="Y73" s="81">
        <v>270</v>
      </c>
      <c r="Z73" s="81"/>
      <c r="AA73" s="81">
        <v>30</v>
      </c>
      <c r="AB73" s="81"/>
      <c r="AC73" s="81">
        <v>95</v>
      </c>
      <c r="AD73" s="81"/>
      <c r="AE73" s="81">
        <f t="shared" si="11"/>
        <v>7805</v>
      </c>
      <c r="AF73" s="81">
        <f t="shared" si="11"/>
        <v>0</v>
      </c>
      <c r="AG73" s="51"/>
      <c r="AH73" s="51"/>
    </row>
    <row r="74" spans="1:34">
      <c r="A74" s="891"/>
      <c r="B74" s="891"/>
      <c r="C74" s="891"/>
      <c r="D74" s="51" t="s">
        <v>1095</v>
      </c>
      <c r="E74" s="51" t="s">
        <v>1085</v>
      </c>
      <c r="F74" s="50" t="s">
        <v>1087</v>
      </c>
      <c r="G74" s="81">
        <v>3200</v>
      </c>
      <c r="H74" s="81"/>
      <c r="I74" s="81">
        <v>2100</v>
      </c>
      <c r="J74" s="81"/>
      <c r="K74" s="81">
        <v>2500</v>
      </c>
      <c r="L74" s="81"/>
      <c r="M74" s="81">
        <v>2300</v>
      </c>
      <c r="N74" s="81"/>
      <c r="O74" s="81">
        <v>2350</v>
      </c>
      <c r="P74" s="81"/>
      <c r="Q74" s="81">
        <v>2700</v>
      </c>
      <c r="R74" s="81"/>
      <c r="S74" s="81">
        <v>2550</v>
      </c>
      <c r="T74" s="81"/>
      <c r="U74" s="81">
        <v>3300</v>
      </c>
      <c r="V74" s="81"/>
      <c r="W74" s="81">
        <v>3000</v>
      </c>
      <c r="X74" s="81"/>
      <c r="Y74" s="81">
        <v>2500</v>
      </c>
      <c r="Z74" s="81"/>
      <c r="AA74" s="81">
        <v>3600</v>
      </c>
      <c r="AB74" s="81"/>
      <c r="AC74" s="81">
        <v>2700</v>
      </c>
      <c r="AD74" s="81"/>
      <c r="AE74" s="81">
        <f t="shared" si="11"/>
        <v>32800</v>
      </c>
      <c r="AF74" s="81">
        <f t="shared" si="11"/>
        <v>0</v>
      </c>
      <c r="AG74" s="51"/>
      <c r="AH74" s="51"/>
    </row>
    <row r="75" spans="1:34">
      <c r="A75" s="56">
        <v>38</v>
      </c>
      <c r="B75" s="256" t="s">
        <v>1248</v>
      </c>
      <c r="C75" s="56" t="s">
        <v>1249</v>
      </c>
      <c r="D75" s="53" t="s">
        <v>1247</v>
      </c>
      <c r="E75" s="53" t="s">
        <v>1247</v>
      </c>
      <c r="F75" s="54" t="s">
        <v>1247</v>
      </c>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53"/>
      <c r="AH75" s="53"/>
    </row>
    <row r="76" spans="1:34">
      <c r="A76" s="51">
        <v>39</v>
      </c>
      <c r="B76" s="554" t="s">
        <v>188</v>
      </c>
      <c r="C76" s="51" t="s">
        <v>686</v>
      </c>
      <c r="D76" s="51" t="s">
        <v>1115</v>
      </c>
      <c r="E76" s="51" t="s">
        <v>1085</v>
      </c>
      <c r="F76" s="50" t="s">
        <v>1091</v>
      </c>
      <c r="G76" s="81">
        <v>14820.09</v>
      </c>
      <c r="H76" s="81"/>
      <c r="I76" s="81">
        <v>13354.97</v>
      </c>
      <c r="J76" s="81"/>
      <c r="K76" s="81">
        <v>12460.27</v>
      </c>
      <c r="L76" s="81"/>
      <c r="M76" s="81">
        <v>14163.25</v>
      </c>
      <c r="N76" s="81"/>
      <c r="O76" s="81">
        <v>13882.95</v>
      </c>
      <c r="P76" s="81"/>
      <c r="Q76" s="81">
        <v>14324.39</v>
      </c>
      <c r="R76" s="81"/>
      <c r="S76" s="81">
        <v>14848.57</v>
      </c>
      <c r="T76" s="81"/>
      <c r="U76" s="81">
        <v>12307</v>
      </c>
      <c r="V76" s="81"/>
      <c r="W76" s="81">
        <v>12293</v>
      </c>
      <c r="X76" s="81"/>
      <c r="Y76" s="81">
        <v>11424.66</v>
      </c>
      <c r="Z76" s="81"/>
      <c r="AA76" s="81">
        <v>10709.38</v>
      </c>
      <c r="AB76" s="81"/>
      <c r="AC76" s="81">
        <v>11621.53</v>
      </c>
      <c r="AD76" s="81"/>
      <c r="AE76" s="81">
        <f t="shared" si="11"/>
        <v>156210.06</v>
      </c>
      <c r="AF76" s="81">
        <f t="shared" si="11"/>
        <v>0</v>
      </c>
      <c r="AG76" s="51"/>
      <c r="AH76" s="51"/>
    </row>
    <row r="77" spans="1:34">
      <c r="A77" s="915">
        <v>40</v>
      </c>
      <c r="B77" s="892" t="s">
        <v>2773</v>
      </c>
      <c r="C77" s="915" t="s">
        <v>1252</v>
      </c>
      <c r="D77" s="53" t="s">
        <v>1105</v>
      </c>
      <c r="E77" s="53" t="s">
        <v>1083</v>
      </c>
      <c r="F77" s="54" t="s">
        <v>1084</v>
      </c>
      <c r="G77" s="82">
        <v>126.69</v>
      </c>
      <c r="H77" s="82">
        <v>2143233.9743063501</v>
      </c>
      <c r="I77" s="82">
        <v>161.66999999999999</v>
      </c>
      <c r="J77" s="82">
        <v>2669200.80452037</v>
      </c>
      <c r="K77" s="82">
        <v>201.33</v>
      </c>
      <c r="L77" s="82">
        <v>3090711.5003164802</v>
      </c>
      <c r="M77" s="82">
        <v>246.330444</v>
      </c>
      <c r="N77" s="82">
        <v>3890812.2117694002</v>
      </c>
      <c r="O77" s="82">
        <v>351.25799999999998</v>
      </c>
      <c r="P77" s="82">
        <v>4342638.8425423801</v>
      </c>
      <c r="Q77" s="82">
        <v>414.649</v>
      </c>
      <c r="R77" s="82">
        <v>6042124.2454212196</v>
      </c>
      <c r="S77" s="82">
        <v>477.22300000000001</v>
      </c>
      <c r="T77" s="82">
        <v>8456955.6392725296</v>
      </c>
      <c r="U77" s="82">
        <v>390.94200000000001</v>
      </c>
      <c r="V77" s="82">
        <v>5814554.2298306599</v>
      </c>
      <c r="W77" s="82">
        <v>445.08300000000003</v>
      </c>
      <c r="X77" s="82">
        <v>6187988.9608816598</v>
      </c>
      <c r="Y77" s="82">
        <v>410.76600000000002</v>
      </c>
      <c r="Z77" s="82">
        <v>6128986.1066207998</v>
      </c>
      <c r="AA77" s="82">
        <v>404.93200000000002</v>
      </c>
      <c r="AB77" s="82">
        <v>6041937.72752182</v>
      </c>
      <c r="AC77" s="82">
        <v>307.55599999999998</v>
      </c>
      <c r="AD77" s="82">
        <v>3966558.9588832399</v>
      </c>
      <c r="AE77" s="91">
        <f t="shared" ref="AE77:AF78" si="12">AC77+AA77+Y77+W77+U77+S77+Q77+O77+M77+K77+I77+G77</f>
        <v>3938.4294440000003</v>
      </c>
      <c r="AF77" s="92">
        <f t="shared" si="12"/>
        <v>58775703.201886907</v>
      </c>
      <c r="AG77" s="53"/>
      <c r="AH77" s="53"/>
    </row>
    <row r="78" spans="1:34">
      <c r="A78" s="916"/>
      <c r="B78" s="893"/>
      <c r="C78" s="916"/>
      <c r="D78" s="53" t="s">
        <v>1095</v>
      </c>
      <c r="E78" s="53" t="s">
        <v>1085</v>
      </c>
      <c r="F78" s="54" t="s">
        <v>1087</v>
      </c>
      <c r="G78" s="82">
        <v>3718.3119999999999</v>
      </c>
      <c r="H78" s="82">
        <v>31032860.868371401</v>
      </c>
      <c r="I78" s="82">
        <v>3512.2809999999999</v>
      </c>
      <c r="J78" s="82">
        <v>29266886.158149</v>
      </c>
      <c r="K78" s="82">
        <v>2907.9270000000001</v>
      </c>
      <c r="L78" s="82">
        <v>23735973.345106199</v>
      </c>
      <c r="M78" s="82">
        <v>3624.002</v>
      </c>
      <c r="N78" s="82">
        <v>29770740.173600301</v>
      </c>
      <c r="O78" s="82">
        <v>3361.7559999999999</v>
      </c>
      <c r="P78" s="82">
        <v>25473155.556917801</v>
      </c>
      <c r="Q78" s="82">
        <v>4043.8429999999998</v>
      </c>
      <c r="R78" s="82">
        <v>31228011.348160699</v>
      </c>
      <c r="S78" s="82">
        <v>3868.567</v>
      </c>
      <c r="T78" s="82">
        <v>29951982.717631198</v>
      </c>
      <c r="U78" s="82">
        <v>4043.864</v>
      </c>
      <c r="V78" s="82">
        <v>30906524.483664799</v>
      </c>
      <c r="W78" s="82">
        <v>3828.5169999999998</v>
      </c>
      <c r="X78" s="82">
        <v>28951628.8301703</v>
      </c>
      <c r="Y78" s="82">
        <v>3220.4789999999998</v>
      </c>
      <c r="Z78" s="82">
        <v>23454337.7833363</v>
      </c>
      <c r="AA78" s="82">
        <v>3734.9760000000001</v>
      </c>
      <c r="AB78" s="82">
        <v>28165287.775961101</v>
      </c>
      <c r="AC78" s="82">
        <v>4066.8130000000001</v>
      </c>
      <c r="AD78" s="82">
        <v>31543267.734081499</v>
      </c>
      <c r="AE78" s="91">
        <f t="shared" si="12"/>
        <v>43931.337000000007</v>
      </c>
      <c r="AF78" s="92">
        <f t="shared" si="12"/>
        <v>343480656.7751506</v>
      </c>
      <c r="AG78" s="53"/>
      <c r="AH78" s="53"/>
    </row>
    <row r="79" spans="1:34">
      <c r="A79" s="51">
        <v>41</v>
      </c>
      <c r="B79" s="257" t="s">
        <v>141</v>
      </c>
      <c r="C79" s="51" t="s">
        <v>689</v>
      </c>
      <c r="D79" s="51" t="s">
        <v>1247</v>
      </c>
      <c r="E79" s="51" t="s">
        <v>1247</v>
      </c>
      <c r="F79" s="50" t="s">
        <v>1247</v>
      </c>
      <c r="G79" s="81"/>
      <c r="H79" s="81"/>
      <c r="I79" s="81"/>
      <c r="J79" s="81"/>
      <c r="K79" s="81"/>
      <c r="L79" s="81"/>
      <c r="M79" s="81"/>
      <c r="N79" s="81"/>
      <c r="O79" s="81"/>
      <c r="P79" s="81"/>
      <c r="Q79" s="81"/>
      <c r="R79" s="81"/>
      <c r="S79" s="81"/>
      <c r="T79" s="81"/>
      <c r="U79" s="81"/>
      <c r="V79" s="81"/>
      <c r="W79" s="81"/>
      <c r="X79" s="81"/>
      <c r="Y79" s="81"/>
      <c r="Z79" s="81"/>
      <c r="AA79" s="81"/>
      <c r="AB79" s="81"/>
      <c r="AC79" s="81"/>
      <c r="AD79" s="81"/>
      <c r="AE79" s="81"/>
      <c r="AF79" s="81"/>
      <c r="AG79" s="51"/>
      <c r="AH79" s="51"/>
    </row>
    <row r="80" spans="1:34">
      <c r="A80" s="53">
        <v>42</v>
      </c>
      <c r="B80" s="221" t="s">
        <v>692</v>
      </c>
      <c r="C80" s="53" t="s">
        <v>693</v>
      </c>
      <c r="D80" s="53" t="s">
        <v>1116</v>
      </c>
      <c r="E80" s="53" t="s">
        <v>1117</v>
      </c>
      <c r="F80" s="54" t="s">
        <v>1118</v>
      </c>
      <c r="G80" s="82">
        <v>160113.12</v>
      </c>
      <c r="H80" s="82">
        <v>0</v>
      </c>
      <c r="I80" s="82">
        <v>160659.43</v>
      </c>
      <c r="J80" s="82">
        <v>0</v>
      </c>
      <c r="K80" s="82">
        <v>142168.44</v>
      </c>
      <c r="L80" s="82">
        <v>0</v>
      </c>
      <c r="M80" s="82">
        <v>141305.88</v>
      </c>
      <c r="N80" s="82">
        <v>0</v>
      </c>
      <c r="O80" s="82">
        <v>41979.54</v>
      </c>
      <c r="P80" s="82">
        <v>0</v>
      </c>
      <c r="Q80" s="82">
        <v>208396.86</v>
      </c>
      <c r="R80" s="82">
        <v>0</v>
      </c>
      <c r="S80" s="82">
        <v>202020.99</v>
      </c>
      <c r="T80" s="82">
        <v>0</v>
      </c>
      <c r="U80" s="82">
        <v>9976.0400000000009</v>
      </c>
      <c r="V80" s="82">
        <v>0</v>
      </c>
      <c r="W80" s="82">
        <v>0</v>
      </c>
      <c r="X80" s="82">
        <v>0</v>
      </c>
      <c r="Y80" s="82">
        <v>184235.14</v>
      </c>
      <c r="Z80" s="82">
        <v>0</v>
      </c>
      <c r="AA80" s="82">
        <v>190397.04</v>
      </c>
      <c r="AB80" s="82">
        <v>0</v>
      </c>
      <c r="AC80" s="82">
        <v>247566.59</v>
      </c>
      <c r="AD80" s="82">
        <v>0</v>
      </c>
      <c r="AE80" s="91">
        <f t="shared" ref="AE80:AF80" si="13">AC80+AA80+Y80+W80+U80+S80+Q80+O80+M80+K80+I80+G80</f>
        <v>1688819.0699999998</v>
      </c>
      <c r="AF80" s="92">
        <f t="shared" si="13"/>
        <v>0</v>
      </c>
      <c r="AG80" s="53"/>
      <c r="AH80" s="53"/>
    </row>
    <row r="81" spans="1:34">
      <c r="A81" s="51">
        <v>43</v>
      </c>
      <c r="B81" s="257" t="s">
        <v>140</v>
      </c>
      <c r="C81" s="51" t="s">
        <v>698</v>
      </c>
      <c r="D81" s="51" t="s">
        <v>1247</v>
      </c>
      <c r="E81" s="51" t="s">
        <v>1247</v>
      </c>
      <c r="F81" s="50" t="s">
        <v>1247</v>
      </c>
      <c r="G81" s="81"/>
      <c r="H81" s="81"/>
      <c r="I81" s="81"/>
      <c r="J81" s="81"/>
      <c r="K81" s="81"/>
      <c r="L81" s="81"/>
      <c r="M81" s="81"/>
      <c r="N81" s="81"/>
      <c r="O81" s="81"/>
      <c r="P81" s="81"/>
      <c r="Q81" s="81"/>
      <c r="R81" s="81"/>
      <c r="S81" s="81"/>
      <c r="T81" s="81"/>
      <c r="U81" s="81"/>
      <c r="V81" s="81"/>
      <c r="W81" s="81"/>
      <c r="X81" s="81"/>
      <c r="Y81" s="81"/>
      <c r="Z81" s="81"/>
      <c r="AA81" s="81"/>
      <c r="AB81" s="81"/>
      <c r="AC81" s="81"/>
      <c r="AD81" s="81"/>
      <c r="AE81" s="81"/>
      <c r="AF81" s="81"/>
      <c r="AG81" s="51"/>
      <c r="AH81" s="51"/>
    </row>
    <row r="82" spans="1:34">
      <c r="A82" s="892">
        <v>44</v>
      </c>
      <c r="B82" s="892" t="s">
        <v>709</v>
      </c>
      <c r="C82" s="892" t="s">
        <v>710</v>
      </c>
      <c r="D82" s="221" t="s">
        <v>1119</v>
      </c>
      <c r="E82" s="221" t="s">
        <v>1120</v>
      </c>
      <c r="F82" s="222" t="s">
        <v>1121</v>
      </c>
      <c r="G82" s="251">
        <v>70</v>
      </c>
      <c r="H82" s="251">
        <v>630000</v>
      </c>
      <c r="I82" s="251">
        <v>74</v>
      </c>
      <c r="J82" s="251">
        <v>666000</v>
      </c>
      <c r="K82" s="251">
        <v>146</v>
      </c>
      <c r="L82" s="251">
        <v>114000</v>
      </c>
      <c r="M82" s="251">
        <v>74</v>
      </c>
      <c r="N82" s="251">
        <v>666000</v>
      </c>
      <c r="O82" s="251">
        <v>147</v>
      </c>
      <c r="P82" s="251">
        <v>1323000</v>
      </c>
      <c r="Q82" s="251">
        <v>123</v>
      </c>
      <c r="R82" s="251">
        <v>1107000</v>
      </c>
      <c r="S82" s="251">
        <v>53</v>
      </c>
      <c r="T82" s="251">
        <v>477000</v>
      </c>
      <c r="U82" s="251">
        <v>127</v>
      </c>
      <c r="V82" s="251">
        <v>1143000</v>
      </c>
      <c r="W82" s="251">
        <v>89</v>
      </c>
      <c r="X82" s="251">
        <v>801000</v>
      </c>
      <c r="Y82" s="251">
        <v>84</v>
      </c>
      <c r="Z82" s="251">
        <v>756000</v>
      </c>
      <c r="AA82" s="251">
        <v>49</v>
      </c>
      <c r="AB82" s="251">
        <v>441000</v>
      </c>
      <c r="AC82" s="251">
        <v>81</v>
      </c>
      <c r="AD82" s="251">
        <v>729000</v>
      </c>
      <c r="AE82" s="251">
        <f t="shared" ref="AE82:AF83" si="14">AC82+AA82+Y82+W82+U82+S82+Q82+O82+M82+K82+I82+G82</f>
        <v>1117</v>
      </c>
      <c r="AF82" s="251">
        <f t="shared" si="14"/>
        <v>8853000</v>
      </c>
      <c r="AG82" s="221"/>
      <c r="AH82" s="221"/>
    </row>
    <row r="83" spans="1:34" ht="24">
      <c r="A83" s="893"/>
      <c r="B83" s="893"/>
      <c r="C83" s="893"/>
      <c r="D83" s="221" t="s">
        <v>2800</v>
      </c>
      <c r="E83" s="224" t="s">
        <v>2801</v>
      </c>
      <c r="F83" s="222" t="s">
        <v>2802</v>
      </c>
      <c r="G83" s="251">
        <v>194</v>
      </c>
      <c r="H83" s="251">
        <v>849793</v>
      </c>
      <c r="I83" s="251">
        <v>125</v>
      </c>
      <c r="J83" s="251">
        <v>556500</v>
      </c>
      <c r="K83" s="251">
        <v>225</v>
      </c>
      <c r="L83" s="251">
        <v>809500</v>
      </c>
      <c r="M83" s="251"/>
      <c r="N83" s="251"/>
      <c r="O83" s="251">
        <v>25</v>
      </c>
      <c r="P83" s="251">
        <v>113750</v>
      </c>
      <c r="Q83" s="251">
        <v>250</v>
      </c>
      <c r="R83" s="251">
        <v>807250</v>
      </c>
      <c r="S83" s="251"/>
      <c r="T83" s="251"/>
      <c r="U83" s="251"/>
      <c r="V83" s="251"/>
      <c r="W83" s="251">
        <v>96</v>
      </c>
      <c r="X83" s="251">
        <v>332880</v>
      </c>
      <c r="Y83" s="251">
        <v>171</v>
      </c>
      <c r="Z83" s="251">
        <v>496847</v>
      </c>
      <c r="AA83" s="251"/>
      <c r="AB83" s="251"/>
      <c r="AC83" s="251">
        <v>200</v>
      </c>
      <c r="AD83" s="251">
        <v>408750</v>
      </c>
      <c r="AE83" s="251">
        <f t="shared" si="14"/>
        <v>1286</v>
      </c>
      <c r="AF83" s="251">
        <f t="shared" si="14"/>
        <v>4375270</v>
      </c>
      <c r="AG83" s="221"/>
      <c r="AH83" s="221"/>
    </row>
    <row r="84" spans="1:34">
      <c r="A84" s="51">
        <v>45</v>
      </c>
      <c r="B84" s="257" t="s">
        <v>714</v>
      </c>
      <c r="C84" s="51" t="s">
        <v>715</v>
      </c>
      <c r="D84" s="51" t="s">
        <v>1247</v>
      </c>
      <c r="E84" s="51" t="s">
        <v>1247</v>
      </c>
      <c r="F84" s="50" t="s">
        <v>1247</v>
      </c>
      <c r="G84" s="81"/>
      <c r="H84" s="81"/>
      <c r="I84" s="81"/>
      <c r="J84" s="81"/>
      <c r="K84" s="81"/>
      <c r="L84" s="81"/>
      <c r="M84" s="81"/>
      <c r="N84" s="81"/>
      <c r="O84" s="81"/>
      <c r="P84" s="81"/>
      <c r="Q84" s="81"/>
      <c r="R84" s="81"/>
      <c r="S84" s="81"/>
      <c r="T84" s="81"/>
      <c r="U84" s="81"/>
      <c r="V84" s="81"/>
      <c r="W84" s="81"/>
      <c r="X84" s="81"/>
      <c r="Y84" s="81"/>
      <c r="Z84" s="81"/>
      <c r="AA84" s="81"/>
      <c r="AB84" s="81"/>
      <c r="AC84" s="81"/>
      <c r="AD84" s="81"/>
      <c r="AE84" s="81"/>
      <c r="AF84" s="81"/>
      <c r="AG84" s="51"/>
      <c r="AH84" s="51"/>
    </row>
    <row r="85" spans="1:34">
      <c r="A85" s="221">
        <v>46</v>
      </c>
      <c r="B85" s="255" t="s">
        <v>54</v>
      </c>
      <c r="C85" s="221" t="s">
        <v>728</v>
      </c>
      <c r="D85" s="221" t="s">
        <v>1247</v>
      </c>
      <c r="E85" s="221" t="s">
        <v>1247</v>
      </c>
      <c r="F85" s="222" t="s">
        <v>1247</v>
      </c>
      <c r="G85" s="251"/>
      <c r="H85" s="251"/>
      <c r="I85" s="251"/>
      <c r="J85" s="251"/>
      <c r="K85" s="251"/>
      <c r="L85" s="251"/>
      <c r="M85" s="251"/>
      <c r="N85" s="251"/>
      <c r="O85" s="251"/>
      <c r="P85" s="251"/>
      <c r="Q85" s="251"/>
      <c r="R85" s="251"/>
      <c r="S85" s="251"/>
      <c r="T85" s="251"/>
      <c r="U85" s="251"/>
      <c r="V85" s="251"/>
      <c r="W85" s="251"/>
      <c r="X85" s="251"/>
      <c r="Y85" s="251"/>
      <c r="Z85" s="251"/>
      <c r="AA85" s="251"/>
      <c r="AB85" s="251"/>
      <c r="AC85" s="251"/>
      <c r="AD85" s="251"/>
      <c r="AE85" s="251"/>
      <c r="AF85" s="251"/>
      <c r="AG85" s="221"/>
      <c r="AH85" s="221"/>
    </row>
    <row r="86" spans="1:34">
      <c r="A86" s="51">
        <v>47</v>
      </c>
      <c r="B86" s="51" t="s">
        <v>46</v>
      </c>
      <c r="C86" s="51" t="s">
        <v>729</v>
      </c>
      <c r="D86" s="51" t="s">
        <v>1116</v>
      </c>
      <c r="E86" s="51" t="s">
        <v>1117</v>
      </c>
      <c r="F86" s="50" t="s">
        <v>1118</v>
      </c>
      <c r="G86" s="81"/>
      <c r="H86" s="81"/>
      <c r="I86" s="81"/>
      <c r="J86" s="81"/>
      <c r="K86" s="81"/>
      <c r="L86" s="81"/>
      <c r="M86" s="81">
        <v>16000.61</v>
      </c>
      <c r="N86" s="81">
        <v>409180.8</v>
      </c>
      <c r="O86" s="81"/>
      <c r="P86" s="81"/>
      <c r="Q86" s="81"/>
      <c r="R86" s="81"/>
      <c r="S86" s="81"/>
      <c r="T86" s="81"/>
      <c r="U86" s="81"/>
      <c r="V86" s="81"/>
      <c r="W86" s="81"/>
      <c r="X86" s="81"/>
      <c r="Y86" s="81">
        <v>24939.77</v>
      </c>
      <c r="Z86" s="81">
        <v>325121.40000000002</v>
      </c>
      <c r="AA86" s="81"/>
      <c r="AB86" s="81"/>
      <c r="AC86" s="81"/>
      <c r="AD86" s="81"/>
      <c r="AE86" s="81">
        <f t="shared" ref="AE86:AF86" si="15">AC86+AA86+Y86+W86+U86+S86+Q86+O86+M86+K86+I86+G86</f>
        <v>40940.380000000005</v>
      </c>
      <c r="AF86" s="81">
        <f t="shared" si="15"/>
        <v>734302.2</v>
      </c>
      <c r="AG86" s="51"/>
      <c r="AH86" s="51"/>
    </row>
    <row r="87" spans="1:34">
      <c r="A87" s="221">
        <v>48</v>
      </c>
      <c r="B87" s="255" t="s">
        <v>64</v>
      </c>
      <c r="C87" s="221" t="s">
        <v>733</v>
      </c>
      <c r="D87" s="221" t="s">
        <v>1247</v>
      </c>
      <c r="E87" s="221" t="s">
        <v>1247</v>
      </c>
      <c r="F87" s="222" t="s">
        <v>1247</v>
      </c>
      <c r="G87" s="251"/>
      <c r="H87" s="251"/>
      <c r="I87" s="251"/>
      <c r="J87" s="251"/>
      <c r="K87" s="251"/>
      <c r="L87" s="251"/>
      <c r="M87" s="251"/>
      <c r="N87" s="251"/>
      <c r="O87" s="251"/>
      <c r="P87" s="251"/>
      <c r="Q87" s="251"/>
      <c r="R87" s="251"/>
      <c r="S87" s="251"/>
      <c r="T87" s="251"/>
      <c r="U87" s="251"/>
      <c r="V87" s="251"/>
      <c r="W87" s="251"/>
      <c r="X87" s="251"/>
      <c r="Y87" s="251"/>
      <c r="Z87" s="251"/>
      <c r="AA87" s="251"/>
      <c r="AB87" s="251"/>
      <c r="AC87" s="251"/>
      <c r="AD87" s="251"/>
      <c r="AE87" s="251"/>
      <c r="AF87" s="251"/>
      <c r="AG87" s="221"/>
      <c r="AH87" s="221"/>
    </row>
    <row r="88" spans="1:34">
      <c r="A88" s="51">
        <v>49</v>
      </c>
      <c r="B88" s="257" t="s">
        <v>2588</v>
      </c>
      <c r="C88" s="51" t="s">
        <v>790</v>
      </c>
      <c r="D88" s="51" t="s">
        <v>1247</v>
      </c>
      <c r="E88" s="51" t="s">
        <v>1247</v>
      </c>
      <c r="F88" s="50" t="s">
        <v>1247</v>
      </c>
      <c r="G88" s="81"/>
      <c r="H88" s="81"/>
      <c r="I88" s="81"/>
      <c r="J88" s="81"/>
      <c r="K88" s="81"/>
      <c r="L88" s="81"/>
      <c r="M88" s="81"/>
      <c r="N88" s="81"/>
      <c r="O88" s="81"/>
      <c r="P88" s="81"/>
      <c r="Q88" s="81"/>
      <c r="R88" s="81"/>
      <c r="S88" s="81"/>
      <c r="T88" s="81"/>
      <c r="U88" s="81"/>
      <c r="V88" s="81"/>
      <c r="W88" s="81"/>
      <c r="X88" s="81"/>
      <c r="Y88" s="81"/>
      <c r="Z88" s="81"/>
      <c r="AA88" s="81"/>
      <c r="AB88" s="81"/>
      <c r="AC88" s="81"/>
      <c r="AD88" s="81"/>
      <c r="AE88" s="81"/>
      <c r="AF88" s="81"/>
      <c r="AG88" s="51"/>
      <c r="AH88" s="51"/>
    </row>
  </sheetData>
  <autoFilter ref="A6:AI88" xr:uid="{39E2CBC9-1B5E-4DB1-9025-30FF49AC49A7}">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filterColumn colId="24" showButton="0"/>
    <filterColumn colId="26" showButton="0"/>
    <filterColumn colId="28" showButton="0"/>
    <filterColumn colId="30" showButton="0"/>
  </autoFilter>
  <mergeCells count="98">
    <mergeCell ref="O6:P6"/>
    <mergeCell ref="Q6:R6"/>
    <mergeCell ref="A6:A7"/>
    <mergeCell ref="B6:B7"/>
    <mergeCell ref="C6:C7"/>
    <mergeCell ref="D6:D7"/>
    <mergeCell ref="E6:E7"/>
    <mergeCell ref="F6:F7"/>
    <mergeCell ref="AE6:AF6"/>
    <mergeCell ref="AG6:AG7"/>
    <mergeCell ref="AH6:AH7"/>
    <mergeCell ref="A9:A10"/>
    <mergeCell ref="B9:B10"/>
    <mergeCell ref="C9:C10"/>
    <mergeCell ref="S6:T6"/>
    <mergeCell ref="U6:V6"/>
    <mergeCell ref="W6:X6"/>
    <mergeCell ref="Y6:Z6"/>
    <mergeCell ref="AA6:AB6"/>
    <mergeCell ref="AC6:AD6"/>
    <mergeCell ref="G6:H6"/>
    <mergeCell ref="I6:J6"/>
    <mergeCell ref="K6:L6"/>
    <mergeCell ref="M6:N6"/>
    <mergeCell ref="A11:A16"/>
    <mergeCell ref="B11:B16"/>
    <mergeCell ref="C11:C16"/>
    <mergeCell ref="A17:A18"/>
    <mergeCell ref="B17:B18"/>
    <mergeCell ref="C17:C18"/>
    <mergeCell ref="AG19:AG20"/>
    <mergeCell ref="AH19:AH20"/>
    <mergeCell ref="A26:A28"/>
    <mergeCell ref="B26:B28"/>
    <mergeCell ref="C26:C28"/>
    <mergeCell ref="A22:A23"/>
    <mergeCell ref="B22:B23"/>
    <mergeCell ref="C22:C23"/>
    <mergeCell ref="A19:A20"/>
    <mergeCell ref="B19:B20"/>
    <mergeCell ref="C19:C20"/>
    <mergeCell ref="A29:A30"/>
    <mergeCell ref="B29:B30"/>
    <mergeCell ref="C29:C30"/>
    <mergeCell ref="A31:A32"/>
    <mergeCell ref="B31:B32"/>
    <mergeCell ref="C31:C32"/>
    <mergeCell ref="A33:A34"/>
    <mergeCell ref="B33:B34"/>
    <mergeCell ref="C33:C34"/>
    <mergeCell ref="A35:A36"/>
    <mergeCell ref="B35:B36"/>
    <mergeCell ref="C35:C36"/>
    <mergeCell ref="A37:A38"/>
    <mergeCell ref="B37:B38"/>
    <mergeCell ref="C37:C38"/>
    <mergeCell ref="A40:A41"/>
    <mergeCell ref="B40:B41"/>
    <mergeCell ref="C40:C41"/>
    <mergeCell ref="A42:A44"/>
    <mergeCell ref="B42:B44"/>
    <mergeCell ref="C42:C44"/>
    <mergeCell ref="A46:A47"/>
    <mergeCell ref="B46:B47"/>
    <mergeCell ref="C46:C47"/>
    <mergeCell ref="A49:A50"/>
    <mergeCell ref="B49:B50"/>
    <mergeCell ref="C49:C50"/>
    <mergeCell ref="A55:A57"/>
    <mergeCell ref="B55:B57"/>
    <mergeCell ref="C55:C57"/>
    <mergeCell ref="A59:A60"/>
    <mergeCell ref="B59:B60"/>
    <mergeCell ref="C59:C60"/>
    <mergeCell ref="A61:A62"/>
    <mergeCell ref="B61:B62"/>
    <mergeCell ref="C61:C62"/>
    <mergeCell ref="A63:A64"/>
    <mergeCell ref="B63:B64"/>
    <mergeCell ref="C63:C64"/>
    <mergeCell ref="A66:A67"/>
    <mergeCell ref="B66:B67"/>
    <mergeCell ref="C66:C67"/>
    <mergeCell ref="A68:A69"/>
    <mergeCell ref="B68:B69"/>
    <mergeCell ref="C68:C69"/>
    <mergeCell ref="A71:A72"/>
    <mergeCell ref="B71:B72"/>
    <mergeCell ref="C71:C72"/>
    <mergeCell ref="A82:A83"/>
    <mergeCell ref="B82:B83"/>
    <mergeCell ref="C82:C83"/>
    <mergeCell ref="A73:A74"/>
    <mergeCell ref="B73:B74"/>
    <mergeCell ref="C73:C74"/>
    <mergeCell ref="A77:A78"/>
    <mergeCell ref="B77:B78"/>
    <mergeCell ref="C77:C78"/>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B86BE-727D-48B1-BE1B-E738C2A5A629}">
  <sheetPr>
    <tabColor rgb="FF92D050"/>
  </sheetPr>
  <dimension ref="A2:AH11"/>
  <sheetViews>
    <sheetView workbookViewId="0">
      <selection activeCell="D5" sqref="D5:E6"/>
    </sheetView>
  </sheetViews>
  <sheetFormatPr baseColWidth="10" defaultColWidth="11.5" defaultRowHeight="13.5"/>
  <cols>
    <col min="1" max="1" width="11.75" style="531" bestFit="1" customWidth="1"/>
    <col min="2" max="2" width="48.4140625" style="531" bestFit="1" customWidth="1"/>
    <col min="3" max="3" width="11.25" style="531" bestFit="1" customWidth="1"/>
    <col min="4" max="4" width="11.5" style="531"/>
    <col min="5" max="5" width="14.1640625" style="531" bestFit="1" customWidth="1"/>
    <col min="6" max="6" width="21.75" style="531" bestFit="1" customWidth="1"/>
    <col min="7" max="7" width="12.83203125" style="531" bestFit="1" customWidth="1"/>
    <col min="8" max="8" width="3.83203125" style="531" bestFit="1" customWidth="1"/>
    <col min="9" max="9" width="12.4140625" style="531" bestFit="1" customWidth="1"/>
    <col min="10" max="10" width="3.83203125" style="531" bestFit="1" customWidth="1"/>
    <col min="11" max="11" width="12.4140625" style="531" bestFit="1" customWidth="1"/>
    <col min="12" max="12" width="3.83203125" style="531" bestFit="1" customWidth="1"/>
    <col min="13" max="13" width="12.4140625" style="531" bestFit="1" customWidth="1"/>
    <col min="14" max="14" width="3.83203125" style="531" bestFit="1" customWidth="1"/>
    <col min="15" max="15" width="12.4140625" style="531" bestFit="1" customWidth="1"/>
    <col min="16" max="16" width="3.83203125" style="531" bestFit="1" customWidth="1"/>
    <col min="17" max="17" width="12.4140625" style="531" bestFit="1" customWidth="1"/>
    <col min="18" max="18" width="3.83203125" style="531" bestFit="1" customWidth="1"/>
    <col min="19" max="19" width="12.4140625" style="531" bestFit="1" customWidth="1"/>
    <col min="20" max="20" width="3.83203125" style="531" bestFit="1" customWidth="1"/>
    <col min="21" max="21" width="12.4140625" style="531" bestFit="1" customWidth="1"/>
    <col min="22" max="22" width="3.83203125" style="531" bestFit="1" customWidth="1"/>
    <col min="23" max="23" width="12.4140625" style="531" bestFit="1" customWidth="1"/>
    <col min="24" max="24" width="3.83203125" style="531" bestFit="1" customWidth="1"/>
    <col min="25" max="25" width="12.4140625" style="531" bestFit="1" customWidth="1"/>
    <col min="26" max="26" width="3.83203125" style="531" bestFit="1" customWidth="1"/>
    <col min="27" max="27" width="12.4140625" style="531" bestFit="1" customWidth="1"/>
    <col min="28" max="28" width="3.83203125" style="531" bestFit="1" customWidth="1"/>
    <col min="29" max="29" width="12.4140625" style="531" bestFit="1" customWidth="1"/>
    <col min="30" max="30" width="3.83203125" style="531" bestFit="1" customWidth="1"/>
    <col min="31" max="31" width="14.25" style="531" bestFit="1" customWidth="1"/>
    <col min="32" max="32" width="5.25" style="531" bestFit="1" customWidth="1"/>
    <col min="33" max="33" width="7" style="531" bestFit="1" customWidth="1"/>
    <col min="34" max="34" width="6.5" style="531" bestFit="1" customWidth="1"/>
    <col min="35" max="16384" width="11.5" style="531"/>
  </cols>
  <sheetData>
    <row r="2" spans="1:34">
      <c r="A2" s="535" t="s">
        <v>8288</v>
      </c>
    </row>
    <row r="5" spans="1:34" ht="14" thickBot="1">
      <c r="A5" s="860" t="s">
        <v>519</v>
      </c>
      <c r="B5" s="860" t="s">
        <v>520</v>
      </c>
      <c r="C5" s="860" t="s">
        <v>521</v>
      </c>
      <c r="D5" s="861" t="s">
        <v>8289</v>
      </c>
      <c r="E5" s="860" t="s">
        <v>8290</v>
      </c>
      <c r="F5" s="861" t="s">
        <v>8291</v>
      </c>
      <c r="G5" s="943">
        <v>44927</v>
      </c>
      <c r="H5" s="860"/>
      <c r="I5" s="943">
        <v>44958</v>
      </c>
      <c r="J5" s="860"/>
      <c r="K5" s="943">
        <v>44986</v>
      </c>
      <c r="L5" s="860"/>
      <c r="M5" s="943">
        <v>45017</v>
      </c>
      <c r="N5" s="860"/>
      <c r="O5" s="943">
        <v>45047</v>
      </c>
      <c r="P5" s="860"/>
      <c r="Q5" s="943">
        <v>45078</v>
      </c>
      <c r="R5" s="860"/>
      <c r="S5" s="943">
        <v>45108</v>
      </c>
      <c r="T5" s="860"/>
      <c r="U5" s="943">
        <v>45139</v>
      </c>
      <c r="V5" s="860"/>
      <c r="W5" s="943">
        <v>45170</v>
      </c>
      <c r="X5" s="860"/>
      <c r="Y5" s="943">
        <v>45200</v>
      </c>
      <c r="Z5" s="860"/>
      <c r="AA5" s="943">
        <v>45231</v>
      </c>
      <c r="AB5" s="860"/>
      <c r="AC5" s="943">
        <v>45261</v>
      </c>
      <c r="AD5" s="860"/>
      <c r="AE5" s="860" t="s">
        <v>1078</v>
      </c>
      <c r="AF5" s="860"/>
      <c r="AG5" s="860" t="s">
        <v>1079</v>
      </c>
      <c r="AH5" s="860" t="s">
        <v>1080</v>
      </c>
    </row>
    <row r="6" spans="1:34">
      <c r="A6" s="861"/>
      <c r="B6" s="861"/>
      <c r="C6" s="861"/>
      <c r="D6" s="944"/>
      <c r="E6" s="861"/>
      <c r="F6" s="944"/>
      <c r="G6" s="642" t="s">
        <v>1081</v>
      </c>
      <c r="H6" s="643" t="s">
        <v>1082</v>
      </c>
      <c r="I6" s="642" t="s">
        <v>1081</v>
      </c>
      <c r="J6" s="643" t="s">
        <v>1082</v>
      </c>
      <c r="K6" s="642" t="s">
        <v>1081</v>
      </c>
      <c r="L6" s="643" t="s">
        <v>1082</v>
      </c>
      <c r="M6" s="642" t="s">
        <v>1081</v>
      </c>
      <c r="N6" s="643" t="s">
        <v>1082</v>
      </c>
      <c r="O6" s="642" t="s">
        <v>1081</v>
      </c>
      <c r="P6" s="643" t="s">
        <v>1082</v>
      </c>
      <c r="Q6" s="642" t="s">
        <v>1081</v>
      </c>
      <c r="R6" s="643" t="s">
        <v>1082</v>
      </c>
      <c r="S6" s="642" t="s">
        <v>1081</v>
      </c>
      <c r="T6" s="643" t="s">
        <v>1082</v>
      </c>
      <c r="U6" s="642" t="s">
        <v>1081</v>
      </c>
      <c r="V6" s="643" t="s">
        <v>1082</v>
      </c>
      <c r="W6" s="642" t="s">
        <v>1081</v>
      </c>
      <c r="X6" s="643" t="s">
        <v>1082</v>
      </c>
      <c r="Y6" s="642" t="s">
        <v>1081</v>
      </c>
      <c r="Z6" s="643" t="s">
        <v>1082</v>
      </c>
      <c r="AA6" s="642" t="s">
        <v>1081</v>
      </c>
      <c r="AB6" s="643" t="s">
        <v>1082</v>
      </c>
      <c r="AC6" s="642" t="s">
        <v>1081</v>
      </c>
      <c r="AD6" s="643" t="s">
        <v>1082</v>
      </c>
      <c r="AE6" s="588" t="s">
        <v>1081</v>
      </c>
      <c r="AF6" s="588" t="s">
        <v>1082</v>
      </c>
      <c r="AG6" s="861"/>
      <c r="AH6" s="861"/>
    </row>
    <row r="7" spans="1:34">
      <c r="A7" s="644">
        <v>1</v>
      </c>
      <c r="B7" s="644" t="s">
        <v>755</v>
      </c>
      <c r="C7" s="644" t="s">
        <v>756</v>
      </c>
      <c r="D7" s="645" t="s">
        <v>8292</v>
      </c>
      <c r="E7" s="645" t="s">
        <v>8293</v>
      </c>
      <c r="F7" s="646" t="s">
        <v>8294</v>
      </c>
      <c r="G7" s="647">
        <v>208920.5</v>
      </c>
      <c r="H7" s="647"/>
      <c r="I7" s="647">
        <v>192959.5</v>
      </c>
      <c r="J7" s="647"/>
      <c r="K7" s="647">
        <v>197355</v>
      </c>
      <c r="L7" s="647"/>
      <c r="M7" s="647">
        <v>190600.5</v>
      </c>
      <c r="N7" s="647"/>
      <c r="O7" s="647">
        <v>170702.5</v>
      </c>
      <c r="P7" s="647"/>
      <c r="Q7" s="647">
        <v>172421</v>
      </c>
      <c r="R7" s="647"/>
      <c r="S7" s="647">
        <v>188455.5</v>
      </c>
      <c r="T7" s="647"/>
      <c r="U7" s="647">
        <v>180315.5</v>
      </c>
      <c r="V7" s="647"/>
      <c r="W7" s="647">
        <v>162834.5</v>
      </c>
      <c r="X7" s="647"/>
      <c r="Y7" s="647">
        <v>170623</v>
      </c>
      <c r="Z7" s="647"/>
      <c r="AA7" s="647">
        <v>175222.5</v>
      </c>
      <c r="AB7" s="647"/>
      <c r="AC7" s="647">
        <v>188334</v>
      </c>
      <c r="AD7" s="647"/>
      <c r="AE7" s="647">
        <f t="shared" ref="AE7:AF10" si="0">AC7+AA7+Y7+W7+U7+S7+Q7+O7+M7+K7+I7+G7</f>
        <v>2198744</v>
      </c>
      <c r="AF7" s="647">
        <f t="shared" si="0"/>
        <v>0</v>
      </c>
      <c r="AG7" s="645"/>
      <c r="AH7" s="645"/>
    </row>
    <row r="8" spans="1:34">
      <c r="A8" s="648">
        <v>2</v>
      </c>
      <c r="B8" s="648" t="s">
        <v>759</v>
      </c>
      <c r="C8" s="648" t="s">
        <v>760</v>
      </c>
      <c r="D8" s="649" t="s">
        <v>8292</v>
      </c>
      <c r="E8" s="649" t="s">
        <v>8293</v>
      </c>
      <c r="F8" s="650" t="s">
        <v>8294</v>
      </c>
      <c r="G8" s="651">
        <v>134879.0748</v>
      </c>
      <c r="H8" s="651"/>
      <c r="I8" s="651">
        <v>124574.65319999999</v>
      </c>
      <c r="J8" s="651"/>
      <c r="K8" s="651">
        <v>127412.38799999999</v>
      </c>
      <c r="L8" s="651"/>
      <c r="M8" s="651">
        <v>123051.6828</v>
      </c>
      <c r="N8" s="651"/>
      <c r="O8" s="651">
        <v>110205.53399999999</v>
      </c>
      <c r="P8" s="651"/>
      <c r="Q8" s="651">
        <v>111314.99759999999</v>
      </c>
      <c r="R8" s="651"/>
      <c r="S8" s="651">
        <v>121666.87079999999</v>
      </c>
      <c r="T8" s="651"/>
      <c r="U8" s="651">
        <v>116411.6868</v>
      </c>
      <c r="V8" s="651"/>
      <c r="W8" s="651">
        <v>105125.95319999999</v>
      </c>
      <c r="X8" s="651"/>
      <c r="Y8" s="651">
        <v>110154.20879999999</v>
      </c>
      <c r="Z8" s="651"/>
      <c r="AA8" s="651">
        <v>113123.64599999999</v>
      </c>
      <c r="AB8" s="651"/>
      <c r="AC8" s="651">
        <v>121588.4304</v>
      </c>
      <c r="AD8" s="651"/>
      <c r="AE8" s="651">
        <f t="shared" si="0"/>
        <v>1419509.1264</v>
      </c>
      <c r="AF8" s="651">
        <f t="shared" si="0"/>
        <v>0</v>
      </c>
      <c r="AG8" s="649"/>
      <c r="AH8" s="649"/>
    </row>
    <row r="9" spans="1:34">
      <c r="A9" s="644">
        <v>3</v>
      </c>
      <c r="B9" s="644" t="s">
        <v>761</v>
      </c>
      <c r="C9" s="644" t="s">
        <v>762</v>
      </c>
      <c r="D9" s="645" t="s">
        <v>8292</v>
      </c>
      <c r="E9" s="645" t="s">
        <v>8293</v>
      </c>
      <c r="F9" s="646" t="s">
        <v>8294</v>
      </c>
      <c r="G9" s="647">
        <v>74041.425199999998</v>
      </c>
      <c r="H9" s="647"/>
      <c r="I9" s="647">
        <v>68384.846799999999</v>
      </c>
      <c r="J9" s="647"/>
      <c r="K9" s="647">
        <v>69942.611999999994</v>
      </c>
      <c r="L9" s="647"/>
      <c r="M9" s="647">
        <v>67548.817200000005</v>
      </c>
      <c r="N9" s="647"/>
      <c r="O9" s="647">
        <v>60496.966</v>
      </c>
      <c r="P9" s="647"/>
      <c r="Q9" s="647">
        <v>61106.002399999998</v>
      </c>
      <c r="R9" s="647"/>
      <c r="S9" s="647">
        <v>66788.629199999996</v>
      </c>
      <c r="T9" s="647"/>
      <c r="U9" s="647">
        <v>63903.813199999997</v>
      </c>
      <c r="V9" s="647"/>
      <c r="W9" s="647">
        <v>57708.546799999996</v>
      </c>
      <c r="X9" s="647"/>
      <c r="Y9" s="647">
        <v>60468.7912</v>
      </c>
      <c r="Z9" s="647"/>
      <c r="AA9" s="647">
        <v>62098.853999999999</v>
      </c>
      <c r="AB9" s="647"/>
      <c r="AC9" s="647">
        <v>66745.569600000003</v>
      </c>
      <c r="AD9" s="647"/>
      <c r="AE9" s="647">
        <f t="shared" si="0"/>
        <v>779234.87360000005</v>
      </c>
      <c r="AF9" s="647">
        <f t="shared" si="0"/>
        <v>0</v>
      </c>
      <c r="AG9" s="645"/>
      <c r="AH9" s="645"/>
    </row>
    <row r="10" spans="1:34">
      <c r="A10" s="648">
        <v>4</v>
      </c>
      <c r="B10" s="648" t="s">
        <v>763</v>
      </c>
      <c r="C10" s="648" t="s">
        <v>764</v>
      </c>
      <c r="D10" s="649" t="s">
        <v>8292</v>
      </c>
      <c r="E10" s="649" t="s">
        <v>8293</v>
      </c>
      <c r="F10" s="650" t="s">
        <v>8294</v>
      </c>
      <c r="G10" s="651">
        <v>139023.38858</v>
      </c>
      <c r="H10" s="651"/>
      <c r="I10" s="651">
        <v>127122.65139</v>
      </c>
      <c r="J10" s="651"/>
      <c r="K10" s="651">
        <v>155487.947755</v>
      </c>
      <c r="L10" s="651"/>
      <c r="M10" s="651">
        <v>151494.67170000001</v>
      </c>
      <c r="N10" s="651"/>
      <c r="O10" s="651">
        <v>137055.38694</v>
      </c>
      <c r="P10" s="651"/>
      <c r="Q10" s="651">
        <v>145585.21223</v>
      </c>
      <c r="R10" s="651"/>
      <c r="S10" s="651">
        <v>145073.029985</v>
      </c>
      <c r="T10" s="651"/>
      <c r="U10" s="651">
        <v>140526.11710500001</v>
      </c>
      <c r="V10" s="651"/>
      <c r="W10" s="651">
        <v>132804.65612500001</v>
      </c>
      <c r="X10" s="651"/>
      <c r="Y10" s="651">
        <v>136736.29576500002</v>
      </c>
      <c r="Z10" s="651"/>
      <c r="AA10" s="651">
        <v>121006.464475</v>
      </c>
      <c r="AB10" s="651"/>
      <c r="AC10" s="651">
        <v>121975.192555</v>
      </c>
      <c r="AD10" s="651"/>
      <c r="AE10" s="651">
        <f t="shared" si="0"/>
        <v>1653891.0146050001</v>
      </c>
      <c r="AF10" s="651">
        <f t="shared" si="0"/>
        <v>0</v>
      </c>
      <c r="AG10" s="649"/>
      <c r="AH10" s="649"/>
    </row>
    <row r="11" spans="1:34">
      <c r="A11" s="644">
        <v>5</v>
      </c>
      <c r="B11" s="644" t="s">
        <v>765</v>
      </c>
      <c r="C11" s="644" t="s">
        <v>766</v>
      </c>
      <c r="D11" s="645" t="s">
        <v>8292</v>
      </c>
      <c r="E11" s="645" t="s">
        <v>8293</v>
      </c>
      <c r="F11" s="646" t="s">
        <v>8294</v>
      </c>
      <c r="G11" s="647">
        <v>115852.61142</v>
      </c>
      <c r="H11" s="647"/>
      <c r="I11" s="647">
        <v>105935.34861</v>
      </c>
      <c r="J11" s="647"/>
      <c r="K11" s="647">
        <v>129573.052245</v>
      </c>
      <c r="L11" s="647"/>
      <c r="M11" s="647">
        <v>126245.32829999999</v>
      </c>
      <c r="N11" s="647"/>
      <c r="O11" s="647">
        <v>114212.61305999999</v>
      </c>
      <c r="P11" s="647"/>
      <c r="Q11" s="647">
        <v>121320.78777</v>
      </c>
      <c r="R11" s="647"/>
      <c r="S11" s="647">
        <v>120893.970015</v>
      </c>
      <c r="T11" s="647"/>
      <c r="U11" s="647">
        <v>117104.88289499999</v>
      </c>
      <c r="V11" s="647"/>
      <c r="W11" s="647">
        <v>110670.34387499999</v>
      </c>
      <c r="X11" s="647"/>
      <c r="Y11" s="647">
        <v>113946.704235</v>
      </c>
      <c r="Z11" s="647"/>
      <c r="AA11" s="647">
        <v>100838.535525</v>
      </c>
      <c r="AB11" s="647"/>
      <c r="AC11" s="647">
        <v>101646</v>
      </c>
      <c r="AD11" s="647"/>
      <c r="AE11" s="647">
        <f>AC11+AA11+Y11+W11+U11+S11+Q11+O11+M11+K11+I11+G11</f>
        <v>1378240.1779499999</v>
      </c>
      <c r="AF11" s="647"/>
      <c r="AG11" s="645"/>
      <c r="AH11" s="645"/>
    </row>
  </sheetData>
  <mergeCells count="21">
    <mergeCell ref="M5:N5"/>
    <mergeCell ref="O5:P5"/>
    <mergeCell ref="Q5:R5"/>
    <mergeCell ref="A5:A6"/>
    <mergeCell ref="B5:B6"/>
    <mergeCell ref="C5:C6"/>
    <mergeCell ref="D5:D6"/>
    <mergeCell ref="E5:E6"/>
    <mergeCell ref="F5:F6"/>
    <mergeCell ref="G5:H5"/>
    <mergeCell ref="I5:J5"/>
    <mergeCell ref="K5:L5"/>
    <mergeCell ref="AE5:AF5"/>
    <mergeCell ref="AG5:AG6"/>
    <mergeCell ref="AH5:AH6"/>
    <mergeCell ref="S5:T5"/>
    <mergeCell ref="U5:V5"/>
    <mergeCell ref="W5:X5"/>
    <mergeCell ref="Y5:Z5"/>
    <mergeCell ref="AA5:AB5"/>
    <mergeCell ref="AC5:AD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0F955-45F6-4C8E-915A-5A0FAB4FBA17}">
  <sheetPr>
    <tabColor rgb="FF92D050"/>
  </sheetPr>
  <dimension ref="A2:AI87"/>
  <sheetViews>
    <sheetView showGridLines="0" zoomScaleNormal="100" workbookViewId="0">
      <pane xSplit="3" ySplit="7" topLeftCell="E71" activePane="bottomRight" state="frozen"/>
      <selection activeCell="A2" sqref="A2"/>
      <selection pane="topRight" activeCell="A2" sqref="A2"/>
      <selection pane="bottomLeft" activeCell="A2" sqref="A2"/>
      <selection pane="bottomRight" activeCell="E84" sqref="E84"/>
    </sheetView>
  </sheetViews>
  <sheetFormatPr baseColWidth="10" defaultColWidth="11.5" defaultRowHeight="14"/>
  <cols>
    <col min="2" max="2" width="47.75" bestFit="1" customWidth="1"/>
    <col min="3" max="3" width="9.75" bestFit="1" customWidth="1"/>
    <col min="4" max="4" width="37.1640625" bestFit="1" customWidth="1"/>
    <col min="5" max="5" width="11" bestFit="1" customWidth="1"/>
    <col min="6" max="6" width="13.25" bestFit="1" customWidth="1"/>
    <col min="7" max="7" width="12.25" bestFit="1" customWidth="1"/>
    <col min="8" max="8" width="13.25" bestFit="1" customWidth="1"/>
    <col min="9" max="9" width="12.25" bestFit="1" customWidth="1"/>
    <col min="10" max="10" width="13.25" bestFit="1" customWidth="1"/>
    <col min="11" max="11" width="12.25" bestFit="1" customWidth="1"/>
    <col min="12" max="12" width="13.25" bestFit="1" customWidth="1"/>
    <col min="13" max="13" width="12.25" bestFit="1" customWidth="1"/>
    <col min="14" max="14" width="13.25" bestFit="1" customWidth="1"/>
    <col min="15" max="15" width="12.25" bestFit="1" customWidth="1"/>
    <col min="16" max="16" width="13.25" bestFit="1" customWidth="1"/>
    <col min="17" max="17" width="12.25" bestFit="1" customWidth="1"/>
    <col min="18" max="18" width="13.25" bestFit="1" customWidth="1"/>
    <col min="19" max="19" width="12.25" bestFit="1" customWidth="1"/>
    <col min="20" max="20" width="13.25" bestFit="1" customWidth="1"/>
    <col min="21" max="21" width="12.25" bestFit="1" customWidth="1"/>
    <col min="22" max="22" width="13.25" bestFit="1" customWidth="1"/>
    <col min="23" max="23" width="12.25" bestFit="1" customWidth="1"/>
    <col min="24" max="24" width="13.25" bestFit="1" customWidth="1"/>
    <col min="25" max="25" width="12.25" bestFit="1" customWidth="1"/>
    <col min="26" max="26" width="13.25" bestFit="1" customWidth="1"/>
    <col min="27" max="27" width="14.5" bestFit="1" customWidth="1"/>
    <col min="28" max="28" width="13.25" bestFit="1" customWidth="1"/>
    <col min="29" max="30" width="14.75" bestFit="1" customWidth="1"/>
    <col min="31" max="31" width="31" bestFit="1" customWidth="1"/>
    <col min="32" max="32" width="20.1640625" bestFit="1" customWidth="1"/>
    <col min="33" max="33" width="9.83203125" bestFit="1" customWidth="1"/>
    <col min="34" max="34" width="8.4140625" bestFit="1" customWidth="1"/>
    <col min="35" max="35" width="33.83203125" bestFit="1" customWidth="1"/>
  </cols>
  <sheetData>
    <row r="2" spans="1:34" ht="15.5">
      <c r="A2" s="7" t="s">
        <v>8282</v>
      </c>
      <c r="E2" s="43" t="s">
        <v>516</v>
      </c>
      <c r="F2" s="43">
        <v>49</v>
      </c>
    </row>
    <row r="3" spans="1:34">
      <c r="E3" s="43" t="s">
        <v>517</v>
      </c>
      <c r="F3" s="43">
        <f>+F2-F4</f>
        <v>39</v>
      </c>
    </row>
    <row r="4" spans="1:34">
      <c r="E4" s="45" t="s">
        <v>518</v>
      </c>
      <c r="F4" s="45">
        <v>10</v>
      </c>
    </row>
    <row r="6" spans="1:34" ht="14.5" thickBot="1">
      <c r="A6" s="854" t="s">
        <v>519</v>
      </c>
      <c r="B6" s="854" t="s">
        <v>520</v>
      </c>
      <c r="C6" s="854" t="s">
        <v>521</v>
      </c>
      <c r="D6" s="854" t="s">
        <v>1077</v>
      </c>
      <c r="E6" s="942">
        <v>44927</v>
      </c>
      <c r="F6" s="854"/>
      <c r="G6" s="942">
        <v>44958</v>
      </c>
      <c r="H6" s="854"/>
      <c r="I6" s="942">
        <v>44986</v>
      </c>
      <c r="J6" s="854"/>
      <c r="K6" s="942">
        <v>45017</v>
      </c>
      <c r="L6" s="854"/>
      <c r="M6" s="942">
        <v>45047</v>
      </c>
      <c r="N6" s="854"/>
      <c r="O6" s="942">
        <v>45078</v>
      </c>
      <c r="P6" s="854"/>
      <c r="Q6" s="942">
        <v>45108</v>
      </c>
      <c r="R6" s="854"/>
      <c r="S6" s="942">
        <v>45139</v>
      </c>
      <c r="T6" s="854"/>
      <c r="U6" s="942">
        <v>45170</v>
      </c>
      <c r="V6" s="854"/>
      <c r="W6" s="942">
        <v>45200</v>
      </c>
      <c r="X6" s="854"/>
      <c r="Y6" s="942">
        <v>45231</v>
      </c>
      <c r="Z6" s="854"/>
      <c r="AA6" s="942">
        <v>45261</v>
      </c>
      <c r="AB6" s="854"/>
      <c r="AC6" s="854" t="s">
        <v>1078</v>
      </c>
      <c r="AD6" s="854"/>
      <c r="AE6" s="855" t="s">
        <v>1122</v>
      </c>
      <c r="AF6" s="855" t="s">
        <v>1123</v>
      </c>
      <c r="AG6" s="854" t="s">
        <v>1079</v>
      </c>
      <c r="AH6" s="854" t="s">
        <v>1080</v>
      </c>
    </row>
    <row r="7" spans="1:34">
      <c r="A7" s="855"/>
      <c r="B7" s="855"/>
      <c r="C7" s="855"/>
      <c r="D7" s="855"/>
      <c r="E7" s="89" t="s">
        <v>1081</v>
      </c>
      <c r="F7" s="90" t="s">
        <v>1082</v>
      </c>
      <c r="G7" s="89" t="s">
        <v>1081</v>
      </c>
      <c r="H7" s="90" t="s">
        <v>1082</v>
      </c>
      <c r="I7" s="89" t="s">
        <v>1081</v>
      </c>
      <c r="J7" s="90" t="s">
        <v>1082</v>
      </c>
      <c r="K7" s="89" t="s">
        <v>1081</v>
      </c>
      <c r="L7" s="90" t="s">
        <v>1082</v>
      </c>
      <c r="M7" s="89" t="s">
        <v>1081</v>
      </c>
      <c r="N7" s="90" t="s">
        <v>1082</v>
      </c>
      <c r="O7" s="89" t="s">
        <v>1081</v>
      </c>
      <c r="P7" s="90" t="s">
        <v>1082</v>
      </c>
      <c r="Q7" s="89" t="s">
        <v>1081</v>
      </c>
      <c r="R7" s="90" t="s">
        <v>1082</v>
      </c>
      <c r="S7" s="89" t="s">
        <v>1081</v>
      </c>
      <c r="T7" s="90" t="s">
        <v>1082</v>
      </c>
      <c r="U7" s="89" t="s">
        <v>1081</v>
      </c>
      <c r="V7" s="90" t="s">
        <v>1082</v>
      </c>
      <c r="W7" s="89" t="s">
        <v>1081</v>
      </c>
      <c r="X7" s="90" t="s">
        <v>1082</v>
      </c>
      <c r="Y7" s="89" t="s">
        <v>1081</v>
      </c>
      <c r="Z7" s="90" t="s">
        <v>1082</v>
      </c>
      <c r="AA7" s="89" t="s">
        <v>1081</v>
      </c>
      <c r="AB7" s="90" t="s">
        <v>1082</v>
      </c>
      <c r="AC7" s="46" t="s">
        <v>1081</v>
      </c>
      <c r="AD7" s="46" t="s">
        <v>1082</v>
      </c>
      <c r="AE7" s="856"/>
      <c r="AF7" s="856"/>
      <c r="AG7" s="855"/>
      <c r="AH7" s="855"/>
    </row>
    <row r="8" spans="1:34">
      <c r="A8" s="48">
        <v>1</v>
      </c>
      <c r="B8" s="248" t="s">
        <v>69</v>
      </c>
      <c r="C8" s="48" t="s">
        <v>528</v>
      </c>
      <c r="D8" s="51" t="s">
        <v>1247</v>
      </c>
      <c r="E8" s="81">
        <v>0</v>
      </c>
      <c r="F8" s="81">
        <v>0</v>
      </c>
      <c r="G8" s="81">
        <v>0</v>
      </c>
      <c r="H8" s="81">
        <v>0</v>
      </c>
      <c r="I8" s="81">
        <v>0</v>
      </c>
      <c r="J8" s="81">
        <v>0</v>
      </c>
      <c r="K8" s="81">
        <v>0</v>
      </c>
      <c r="L8" s="81">
        <v>0</v>
      </c>
      <c r="M8" s="81">
        <v>0</v>
      </c>
      <c r="N8" s="81">
        <v>0</v>
      </c>
      <c r="O8" s="81">
        <v>0</v>
      </c>
      <c r="P8" s="81">
        <v>0</v>
      </c>
      <c r="Q8" s="81">
        <v>0</v>
      </c>
      <c r="R8" s="81">
        <v>0</v>
      </c>
      <c r="S8" s="81">
        <v>0</v>
      </c>
      <c r="T8" s="81">
        <v>0</v>
      </c>
      <c r="U8" s="81">
        <v>0</v>
      </c>
      <c r="V8" s="81">
        <v>0</v>
      </c>
      <c r="W8" s="81">
        <v>0</v>
      </c>
      <c r="X8" s="81">
        <v>0</v>
      </c>
      <c r="Y8" s="81">
        <v>0</v>
      </c>
      <c r="Z8" s="81">
        <v>0</v>
      </c>
      <c r="AA8" s="81">
        <v>0</v>
      </c>
      <c r="AB8" s="81">
        <v>0</v>
      </c>
      <c r="AC8" s="81"/>
      <c r="AD8" s="81">
        <f>AB8+Z8+X8+V8+T8+R8+P8+N8+L8+J8+H8+F8</f>
        <v>0</v>
      </c>
      <c r="AE8" s="51"/>
      <c r="AF8" s="51"/>
      <c r="AG8" s="51"/>
      <c r="AH8" s="51"/>
    </row>
    <row r="9" spans="1:34">
      <c r="A9" s="915">
        <v>2</v>
      </c>
      <c r="B9" s="892" t="s">
        <v>534</v>
      </c>
      <c r="C9" s="915" t="s">
        <v>535</v>
      </c>
      <c r="D9" s="53" t="s">
        <v>1084</v>
      </c>
      <c r="E9" s="82">
        <v>0</v>
      </c>
      <c r="F9" s="82">
        <v>0</v>
      </c>
      <c r="G9" s="82">
        <v>0</v>
      </c>
      <c r="H9" s="82">
        <v>0</v>
      </c>
      <c r="I9" s="82">
        <v>0</v>
      </c>
      <c r="J9" s="82">
        <v>0</v>
      </c>
      <c r="K9" s="82">
        <v>298.35893353450558</v>
      </c>
      <c r="L9" s="82">
        <v>2426929</v>
      </c>
      <c r="M9" s="82">
        <v>423.94500083597075</v>
      </c>
      <c r="N9" s="82">
        <v>3404928</v>
      </c>
      <c r="O9" s="82">
        <v>902.54984095690577</v>
      </c>
      <c r="P9" s="82">
        <v>7442875</v>
      </c>
      <c r="Q9" s="82">
        <v>3161.9469441164215</v>
      </c>
      <c r="R9" s="82">
        <v>25849603</v>
      </c>
      <c r="S9" s="82">
        <v>2739.2344739639339</v>
      </c>
      <c r="T9" s="82">
        <v>23070278</v>
      </c>
      <c r="U9" s="82">
        <v>5752.5946411361574</v>
      </c>
      <c r="V9" s="82">
        <v>46970975</v>
      </c>
      <c r="W9" s="82">
        <v>4417.8517954242889</v>
      </c>
      <c r="X9" s="82">
        <v>38240732</v>
      </c>
      <c r="Y9" s="82">
        <v>4494.6508804305022</v>
      </c>
      <c r="Z9" s="82">
        <v>40932193</v>
      </c>
      <c r="AA9" s="82">
        <v>4016.1014042394245</v>
      </c>
      <c r="AB9" s="82">
        <v>37843971</v>
      </c>
      <c r="AC9" s="82">
        <f>AA9+Y9+W9+U9+S9+Q9+O9+M9+K9+I9+G9+E9</f>
        <v>26207.233914638109</v>
      </c>
      <c r="AD9" s="82">
        <f>AB9+Z9+X9+V9+T9+R9+P9+N9+L9+J9+H9+F9</f>
        <v>226182484</v>
      </c>
      <c r="AE9" s="53"/>
      <c r="AF9" s="53"/>
      <c r="AG9" s="53"/>
      <c r="AH9" s="53"/>
    </row>
    <row r="10" spans="1:34">
      <c r="A10" s="916"/>
      <c r="B10" s="893"/>
      <c r="C10" s="916"/>
      <c r="D10" s="53" t="s">
        <v>1087</v>
      </c>
      <c r="E10" s="82">
        <v>0</v>
      </c>
      <c r="F10" s="82">
        <v>0</v>
      </c>
      <c r="G10" s="82">
        <v>0</v>
      </c>
      <c r="H10" s="82">
        <v>0</v>
      </c>
      <c r="I10" s="82">
        <v>0</v>
      </c>
      <c r="J10" s="82">
        <v>0</v>
      </c>
      <c r="K10" s="82">
        <v>0</v>
      </c>
      <c r="L10" s="82">
        <v>0</v>
      </c>
      <c r="M10" s="82">
        <v>45027.24589687142</v>
      </c>
      <c r="N10" s="82">
        <v>193459118</v>
      </c>
      <c r="O10" s="82">
        <v>32235.98986221047</v>
      </c>
      <c r="P10" s="82">
        <v>144300058</v>
      </c>
      <c r="Q10" s="82">
        <v>58981.397561269667</v>
      </c>
      <c r="R10" s="82">
        <v>259606772</v>
      </c>
      <c r="S10" s="82">
        <v>58810.456560682993</v>
      </c>
      <c r="T10" s="82">
        <v>264697423</v>
      </c>
      <c r="U10" s="82">
        <v>52886.294987024077</v>
      </c>
      <c r="V10" s="82">
        <v>243738519</v>
      </c>
      <c r="W10" s="82">
        <v>40663.362603074442</v>
      </c>
      <c r="X10" s="82">
        <v>182981024</v>
      </c>
      <c r="Y10" s="82">
        <v>42550.50326935319</v>
      </c>
      <c r="Z10" s="82">
        <v>188868386</v>
      </c>
      <c r="AA10" s="82">
        <v>49256.300382148846</v>
      </c>
      <c r="AB10" s="82">
        <v>200545309</v>
      </c>
      <c r="AC10" s="82">
        <f>AA10+Y10+W10+U10+S10+Q10+O10+M10+K10+I10+G10+E10</f>
        <v>380411.55112263514</v>
      </c>
      <c r="AD10" s="82">
        <f>AB10+Z10+X10+V10+T10+R10+P10+N10+L10+J10+H10+F10</f>
        <v>1678196609</v>
      </c>
      <c r="AE10" s="53"/>
      <c r="AF10" s="53"/>
      <c r="AG10" s="53"/>
      <c r="AH10" s="53"/>
    </row>
    <row r="11" spans="1:34">
      <c r="A11" s="889">
        <v>3</v>
      </c>
      <c r="B11" s="902" t="s">
        <v>539</v>
      </c>
      <c r="C11" s="889" t="s">
        <v>540</v>
      </c>
      <c r="D11" s="81" t="s">
        <v>1088</v>
      </c>
      <c r="E11" s="81">
        <v>150.429</v>
      </c>
      <c r="F11" s="81">
        <v>-3768532.47</v>
      </c>
      <c r="G11" s="81">
        <v>106.898</v>
      </c>
      <c r="H11" s="81">
        <v>1492104.97</v>
      </c>
      <c r="I11" s="81">
        <v>132.84800000000001</v>
      </c>
      <c r="J11" s="81">
        <v>1915994.75</v>
      </c>
      <c r="K11" s="81">
        <v>28.561</v>
      </c>
      <c r="L11" s="81">
        <v>414203.65</v>
      </c>
      <c r="M11" s="81">
        <v>0</v>
      </c>
      <c r="N11" s="81">
        <v>0</v>
      </c>
      <c r="O11" s="81">
        <v>678.72900000000004</v>
      </c>
      <c r="P11" s="81">
        <v>828607.95</v>
      </c>
      <c r="Q11" s="81">
        <v>146.85</v>
      </c>
      <c r="R11" s="81">
        <v>-111497.258732186</v>
      </c>
      <c r="S11" s="81">
        <v>266.97500000000002</v>
      </c>
      <c r="T11" s="81">
        <v>-1130962.8204121201</v>
      </c>
      <c r="U11" s="81">
        <v>120.251</v>
      </c>
      <c r="V11" s="81">
        <v>-6780875.9262830103</v>
      </c>
      <c r="W11" s="81">
        <v>284.58100000000002</v>
      </c>
      <c r="X11" s="81">
        <v>3563043.85</v>
      </c>
      <c r="Y11" s="81">
        <v>145.31200000000001</v>
      </c>
      <c r="Z11" s="81">
        <v>3041807.94651978</v>
      </c>
      <c r="AA11" s="81">
        <v>196.81399999999999</v>
      </c>
      <c r="AB11" s="81">
        <v>352750.21369060001</v>
      </c>
      <c r="AC11" s="81">
        <f>AA11+Y11+W11+U11+S11+Q11+O11+M11+K11+I11+G11+E11</f>
        <v>2258.248</v>
      </c>
      <c r="AD11" s="249">
        <f>AB11+Z11+X11+V11+T11+R11+P11+N11+L11+J11+H11+F11</f>
        <v>-183355.14521693671</v>
      </c>
      <c r="AE11" s="81"/>
      <c r="AF11" s="81"/>
      <c r="AG11" s="81"/>
      <c r="AH11" s="81"/>
    </row>
    <row r="12" spans="1:34">
      <c r="A12" s="890"/>
      <c r="B12" s="920"/>
      <c r="C12" s="890"/>
      <c r="D12" s="81" t="s">
        <v>1089</v>
      </c>
      <c r="E12" s="81">
        <v>1.7649999999999999</v>
      </c>
      <c r="F12" s="81">
        <v>284923.19656000001</v>
      </c>
      <c r="G12" s="81">
        <v>529.19799999999998</v>
      </c>
      <c r="H12" s="81">
        <v>3470504.5050400002</v>
      </c>
      <c r="I12" s="81">
        <v>207.16300000000001</v>
      </c>
      <c r="J12" s="81">
        <v>1299837.7324000001</v>
      </c>
      <c r="K12" s="81">
        <v>316.64400000000001</v>
      </c>
      <c r="L12" s="81">
        <v>2019745.9524000001</v>
      </c>
      <c r="M12" s="81">
        <v>289.90300000000002</v>
      </c>
      <c r="N12" s="81">
        <v>1603240.675</v>
      </c>
      <c r="O12" s="81">
        <v>117.581</v>
      </c>
      <c r="P12" s="81">
        <v>707920.31</v>
      </c>
      <c r="Q12" s="81">
        <v>1.542</v>
      </c>
      <c r="R12" s="81">
        <v>39096.869580000399</v>
      </c>
      <c r="S12" s="81">
        <v>0</v>
      </c>
      <c r="T12" s="81">
        <v>0</v>
      </c>
      <c r="U12" s="81">
        <v>1.9730000000000001</v>
      </c>
      <c r="V12" s="81">
        <v>14227.2320599998</v>
      </c>
      <c r="W12" s="81">
        <v>0</v>
      </c>
      <c r="X12" s="81">
        <v>0</v>
      </c>
      <c r="Y12" s="81">
        <v>0</v>
      </c>
      <c r="Z12" s="81">
        <v>-42504.605159999999</v>
      </c>
      <c r="AA12" s="81">
        <v>0</v>
      </c>
      <c r="AB12" s="81">
        <v>0</v>
      </c>
      <c r="AC12" s="81">
        <f t="shared" ref="AC12:AD16" si="0">AA12+Y12+W12+U12+S12+Q12+O12+M12+K12+I12+G12+E12</f>
        <v>1465.769</v>
      </c>
      <c r="AD12" s="81">
        <f t="shared" si="0"/>
        <v>9396991.8678799998</v>
      </c>
      <c r="AE12" s="81"/>
      <c r="AF12" s="81"/>
      <c r="AG12" s="81"/>
      <c r="AH12" s="81"/>
    </row>
    <row r="13" spans="1:34">
      <c r="A13" s="890"/>
      <c r="B13" s="920"/>
      <c r="C13" s="890"/>
      <c r="D13" s="81" t="s">
        <v>1084</v>
      </c>
      <c r="E13" s="81">
        <v>1600.319</v>
      </c>
      <c r="F13" s="81">
        <v>16159606.6321318</v>
      </c>
      <c r="G13" s="81">
        <v>4807.1639999999998</v>
      </c>
      <c r="H13" s="81">
        <v>39309628.198559999</v>
      </c>
      <c r="I13" s="81">
        <v>3058.82</v>
      </c>
      <c r="J13" s="81">
        <v>23857023.682659999</v>
      </c>
      <c r="K13" s="81">
        <v>2954.5740000000001</v>
      </c>
      <c r="L13" s="81">
        <v>23826041.056882001</v>
      </c>
      <c r="M13" s="81">
        <v>3760.9459999999999</v>
      </c>
      <c r="N13" s="81">
        <v>26693652.395</v>
      </c>
      <c r="O13" s="81">
        <v>3358.607</v>
      </c>
      <c r="P13" s="81">
        <v>26070550.390000001</v>
      </c>
      <c r="Q13" s="81">
        <v>2542.2069999999999</v>
      </c>
      <c r="R13" s="81">
        <v>19757287.526228499</v>
      </c>
      <c r="S13" s="81">
        <v>3912.498</v>
      </c>
      <c r="T13" s="81">
        <v>29854769.9128405</v>
      </c>
      <c r="U13" s="81">
        <v>3167.194</v>
      </c>
      <c r="V13" s="81">
        <v>23748740.396707401</v>
      </c>
      <c r="W13" s="81">
        <v>2556.1320000000001</v>
      </c>
      <c r="X13" s="81">
        <v>18622057.780000001</v>
      </c>
      <c r="Y13" s="81">
        <v>4103.57</v>
      </c>
      <c r="Z13" s="81">
        <v>29855017.876069698</v>
      </c>
      <c r="AA13" s="81">
        <v>3543.2950000000001</v>
      </c>
      <c r="AB13" s="81">
        <v>28078085.509519301</v>
      </c>
      <c r="AC13" s="81">
        <f t="shared" si="0"/>
        <v>39365.326000000001</v>
      </c>
      <c r="AD13" s="81">
        <f t="shared" si="0"/>
        <v>305832461.35659921</v>
      </c>
      <c r="AE13" s="81"/>
      <c r="AF13" s="81"/>
      <c r="AG13" s="81"/>
      <c r="AH13" s="81"/>
    </row>
    <row r="14" spans="1:34">
      <c r="A14" s="890"/>
      <c r="B14" s="920"/>
      <c r="C14" s="890"/>
      <c r="D14" s="81" t="s">
        <v>1090</v>
      </c>
      <c r="E14" s="81">
        <v>6.1189999999999998</v>
      </c>
      <c r="F14" s="81">
        <v>140314.99461974</v>
      </c>
      <c r="G14" s="81">
        <v>-3.0000000000000001E-3</v>
      </c>
      <c r="H14" s="81">
        <v>19717.220321359699</v>
      </c>
      <c r="I14" s="81">
        <v>0</v>
      </c>
      <c r="J14" s="81">
        <v>0</v>
      </c>
      <c r="K14" s="81">
        <v>0</v>
      </c>
      <c r="L14" s="81">
        <v>0</v>
      </c>
      <c r="M14" s="81">
        <v>0</v>
      </c>
      <c r="N14" s="81">
        <v>0</v>
      </c>
      <c r="O14" s="81">
        <v>799.99699999999996</v>
      </c>
      <c r="P14" s="81">
        <v>3097077.94</v>
      </c>
      <c r="Q14" s="81">
        <v>516.19100000000003</v>
      </c>
      <c r="R14" s="81">
        <v>2001091.84</v>
      </c>
      <c r="S14" s="81">
        <v>419.24400000000003</v>
      </c>
      <c r="T14" s="81">
        <v>1574557.0160153999</v>
      </c>
      <c r="U14" s="81">
        <v>819.14099999999996</v>
      </c>
      <c r="V14" s="81">
        <v>3247743.66</v>
      </c>
      <c r="W14" s="81">
        <v>208.721</v>
      </c>
      <c r="X14" s="81">
        <v>801336.47</v>
      </c>
      <c r="Y14" s="81">
        <v>11.095000000000001</v>
      </c>
      <c r="Z14" s="81">
        <v>-1750.2738699998599</v>
      </c>
      <c r="AA14" s="81">
        <v>300.07</v>
      </c>
      <c r="AB14" s="81">
        <v>1160399.42</v>
      </c>
      <c r="AC14" s="81">
        <f t="shared" si="0"/>
        <v>3080.5750000000003</v>
      </c>
      <c r="AD14" s="81">
        <f t="shared" si="0"/>
        <v>12040488.2870865</v>
      </c>
      <c r="AE14" s="81"/>
      <c r="AF14" s="81"/>
      <c r="AG14" s="81"/>
      <c r="AH14" s="81"/>
    </row>
    <row r="15" spans="1:34">
      <c r="A15" s="890"/>
      <c r="B15" s="920"/>
      <c r="C15" s="890"/>
      <c r="D15" s="81" t="s">
        <v>1091</v>
      </c>
      <c r="E15" s="81">
        <v>5629.8190000000004</v>
      </c>
      <c r="F15" s="81">
        <v>52299504.280119203</v>
      </c>
      <c r="G15" s="81">
        <v>4539.6002399999998</v>
      </c>
      <c r="H15" s="81">
        <v>38836433.742940798</v>
      </c>
      <c r="I15" s="81">
        <v>5559.5754399999996</v>
      </c>
      <c r="J15" s="81">
        <v>45537964.6426</v>
      </c>
      <c r="K15" s="81">
        <v>6535.6558800000003</v>
      </c>
      <c r="L15" s="81">
        <v>53352125.4919248</v>
      </c>
      <c r="M15" s="81">
        <v>6393.07</v>
      </c>
      <c r="N15" s="81">
        <v>42043464.549999997</v>
      </c>
      <c r="O15" s="81">
        <v>7722.3529600000002</v>
      </c>
      <c r="P15" s="81">
        <v>61317325.450000003</v>
      </c>
      <c r="Q15" s="81">
        <v>6306.8568400000004</v>
      </c>
      <c r="R15" s="81">
        <v>49706510.454284199</v>
      </c>
      <c r="S15" s="81">
        <v>6421.4406799999997</v>
      </c>
      <c r="T15" s="81">
        <v>48522254.309068501</v>
      </c>
      <c r="U15" s="81">
        <v>6306.7055200000004</v>
      </c>
      <c r="V15" s="81">
        <v>48053482.414952897</v>
      </c>
      <c r="W15" s="81">
        <v>6110.5237200000001</v>
      </c>
      <c r="X15" s="81">
        <v>43838660.740000002</v>
      </c>
      <c r="Y15" s="81">
        <v>6274.1896800000004</v>
      </c>
      <c r="Z15" s="81">
        <v>46108039.785189398</v>
      </c>
      <c r="AA15" s="81">
        <v>5097.0600000000004</v>
      </c>
      <c r="AB15" s="81">
        <v>41765365.607056201</v>
      </c>
      <c r="AC15" s="81">
        <f t="shared" si="0"/>
        <v>72896.849960000007</v>
      </c>
      <c r="AD15" s="81">
        <f t="shared" si="0"/>
        <v>571381131.46813607</v>
      </c>
      <c r="AE15" s="81"/>
      <c r="AF15" s="81"/>
      <c r="AG15" s="81"/>
      <c r="AH15" s="81"/>
    </row>
    <row r="16" spans="1:34">
      <c r="A16" s="891"/>
      <c r="B16" s="903"/>
      <c r="C16" s="891"/>
      <c r="D16" s="81" t="s">
        <v>1092</v>
      </c>
      <c r="E16" s="81">
        <v>125.16800000000001</v>
      </c>
      <c r="F16" s="81">
        <v>3584610.5588646699</v>
      </c>
      <c r="G16" s="81">
        <v>695.06899999999996</v>
      </c>
      <c r="H16" s="81">
        <v>5402874.5829678299</v>
      </c>
      <c r="I16" s="81">
        <v>2109.6759999999999</v>
      </c>
      <c r="J16" s="81">
        <v>15035078.434066299</v>
      </c>
      <c r="K16" s="81">
        <v>500.697</v>
      </c>
      <c r="L16" s="81">
        <v>1442733.1539926401</v>
      </c>
      <c r="M16" s="81">
        <v>870.34299999999996</v>
      </c>
      <c r="N16" s="81">
        <v>4672791.3660000004</v>
      </c>
      <c r="O16" s="81">
        <v>1189.2729999999999</v>
      </c>
      <c r="P16" s="81">
        <v>7938051.5800000001</v>
      </c>
      <c r="Q16" s="81">
        <v>758.596</v>
      </c>
      <c r="R16" s="81">
        <v>5190430.93677318</v>
      </c>
      <c r="S16" s="81">
        <v>742.30799999999999</v>
      </c>
      <c r="T16" s="81">
        <v>5098513.5902133305</v>
      </c>
      <c r="U16" s="81">
        <v>1473.4949999999999</v>
      </c>
      <c r="V16" s="81">
        <v>9980884.7752258591</v>
      </c>
      <c r="W16" s="81">
        <v>1178.519</v>
      </c>
      <c r="X16" s="81">
        <v>7460383.7699999996</v>
      </c>
      <c r="Y16" s="81">
        <v>1381.1120000000001</v>
      </c>
      <c r="Z16" s="81">
        <v>8676908.1029012501</v>
      </c>
      <c r="AA16" s="81">
        <v>1812.95</v>
      </c>
      <c r="AB16" s="81">
        <v>12699916.0251725</v>
      </c>
      <c r="AC16" s="81">
        <f t="shared" si="0"/>
        <v>12837.205999999998</v>
      </c>
      <c r="AD16" s="81">
        <f t="shared" si="0"/>
        <v>87183176.876177549</v>
      </c>
      <c r="AE16" s="81"/>
      <c r="AF16" s="81"/>
      <c r="AG16" s="81"/>
      <c r="AH16" s="81"/>
    </row>
    <row r="17" spans="1:35">
      <c r="A17" s="915">
        <v>4</v>
      </c>
      <c r="B17" s="927" t="s">
        <v>544</v>
      </c>
      <c r="C17" s="915" t="s">
        <v>545</v>
      </c>
      <c r="D17" s="53" t="s">
        <v>1094</v>
      </c>
      <c r="E17" s="82">
        <v>1882.49</v>
      </c>
      <c r="F17" s="82">
        <v>67160589.209999993</v>
      </c>
      <c r="G17" s="82">
        <v>3019.09</v>
      </c>
      <c r="H17" s="82">
        <v>62579194.859999999</v>
      </c>
      <c r="I17" s="82">
        <v>1270.67</v>
      </c>
      <c r="J17" s="82">
        <v>42484872.850000001</v>
      </c>
      <c r="K17" s="82">
        <v>3042.18</v>
      </c>
      <c r="L17" s="82">
        <v>35443286.259999998</v>
      </c>
      <c r="M17" s="82">
        <v>938.24</v>
      </c>
      <c r="N17" s="82">
        <v>55697351.57</v>
      </c>
      <c r="O17" s="82">
        <v>1842.22</v>
      </c>
      <c r="P17" s="82">
        <v>37289735.579999998</v>
      </c>
      <c r="Q17" s="82">
        <v>1974.39</v>
      </c>
      <c r="R17" s="82">
        <v>40968512.289999999</v>
      </c>
      <c r="S17" s="82">
        <v>1872.03</v>
      </c>
      <c r="T17" s="82">
        <v>49222534.079999998</v>
      </c>
      <c r="U17" s="82">
        <v>1564.85</v>
      </c>
      <c r="V17" s="82">
        <v>35899981.82</v>
      </c>
      <c r="W17" s="82">
        <v>1432.32</v>
      </c>
      <c r="X17" s="82">
        <v>45181285.020000003</v>
      </c>
      <c r="Y17" s="82">
        <v>1909.5</v>
      </c>
      <c r="Z17" s="82">
        <v>39263015.079999998</v>
      </c>
      <c r="AA17" s="82">
        <v>1890.59</v>
      </c>
      <c r="AB17" s="82">
        <v>31124959.02</v>
      </c>
      <c r="AC17" s="82">
        <f>AA17+Y17+W17+U17+S17+Q17+O17+M17+K17+I17+G17+E17</f>
        <v>22638.57</v>
      </c>
      <c r="AD17" s="82">
        <f>AB17+Z17+X17+V17+T17+R17+P17+N17+L17+J17+H17+F17</f>
        <v>542315317.63999999</v>
      </c>
      <c r="AE17" s="53"/>
      <c r="AF17" s="53"/>
      <c r="AG17" s="53"/>
      <c r="AH17" s="53"/>
    </row>
    <row r="18" spans="1:35">
      <c r="A18" s="916"/>
      <c r="B18" s="929"/>
      <c r="C18" s="916"/>
      <c r="D18" s="53" t="s">
        <v>1087</v>
      </c>
      <c r="E18" s="82">
        <v>9867.7000000000007</v>
      </c>
      <c r="F18" s="82">
        <v>61232549.869999997</v>
      </c>
      <c r="G18" s="82">
        <v>7355</v>
      </c>
      <c r="H18" s="82">
        <v>77497019.590000004</v>
      </c>
      <c r="I18" s="82">
        <v>8512.48</v>
      </c>
      <c r="J18" s="82">
        <v>71680204.810000002</v>
      </c>
      <c r="K18" s="82">
        <v>9525.6299999999992</v>
      </c>
      <c r="L18" s="82">
        <v>71308589.540000007</v>
      </c>
      <c r="M18" s="82">
        <v>8675.33</v>
      </c>
      <c r="N18" s="82">
        <v>74004065.879999995</v>
      </c>
      <c r="O18" s="82">
        <v>7978.49</v>
      </c>
      <c r="P18" s="82">
        <v>60017650.899999999</v>
      </c>
      <c r="Q18" s="82">
        <v>7220.13</v>
      </c>
      <c r="R18" s="82">
        <v>82457660.060000002</v>
      </c>
      <c r="S18" s="82">
        <v>11515.74</v>
      </c>
      <c r="T18" s="82">
        <v>77961571.870000005</v>
      </c>
      <c r="U18" s="82">
        <v>8128.9</v>
      </c>
      <c r="V18" s="82">
        <v>69532483.799999997</v>
      </c>
      <c r="W18" s="82">
        <v>8283.52</v>
      </c>
      <c r="X18" s="82">
        <v>75494942.170000002</v>
      </c>
      <c r="Y18" s="82">
        <v>5528.66</v>
      </c>
      <c r="Z18" s="82">
        <v>58304341.560000002</v>
      </c>
      <c r="AA18" s="82">
        <v>8714.7999999999993</v>
      </c>
      <c r="AB18" s="82">
        <v>58129078.670000002</v>
      </c>
      <c r="AC18" s="82">
        <f>AA18+Y18+W18+U18+S18+Q18+O18+M18+K18+I18+G18+E18</f>
        <v>101306.37999999999</v>
      </c>
      <c r="AD18" s="82">
        <f>AB18+Z18+X18+V18+T18+R18+P18+N18+L18+J18+H18+F18</f>
        <v>837620158.72000003</v>
      </c>
      <c r="AE18" s="53"/>
      <c r="AF18" s="53"/>
      <c r="AG18" s="53"/>
      <c r="AH18" s="53"/>
    </row>
    <row r="19" spans="1:35">
      <c r="A19" s="889">
        <v>5</v>
      </c>
      <c r="B19" s="902" t="s">
        <v>553</v>
      </c>
      <c r="C19" s="889" t="s">
        <v>554</v>
      </c>
      <c r="D19" s="51" t="s">
        <v>1084</v>
      </c>
      <c r="E19" s="81">
        <v>0</v>
      </c>
      <c r="F19" s="81">
        <v>0</v>
      </c>
      <c r="G19" s="81">
        <v>0</v>
      </c>
      <c r="H19" s="81">
        <v>0</v>
      </c>
      <c r="I19" s="81">
        <v>0</v>
      </c>
      <c r="J19" s="81">
        <v>0</v>
      </c>
      <c r="K19" s="81">
        <v>0</v>
      </c>
      <c r="L19" s="81">
        <v>0</v>
      </c>
      <c r="M19" s="81">
        <v>0</v>
      </c>
      <c r="N19" s="81">
        <v>0</v>
      </c>
      <c r="O19" s="81">
        <v>201.01599999999999</v>
      </c>
      <c r="P19" s="81">
        <v>1846213.63</v>
      </c>
      <c r="Q19" s="81">
        <v>3848.703</v>
      </c>
      <c r="R19" s="81">
        <v>34206786.469999999</v>
      </c>
      <c r="S19" s="81">
        <v>3990.03</v>
      </c>
      <c r="T19" s="81">
        <v>35630188.170000002</v>
      </c>
      <c r="U19" s="81">
        <v>5311.8440000000001</v>
      </c>
      <c r="V19" s="81">
        <v>48748400.170000002</v>
      </c>
      <c r="W19" s="81">
        <v>4339.5780000000004</v>
      </c>
      <c r="X19" s="81">
        <v>39310433.606200002</v>
      </c>
      <c r="Y19" s="81">
        <v>8258.9110000000001</v>
      </c>
      <c r="Z19" s="81">
        <v>75296531.099999994</v>
      </c>
      <c r="AA19" s="81">
        <v>0</v>
      </c>
      <c r="AB19" s="81">
        <v>0</v>
      </c>
      <c r="AC19" s="81">
        <f t="shared" ref="AC19:AD21" si="1">AA19+Y19+W19+U19+S19+Q19+O19+M19+K19+I19+G19+E19</f>
        <v>25950.082000000002</v>
      </c>
      <c r="AD19" s="81">
        <f t="shared" si="1"/>
        <v>235038553.14620003</v>
      </c>
      <c r="AE19" s="51"/>
      <c r="AF19" s="51"/>
      <c r="AG19" s="889" t="s">
        <v>1096</v>
      </c>
      <c r="AH19" s="889" t="s">
        <v>804</v>
      </c>
    </row>
    <row r="20" spans="1:35">
      <c r="A20" s="891"/>
      <c r="B20" s="903"/>
      <c r="C20" s="891"/>
      <c r="D20" s="51" t="s">
        <v>1087</v>
      </c>
      <c r="E20" s="81">
        <v>9192.3709999999992</v>
      </c>
      <c r="F20" s="81">
        <v>81808025.170000002</v>
      </c>
      <c r="G20" s="81">
        <v>9064.6630000000005</v>
      </c>
      <c r="H20" s="81">
        <v>82582005.849999994</v>
      </c>
      <c r="I20" s="81">
        <v>7542.027</v>
      </c>
      <c r="J20" s="81">
        <v>67593915.310000002</v>
      </c>
      <c r="K20" s="81">
        <v>8134.1769999999997</v>
      </c>
      <c r="L20" s="81">
        <v>73027161.316149995</v>
      </c>
      <c r="M20" s="81">
        <v>7725.94</v>
      </c>
      <c r="N20" s="81">
        <v>66509423.369999997</v>
      </c>
      <c r="O20" s="81">
        <v>7350.13</v>
      </c>
      <c r="P20" s="81">
        <v>60860442.609999999</v>
      </c>
      <c r="Q20" s="81">
        <v>7023.7610000000004</v>
      </c>
      <c r="R20" s="81">
        <v>60179459.880000003</v>
      </c>
      <c r="S20" s="81">
        <v>4943.1729999999998</v>
      </c>
      <c r="T20" s="81">
        <v>42204308.609999999</v>
      </c>
      <c r="U20" s="81">
        <v>7040.3950000000004</v>
      </c>
      <c r="V20" s="81">
        <v>58914333.560000002</v>
      </c>
      <c r="W20" s="81">
        <v>5744.0649999999996</v>
      </c>
      <c r="X20" s="81">
        <v>46088049.079499997</v>
      </c>
      <c r="Y20" s="81">
        <v>6697.5609999999997</v>
      </c>
      <c r="Z20" s="81">
        <v>54623598.109999999</v>
      </c>
      <c r="AA20" s="81">
        <v>4667.8620000000001</v>
      </c>
      <c r="AB20" s="81">
        <v>39294811.399999999</v>
      </c>
      <c r="AC20" s="81">
        <f t="shared" si="1"/>
        <v>85126.125</v>
      </c>
      <c r="AD20" s="81">
        <f t="shared" si="1"/>
        <v>733685534.26565003</v>
      </c>
      <c r="AE20" s="51"/>
      <c r="AF20" s="51"/>
      <c r="AG20" s="891"/>
      <c r="AH20" s="891"/>
    </row>
    <row r="21" spans="1:35">
      <c r="A21" s="226">
        <v>6</v>
      </c>
      <c r="B21" s="250" t="s">
        <v>2586</v>
      </c>
      <c r="C21" s="226" t="s">
        <v>2478</v>
      </c>
      <c r="D21" s="221" t="s">
        <v>1247</v>
      </c>
      <c r="E21" s="251">
        <v>0</v>
      </c>
      <c r="F21" s="251">
        <v>0</v>
      </c>
      <c r="G21" s="251">
        <v>0</v>
      </c>
      <c r="H21" s="251">
        <v>0</v>
      </c>
      <c r="I21" s="251">
        <v>0</v>
      </c>
      <c r="J21" s="251">
        <v>0</v>
      </c>
      <c r="K21" s="251">
        <v>0</v>
      </c>
      <c r="L21" s="251">
        <v>0</v>
      </c>
      <c r="M21" s="251">
        <v>0</v>
      </c>
      <c r="N21" s="251">
        <v>0</v>
      </c>
      <c r="O21" s="251">
        <v>0</v>
      </c>
      <c r="P21" s="251">
        <v>0</v>
      </c>
      <c r="Q21" s="251">
        <v>0</v>
      </c>
      <c r="R21" s="251">
        <v>0</v>
      </c>
      <c r="S21" s="251">
        <v>0</v>
      </c>
      <c r="T21" s="251">
        <v>0</v>
      </c>
      <c r="U21" s="251">
        <v>0</v>
      </c>
      <c r="V21" s="251">
        <v>0</v>
      </c>
      <c r="W21" s="251">
        <v>0</v>
      </c>
      <c r="X21" s="251">
        <v>0</v>
      </c>
      <c r="Y21" s="251">
        <v>0</v>
      </c>
      <c r="Z21" s="251">
        <v>0</v>
      </c>
      <c r="AA21" s="251">
        <v>0</v>
      </c>
      <c r="AB21" s="251">
        <v>0</v>
      </c>
      <c r="AC21" s="251">
        <f t="shared" si="1"/>
        <v>0</v>
      </c>
      <c r="AD21" s="251">
        <f t="shared" si="1"/>
        <v>0</v>
      </c>
      <c r="AE21" s="221"/>
      <c r="AF21" s="221"/>
      <c r="AG21" s="228"/>
      <c r="AH21" s="228"/>
    </row>
    <row r="22" spans="1:35">
      <c r="A22" s="48">
        <v>7</v>
      </c>
      <c r="B22" s="258" t="s">
        <v>558</v>
      </c>
      <c r="C22" s="48" t="s">
        <v>559</v>
      </c>
      <c r="D22" s="51" t="s">
        <v>1247</v>
      </c>
      <c r="E22" s="81">
        <v>0</v>
      </c>
      <c r="F22" s="81">
        <v>0</v>
      </c>
      <c r="G22" s="81">
        <v>0</v>
      </c>
      <c r="H22" s="81">
        <v>0</v>
      </c>
      <c r="I22" s="81">
        <v>0</v>
      </c>
      <c r="J22" s="81">
        <v>0</v>
      </c>
      <c r="K22" s="81">
        <v>0</v>
      </c>
      <c r="L22" s="81">
        <v>0</v>
      </c>
      <c r="M22" s="81">
        <v>0</v>
      </c>
      <c r="N22" s="81">
        <v>0</v>
      </c>
      <c r="O22" s="81">
        <v>0</v>
      </c>
      <c r="P22" s="81">
        <v>0</v>
      </c>
      <c r="Q22" s="81">
        <v>0</v>
      </c>
      <c r="R22" s="81">
        <v>0</v>
      </c>
      <c r="S22" s="81">
        <v>0</v>
      </c>
      <c r="T22" s="81">
        <v>0</v>
      </c>
      <c r="U22" s="81">
        <v>0</v>
      </c>
      <c r="V22" s="81">
        <v>0</v>
      </c>
      <c r="W22" s="81">
        <v>0</v>
      </c>
      <c r="X22" s="81">
        <v>0</v>
      </c>
      <c r="Y22" s="81">
        <v>0</v>
      </c>
      <c r="Z22" s="81">
        <v>0</v>
      </c>
      <c r="AA22" s="81">
        <v>0</v>
      </c>
      <c r="AB22" s="81">
        <v>0</v>
      </c>
      <c r="AC22" s="81">
        <v>0</v>
      </c>
      <c r="AD22" s="81">
        <v>0</v>
      </c>
      <c r="AE22" s="51"/>
      <c r="AF22" s="51"/>
      <c r="AG22" s="51"/>
      <c r="AH22" s="51"/>
    </row>
    <row r="23" spans="1:35">
      <c r="A23" s="221">
        <v>8</v>
      </c>
      <c r="B23" s="221" t="s">
        <v>562</v>
      </c>
      <c r="C23" s="221" t="s">
        <v>563</v>
      </c>
      <c r="D23" s="221" t="s">
        <v>1101</v>
      </c>
      <c r="E23" s="251">
        <v>6353.29</v>
      </c>
      <c r="F23" s="251">
        <v>41772837.553210899</v>
      </c>
      <c r="G23" s="251">
        <v>5415.14</v>
      </c>
      <c r="H23" s="251">
        <v>44664275.577288464</v>
      </c>
      <c r="I23" s="251">
        <v>5254.68</v>
      </c>
      <c r="J23" s="251">
        <v>39034102.779906012</v>
      </c>
      <c r="K23" s="251">
        <v>4420.16</v>
      </c>
      <c r="L23" s="251">
        <v>31393123.151238307</v>
      </c>
      <c r="M23" s="251">
        <v>5111.82</v>
      </c>
      <c r="N23" s="251">
        <v>28158205.031426456</v>
      </c>
      <c r="O23" s="251">
        <v>6219.26</v>
      </c>
      <c r="P23" s="251">
        <v>41995230.042714</v>
      </c>
      <c r="Q23" s="251">
        <v>7092.96</v>
      </c>
      <c r="R23" s="251">
        <v>48354829.629499584</v>
      </c>
      <c r="S23" s="251">
        <v>5857.72</v>
      </c>
      <c r="T23" s="251">
        <v>40033431.494632818</v>
      </c>
      <c r="U23" s="251">
        <v>4521.82</v>
      </c>
      <c r="V23" s="251">
        <v>29332802.508466281</v>
      </c>
      <c r="W23" s="251">
        <v>4896.5200000000004</v>
      </c>
      <c r="X23" s="251">
        <v>27162367.110079661</v>
      </c>
      <c r="Y23" s="251">
        <v>2767.52</v>
      </c>
      <c r="Z23" s="251">
        <v>16803779.14793754</v>
      </c>
      <c r="AA23" s="251">
        <v>2961.72</v>
      </c>
      <c r="AB23" s="251">
        <v>20486313.933140114</v>
      </c>
      <c r="AC23" s="251">
        <f t="shared" ref="AC23:AD23" si="2">AA23+Y23+W23+U23+S23+Q23+O23+M23+K23+I23+G23+E23</f>
        <v>60872.61</v>
      </c>
      <c r="AD23" s="251">
        <f t="shared" si="2"/>
        <v>409191297.95954013</v>
      </c>
      <c r="AE23" s="221"/>
      <c r="AF23" s="221"/>
      <c r="AG23" s="221"/>
      <c r="AH23" s="221"/>
    </row>
    <row r="24" spans="1:35">
      <c r="A24" s="51">
        <v>9</v>
      </c>
      <c r="B24" s="51" t="s">
        <v>564</v>
      </c>
      <c r="C24" s="51" t="s">
        <v>565</v>
      </c>
      <c r="D24" s="51" t="s">
        <v>1104</v>
      </c>
      <c r="E24" s="81">
        <v>1621.0845473700001</v>
      </c>
      <c r="F24" s="81">
        <v>101702268.78375</v>
      </c>
      <c r="G24" s="81">
        <v>1402.8569977200002</v>
      </c>
      <c r="H24" s="81">
        <v>83104451.293318644</v>
      </c>
      <c r="I24" s="81">
        <v>1544.4424452999999</v>
      </c>
      <c r="J24" s="81">
        <v>96924202.065708876</v>
      </c>
      <c r="K24" s="81">
        <v>1797.1859344900001</v>
      </c>
      <c r="L24" s="81">
        <v>115715133.85074976</v>
      </c>
      <c r="M24" s="81">
        <v>1938.6456279600002</v>
      </c>
      <c r="N24" s="81">
        <v>123833436.57340696</v>
      </c>
      <c r="O24" s="81">
        <v>2263.5129000000002</v>
      </c>
      <c r="P24" s="81">
        <v>141507204.95706573</v>
      </c>
      <c r="Q24" s="81">
        <v>1928.8213000000001</v>
      </c>
      <c r="R24" s="81">
        <v>121400853.60144998</v>
      </c>
      <c r="S24" s="81">
        <v>2198.2426833099998</v>
      </c>
      <c r="T24" s="81">
        <v>135652058.48139572</v>
      </c>
      <c r="U24" s="81">
        <v>2567.1065007199995</v>
      </c>
      <c r="V24" s="81">
        <v>158147671.79223785</v>
      </c>
      <c r="W24" s="81">
        <v>2307.5704000000001</v>
      </c>
      <c r="X24" s="81">
        <v>143382461.67932522</v>
      </c>
      <c r="Y24" s="81">
        <v>1659.5266200000001</v>
      </c>
      <c r="Z24" s="81">
        <v>105252967.10019116</v>
      </c>
      <c r="AA24" s="81">
        <v>2397.6388353500001</v>
      </c>
      <c r="AB24" s="81">
        <v>157553414.79001456</v>
      </c>
      <c r="AC24" s="81">
        <f>AA24+Y24+W24+U24+S24+Q24+O24+M24+K24+I24+G24+E24</f>
        <v>23626.634792219997</v>
      </c>
      <c r="AD24" s="81">
        <f>AB24+Z24+X24+V24+T24+R24+P24+N24+L24+J24+H24+F24</f>
        <v>1484176124.9686146</v>
      </c>
      <c r="AE24" s="51"/>
      <c r="AF24" s="51"/>
      <c r="AG24" s="51"/>
      <c r="AH24" s="51"/>
    </row>
    <row r="25" spans="1:35">
      <c r="A25" s="892">
        <v>10</v>
      </c>
      <c r="B25" s="927" t="s">
        <v>570</v>
      </c>
      <c r="C25" s="892" t="s">
        <v>571</v>
      </c>
      <c r="D25" s="221" t="s">
        <v>1124</v>
      </c>
      <c r="E25" s="251">
        <v>37.963999999999999</v>
      </c>
      <c r="F25" s="251">
        <v>302884.38</v>
      </c>
      <c r="G25" s="251">
        <v>294.63100000000003</v>
      </c>
      <c r="H25" s="251">
        <v>2241980.13</v>
      </c>
      <c r="I25" s="251">
        <v>-1.6E-2</v>
      </c>
      <c r="J25" s="251">
        <v>79504.72</v>
      </c>
      <c r="K25" s="251">
        <v>234.934</v>
      </c>
      <c r="L25" s="251">
        <v>1845494.6700000002</v>
      </c>
      <c r="M25" s="251">
        <v>33.905000000000001</v>
      </c>
      <c r="N25" s="251">
        <v>229900.43</v>
      </c>
      <c r="O25" s="251">
        <v>527.88700000000006</v>
      </c>
      <c r="P25" s="251">
        <v>3772644.81</v>
      </c>
      <c r="Q25" s="251">
        <v>405.03999999999996</v>
      </c>
      <c r="R25" s="251">
        <v>3136839.44</v>
      </c>
      <c r="S25" s="251">
        <v>68.995999999999981</v>
      </c>
      <c r="T25" s="251">
        <v>704152.34</v>
      </c>
      <c r="U25" s="251">
        <v>0</v>
      </c>
      <c r="V25" s="251">
        <v>-35776.49</v>
      </c>
      <c r="W25" s="251">
        <v>362.63499999999999</v>
      </c>
      <c r="X25" s="251">
        <v>2457363.4000000004</v>
      </c>
      <c r="Y25" s="251">
        <v>139.447</v>
      </c>
      <c r="Z25" s="251">
        <v>953822.8600000001</v>
      </c>
      <c r="AA25" s="251">
        <v>683.90300000000002</v>
      </c>
      <c r="AB25" s="251">
        <v>4854448.5900000008</v>
      </c>
      <c r="AC25" s="251">
        <f t="shared" ref="AC25:AD26" si="3">AA25+Y25+W25+U25+S25+Q25+O25+M25+K25+I25+G25+E25</f>
        <v>2789.3260000000005</v>
      </c>
      <c r="AD25" s="251">
        <f t="shared" si="3"/>
        <v>20543259.279999997</v>
      </c>
      <c r="AE25" s="221"/>
      <c r="AF25" s="221"/>
      <c r="AG25" s="221"/>
      <c r="AH25" s="221"/>
    </row>
    <row r="26" spans="1:35">
      <c r="A26" s="896"/>
      <c r="B26" s="928"/>
      <c r="C26" s="896"/>
      <c r="D26" s="221" t="s">
        <v>1087</v>
      </c>
      <c r="E26" s="251">
        <v>310.15300000000002</v>
      </c>
      <c r="F26" s="251">
        <v>2658662.9699999997</v>
      </c>
      <c r="G26" s="251">
        <v>563.58499999999992</v>
      </c>
      <c r="H26" s="251">
        <v>4269254.08</v>
      </c>
      <c r="I26" s="251">
        <v>116.97499999999999</v>
      </c>
      <c r="J26" s="251">
        <v>1078318.95</v>
      </c>
      <c r="K26" s="251">
        <v>344.959</v>
      </c>
      <c r="L26" s="251">
        <v>2497976.9000000004</v>
      </c>
      <c r="M26" s="251">
        <v>229.29</v>
      </c>
      <c r="N26" s="251">
        <v>1128342.79</v>
      </c>
      <c r="O26" s="251">
        <v>428.78500000000003</v>
      </c>
      <c r="P26" s="251">
        <v>3552673.0999999996</v>
      </c>
      <c r="Q26" s="251">
        <v>204.03700000000001</v>
      </c>
      <c r="R26" s="251">
        <v>1341833.94</v>
      </c>
      <c r="S26" s="251">
        <v>299.96300000000002</v>
      </c>
      <c r="T26" s="251">
        <v>2558196.9999999995</v>
      </c>
      <c r="U26" s="251">
        <v>248.67700000000002</v>
      </c>
      <c r="V26" s="251">
        <v>1693038.38</v>
      </c>
      <c r="W26" s="251">
        <v>37.866999999999997</v>
      </c>
      <c r="X26" s="251">
        <v>260367.5</v>
      </c>
      <c r="Y26" s="251">
        <v>276.09899999999999</v>
      </c>
      <c r="Z26" s="251">
        <v>1890298.04</v>
      </c>
      <c r="AA26" s="251">
        <v>242.75500000000005</v>
      </c>
      <c r="AB26" s="251">
        <v>1893381.23</v>
      </c>
      <c r="AC26" s="251">
        <f t="shared" si="3"/>
        <v>3303.1450000000004</v>
      </c>
      <c r="AD26" s="251">
        <f t="shared" si="3"/>
        <v>24822344.880000003</v>
      </c>
      <c r="AE26" s="221"/>
      <c r="AF26" s="221"/>
      <c r="AG26" s="221"/>
      <c r="AH26" s="221"/>
    </row>
    <row r="27" spans="1:35">
      <c r="A27" s="889">
        <v>11</v>
      </c>
      <c r="B27" s="889" t="s">
        <v>574</v>
      </c>
      <c r="C27" s="889" t="s">
        <v>575</v>
      </c>
      <c r="D27" s="51" t="s">
        <v>1084</v>
      </c>
      <c r="E27" s="249">
        <v>-1060.692</v>
      </c>
      <c r="F27" s="259">
        <v>-19361993.0191525</v>
      </c>
      <c r="G27" s="249">
        <v>-1480.1120000000001</v>
      </c>
      <c r="H27" s="249">
        <v>-22084854.109999999</v>
      </c>
      <c r="I27" s="249">
        <v>-10.776</v>
      </c>
      <c r="J27" s="259">
        <v>-144264.24</v>
      </c>
      <c r="K27" s="249">
        <v>-558.25900000000001</v>
      </c>
      <c r="L27" s="249">
        <v>-7902632.3499999996</v>
      </c>
      <c r="M27" s="249">
        <v>-697.59199999999998</v>
      </c>
      <c r="N27" s="259">
        <v>-8049236.3399999999</v>
      </c>
      <c r="O27" s="249">
        <v>-622.10400000000004</v>
      </c>
      <c r="P27" s="249">
        <v>-6833675.1600000001</v>
      </c>
      <c r="Q27" s="249">
        <v>-648.36500000000001</v>
      </c>
      <c r="R27" s="259">
        <v>-7838947.9699999997</v>
      </c>
      <c r="S27" s="249">
        <v>-904.94899999999996</v>
      </c>
      <c r="T27" s="249">
        <v>-13471499.050000001</v>
      </c>
      <c r="U27" s="249">
        <v>-692.98299999999995</v>
      </c>
      <c r="V27" s="259">
        <v>-8473149.4100000001</v>
      </c>
      <c r="W27" s="249">
        <v>-868.83199999999999</v>
      </c>
      <c r="X27" s="249">
        <v>-10897578.67</v>
      </c>
      <c r="Y27" s="249">
        <v>-586.41300000000001</v>
      </c>
      <c r="Z27" s="249">
        <v>-7860801.04</v>
      </c>
      <c r="AA27" s="259">
        <v>-946.66600000000005</v>
      </c>
      <c r="AB27" s="249">
        <v>-10917914.08</v>
      </c>
      <c r="AC27" s="81">
        <f>AA27+Y27+W27+U27+S27+Q27+O27+M27+K27+I27+G27+E27</f>
        <v>-9077.7430000000004</v>
      </c>
      <c r="AD27" s="81">
        <f>AB27+Z27+X27+V27+T27+R27+P27+N27+L27+J27+H27+F27</f>
        <v>-123836545.43915248</v>
      </c>
      <c r="AE27" s="50"/>
      <c r="AF27" s="51"/>
      <c r="AG27" s="51"/>
      <c r="AH27" s="51"/>
    </row>
    <row r="28" spans="1:35">
      <c r="A28" s="891"/>
      <c r="B28" s="891"/>
      <c r="C28" s="891"/>
      <c r="D28" s="51" t="s">
        <v>1087</v>
      </c>
      <c r="E28" s="249">
        <v>-3197.0239999999999</v>
      </c>
      <c r="F28" s="259">
        <v>-25089784.41</v>
      </c>
      <c r="G28" s="249">
        <v>-3376.663</v>
      </c>
      <c r="H28" s="249">
        <v>-25141916.846682601</v>
      </c>
      <c r="I28" s="249">
        <v>-1585.825</v>
      </c>
      <c r="J28" s="259">
        <v>-12549683.5513577</v>
      </c>
      <c r="K28" s="249">
        <v>-3332.2049999999999</v>
      </c>
      <c r="L28" s="249">
        <v>-24897148.274447199</v>
      </c>
      <c r="M28" s="249">
        <v>-2952.848</v>
      </c>
      <c r="N28" s="259">
        <v>-21648810.554356299</v>
      </c>
      <c r="O28" s="249">
        <v>-2044.212</v>
      </c>
      <c r="P28" s="249">
        <v>-14088379.7636969</v>
      </c>
      <c r="Q28" s="249">
        <v>-4729.8950000000004</v>
      </c>
      <c r="R28" s="259">
        <v>-32842398.7558873</v>
      </c>
      <c r="S28" s="249">
        <v>-2086.3090000000002</v>
      </c>
      <c r="T28" s="249">
        <v>-15030458.6219535</v>
      </c>
      <c r="U28" s="249">
        <v>-2283.4479999999999</v>
      </c>
      <c r="V28" s="259">
        <v>-16601041.960000001</v>
      </c>
      <c r="W28" s="249">
        <v>-3540.3530000000001</v>
      </c>
      <c r="X28" s="249">
        <v>-25258704.1388194</v>
      </c>
      <c r="Y28" s="249">
        <v>-2609.7379999999998</v>
      </c>
      <c r="Z28" s="259">
        <v>-17927264.041317001</v>
      </c>
      <c r="AA28" s="249">
        <v>-3386.308</v>
      </c>
      <c r="AB28" s="249">
        <v>-23438347.205424201</v>
      </c>
      <c r="AC28" s="81">
        <f>AA28+Y28+W28+U28+S28+Q28+O28+M28+K28+I28+G28+E28</f>
        <v>-35124.828000000009</v>
      </c>
      <c r="AD28" s="81">
        <f>AB28+Z28+X28+V28+T28+R28+P28+N28+L28+J28+H28+F28</f>
        <v>-254513938.12394211</v>
      </c>
      <c r="AE28" s="51"/>
      <c r="AF28" s="51"/>
      <c r="AG28" s="51"/>
      <c r="AH28" s="50"/>
    </row>
    <row r="29" spans="1:35">
      <c r="A29" s="892">
        <v>12</v>
      </c>
      <c r="B29" s="892" t="s">
        <v>578</v>
      </c>
      <c r="C29" s="892" t="s">
        <v>579</v>
      </c>
      <c r="D29" s="226" t="s">
        <v>1094</v>
      </c>
      <c r="E29" s="238">
        <v>810000</v>
      </c>
      <c r="F29" s="260">
        <v>342649.17</v>
      </c>
      <c r="G29" s="238">
        <v>975000</v>
      </c>
      <c r="H29" s="238">
        <v>402152.82</v>
      </c>
      <c r="I29" s="238">
        <v>1605347</v>
      </c>
      <c r="J29" s="260">
        <v>666545.19999999995</v>
      </c>
      <c r="K29" s="238">
        <v>1004154</v>
      </c>
      <c r="L29" s="238">
        <v>416736.91</v>
      </c>
      <c r="M29" s="238">
        <v>521526</v>
      </c>
      <c r="N29" s="260">
        <v>227813.33</v>
      </c>
      <c r="O29" s="238">
        <v>367556</v>
      </c>
      <c r="P29" s="238">
        <v>163243.29999999999</v>
      </c>
      <c r="Q29" s="238">
        <v>1863522</v>
      </c>
      <c r="R29" s="260">
        <v>731264.5</v>
      </c>
      <c r="S29" s="238">
        <v>1326466</v>
      </c>
      <c r="T29" s="238">
        <v>461322.45</v>
      </c>
      <c r="U29" s="238">
        <v>1097902</v>
      </c>
      <c r="V29" s="260">
        <v>364395.49</v>
      </c>
      <c r="W29" s="238">
        <v>968434</v>
      </c>
      <c r="X29" s="238">
        <v>371234.29</v>
      </c>
      <c r="Y29" s="238">
        <v>772585</v>
      </c>
      <c r="Z29" s="260">
        <v>264993</v>
      </c>
      <c r="AA29" s="238">
        <v>1432496</v>
      </c>
      <c r="AB29" s="238">
        <v>489950.92</v>
      </c>
      <c r="AC29" s="251">
        <f t="shared" ref="AC29:AD30" si="4">AA29+Y29+W29+U29+S29+Q29+O29+M29+K29+I29+G29+E29</f>
        <v>12744988</v>
      </c>
      <c r="AD29" s="251">
        <f t="shared" si="4"/>
        <v>4902301.38</v>
      </c>
      <c r="AE29" s="226"/>
      <c r="AF29" s="226"/>
      <c r="AG29" s="226"/>
      <c r="AH29" s="225"/>
      <c r="AI29" s="4"/>
    </row>
    <row r="30" spans="1:35">
      <c r="A30" s="893"/>
      <c r="B30" s="893"/>
      <c r="C30" s="893"/>
      <c r="D30" s="226" t="s">
        <v>1101</v>
      </c>
      <c r="E30" s="238">
        <v>844960</v>
      </c>
      <c r="F30" s="260">
        <v>178173.53</v>
      </c>
      <c r="G30" s="238">
        <v>2431428</v>
      </c>
      <c r="H30" s="238">
        <v>518912.48</v>
      </c>
      <c r="I30" s="238">
        <v>2735462</v>
      </c>
      <c r="J30" s="260">
        <v>600328.89</v>
      </c>
      <c r="K30" s="238">
        <v>1278814</v>
      </c>
      <c r="L30" s="238">
        <v>279030.14</v>
      </c>
      <c r="M30" s="238">
        <v>347391</v>
      </c>
      <c r="N30" s="260">
        <v>75461.63</v>
      </c>
      <c r="O30" s="238">
        <v>561300</v>
      </c>
      <c r="P30" s="238">
        <v>119759.07</v>
      </c>
      <c r="Q30" s="238">
        <v>2314518</v>
      </c>
      <c r="R30" s="260">
        <v>472826.77</v>
      </c>
      <c r="S30" s="238">
        <v>667039</v>
      </c>
      <c r="T30" s="238">
        <v>129021.09</v>
      </c>
      <c r="U30" s="238">
        <v>667039</v>
      </c>
      <c r="V30" s="260">
        <v>129021.09</v>
      </c>
      <c r="W30" s="238">
        <v>0</v>
      </c>
      <c r="X30" s="238">
        <v>0</v>
      </c>
      <c r="Y30" s="238">
        <v>919164</v>
      </c>
      <c r="Z30" s="260">
        <v>177426.68</v>
      </c>
      <c r="AA30" s="238">
        <v>1957714</v>
      </c>
      <c r="AB30" s="238">
        <v>396817.82</v>
      </c>
      <c r="AC30" s="251">
        <f t="shared" si="4"/>
        <v>14724829</v>
      </c>
      <c r="AD30" s="251">
        <f t="shared" si="4"/>
        <v>3076779.19</v>
      </c>
      <c r="AE30" s="226"/>
      <c r="AF30" s="226"/>
      <c r="AG30" s="226"/>
      <c r="AH30" s="225"/>
      <c r="AI30" s="4"/>
    </row>
    <row r="31" spans="1:35">
      <c r="A31" s="902">
        <v>13</v>
      </c>
      <c r="B31" s="902" t="s">
        <v>582</v>
      </c>
      <c r="C31" s="889" t="s">
        <v>583</v>
      </c>
      <c r="D31" s="51" t="s">
        <v>1084</v>
      </c>
      <c r="E31" s="81">
        <v>164.45000000000002</v>
      </c>
      <c r="F31" s="94">
        <v>15579.24</v>
      </c>
      <c r="G31" s="81">
        <v>2033.850000000001</v>
      </c>
      <c r="H31" s="81">
        <v>17400.330000000002</v>
      </c>
      <c r="I31" s="81">
        <v>2757.2999999999997</v>
      </c>
      <c r="J31" s="94">
        <v>13246.84</v>
      </c>
      <c r="K31" s="81">
        <v>646.75000000000011</v>
      </c>
      <c r="L31" s="81">
        <v>11988.99</v>
      </c>
      <c r="M31" s="81">
        <v>2156.7000000000012</v>
      </c>
      <c r="N31" s="94">
        <v>9863.83</v>
      </c>
      <c r="O31" s="81">
        <v>649.35</v>
      </c>
      <c r="P31" s="81">
        <v>9548.33</v>
      </c>
      <c r="Q31" s="81">
        <v>1233.4500000000007</v>
      </c>
      <c r="R31" s="94">
        <v>8330.14</v>
      </c>
      <c r="S31" s="81">
        <v>170.3</v>
      </c>
      <c r="T31" s="81">
        <v>9427.0630000000001</v>
      </c>
      <c r="U31" s="81">
        <v>1922.0500000000006</v>
      </c>
      <c r="V31" s="94">
        <v>9426.42</v>
      </c>
      <c r="W31" s="81">
        <v>1788.1499999999996</v>
      </c>
      <c r="X31" s="81">
        <v>9426.86</v>
      </c>
      <c r="Y31" s="81">
        <v>1279.1499999999999</v>
      </c>
      <c r="Z31" s="94">
        <v>9950.68</v>
      </c>
      <c r="AA31" s="81">
        <v>585</v>
      </c>
      <c r="AB31" s="81">
        <v>9432.98</v>
      </c>
      <c r="AC31" s="81">
        <f>AA31+Y31+W31+U31+S31+Q31+O31+M31+K31+I31+G31+E31</f>
        <v>15386.500000000004</v>
      </c>
      <c r="AD31" s="81">
        <f>AB31+Z31+X31+V31+T31+R31+P31+N31+L31+J31+H31+F31</f>
        <v>133621.70300000001</v>
      </c>
      <c r="AE31" s="51"/>
      <c r="AF31" s="51"/>
      <c r="AG31" s="51"/>
      <c r="AH31" s="50"/>
    </row>
    <row r="32" spans="1:35">
      <c r="A32" s="903"/>
      <c r="B32" s="903"/>
      <c r="C32" s="891"/>
      <c r="D32" s="51" t="s">
        <v>1087</v>
      </c>
      <c r="E32" s="81">
        <v>1978.3989999999999</v>
      </c>
      <c r="F32" s="94">
        <v>16542315.793079499</v>
      </c>
      <c r="G32" s="81">
        <v>6754.1340000000009</v>
      </c>
      <c r="H32" s="81">
        <v>75051790.916007906</v>
      </c>
      <c r="I32" s="81">
        <v>3391.9597999999987</v>
      </c>
      <c r="J32" s="94">
        <v>30372964.833119988</v>
      </c>
      <c r="K32" s="81">
        <v>3456.8989000000001</v>
      </c>
      <c r="L32" s="81">
        <v>30540612.106846742</v>
      </c>
      <c r="M32" s="81">
        <v>4983.6706999999997</v>
      </c>
      <c r="N32" s="94">
        <v>43933985.127036244</v>
      </c>
      <c r="O32" s="81">
        <v>2215.3419999999996</v>
      </c>
      <c r="P32" s="81">
        <v>18282350.653043475</v>
      </c>
      <c r="Q32" s="81">
        <v>2016.3990000000006</v>
      </c>
      <c r="R32" s="94">
        <v>16908628.382625006</v>
      </c>
      <c r="S32" s="81">
        <v>1440.9520000000005</v>
      </c>
      <c r="T32" s="81">
        <v>12165288.722571431</v>
      </c>
      <c r="U32" s="81">
        <v>7923.2182000000039</v>
      </c>
      <c r="V32" s="94">
        <v>66180743.353572942</v>
      </c>
      <c r="W32" s="81">
        <v>5965.740600000001</v>
      </c>
      <c r="X32" s="81">
        <v>49337811.093542874</v>
      </c>
      <c r="Y32" s="81">
        <v>5304.2068999999992</v>
      </c>
      <c r="Z32" s="94">
        <v>42111364.355746582</v>
      </c>
      <c r="AA32" s="81">
        <v>1913.5029000000002</v>
      </c>
      <c r="AB32" s="81">
        <v>15639972.464447729</v>
      </c>
      <c r="AC32" s="81">
        <f>AA32+Y32+W32+U32+S32+Q32+O32+M32+K32+I32+G32+E32</f>
        <v>47344.423999999999</v>
      </c>
      <c r="AD32" s="81">
        <f>AB32+Z32+X32+V32+T32+R32+P32+N32+L32+J32+H32+F32</f>
        <v>417067827.80164039</v>
      </c>
      <c r="AE32" s="51"/>
      <c r="AF32" s="51"/>
      <c r="AG32" s="51"/>
      <c r="AH32" s="50"/>
    </row>
    <row r="33" spans="1:35">
      <c r="A33" s="221">
        <v>14</v>
      </c>
      <c r="B33" s="221" t="s">
        <v>590</v>
      </c>
      <c r="C33" s="221" t="s">
        <v>2589</v>
      </c>
      <c r="D33" s="226" t="s">
        <v>1087</v>
      </c>
      <c r="E33" s="238">
        <v>3691.5950000000007</v>
      </c>
      <c r="F33" s="260">
        <v>30867160.84465</v>
      </c>
      <c r="G33" s="238">
        <v>2403.6000000000004</v>
      </c>
      <c r="H33" s="238">
        <v>21574497.276000001</v>
      </c>
      <c r="I33" s="238">
        <v>4509.1209999999992</v>
      </c>
      <c r="J33" s="260">
        <v>40376473.082400002</v>
      </c>
      <c r="K33" s="238">
        <v>3892.2200000000003</v>
      </c>
      <c r="L33" s="238">
        <v>34386518.189600006</v>
      </c>
      <c r="M33" s="238">
        <v>3594.4069999999992</v>
      </c>
      <c r="N33" s="260">
        <v>31686818.405130003</v>
      </c>
      <c r="O33" s="238">
        <v>3147.2849999999999</v>
      </c>
      <c r="P33" s="238">
        <v>25973315.663849995</v>
      </c>
      <c r="Q33" s="238">
        <v>3497.7639999999992</v>
      </c>
      <c r="R33" s="260">
        <v>29323794.647840001</v>
      </c>
      <c r="S33" s="238">
        <v>3467.502</v>
      </c>
      <c r="T33" s="238">
        <v>29274576.884280004</v>
      </c>
      <c r="U33" s="238">
        <v>2960.9339999999997</v>
      </c>
      <c r="V33" s="260">
        <v>24731971.077839993</v>
      </c>
      <c r="W33" s="238">
        <v>5033.8419999999996</v>
      </c>
      <c r="X33" s="238">
        <v>41630829.769980006</v>
      </c>
      <c r="Y33" s="238">
        <v>3403.0030000000002</v>
      </c>
      <c r="Z33" s="260">
        <v>27499963.329719998</v>
      </c>
      <c r="AA33" s="238">
        <v>3253.098</v>
      </c>
      <c r="AB33" s="238">
        <v>26589131.441040006</v>
      </c>
      <c r="AC33" s="251">
        <f t="shared" ref="AC33:AD33" si="5">AA33+Y33+W33+U33+S33+Q33+O33+M33+K33+I33+G33+E33</f>
        <v>42854.370999999992</v>
      </c>
      <c r="AD33" s="251">
        <f t="shared" si="5"/>
        <v>363915050.61233008</v>
      </c>
      <c r="AE33" s="226"/>
      <c r="AF33" s="226" t="s">
        <v>2803</v>
      </c>
      <c r="AG33" s="226" t="s">
        <v>2804</v>
      </c>
      <c r="AH33" s="225" t="s">
        <v>2805</v>
      </c>
    </row>
    <row r="34" spans="1:35">
      <c r="A34" s="889">
        <v>15</v>
      </c>
      <c r="B34" s="889" t="s">
        <v>68</v>
      </c>
      <c r="C34" s="889" t="s">
        <v>596</v>
      </c>
      <c r="D34" s="51" t="s">
        <v>1084</v>
      </c>
      <c r="E34" s="81">
        <v>0</v>
      </c>
      <c r="F34" s="94">
        <v>33.39</v>
      </c>
      <c r="G34" s="81">
        <v>424.13799999999998</v>
      </c>
      <c r="H34" s="81">
        <v>7589949.9790000003</v>
      </c>
      <c r="I34" s="81">
        <v>33.643999999999998</v>
      </c>
      <c r="J34" s="94">
        <v>601083.65</v>
      </c>
      <c r="K34" s="81">
        <v>54.95</v>
      </c>
      <c r="L34" s="81">
        <v>1128171.42</v>
      </c>
      <c r="M34" s="81">
        <v>860.12199999999996</v>
      </c>
      <c r="N34" s="94">
        <v>17885185.350000001</v>
      </c>
      <c r="O34" s="81">
        <v>251.47499999999999</v>
      </c>
      <c r="P34" s="81">
        <v>4921295.34</v>
      </c>
      <c r="Q34" s="81">
        <v>121.88200000000001</v>
      </c>
      <c r="R34" s="94">
        <v>2267497.6</v>
      </c>
      <c r="S34" s="81">
        <v>918.73699999999997</v>
      </c>
      <c r="T34" s="81">
        <v>16794874.800000001</v>
      </c>
      <c r="U34" s="81">
        <v>280.66000000000003</v>
      </c>
      <c r="V34" s="94">
        <v>3848151.2</v>
      </c>
      <c r="W34" s="81">
        <v>0</v>
      </c>
      <c r="X34" s="81">
        <v>0</v>
      </c>
      <c r="Y34" s="81">
        <v>258.67500000000001</v>
      </c>
      <c r="Z34" s="94">
        <v>3248245.75</v>
      </c>
      <c r="AA34" s="81">
        <v>0</v>
      </c>
      <c r="AB34" s="81">
        <v>0</v>
      </c>
      <c r="AC34" s="81">
        <f>AA34+Y34+W34+U34+S34+Q34+O34+M34+K34+I34+G34+E34</f>
        <v>3204.2829999999994</v>
      </c>
      <c r="AD34" s="81">
        <f>AB34+Z34+X34+V34+T34+R34+P34+N34+L34+J34+H34+F34</f>
        <v>58284488.47900001</v>
      </c>
      <c r="AE34" s="51" t="s">
        <v>1125</v>
      </c>
      <c r="AF34" s="51" t="s">
        <v>1126</v>
      </c>
      <c r="AG34" s="50" t="s">
        <v>1127</v>
      </c>
      <c r="AH34" s="50" t="s">
        <v>1107</v>
      </c>
      <c r="AI34" s="4"/>
    </row>
    <row r="35" spans="1:35">
      <c r="A35" s="891"/>
      <c r="B35" s="891"/>
      <c r="C35" s="891"/>
      <c r="D35" s="51" t="s">
        <v>1087</v>
      </c>
      <c r="E35" s="81">
        <v>0</v>
      </c>
      <c r="F35" s="94">
        <v>99.99</v>
      </c>
      <c r="G35" s="81">
        <v>1840.8861100000001</v>
      </c>
      <c r="H35" s="81">
        <v>17714193.609999999</v>
      </c>
      <c r="I35" s="81">
        <v>4425.9939999999997</v>
      </c>
      <c r="J35" s="94">
        <v>43301467.130000003</v>
      </c>
      <c r="K35" s="81">
        <v>1511.829</v>
      </c>
      <c r="L35" s="81">
        <v>14327141.129999999</v>
      </c>
      <c r="M35" s="81">
        <v>2399.4550000000004</v>
      </c>
      <c r="N35" s="94">
        <v>20799313.729999997</v>
      </c>
      <c r="O35" s="81">
        <v>2176.299</v>
      </c>
      <c r="P35" s="81">
        <v>22181316</v>
      </c>
      <c r="Q35" s="81">
        <v>2649.3490000000002</v>
      </c>
      <c r="R35" s="94">
        <v>25299414.450000003</v>
      </c>
      <c r="S35" s="81">
        <v>1905.7249999999999</v>
      </c>
      <c r="T35" s="81">
        <v>17379119</v>
      </c>
      <c r="U35" s="81">
        <v>3011.8159999999998</v>
      </c>
      <c r="V35" s="94">
        <v>23129391.004000001</v>
      </c>
      <c r="W35" s="81">
        <v>961.38599999999997</v>
      </c>
      <c r="X35" s="81">
        <v>7509951.1030000001</v>
      </c>
      <c r="Y35" s="81">
        <v>2449.7240000000002</v>
      </c>
      <c r="Z35" s="94">
        <v>20121419.7447</v>
      </c>
      <c r="AA35" s="81">
        <v>1134874411.684</v>
      </c>
      <c r="AB35" s="81">
        <v>35607326.859799996</v>
      </c>
      <c r="AC35" s="81">
        <f>AA35+Y35+W35+U35+S35+Q35+O35+M35+K35+I35+G35+E35</f>
        <v>1134897744.1471097</v>
      </c>
      <c r="AD35" s="81">
        <f>AB35+Z35+X35+V35+T35+R35+P35+N35+L35+J35+H35+F35</f>
        <v>247370153.75149995</v>
      </c>
      <c r="AE35" s="51" t="s">
        <v>1125</v>
      </c>
      <c r="AF35" s="51" t="s">
        <v>1128</v>
      </c>
      <c r="AG35" s="50" t="s">
        <v>1129</v>
      </c>
      <c r="AH35" s="50" t="s">
        <v>1107</v>
      </c>
      <c r="AI35" s="4"/>
    </row>
    <row r="36" spans="1:35">
      <c r="A36" s="892">
        <v>16</v>
      </c>
      <c r="B36" s="927" t="s">
        <v>599</v>
      </c>
      <c r="C36" s="892" t="s">
        <v>600</v>
      </c>
      <c r="D36" s="226" t="s">
        <v>1084</v>
      </c>
      <c r="E36" s="238">
        <v>0</v>
      </c>
      <c r="F36" s="260">
        <v>403.70400000000001</v>
      </c>
      <c r="G36" s="238">
        <v>2487222.67</v>
      </c>
      <c r="H36" s="238">
        <v>335.26900000000001</v>
      </c>
      <c r="I36" s="238">
        <v>1511703.41</v>
      </c>
      <c r="J36" s="260">
        <v>288.81</v>
      </c>
      <c r="K36" s="238">
        <v>1178992.54</v>
      </c>
      <c r="L36" s="238">
        <v>1184.1369999999999</v>
      </c>
      <c r="M36" s="238">
        <v>4843806.6900000004</v>
      </c>
      <c r="N36" s="260">
        <v>1067.5170000000001</v>
      </c>
      <c r="O36" s="238">
        <v>4435081.63</v>
      </c>
      <c r="P36" s="238">
        <v>539.73800000000006</v>
      </c>
      <c r="Q36" s="238">
        <v>2006390.69</v>
      </c>
      <c r="R36" s="260">
        <v>797.40599999999995</v>
      </c>
      <c r="S36" s="238">
        <v>3369336.27</v>
      </c>
      <c r="T36" s="238">
        <v>976.923</v>
      </c>
      <c r="U36" s="238">
        <v>4138273.16</v>
      </c>
      <c r="V36" s="260">
        <v>303.786</v>
      </c>
      <c r="W36" s="238">
        <v>1290872.51</v>
      </c>
      <c r="X36" s="238">
        <v>25.75</v>
      </c>
      <c r="Y36" s="238">
        <v>109661.54</v>
      </c>
      <c r="Z36" s="260">
        <v>105.604</v>
      </c>
      <c r="AA36" s="238">
        <v>490694.6</v>
      </c>
      <c r="AB36" s="238">
        <v>518.95100000000002</v>
      </c>
      <c r="AC36" s="251">
        <f>AA36+Y36+W36+U36+S36+Q36+O36+M36+K36+I36+G36+E36</f>
        <v>25862035.710000001</v>
      </c>
      <c r="AD36" s="251">
        <f t="shared" ref="AD36" si="6">AB36+Z36+X36+V36+T36+R36+P36+N36+L36+J36+H36+F36</f>
        <v>6547.5950000000003</v>
      </c>
      <c r="AE36" s="226"/>
      <c r="AF36" s="226"/>
      <c r="AG36" s="226"/>
      <c r="AH36" s="225"/>
    </row>
    <row r="37" spans="1:35">
      <c r="A37" s="896"/>
      <c r="B37" s="928"/>
      <c r="C37" s="896"/>
      <c r="D37" s="226" t="s">
        <v>1101</v>
      </c>
      <c r="E37" s="238">
        <v>0</v>
      </c>
      <c r="F37" s="260">
        <v>2919.13</v>
      </c>
      <c r="G37" s="238">
        <v>24711486.309999999</v>
      </c>
      <c r="H37" s="238">
        <v>4458.88</v>
      </c>
      <c r="I37" s="238">
        <v>37570762.649999999</v>
      </c>
      <c r="J37" s="260">
        <v>3664.1</v>
      </c>
      <c r="K37" s="238">
        <v>30379717.43</v>
      </c>
      <c r="L37" s="238">
        <v>4892.3500000000004</v>
      </c>
      <c r="M37" s="238">
        <v>40445179.399999999</v>
      </c>
      <c r="N37" s="260">
        <v>5022.4399999999996</v>
      </c>
      <c r="O37" s="238">
        <v>38755337.57</v>
      </c>
      <c r="P37" s="238">
        <v>4575.0200000000004</v>
      </c>
      <c r="Q37" s="238">
        <v>35858287.850000001</v>
      </c>
      <c r="R37" s="260">
        <v>5448.24</v>
      </c>
      <c r="S37" s="238">
        <v>43108923.380000003</v>
      </c>
      <c r="T37" s="238">
        <v>5191.66</v>
      </c>
      <c r="U37" s="238">
        <v>40697309.840000004</v>
      </c>
      <c r="V37" s="260">
        <v>2469.67</v>
      </c>
      <c r="W37" s="238">
        <v>19160392.789999999</v>
      </c>
      <c r="X37" s="238">
        <v>2123.54</v>
      </c>
      <c r="Y37" s="238">
        <v>15842077.880000001</v>
      </c>
      <c r="Z37" s="260">
        <v>5252.65</v>
      </c>
      <c r="AA37" s="238">
        <v>40504506.579999998</v>
      </c>
      <c r="AB37" s="238">
        <v>3864.26</v>
      </c>
      <c r="AC37" s="251">
        <f>AA37+Y37+W37+U37+S37+Q37+O37+M37+K37+I37+G37+E37</f>
        <v>367033981.67999995</v>
      </c>
      <c r="AD37" s="251">
        <f>AB37+Z37+X37+V37+T37+R37+P37+N37+L37+J37+H37+F37</f>
        <v>49881.939999999988</v>
      </c>
      <c r="AE37" s="226"/>
      <c r="AF37" s="226"/>
      <c r="AG37" s="226"/>
      <c r="AH37" s="225"/>
    </row>
    <row r="38" spans="1:35">
      <c r="A38" s="889">
        <v>17</v>
      </c>
      <c r="B38" s="889" t="s">
        <v>607</v>
      </c>
      <c r="C38" s="889" t="s">
        <v>608</v>
      </c>
      <c r="D38" s="51" t="s">
        <v>1084</v>
      </c>
      <c r="E38" s="81">
        <v>184.14575022852895</v>
      </c>
      <c r="F38" s="94">
        <v>6236010.5126105705</v>
      </c>
      <c r="G38" s="81">
        <v>135.48405967394075</v>
      </c>
      <c r="H38" s="81">
        <v>3953678.6741416785</v>
      </c>
      <c r="I38" s="81">
        <v>110.28548833116581</v>
      </c>
      <c r="J38" s="94">
        <v>2500151.2222718233</v>
      </c>
      <c r="K38" s="81">
        <v>124.06177087577956</v>
      </c>
      <c r="L38" s="81">
        <v>2836801.1099386788</v>
      </c>
      <c r="M38" s="81">
        <v>207.78448497184149</v>
      </c>
      <c r="N38" s="94">
        <v>4781516.9170227554</v>
      </c>
      <c r="O38" s="81">
        <v>94.656610216696464</v>
      </c>
      <c r="P38" s="81">
        <v>1869201.4301452599</v>
      </c>
      <c r="Q38" s="81">
        <v>141.37784728753286</v>
      </c>
      <c r="R38" s="94">
        <v>3023823.2150828755</v>
      </c>
      <c r="S38" s="81">
        <v>161.28462491807085</v>
      </c>
      <c r="T38" s="81">
        <v>3544986.9399506501</v>
      </c>
      <c r="U38" s="81">
        <v>128.98198653047683</v>
      </c>
      <c r="V38" s="94">
        <v>2825773.7445835951</v>
      </c>
      <c r="W38" s="81">
        <v>242.86372479789696</v>
      </c>
      <c r="X38" s="81">
        <v>5336379.2818106906</v>
      </c>
      <c r="Y38" s="81">
        <v>128.22154762636833</v>
      </c>
      <c r="Z38" s="94">
        <v>2823956.7874653251</v>
      </c>
      <c r="AA38" s="81">
        <v>208.79247481785833</v>
      </c>
      <c r="AB38" s="81">
        <v>4434070.381087047</v>
      </c>
      <c r="AC38" s="81">
        <f>AA38+Y38+W38+U38+S38+Q38+O38+M38+K38+I38+G38+E38</f>
        <v>1867.9403702761572</v>
      </c>
      <c r="AD38" s="94">
        <f t="shared" ref="AD38:AD43" si="7">AB38+Z38+X38+V38+T38+R38+P38+N38+L38+J38+H38+F38</f>
        <v>44166350.216110945</v>
      </c>
      <c r="AE38" s="51"/>
      <c r="AF38" s="51"/>
      <c r="AG38" s="51"/>
      <c r="AH38" s="50"/>
    </row>
    <row r="39" spans="1:35">
      <c r="A39" s="891"/>
      <c r="B39" s="891"/>
      <c r="C39" s="891"/>
      <c r="D39" s="48" t="s">
        <v>1087</v>
      </c>
      <c r="E39" s="62">
        <v>965</v>
      </c>
      <c r="F39" s="96">
        <v>7687821.9791639168</v>
      </c>
      <c r="G39" s="62">
        <v>1035</v>
      </c>
      <c r="H39" s="62">
        <v>8896334.0764747132</v>
      </c>
      <c r="I39" s="62">
        <v>1235</v>
      </c>
      <c r="J39" s="96">
        <v>10557958.553512484</v>
      </c>
      <c r="K39" s="62">
        <v>1590</v>
      </c>
      <c r="L39" s="62">
        <v>13361955.680183934</v>
      </c>
      <c r="M39" s="62">
        <v>1615</v>
      </c>
      <c r="N39" s="96">
        <v>13554768.41628528</v>
      </c>
      <c r="O39" s="62">
        <v>1335</v>
      </c>
      <c r="P39" s="62">
        <v>10452914.063924478</v>
      </c>
      <c r="Q39" s="62">
        <v>1497.5</v>
      </c>
      <c r="R39" s="96">
        <v>11920062.574131491</v>
      </c>
      <c r="S39" s="62">
        <v>1505</v>
      </c>
      <c r="T39" s="62">
        <v>12085137.084875721</v>
      </c>
      <c r="U39" s="62">
        <v>1337.5</v>
      </c>
      <c r="V39" s="96">
        <v>10629696.928063409</v>
      </c>
      <c r="W39" s="62">
        <v>1587.4999999999998</v>
      </c>
      <c r="X39" s="62">
        <v>12488069.04726964</v>
      </c>
      <c r="Y39" s="62">
        <v>1420</v>
      </c>
      <c r="Z39" s="96">
        <v>10695371.81818182</v>
      </c>
      <c r="AA39" s="62">
        <v>375</v>
      </c>
      <c r="AB39" s="62">
        <v>2914875</v>
      </c>
      <c r="AC39" s="81">
        <f t="shared" ref="AC39:AC43" si="8">AA39+Y39+W39+U39+S39+Q39+O39+M39+K39+I39+G39+E39</f>
        <v>15497.5</v>
      </c>
      <c r="AD39" s="94">
        <f t="shared" si="7"/>
        <v>125244965.22206688</v>
      </c>
      <c r="AE39" s="48"/>
      <c r="AF39" s="48"/>
      <c r="AG39" s="48"/>
      <c r="AH39" s="49"/>
    </row>
    <row r="40" spans="1:35">
      <c r="A40" s="892">
        <v>18</v>
      </c>
      <c r="B40" s="892" t="s">
        <v>74</v>
      </c>
      <c r="C40" s="892" t="s">
        <v>609</v>
      </c>
      <c r="D40" s="226" t="s">
        <v>1084</v>
      </c>
      <c r="E40" s="238">
        <v>0</v>
      </c>
      <c r="F40" s="260">
        <v>0</v>
      </c>
      <c r="G40" s="238">
        <v>0</v>
      </c>
      <c r="H40" s="238">
        <v>0</v>
      </c>
      <c r="I40" s="238">
        <v>49.375999999999998</v>
      </c>
      <c r="J40" s="260">
        <v>1239787.6500000001</v>
      </c>
      <c r="K40" s="238">
        <v>41.503999999999998</v>
      </c>
      <c r="L40" s="238">
        <v>1017154.1599999992</v>
      </c>
      <c r="M40" s="238">
        <v>43.381999999999998</v>
      </c>
      <c r="N40" s="260">
        <v>137452.03</v>
      </c>
      <c r="O40" s="238">
        <v>37.799999999999997</v>
      </c>
      <c r="P40" s="238">
        <v>1508927.6500000004</v>
      </c>
      <c r="Q40" s="238">
        <v>413.42633890000002</v>
      </c>
      <c r="R40" s="260">
        <v>0</v>
      </c>
      <c r="S40" s="238">
        <v>448.87</v>
      </c>
      <c r="T40" s="238">
        <v>0</v>
      </c>
      <c r="U40" s="238">
        <v>33.084000000000003</v>
      </c>
      <c r="V40" s="260">
        <v>125650.79999999993</v>
      </c>
      <c r="W40" s="238">
        <v>156.83500000000001</v>
      </c>
      <c r="X40" s="238">
        <v>737933.07999999984</v>
      </c>
      <c r="Y40" s="238">
        <v>392.88554210000007</v>
      </c>
      <c r="Z40" s="260">
        <v>0</v>
      </c>
      <c r="AA40" s="238">
        <v>497.8523022</v>
      </c>
      <c r="AB40" s="238">
        <v>1096563.9500000007</v>
      </c>
      <c r="AC40" s="251">
        <f t="shared" si="8"/>
        <v>2115.0151832000001</v>
      </c>
      <c r="AD40" s="251">
        <f t="shared" si="7"/>
        <v>5863469.3200000003</v>
      </c>
      <c r="AE40" s="226"/>
      <c r="AF40" s="226" t="s">
        <v>2806</v>
      </c>
      <c r="AG40" s="226" t="s">
        <v>911</v>
      </c>
      <c r="AH40" s="225">
        <v>578</v>
      </c>
    </row>
    <row r="41" spans="1:35">
      <c r="A41" s="896"/>
      <c r="B41" s="896"/>
      <c r="C41" s="896"/>
      <c r="D41" s="226" t="s">
        <v>1097</v>
      </c>
      <c r="E41" s="238">
        <v>0</v>
      </c>
      <c r="F41" s="260">
        <v>0</v>
      </c>
      <c r="G41" s="238">
        <v>0</v>
      </c>
      <c r="H41" s="238">
        <v>0</v>
      </c>
      <c r="I41" s="238">
        <v>0</v>
      </c>
      <c r="J41" s="260">
        <v>0</v>
      </c>
      <c r="K41" s="238">
        <v>0</v>
      </c>
      <c r="L41" s="238">
        <v>0</v>
      </c>
      <c r="M41" s="238">
        <v>0</v>
      </c>
      <c r="N41" s="260">
        <v>0</v>
      </c>
      <c r="O41" s="238">
        <v>0</v>
      </c>
      <c r="P41" s="238">
        <v>0</v>
      </c>
      <c r="Q41" s="238">
        <v>0</v>
      </c>
      <c r="R41" s="260">
        <v>0</v>
      </c>
      <c r="S41" s="238">
        <v>0</v>
      </c>
      <c r="T41" s="238">
        <v>0</v>
      </c>
      <c r="U41" s="238">
        <v>0</v>
      </c>
      <c r="V41" s="260">
        <v>0</v>
      </c>
      <c r="W41" s="238">
        <v>0</v>
      </c>
      <c r="X41" s="238">
        <v>0</v>
      </c>
      <c r="Y41" s="238">
        <v>0</v>
      </c>
      <c r="Z41" s="260">
        <v>0</v>
      </c>
      <c r="AA41" s="238">
        <v>946.5</v>
      </c>
      <c r="AB41" s="238">
        <v>498091.1</v>
      </c>
      <c r="AC41" s="251">
        <f t="shared" si="8"/>
        <v>946.5</v>
      </c>
      <c r="AD41" s="251">
        <f t="shared" si="7"/>
        <v>498091.1</v>
      </c>
      <c r="AE41" s="226"/>
      <c r="AF41" s="226" t="s">
        <v>2807</v>
      </c>
      <c r="AG41" s="226" t="s">
        <v>911</v>
      </c>
      <c r="AH41" s="225">
        <v>578</v>
      </c>
    </row>
    <row r="42" spans="1:35">
      <c r="A42" s="893"/>
      <c r="B42" s="893"/>
      <c r="C42" s="893"/>
      <c r="D42" s="226" t="s">
        <v>1087</v>
      </c>
      <c r="E42" s="238">
        <v>2511.1869999999999</v>
      </c>
      <c r="F42" s="260">
        <v>27047869.77</v>
      </c>
      <c r="G42" s="238">
        <v>1752.779</v>
      </c>
      <c r="H42" s="238">
        <v>15029711.840000002</v>
      </c>
      <c r="I42" s="238">
        <v>1569.7339999999999</v>
      </c>
      <c r="J42" s="260">
        <v>13410514.699999999</v>
      </c>
      <c r="K42" s="238">
        <v>2411.567</v>
      </c>
      <c r="L42" s="238">
        <v>20405852.530000001</v>
      </c>
      <c r="M42" s="238">
        <v>331.84100000000001</v>
      </c>
      <c r="N42" s="260">
        <v>2783814.15</v>
      </c>
      <c r="O42" s="238">
        <v>2482.3339999999998</v>
      </c>
      <c r="P42" s="238">
        <v>21045649.648779999</v>
      </c>
      <c r="Q42" s="238">
        <v>4501.0839999999998</v>
      </c>
      <c r="R42" s="260">
        <v>38012824.661839999</v>
      </c>
      <c r="S42" s="238">
        <v>1914.1330000000003</v>
      </c>
      <c r="T42" s="238">
        <v>16075884.283160003</v>
      </c>
      <c r="U42" s="238">
        <v>286.959</v>
      </c>
      <c r="V42" s="260">
        <v>2397817.9256399996</v>
      </c>
      <c r="W42" s="238">
        <v>5271.6260000000002</v>
      </c>
      <c r="X42" s="238">
        <v>41854918.087159999</v>
      </c>
      <c r="Y42" s="238">
        <v>1767.5340000000001</v>
      </c>
      <c r="Z42" s="260">
        <v>14240685.606540002</v>
      </c>
      <c r="AA42" s="238">
        <v>2270.6819999999998</v>
      </c>
      <c r="AB42" s="238">
        <v>17470604.601179998</v>
      </c>
      <c r="AC42" s="251">
        <f t="shared" si="8"/>
        <v>27071.46</v>
      </c>
      <c r="AD42" s="251">
        <f t="shared" si="7"/>
        <v>229776147.80430001</v>
      </c>
      <c r="AE42" s="226"/>
      <c r="AF42" s="226" t="s">
        <v>2803</v>
      </c>
      <c r="AG42" s="226" t="s">
        <v>911</v>
      </c>
      <c r="AH42" s="225">
        <v>578</v>
      </c>
    </row>
    <row r="43" spans="1:35">
      <c r="A43" s="194">
        <v>19</v>
      </c>
      <c r="B43" s="194" t="s">
        <v>2793</v>
      </c>
      <c r="C43" s="194" t="s">
        <v>1244</v>
      </c>
      <c r="D43" s="51" t="s">
        <v>1121</v>
      </c>
      <c r="E43" s="62">
        <v>1536</v>
      </c>
      <c r="F43" s="96">
        <v>24487883.27</v>
      </c>
      <c r="G43" s="62">
        <v>1752</v>
      </c>
      <c r="H43" s="62">
        <v>24827839.100000001</v>
      </c>
      <c r="I43" s="62">
        <v>1872</v>
      </c>
      <c r="J43" s="96">
        <v>19578476.690000001</v>
      </c>
      <c r="K43" s="62">
        <v>1968</v>
      </c>
      <c r="L43" s="62">
        <v>23320087.859999999</v>
      </c>
      <c r="M43" s="62">
        <v>1824</v>
      </c>
      <c r="N43" s="96">
        <v>22395928.23</v>
      </c>
      <c r="O43" s="62">
        <v>1896</v>
      </c>
      <c r="P43" s="62">
        <v>19736036.52</v>
      </c>
      <c r="Q43" s="62">
        <v>1896</v>
      </c>
      <c r="R43" s="96">
        <v>21136697.690000001</v>
      </c>
      <c r="S43" s="62">
        <v>1656</v>
      </c>
      <c r="T43" s="62">
        <v>25524013.850000001</v>
      </c>
      <c r="U43" s="62">
        <v>1848</v>
      </c>
      <c r="V43" s="96">
        <v>26311022.77</v>
      </c>
      <c r="W43" s="62">
        <v>1416</v>
      </c>
      <c r="X43" s="62">
        <v>15692529.289999999</v>
      </c>
      <c r="Y43" s="62">
        <v>1584</v>
      </c>
      <c r="Z43" s="96">
        <v>11228155.09</v>
      </c>
      <c r="AA43" s="62">
        <v>0</v>
      </c>
      <c r="AB43" s="62">
        <v>0</v>
      </c>
      <c r="AC43" s="81">
        <f t="shared" si="8"/>
        <v>19248</v>
      </c>
      <c r="AD43" s="81">
        <f t="shared" si="7"/>
        <v>234238670.36000001</v>
      </c>
      <c r="AE43" s="48"/>
      <c r="AF43" s="48" t="s">
        <v>2808</v>
      </c>
      <c r="AG43" s="48"/>
      <c r="AH43" s="49"/>
    </row>
    <row r="44" spans="1:35">
      <c r="A44" s="915">
        <v>20</v>
      </c>
      <c r="B44" s="892" t="s">
        <v>190</v>
      </c>
      <c r="C44" s="915" t="s">
        <v>612</v>
      </c>
      <c r="D44" s="53" t="s">
        <v>1084</v>
      </c>
      <c r="E44" s="82">
        <v>0</v>
      </c>
      <c r="F44" s="95">
        <v>0</v>
      </c>
      <c r="G44" s="82">
        <v>0</v>
      </c>
      <c r="H44" s="82">
        <v>0</v>
      </c>
      <c r="I44" s="82">
        <v>0</v>
      </c>
      <c r="J44" s="95">
        <v>0</v>
      </c>
      <c r="K44" s="82">
        <v>965.8</v>
      </c>
      <c r="L44" s="82">
        <v>7024047.0700000003</v>
      </c>
      <c r="M44" s="82">
        <v>384.45</v>
      </c>
      <c r="N44" s="95">
        <v>2580770.56</v>
      </c>
      <c r="O44" s="82">
        <v>872.3</v>
      </c>
      <c r="P44" s="82">
        <v>5855654</v>
      </c>
      <c r="Q44" s="82">
        <v>559.35</v>
      </c>
      <c r="R44" s="95">
        <v>3754855.02</v>
      </c>
      <c r="S44" s="82">
        <v>343.74</v>
      </c>
      <c r="T44" s="82">
        <v>2307488.7999999998</v>
      </c>
      <c r="U44" s="82">
        <v>454.3</v>
      </c>
      <c r="V44" s="95">
        <v>2914425.4</v>
      </c>
      <c r="W44" s="82">
        <v>353.65</v>
      </c>
      <c r="X44" s="82">
        <v>2268735.4</v>
      </c>
      <c r="Y44" s="82">
        <v>635.25</v>
      </c>
      <c r="Z44" s="95">
        <v>4075490.8</v>
      </c>
      <c r="AA44" s="82">
        <v>662.75</v>
      </c>
      <c r="AB44" s="82">
        <v>4251919</v>
      </c>
      <c r="AC44" s="82">
        <f>AA44+Y44+W44+U44+S44+Q44+O44+M44+K44+I44+G44+E44</f>
        <v>5231.59</v>
      </c>
      <c r="AD44" s="82">
        <f>AB44+Z44+X44+V44+T44+R44+P44+N44+L44+J44+H44+F44</f>
        <v>35033386.049999997</v>
      </c>
      <c r="AE44" s="53"/>
      <c r="AF44" s="53"/>
      <c r="AG44" s="53"/>
      <c r="AH44" s="54"/>
    </row>
    <row r="45" spans="1:35">
      <c r="A45" s="916"/>
      <c r="B45" s="893"/>
      <c r="C45" s="916"/>
      <c r="D45" s="53" t="s">
        <v>1087</v>
      </c>
      <c r="E45" s="82">
        <v>6061.65</v>
      </c>
      <c r="F45" s="95">
        <v>50684304.630000003</v>
      </c>
      <c r="G45" s="82">
        <v>5418.0450000000001</v>
      </c>
      <c r="H45" s="82">
        <v>48631884.289999999</v>
      </c>
      <c r="I45" s="82">
        <v>5029.0990000000002</v>
      </c>
      <c r="J45" s="95">
        <v>45032564.090000004</v>
      </c>
      <c r="K45" s="82">
        <v>5027.4350000000004</v>
      </c>
      <c r="L45" s="82">
        <v>44415779.439999998</v>
      </c>
      <c r="M45" s="82">
        <v>4147.857</v>
      </c>
      <c r="N45" s="95">
        <v>36565806.700000003</v>
      </c>
      <c r="O45" s="82">
        <v>5467.183</v>
      </c>
      <c r="P45" s="82">
        <v>45118529.100000001</v>
      </c>
      <c r="Q45" s="82">
        <v>3479.9</v>
      </c>
      <c r="R45" s="95">
        <v>29181258.199999999</v>
      </c>
      <c r="S45" s="82">
        <v>4478.317</v>
      </c>
      <c r="T45" s="82">
        <v>37553195.200000003</v>
      </c>
      <c r="U45" s="82">
        <v>6418.2730000000001</v>
      </c>
      <c r="V45" s="95">
        <v>53610294</v>
      </c>
      <c r="W45" s="82">
        <v>6275.1090000000004</v>
      </c>
      <c r="X45" s="82">
        <v>51896343.799999997</v>
      </c>
      <c r="Y45" s="82">
        <v>3670.4180000000001</v>
      </c>
      <c r="Z45" s="95">
        <v>29140329.5</v>
      </c>
      <c r="AA45" s="82">
        <v>5982.2</v>
      </c>
      <c r="AB45" s="82">
        <v>47494121.5</v>
      </c>
      <c r="AC45" s="82">
        <f>AA45+Y45+W45+U45+S45+Q45+O45+M45+K45+I45+G45+E45</f>
        <v>61455.485999999997</v>
      </c>
      <c r="AD45" s="82">
        <f>AB45+Z45+X45+V45+T45+R45+P45+N45+L45+J45+H45+F45</f>
        <v>519324410.44999999</v>
      </c>
      <c r="AE45" s="53"/>
      <c r="AF45" s="53"/>
      <c r="AG45" s="53"/>
      <c r="AH45" s="54"/>
    </row>
    <row r="46" spans="1:35">
      <c r="A46" s="48">
        <v>21</v>
      </c>
      <c r="B46" s="48" t="s">
        <v>615</v>
      </c>
      <c r="C46" s="48" t="s">
        <v>616</v>
      </c>
      <c r="D46" s="48" t="s">
        <v>1087</v>
      </c>
      <c r="E46" s="62">
        <v>0</v>
      </c>
      <c r="F46" s="96">
        <v>0</v>
      </c>
      <c r="G46" s="62">
        <v>0</v>
      </c>
      <c r="H46" s="62">
        <v>0</v>
      </c>
      <c r="I46" s="62">
        <v>0</v>
      </c>
      <c r="J46" s="96">
        <v>0</v>
      </c>
      <c r="K46" s="62">
        <v>0</v>
      </c>
      <c r="L46" s="62">
        <v>0</v>
      </c>
      <c r="M46" s="62">
        <v>0</v>
      </c>
      <c r="N46" s="96">
        <v>0</v>
      </c>
      <c r="O46" s="62">
        <v>0</v>
      </c>
      <c r="P46" s="62">
        <v>0</v>
      </c>
      <c r="Q46" s="62">
        <v>0</v>
      </c>
      <c r="R46" s="96">
        <v>0</v>
      </c>
      <c r="S46" s="62">
        <v>0</v>
      </c>
      <c r="T46" s="62">
        <v>0</v>
      </c>
      <c r="U46" s="62">
        <v>0</v>
      </c>
      <c r="V46" s="96">
        <v>0</v>
      </c>
      <c r="W46" s="62">
        <v>0</v>
      </c>
      <c r="X46" s="62">
        <v>0</v>
      </c>
      <c r="Y46" s="62">
        <v>0</v>
      </c>
      <c r="Z46" s="96">
        <v>0</v>
      </c>
      <c r="AA46" s="62">
        <v>0</v>
      </c>
      <c r="AB46" s="62">
        <v>0</v>
      </c>
      <c r="AC46" s="81">
        <f t="shared" ref="AC46:AD46" si="9">AA46+Y46+W46+U46+S46+Q46+O46+M46+K46+I46+G46+E46</f>
        <v>0</v>
      </c>
      <c r="AD46" s="81">
        <f t="shared" si="9"/>
        <v>0</v>
      </c>
      <c r="AE46" s="48"/>
      <c r="AF46" s="48"/>
      <c r="AG46" s="48"/>
      <c r="AH46" s="49"/>
    </row>
    <row r="47" spans="1:35">
      <c r="A47" s="915">
        <v>22</v>
      </c>
      <c r="B47" s="892" t="s">
        <v>618</v>
      </c>
      <c r="C47" s="915" t="s">
        <v>619</v>
      </c>
      <c r="D47" s="53" t="s">
        <v>1084</v>
      </c>
      <c r="E47" s="82">
        <v>0</v>
      </c>
      <c r="F47" s="95">
        <v>0</v>
      </c>
      <c r="G47" s="82">
        <v>92451</v>
      </c>
      <c r="H47" s="82">
        <v>2018864.51</v>
      </c>
      <c r="I47" s="82">
        <v>57940</v>
      </c>
      <c r="J47" s="95">
        <v>1357375.37</v>
      </c>
      <c r="K47" s="82">
        <v>19287</v>
      </c>
      <c r="L47" s="82">
        <v>399042.03</v>
      </c>
      <c r="M47" s="82">
        <v>0</v>
      </c>
      <c r="N47" s="95">
        <v>0</v>
      </c>
      <c r="O47" s="82">
        <v>0</v>
      </c>
      <c r="P47" s="82">
        <v>0</v>
      </c>
      <c r="Q47" s="82">
        <v>0</v>
      </c>
      <c r="R47" s="95">
        <v>0</v>
      </c>
      <c r="S47" s="82">
        <v>120023</v>
      </c>
      <c r="T47" s="82">
        <v>2177094.1800000002</v>
      </c>
      <c r="U47" s="82">
        <v>238704</v>
      </c>
      <c r="V47" s="95">
        <v>4697522.01</v>
      </c>
      <c r="W47" s="82">
        <v>0</v>
      </c>
      <c r="X47" s="82">
        <v>0</v>
      </c>
      <c r="Y47" s="82">
        <v>0</v>
      </c>
      <c r="Z47" s="95">
        <v>0</v>
      </c>
      <c r="AA47" s="82">
        <v>0</v>
      </c>
      <c r="AB47" s="82">
        <v>0</v>
      </c>
      <c r="AC47" s="82">
        <f>AA47+Y47+W47+U47+S47+Q47+O47+M47+K47+I47+G47+E47</f>
        <v>528405</v>
      </c>
      <c r="AD47" s="82">
        <f>AB47+Z47+X47+V47+T47+R47+P47+N47+L47+J47+H47+F47</f>
        <v>10649898.1</v>
      </c>
      <c r="AE47" s="53"/>
      <c r="AF47" s="53"/>
      <c r="AG47" s="53" t="s">
        <v>2794</v>
      </c>
      <c r="AH47" s="54" t="s">
        <v>2795</v>
      </c>
    </row>
    <row r="48" spans="1:35">
      <c r="A48" s="916"/>
      <c r="B48" s="893"/>
      <c r="C48" s="916"/>
      <c r="D48" s="53" t="s">
        <v>1087</v>
      </c>
      <c r="E48" s="82">
        <v>2122.2910000000002</v>
      </c>
      <c r="F48" s="95">
        <v>11415973.07</v>
      </c>
      <c r="G48" s="82">
        <v>3853.21</v>
      </c>
      <c r="H48" s="82">
        <v>20091831.440000001</v>
      </c>
      <c r="I48" s="82">
        <v>2712.8519999999999</v>
      </c>
      <c r="J48" s="95">
        <v>14490563.32</v>
      </c>
      <c r="K48" s="82">
        <v>1450.5450000000001</v>
      </c>
      <c r="L48" s="82">
        <v>6428916.9800000004</v>
      </c>
      <c r="M48" s="82">
        <v>2315.8879999999999</v>
      </c>
      <c r="N48" s="95">
        <v>10330666.869999999</v>
      </c>
      <c r="O48" s="82">
        <v>2397.4490000000001</v>
      </c>
      <c r="P48" s="82">
        <v>13102154.68</v>
      </c>
      <c r="Q48" s="82">
        <v>2839.3290000000002</v>
      </c>
      <c r="R48" s="95">
        <v>13444733.890000001</v>
      </c>
      <c r="S48" s="82">
        <v>2092.9929999999999</v>
      </c>
      <c r="T48" s="82">
        <v>9779844.6699999999</v>
      </c>
      <c r="U48" s="82">
        <v>3947.8519999999999</v>
      </c>
      <c r="V48" s="95">
        <v>19078429.050000001</v>
      </c>
      <c r="W48" s="82">
        <v>4220.3680000000004</v>
      </c>
      <c r="X48" s="82">
        <v>22096158.699999999</v>
      </c>
      <c r="Y48" s="82">
        <v>2819.6669999999999</v>
      </c>
      <c r="Z48" s="95">
        <v>14081078.640000001</v>
      </c>
      <c r="AA48" s="82">
        <v>2313.8069999999998</v>
      </c>
      <c r="AB48" s="82">
        <v>14863826.75</v>
      </c>
      <c r="AC48" s="82">
        <f>AA48+Y48+W48+U48+S48+Q48+O48+M48+K48+I48+G48+E48</f>
        <v>33086.250999999997</v>
      </c>
      <c r="AD48" s="82">
        <f>AB48+Z48+X48+V48+T48+R48+P48+N48+L48+J48+H48+F48</f>
        <v>169204178.06</v>
      </c>
      <c r="AE48" s="53"/>
      <c r="AF48" s="53"/>
      <c r="AG48" s="53" t="s">
        <v>2794</v>
      </c>
      <c r="AH48" s="54" t="s">
        <v>2795</v>
      </c>
    </row>
    <row r="49" spans="1:35">
      <c r="A49" s="48">
        <v>23</v>
      </c>
      <c r="B49" s="48" t="s">
        <v>622</v>
      </c>
      <c r="C49" s="48" t="s">
        <v>623</v>
      </c>
      <c r="D49" s="48" t="s">
        <v>1087</v>
      </c>
      <c r="E49" s="62">
        <v>2517.1</v>
      </c>
      <c r="F49" s="96">
        <v>0</v>
      </c>
      <c r="G49" s="62">
        <v>3453.74</v>
      </c>
      <c r="H49" s="62">
        <v>0</v>
      </c>
      <c r="I49" s="62">
        <v>3834.17</v>
      </c>
      <c r="J49" s="96">
        <v>0</v>
      </c>
      <c r="K49" s="62">
        <v>3341.27</v>
      </c>
      <c r="L49" s="62">
        <v>0</v>
      </c>
      <c r="M49" s="62">
        <v>3219.72</v>
      </c>
      <c r="N49" s="96">
        <v>0</v>
      </c>
      <c r="O49" s="62">
        <v>2977.55</v>
      </c>
      <c r="P49" s="62">
        <v>0</v>
      </c>
      <c r="Q49" s="62">
        <v>2127.4899999999998</v>
      </c>
      <c r="R49" s="96">
        <v>0</v>
      </c>
      <c r="S49" s="62">
        <v>4148.28</v>
      </c>
      <c r="T49" s="62">
        <v>0</v>
      </c>
      <c r="U49" s="62">
        <v>2770.23</v>
      </c>
      <c r="V49" s="96">
        <v>0</v>
      </c>
      <c r="W49" s="62">
        <v>2456.2199999999998</v>
      </c>
      <c r="X49" s="62">
        <v>0</v>
      </c>
      <c r="Y49" s="62">
        <v>3615.58</v>
      </c>
      <c r="Z49" s="96">
        <v>0</v>
      </c>
      <c r="AA49" s="62">
        <v>1934.002</v>
      </c>
      <c r="AB49" s="62">
        <v>302227370.38999999</v>
      </c>
      <c r="AC49" s="81">
        <f t="shared" ref="AC49" si="10">AA49+Y49+W49+U49+S49+Q49+O49+M49+K49+I49+G49+E49</f>
        <v>36395.351999999992</v>
      </c>
      <c r="AD49" s="81">
        <f>AB49+Z49+X49+V49+T49+R49+P49+N49+L49+J49+H49+F49</f>
        <v>302227370.38999999</v>
      </c>
      <c r="AE49" s="48"/>
      <c r="AF49" s="48"/>
      <c r="AG49" s="48"/>
      <c r="AH49" s="49"/>
    </row>
    <row r="50" spans="1:35">
      <c r="A50" s="915">
        <v>24</v>
      </c>
      <c r="B50" s="892" t="s">
        <v>130</v>
      </c>
      <c r="C50" s="915" t="s">
        <v>627</v>
      </c>
      <c r="D50" s="53" t="s">
        <v>1084</v>
      </c>
      <c r="E50" s="82">
        <v>106.22</v>
      </c>
      <c r="F50" s="95">
        <v>693276.45</v>
      </c>
      <c r="G50" s="82">
        <v>489.35700000000003</v>
      </c>
      <c r="H50" s="82">
        <v>2443485.84</v>
      </c>
      <c r="I50" s="82">
        <v>628.26</v>
      </c>
      <c r="J50" s="95">
        <v>2559390.09</v>
      </c>
      <c r="K50" s="82">
        <v>554.15599999999995</v>
      </c>
      <c r="L50" s="82">
        <v>2391806.02</v>
      </c>
      <c r="M50" s="82">
        <v>280.63099999999997</v>
      </c>
      <c r="N50" s="95">
        <v>1173570.2</v>
      </c>
      <c r="O50" s="82">
        <v>56.27</v>
      </c>
      <c r="P50" s="82">
        <v>205362.21</v>
      </c>
      <c r="Q50" s="82">
        <v>80.706000000000003</v>
      </c>
      <c r="R50" s="95">
        <v>332519.27</v>
      </c>
      <c r="S50" s="82">
        <v>86.84</v>
      </c>
      <c r="T50" s="82">
        <v>357428.12</v>
      </c>
      <c r="U50" s="82">
        <v>52.606000000000002</v>
      </c>
      <c r="V50" s="95">
        <v>216751.98</v>
      </c>
      <c r="W50" s="82">
        <v>0</v>
      </c>
      <c r="X50" s="82">
        <v>0</v>
      </c>
      <c r="Y50" s="82">
        <v>0</v>
      </c>
      <c r="Z50" s="95">
        <v>0</v>
      </c>
      <c r="AA50" s="82">
        <v>0</v>
      </c>
      <c r="AB50" s="82">
        <v>0</v>
      </c>
      <c r="AC50" s="82">
        <f>AA50+Y50+W50+U50+S50+Q50+O50+M50+K50+I50+G50+E50</f>
        <v>2335.0459999999998</v>
      </c>
      <c r="AD50" s="82">
        <f>AB50+Z50+X50+V50+T50+R50+P50+N50+L50+J50+H50+F50</f>
        <v>10373590.18</v>
      </c>
      <c r="AE50" s="53"/>
      <c r="AF50" s="53"/>
      <c r="AG50" s="53"/>
      <c r="AH50" s="54"/>
    </row>
    <row r="51" spans="1:35">
      <c r="A51" s="916"/>
      <c r="B51" s="893"/>
      <c r="C51" s="916"/>
      <c r="D51" s="53" t="s">
        <v>1087</v>
      </c>
      <c r="E51" s="82">
        <v>1248.95</v>
      </c>
      <c r="F51" s="95">
        <v>10535368.189999999</v>
      </c>
      <c r="G51" s="82">
        <v>3897.68</v>
      </c>
      <c r="H51" s="82">
        <v>32725079.23</v>
      </c>
      <c r="I51" s="82">
        <v>3195.24</v>
      </c>
      <c r="J51" s="95">
        <v>26396429.100000001</v>
      </c>
      <c r="K51" s="82">
        <v>2730.69</v>
      </c>
      <c r="L51" s="82">
        <v>22492768.870000001</v>
      </c>
      <c r="M51" s="82">
        <v>2648.97</v>
      </c>
      <c r="N51" s="95">
        <v>20361132.48</v>
      </c>
      <c r="O51" s="82">
        <v>1553.51</v>
      </c>
      <c r="P51" s="82">
        <v>12129588.59</v>
      </c>
      <c r="Q51" s="82">
        <v>1551.31</v>
      </c>
      <c r="R51" s="95">
        <v>12228128.23</v>
      </c>
      <c r="S51" s="82">
        <v>2282.86</v>
      </c>
      <c r="T51" s="82">
        <v>17823393.530000001</v>
      </c>
      <c r="U51" s="82">
        <v>1793.25</v>
      </c>
      <c r="V51" s="95">
        <v>14000777.51</v>
      </c>
      <c r="W51" s="82">
        <v>3005.9956000000002</v>
      </c>
      <c r="X51" s="82">
        <v>22335148.510000002</v>
      </c>
      <c r="Y51" s="82">
        <v>2705.8137999999999</v>
      </c>
      <c r="Z51" s="95">
        <v>20784032.239999998</v>
      </c>
      <c r="AA51" s="82">
        <v>1257.4739999999999</v>
      </c>
      <c r="AB51" s="82">
        <v>9933617.0600000005</v>
      </c>
      <c r="AC51" s="82">
        <f>AA51+Y51+W51+U51+S51+Q51+O51+M51+K51+I51+G51+E51</f>
        <v>27871.743400000003</v>
      </c>
      <c r="AD51" s="82">
        <f>AB51+Z51+X51+V51+T51+R51+P51+N51+L51+J51+H51+F51</f>
        <v>221745463.53999999</v>
      </c>
      <c r="AE51" s="53"/>
      <c r="AF51" s="53"/>
      <c r="AG51" s="53"/>
      <c r="AH51" s="54"/>
    </row>
    <row r="52" spans="1:35">
      <c r="A52" s="48">
        <v>25</v>
      </c>
      <c r="B52" s="48" t="s">
        <v>630</v>
      </c>
      <c r="C52" s="48" t="s">
        <v>631</v>
      </c>
      <c r="D52" s="48" t="s">
        <v>1101</v>
      </c>
      <c r="E52" s="62">
        <v>7086.1955999999991</v>
      </c>
      <c r="F52" s="96">
        <v>24531864.280000001</v>
      </c>
      <c r="G52" s="62">
        <v>7097.2439999999997</v>
      </c>
      <c r="H52" s="62">
        <v>20661343.010000005</v>
      </c>
      <c r="I52" s="62">
        <v>7170.8405999999995</v>
      </c>
      <c r="J52" s="96">
        <v>26105930.82</v>
      </c>
      <c r="K52" s="62">
        <v>3948.4202999999998</v>
      </c>
      <c r="L52" s="62">
        <v>14446677.290000001</v>
      </c>
      <c r="M52" s="62">
        <v>6113.5668000000005</v>
      </c>
      <c r="N52" s="96">
        <v>18678858.120000001</v>
      </c>
      <c r="O52" s="62">
        <v>7037.0684999999994</v>
      </c>
      <c r="P52" s="62">
        <v>22991549.049999997</v>
      </c>
      <c r="Q52" s="62">
        <v>4956.5769</v>
      </c>
      <c r="R52" s="96">
        <v>14060688.549999997</v>
      </c>
      <c r="S52" s="62">
        <v>3464.5544999999997</v>
      </c>
      <c r="T52" s="62">
        <v>10573032.550000004</v>
      </c>
      <c r="U52" s="62">
        <v>6421.3181999999997</v>
      </c>
      <c r="V52" s="96">
        <v>19826376.699999999</v>
      </c>
      <c r="W52" s="62">
        <v>6169.201500000001</v>
      </c>
      <c r="X52" s="62">
        <v>14998209.430000002</v>
      </c>
      <c r="Y52" s="62">
        <v>4486.1948999999995</v>
      </c>
      <c r="Z52" s="96">
        <v>13874694.359999996</v>
      </c>
      <c r="AA52" s="62">
        <v>4929.6291000000001</v>
      </c>
      <c r="AB52" s="62">
        <v>15652757.120000001</v>
      </c>
      <c r="AC52" s="81">
        <f t="shared" ref="AC52:AD67" si="11">AA52+Y52+W52+U52+S52+Q52+O52+M52+K52+I52+G52+E52</f>
        <v>68880.810899999997</v>
      </c>
      <c r="AD52" s="81">
        <f t="shared" si="11"/>
        <v>216401981.28</v>
      </c>
      <c r="AE52" s="48"/>
      <c r="AF52" s="48" t="s">
        <v>2809</v>
      </c>
      <c r="AG52" s="48" t="s">
        <v>722</v>
      </c>
      <c r="AH52" s="49" t="s">
        <v>2797</v>
      </c>
    </row>
    <row r="53" spans="1:35">
      <c r="A53" s="56">
        <v>26</v>
      </c>
      <c r="B53" s="256" t="s">
        <v>99</v>
      </c>
      <c r="C53" s="56" t="s">
        <v>637</v>
      </c>
      <c r="D53" s="53" t="s">
        <v>1247</v>
      </c>
      <c r="E53" s="82">
        <v>0</v>
      </c>
      <c r="F53" s="95">
        <v>0</v>
      </c>
      <c r="G53" s="82">
        <v>0</v>
      </c>
      <c r="H53" s="82">
        <v>0</v>
      </c>
      <c r="I53" s="82">
        <v>0</v>
      </c>
      <c r="J53" s="95">
        <v>0</v>
      </c>
      <c r="K53" s="82">
        <v>0</v>
      </c>
      <c r="L53" s="82">
        <v>0</v>
      </c>
      <c r="M53" s="82">
        <v>0</v>
      </c>
      <c r="N53" s="95">
        <v>0</v>
      </c>
      <c r="O53" s="82">
        <v>0</v>
      </c>
      <c r="P53" s="82">
        <v>0</v>
      </c>
      <c r="Q53" s="82">
        <v>0</v>
      </c>
      <c r="R53" s="95">
        <v>0</v>
      </c>
      <c r="S53" s="82">
        <v>0</v>
      </c>
      <c r="T53" s="82">
        <v>0</v>
      </c>
      <c r="U53" s="82">
        <v>0</v>
      </c>
      <c r="V53" s="95">
        <v>0</v>
      </c>
      <c r="W53" s="82">
        <v>0</v>
      </c>
      <c r="X53" s="82">
        <v>0</v>
      </c>
      <c r="Y53" s="82">
        <v>0</v>
      </c>
      <c r="Z53" s="95">
        <v>0</v>
      </c>
      <c r="AA53" s="82">
        <v>0</v>
      </c>
      <c r="AB53" s="82">
        <v>0</v>
      </c>
      <c r="AC53" s="82">
        <f t="shared" si="11"/>
        <v>0</v>
      </c>
      <c r="AD53" s="82">
        <f t="shared" si="11"/>
        <v>0</v>
      </c>
      <c r="AE53" s="53"/>
      <c r="AF53" s="53"/>
      <c r="AG53" s="53"/>
      <c r="AH53" s="54"/>
    </row>
    <row r="54" spans="1:35">
      <c r="A54" s="889">
        <v>27</v>
      </c>
      <c r="B54" s="889" t="s">
        <v>87</v>
      </c>
      <c r="C54" s="889" t="s">
        <v>642</v>
      </c>
      <c r="D54" s="51" t="s">
        <v>1084</v>
      </c>
      <c r="E54" s="81">
        <v>0</v>
      </c>
      <c r="F54" s="94">
        <v>0</v>
      </c>
      <c r="G54" s="81">
        <v>0</v>
      </c>
      <c r="H54" s="81">
        <v>0</v>
      </c>
      <c r="I54" s="81">
        <v>0</v>
      </c>
      <c r="J54" s="94">
        <v>0</v>
      </c>
      <c r="K54" s="81">
        <v>0</v>
      </c>
      <c r="L54" s="81">
        <v>0</v>
      </c>
      <c r="M54" s="81">
        <v>0</v>
      </c>
      <c r="N54" s="94">
        <v>0</v>
      </c>
      <c r="O54" s="81">
        <v>208</v>
      </c>
      <c r="P54" s="81">
        <v>760988.83</v>
      </c>
      <c r="Q54" s="81">
        <v>0</v>
      </c>
      <c r="R54" s="94">
        <v>0</v>
      </c>
      <c r="S54" s="81">
        <v>0</v>
      </c>
      <c r="T54" s="81">
        <v>0</v>
      </c>
      <c r="U54" s="81">
        <v>0</v>
      </c>
      <c r="V54" s="94">
        <v>0</v>
      </c>
      <c r="W54" s="81">
        <v>0</v>
      </c>
      <c r="X54" s="81">
        <v>0</v>
      </c>
      <c r="Y54" s="81">
        <v>0</v>
      </c>
      <c r="Z54" s="94">
        <v>0</v>
      </c>
      <c r="AA54" s="81">
        <v>0</v>
      </c>
      <c r="AB54" s="81">
        <v>0</v>
      </c>
      <c r="AC54" s="81">
        <f t="shared" si="11"/>
        <v>208</v>
      </c>
      <c r="AD54" s="81">
        <f t="shared" si="11"/>
        <v>760988.83</v>
      </c>
      <c r="AE54" s="51"/>
      <c r="AF54" s="51"/>
      <c r="AG54" s="51"/>
      <c r="AH54" s="50"/>
    </row>
    <row r="55" spans="1:35">
      <c r="A55" s="890"/>
      <c r="B55" s="890"/>
      <c r="C55" s="890"/>
      <c r="D55" s="51" t="s">
        <v>1087</v>
      </c>
      <c r="E55" s="81">
        <v>4162</v>
      </c>
      <c r="F55" s="94">
        <v>34800661.909999996</v>
      </c>
      <c r="G55" s="81">
        <v>3244</v>
      </c>
      <c r="H55" s="81">
        <v>29117859.559999999</v>
      </c>
      <c r="I55" s="81">
        <v>3520</v>
      </c>
      <c r="J55" s="94">
        <v>31519538.93</v>
      </c>
      <c r="K55" s="81">
        <v>2070</v>
      </c>
      <c r="L55" s="81">
        <v>18287842.329999998</v>
      </c>
      <c r="M55" s="81">
        <v>2280</v>
      </c>
      <c r="N55" s="94">
        <v>20099609.84</v>
      </c>
      <c r="O55" s="81">
        <v>2342</v>
      </c>
      <c r="P55" s="81">
        <v>19327810.870000001</v>
      </c>
      <c r="Q55" s="81">
        <v>2472</v>
      </c>
      <c r="R55" s="94">
        <v>20729280.699999999</v>
      </c>
      <c r="S55" s="81">
        <v>5236</v>
      </c>
      <c r="T55" s="81">
        <v>44205378.5</v>
      </c>
      <c r="U55" s="81">
        <v>1920</v>
      </c>
      <c r="V55" s="94">
        <v>16037442.5</v>
      </c>
      <c r="W55" s="81">
        <v>4960</v>
      </c>
      <c r="X55" s="81">
        <v>41020553.530000001</v>
      </c>
      <c r="Y55" s="81">
        <v>2484</v>
      </c>
      <c r="Z55" s="94">
        <v>19721111.890000001</v>
      </c>
      <c r="AA55" s="81">
        <v>3680</v>
      </c>
      <c r="AB55" s="81">
        <v>30078452.649999999</v>
      </c>
      <c r="AC55" s="81">
        <f t="shared" si="11"/>
        <v>38370</v>
      </c>
      <c r="AD55" s="81">
        <f t="shared" si="11"/>
        <v>324945543.21000004</v>
      </c>
      <c r="AE55" s="51"/>
      <c r="AF55" s="51"/>
      <c r="AG55" s="51" t="s">
        <v>2810</v>
      </c>
      <c r="AH55" s="50">
        <v>2590</v>
      </c>
    </row>
    <row r="56" spans="1:35">
      <c r="A56" s="890"/>
      <c r="B56" s="890"/>
      <c r="C56" s="890"/>
      <c r="D56" s="51" t="s">
        <v>1092</v>
      </c>
      <c r="E56" s="81">
        <v>23441.31</v>
      </c>
      <c r="F56" s="94">
        <v>1177078.75</v>
      </c>
      <c r="G56" s="81">
        <v>22586.41</v>
      </c>
      <c r="H56" s="81">
        <v>1193016.8600000001</v>
      </c>
      <c r="I56" s="81">
        <v>22314.76</v>
      </c>
      <c r="J56" s="94">
        <v>1031677.99</v>
      </c>
      <c r="K56" s="81">
        <v>4405.3</v>
      </c>
      <c r="L56" s="81">
        <v>201489.82</v>
      </c>
      <c r="M56" s="81">
        <v>38491.72</v>
      </c>
      <c r="N56" s="94">
        <v>1940772.34</v>
      </c>
      <c r="O56" s="81">
        <v>8765.6299999999992</v>
      </c>
      <c r="P56" s="81">
        <v>455549.79</v>
      </c>
      <c r="Q56" s="81">
        <v>0</v>
      </c>
      <c r="R56" s="94">
        <v>0</v>
      </c>
      <c r="S56" s="81">
        <v>44311.38</v>
      </c>
      <c r="T56" s="81">
        <v>1885614.91</v>
      </c>
      <c r="U56" s="81">
        <v>12216.89</v>
      </c>
      <c r="V56" s="94">
        <v>415007.75</v>
      </c>
      <c r="W56" s="81">
        <v>0</v>
      </c>
      <c r="X56" s="81">
        <v>0</v>
      </c>
      <c r="Y56" s="81">
        <v>36697.31</v>
      </c>
      <c r="Z56" s="94">
        <v>1179246.73</v>
      </c>
      <c r="AA56" s="81">
        <v>0</v>
      </c>
      <c r="AB56" s="81">
        <v>0</v>
      </c>
      <c r="AC56" s="81">
        <f t="shared" si="11"/>
        <v>213230.71</v>
      </c>
      <c r="AD56" s="81">
        <f t="shared" si="11"/>
        <v>9479454.9400000013</v>
      </c>
      <c r="AE56" s="51"/>
      <c r="AF56" s="51"/>
      <c r="AG56" s="51"/>
      <c r="AH56" s="50"/>
    </row>
    <row r="57" spans="1:35">
      <c r="A57" s="226">
        <v>28</v>
      </c>
      <c r="B57" s="226" t="s">
        <v>646</v>
      </c>
      <c r="C57" s="226" t="s">
        <v>647</v>
      </c>
      <c r="D57" s="226" t="s">
        <v>1109</v>
      </c>
      <c r="E57" s="238">
        <v>1421.8228999999999</v>
      </c>
      <c r="F57" s="260">
        <v>0</v>
      </c>
      <c r="G57" s="238">
        <v>1996.5838000000001</v>
      </c>
      <c r="H57" s="238">
        <v>0</v>
      </c>
      <c r="I57" s="238">
        <v>2410.1970000000001</v>
      </c>
      <c r="J57" s="260">
        <v>0</v>
      </c>
      <c r="K57" s="238">
        <v>2156.6504</v>
      </c>
      <c r="L57" s="238">
        <v>0</v>
      </c>
      <c r="M57" s="238">
        <v>2083.5866000000001</v>
      </c>
      <c r="N57" s="260">
        <v>0</v>
      </c>
      <c r="O57" s="238">
        <v>1050.7624000000001</v>
      </c>
      <c r="P57" s="238">
        <v>0</v>
      </c>
      <c r="Q57" s="238">
        <v>1926.0124000000001</v>
      </c>
      <c r="R57" s="260">
        <v>0</v>
      </c>
      <c r="S57" s="238">
        <v>1852.3173999999999</v>
      </c>
      <c r="T57" s="238">
        <v>0</v>
      </c>
      <c r="U57" s="238">
        <v>1983.4218000000001</v>
      </c>
      <c r="V57" s="260">
        <v>0</v>
      </c>
      <c r="W57" s="238">
        <v>1961.0455999999999</v>
      </c>
      <c r="X57" s="238">
        <v>0</v>
      </c>
      <c r="Y57" s="238">
        <v>1674.712</v>
      </c>
      <c r="Z57" s="260">
        <v>0</v>
      </c>
      <c r="AA57" s="238">
        <v>1080.231</v>
      </c>
      <c r="AB57" s="238">
        <v>0</v>
      </c>
      <c r="AC57" s="251">
        <f t="shared" si="11"/>
        <v>21597.3433</v>
      </c>
      <c r="AD57" s="251">
        <f t="shared" si="11"/>
        <v>0</v>
      </c>
      <c r="AE57" s="226"/>
      <c r="AF57" s="226"/>
      <c r="AG57" s="226"/>
      <c r="AH57" s="225"/>
    </row>
    <row r="58" spans="1:35">
      <c r="A58" s="889">
        <v>29</v>
      </c>
      <c r="B58" s="889" t="s">
        <v>651</v>
      </c>
      <c r="C58" s="889" t="s">
        <v>652</v>
      </c>
      <c r="D58" s="51" t="s">
        <v>1112</v>
      </c>
      <c r="E58" s="81">
        <v>195.29859999999999</v>
      </c>
      <c r="F58" s="259">
        <v>-2335877.73</v>
      </c>
      <c r="G58" s="81">
        <v>48.958199999999998</v>
      </c>
      <c r="H58" s="249">
        <v>-2285331.2999999998</v>
      </c>
      <c r="I58" s="81">
        <v>415.61599999999999</v>
      </c>
      <c r="J58" s="94">
        <v>2994362.57</v>
      </c>
      <c r="K58" s="81">
        <v>505.38339999999999</v>
      </c>
      <c r="L58" s="81">
        <v>5661110.5</v>
      </c>
      <c r="M58" s="249">
        <v>-4.5424000000000202</v>
      </c>
      <c r="N58" s="259">
        <v>-3697891.69</v>
      </c>
      <c r="O58" s="81">
        <v>153.87389999999999</v>
      </c>
      <c r="P58" s="81">
        <v>1329.3500000003301</v>
      </c>
      <c r="Q58" s="81">
        <v>617.09649999999999</v>
      </c>
      <c r="R58" s="94">
        <v>6497599.0700000003</v>
      </c>
      <c r="S58" s="81">
        <v>492.76089999999999</v>
      </c>
      <c r="T58" s="81">
        <v>4465759.58</v>
      </c>
      <c r="U58" s="81">
        <v>198.06290000000001</v>
      </c>
      <c r="V58" s="94">
        <v>2411675.42</v>
      </c>
      <c r="W58" s="81">
        <v>417.13869999999997</v>
      </c>
      <c r="X58" s="81">
        <v>5072254.43</v>
      </c>
      <c r="Y58" s="81">
        <v>596.84730000000002</v>
      </c>
      <c r="Z58" s="94">
        <v>7264741.4800000004</v>
      </c>
      <c r="AA58" s="81">
        <v>493.44510000000002</v>
      </c>
      <c r="AB58" s="81">
        <v>5999345.4900000002</v>
      </c>
      <c r="AC58" s="81">
        <f t="shared" si="11"/>
        <v>4129.9391000000005</v>
      </c>
      <c r="AD58" s="81">
        <f t="shared" si="11"/>
        <v>32049077.169999998</v>
      </c>
      <c r="AE58" s="51"/>
      <c r="AF58" s="51"/>
      <c r="AG58" s="51"/>
      <c r="AH58" s="50"/>
      <c r="AI58" s="4"/>
    </row>
    <row r="59" spans="1:35">
      <c r="A59" s="891"/>
      <c r="B59" s="891"/>
      <c r="C59" s="891"/>
      <c r="D59" s="51" t="s">
        <v>1087</v>
      </c>
      <c r="E59" s="81">
        <v>30201.129000000001</v>
      </c>
      <c r="F59" s="94">
        <v>236202142.7166</v>
      </c>
      <c r="G59" s="81">
        <v>22122.558000000001</v>
      </c>
      <c r="H59" s="81">
        <v>210453709.25999999</v>
      </c>
      <c r="I59" s="81">
        <v>15796.091</v>
      </c>
      <c r="J59" s="94">
        <v>161675685.09</v>
      </c>
      <c r="K59" s="81">
        <v>20612.441999999999</v>
      </c>
      <c r="L59" s="81">
        <v>171998435.78</v>
      </c>
      <c r="M59" s="81">
        <v>19906.702000000001</v>
      </c>
      <c r="N59" s="94">
        <v>167347911.34</v>
      </c>
      <c r="O59" s="81">
        <v>15722.353999999999</v>
      </c>
      <c r="P59" s="81">
        <v>122871908.58</v>
      </c>
      <c r="Q59" s="81">
        <v>18626.725999999999</v>
      </c>
      <c r="R59" s="94">
        <v>120320527.69623999</v>
      </c>
      <c r="S59" s="81">
        <v>12562.038</v>
      </c>
      <c r="T59" s="81">
        <v>90931254.060000002</v>
      </c>
      <c r="U59" s="81">
        <v>14919.958000000001</v>
      </c>
      <c r="V59" s="94">
        <v>107145548.65000001</v>
      </c>
      <c r="W59" s="81">
        <v>30710.528999999999</v>
      </c>
      <c r="X59" s="81">
        <v>233261073.63999999</v>
      </c>
      <c r="Y59" s="81">
        <v>29181.826000000001</v>
      </c>
      <c r="Z59" s="94">
        <v>206082895.09</v>
      </c>
      <c r="AA59" s="81">
        <v>13703.9</v>
      </c>
      <c r="AB59" s="81">
        <v>97894934.329999998</v>
      </c>
      <c r="AC59" s="81">
        <f t="shared" si="11"/>
        <v>244066.25299999997</v>
      </c>
      <c r="AD59" s="81">
        <f t="shared" si="11"/>
        <v>1926186026.2328398</v>
      </c>
      <c r="AE59" s="51"/>
      <c r="AF59" s="51"/>
      <c r="AG59" s="51"/>
      <c r="AH59" s="50"/>
    </row>
    <row r="60" spans="1:35">
      <c r="A60" s="915">
        <v>30</v>
      </c>
      <c r="B60" s="927" t="s">
        <v>1847</v>
      </c>
      <c r="C60" s="915" t="s">
        <v>1246</v>
      </c>
      <c r="D60" s="53" t="s">
        <v>1084</v>
      </c>
      <c r="E60" s="261">
        <v>0</v>
      </c>
      <c r="F60" s="261">
        <v>0</v>
      </c>
      <c r="G60" s="261">
        <v>0</v>
      </c>
      <c r="H60" s="261">
        <v>0</v>
      </c>
      <c r="I60" s="261">
        <v>0</v>
      </c>
      <c r="J60" s="262">
        <v>0</v>
      </c>
      <c r="K60" s="261">
        <v>0</v>
      </c>
      <c r="L60" s="261">
        <v>0</v>
      </c>
      <c r="M60" s="261">
        <v>0</v>
      </c>
      <c r="N60" s="262">
        <v>0</v>
      </c>
      <c r="O60" s="261">
        <v>0</v>
      </c>
      <c r="P60" s="261">
        <v>0</v>
      </c>
      <c r="Q60" s="261">
        <v>0</v>
      </c>
      <c r="R60" s="262">
        <v>0</v>
      </c>
      <c r="S60" s="261">
        <v>0</v>
      </c>
      <c r="T60" s="261">
        <v>0</v>
      </c>
      <c r="U60" s="261">
        <v>494.88499999999999</v>
      </c>
      <c r="V60" s="262">
        <v>2632159.6960499999</v>
      </c>
      <c r="W60" s="261">
        <v>367.471</v>
      </c>
      <c r="X60" s="261">
        <v>1954568.3272830001</v>
      </c>
      <c r="Y60" s="261">
        <v>465.99099999999999</v>
      </c>
      <c r="Z60" s="262">
        <v>2478620.5750000002</v>
      </c>
      <c r="AA60" s="261">
        <v>361.92</v>
      </c>
      <c r="AB60" s="261">
        <v>1926293.5036800001</v>
      </c>
      <c r="AC60" s="261">
        <f t="shared" si="11"/>
        <v>1690.2670000000001</v>
      </c>
      <c r="AD60" s="261">
        <f t="shared" si="11"/>
        <v>8991642.1020129994</v>
      </c>
      <c r="AE60" s="56"/>
      <c r="AF60" s="56"/>
      <c r="AG60" s="56"/>
      <c r="AH60" s="57"/>
    </row>
    <row r="61" spans="1:35">
      <c r="A61" s="916"/>
      <c r="B61" s="929"/>
      <c r="C61" s="916"/>
      <c r="D61" s="53" t="s">
        <v>1087</v>
      </c>
      <c r="E61" s="261">
        <v>3175.7930000000001</v>
      </c>
      <c r="F61" s="261">
        <v>26554297.895709999</v>
      </c>
      <c r="G61" s="261">
        <v>3058.1979999999999</v>
      </c>
      <c r="H61" s="261">
        <v>27153904.981079999</v>
      </c>
      <c r="I61" s="261">
        <v>3369.2939999999999</v>
      </c>
      <c r="J61" s="262">
        <v>30170006.193599999</v>
      </c>
      <c r="K61" s="261">
        <v>2603.52</v>
      </c>
      <c r="L61" s="261">
        <v>23001266.073600002</v>
      </c>
      <c r="M61" s="261">
        <v>3446.386</v>
      </c>
      <c r="N61" s="262">
        <v>30381925.957740001</v>
      </c>
      <c r="O61" s="261">
        <v>1758.846</v>
      </c>
      <c r="P61" s="261">
        <v>14514987.561960001</v>
      </c>
      <c r="Q61" s="261">
        <v>4205.0219999999999</v>
      </c>
      <c r="R61" s="262">
        <v>35261464.283</v>
      </c>
      <c r="S61" s="261">
        <v>2904.259</v>
      </c>
      <c r="T61" s="261">
        <v>24519322.777860001</v>
      </c>
      <c r="U61" s="261">
        <v>3343.19</v>
      </c>
      <c r="V61" s="262">
        <v>27924863.704399999</v>
      </c>
      <c r="W61" s="261">
        <v>2563.855</v>
      </c>
      <c r="X61" s="261">
        <v>21203567.982450001</v>
      </c>
      <c r="Y61" s="261">
        <v>2225.77</v>
      </c>
      <c r="Z61" s="262">
        <v>17670922.2148</v>
      </c>
      <c r="AA61" s="261">
        <v>2482.5880000000002</v>
      </c>
      <c r="AB61" s="261">
        <v>20291383.366239998</v>
      </c>
      <c r="AC61" s="261">
        <f t="shared" si="11"/>
        <v>35136.721000000005</v>
      </c>
      <c r="AD61" s="261">
        <f t="shared" si="11"/>
        <v>298647912.99243999</v>
      </c>
      <c r="AE61" s="56"/>
      <c r="AF61" s="56"/>
      <c r="AG61" s="56"/>
      <c r="AH61" s="57"/>
    </row>
    <row r="62" spans="1:35">
      <c r="A62" s="889">
        <v>31</v>
      </c>
      <c r="B62" s="889" t="s">
        <v>659</v>
      </c>
      <c r="C62" s="889" t="s">
        <v>660</v>
      </c>
      <c r="D62" s="48" t="s">
        <v>1084</v>
      </c>
      <c r="E62" s="62">
        <v>0</v>
      </c>
      <c r="F62" s="96">
        <v>0</v>
      </c>
      <c r="G62" s="62">
        <v>0</v>
      </c>
      <c r="H62" s="62">
        <v>0</v>
      </c>
      <c r="I62" s="62">
        <v>0</v>
      </c>
      <c r="J62" s="96">
        <v>0</v>
      </c>
      <c r="K62" s="62">
        <v>0</v>
      </c>
      <c r="L62" s="62">
        <v>0</v>
      </c>
      <c r="M62" s="62">
        <v>0</v>
      </c>
      <c r="N62" s="96">
        <v>0</v>
      </c>
      <c r="O62" s="62">
        <v>0</v>
      </c>
      <c r="P62" s="62">
        <v>0</v>
      </c>
      <c r="Q62" s="62">
        <v>354.1746</v>
      </c>
      <c r="R62" s="96">
        <v>1490743.97</v>
      </c>
      <c r="S62" s="62">
        <v>198.4528</v>
      </c>
      <c r="T62" s="62">
        <v>979879.39420799876</v>
      </c>
      <c r="U62" s="62">
        <v>554.52019999999993</v>
      </c>
      <c r="V62" s="96">
        <v>2949341.3171828128</v>
      </c>
      <c r="W62" s="62">
        <v>0</v>
      </c>
      <c r="X62" s="62">
        <v>0</v>
      </c>
      <c r="Y62" s="62">
        <v>0</v>
      </c>
      <c r="Z62" s="96">
        <v>0</v>
      </c>
      <c r="AA62" s="62">
        <v>0</v>
      </c>
      <c r="AB62" s="62">
        <v>0</v>
      </c>
      <c r="AC62" s="81">
        <f t="shared" si="11"/>
        <v>1107.1476</v>
      </c>
      <c r="AD62" s="81">
        <f t="shared" si="11"/>
        <v>5419964.6813908117</v>
      </c>
      <c r="AE62" s="48"/>
      <c r="AF62" s="48"/>
      <c r="AG62" s="48"/>
      <c r="AH62" s="49"/>
    </row>
    <row r="63" spans="1:35">
      <c r="A63" s="891"/>
      <c r="B63" s="891"/>
      <c r="C63" s="891"/>
      <c r="D63" s="48" t="s">
        <v>1087</v>
      </c>
      <c r="E63" s="62">
        <v>1246</v>
      </c>
      <c r="F63" s="96">
        <v>10418391.619999999</v>
      </c>
      <c r="G63" s="62">
        <v>2210</v>
      </c>
      <c r="H63" s="62">
        <v>19475470.379999999</v>
      </c>
      <c r="I63" s="62">
        <v>2468</v>
      </c>
      <c r="J63" s="96">
        <v>22099409.199999996</v>
      </c>
      <c r="K63" s="62">
        <v>2520</v>
      </c>
      <c r="L63" s="62">
        <v>22263393.599999998</v>
      </c>
      <c r="M63" s="62">
        <v>1866</v>
      </c>
      <c r="N63" s="96">
        <v>16449890.939999999</v>
      </c>
      <c r="O63" s="62">
        <v>3043</v>
      </c>
      <c r="P63" s="62">
        <v>26226794.580000002</v>
      </c>
      <c r="Q63" s="62">
        <v>1604</v>
      </c>
      <c r="R63" s="96">
        <v>13450433.100000001</v>
      </c>
      <c r="S63" s="62">
        <v>2668</v>
      </c>
      <c r="T63" s="62">
        <v>22524685.28571428</v>
      </c>
      <c r="U63" s="62">
        <v>2834</v>
      </c>
      <c r="V63" s="96">
        <v>23671723.020833343</v>
      </c>
      <c r="W63" s="62">
        <v>1766</v>
      </c>
      <c r="X63" s="62">
        <v>14605156.38095239</v>
      </c>
      <c r="Y63" s="62">
        <v>2986</v>
      </c>
      <c r="Z63" s="96">
        <v>23706566.568181816</v>
      </c>
      <c r="AA63" s="62">
        <v>1712</v>
      </c>
      <c r="AB63" s="62">
        <v>14023836.874458877</v>
      </c>
      <c r="AC63" s="81">
        <f t="shared" si="11"/>
        <v>26923</v>
      </c>
      <c r="AD63" s="81">
        <f t="shared" si="11"/>
        <v>228915751.55014071</v>
      </c>
      <c r="AE63" s="48"/>
      <c r="AF63" s="48"/>
      <c r="AG63" s="48"/>
      <c r="AH63" s="49"/>
    </row>
    <row r="64" spans="1:35">
      <c r="A64" s="53">
        <v>32</v>
      </c>
      <c r="B64" s="221" t="s">
        <v>662</v>
      </c>
      <c r="C64" s="53" t="s">
        <v>663</v>
      </c>
      <c r="D64" s="53" t="s">
        <v>1087</v>
      </c>
      <c r="E64" s="82">
        <v>2758.47</v>
      </c>
      <c r="F64" s="95">
        <v>0</v>
      </c>
      <c r="G64" s="82">
        <v>2464.62</v>
      </c>
      <c r="H64" s="82">
        <v>0</v>
      </c>
      <c r="I64" s="82">
        <v>2647.59</v>
      </c>
      <c r="J64" s="95">
        <v>0</v>
      </c>
      <c r="K64" s="82">
        <v>2906.05</v>
      </c>
      <c r="L64" s="82">
        <v>0</v>
      </c>
      <c r="M64" s="82">
        <v>2121.3000000000002</v>
      </c>
      <c r="N64" s="95">
        <v>0</v>
      </c>
      <c r="O64" s="82">
        <v>2241.79</v>
      </c>
      <c r="P64" s="82">
        <v>0</v>
      </c>
      <c r="Q64" s="82">
        <v>2176.75</v>
      </c>
      <c r="R64" s="95">
        <v>0</v>
      </c>
      <c r="S64" s="82">
        <v>4061.39</v>
      </c>
      <c r="T64" s="82">
        <v>0</v>
      </c>
      <c r="U64" s="82">
        <v>3345.77</v>
      </c>
      <c r="V64" s="95">
        <v>0</v>
      </c>
      <c r="W64" s="82">
        <v>2566.41</v>
      </c>
      <c r="X64" s="82">
        <v>0</v>
      </c>
      <c r="Y64" s="82">
        <v>2956.35</v>
      </c>
      <c r="Z64" s="95">
        <v>0</v>
      </c>
      <c r="AA64" s="82">
        <v>2760.68</v>
      </c>
      <c r="AB64" s="82">
        <v>0</v>
      </c>
      <c r="AC64" s="82">
        <f t="shared" si="11"/>
        <v>33007.17</v>
      </c>
      <c r="AD64" s="82">
        <f t="shared" si="11"/>
        <v>0</v>
      </c>
      <c r="AE64" s="53"/>
      <c r="AF64" s="53"/>
      <c r="AG64" s="53"/>
      <c r="AH64" s="54"/>
    </row>
    <row r="65" spans="1:34">
      <c r="A65" s="889">
        <v>33</v>
      </c>
      <c r="B65" s="889" t="s">
        <v>666</v>
      </c>
      <c r="C65" s="889" t="s">
        <v>667</v>
      </c>
      <c r="D65" s="48" t="s">
        <v>1084</v>
      </c>
      <c r="E65" s="62">
        <v>0</v>
      </c>
      <c r="F65" s="96">
        <v>0</v>
      </c>
      <c r="G65" s="62">
        <v>0</v>
      </c>
      <c r="H65" s="62">
        <v>0</v>
      </c>
      <c r="I65" s="62">
        <v>0</v>
      </c>
      <c r="J65" s="96">
        <v>0</v>
      </c>
      <c r="K65" s="62">
        <v>0</v>
      </c>
      <c r="L65" s="62">
        <v>0</v>
      </c>
      <c r="M65" s="62">
        <v>0</v>
      </c>
      <c r="N65" s="96">
        <v>0</v>
      </c>
      <c r="O65" s="62">
        <v>38.200000000000003</v>
      </c>
      <c r="P65" s="62">
        <v>549814.88</v>
      </c>
      <c r="Q65" s="62">
        <v>1648.5419999999999</v>
      </c>
      <c r="R65" s="96">
        <v>30348912.5</v>
      </c>
      <c r="S65" s="62">
        <v>4289.3421600000001</v>
      </c>
      <c r="T65" s="62">
        <v>50572902.329999998</v>
      </c>
      <c r="U65" s="62">
        <v>4590.4181559999997</v>
      </c>
      <c r="V65" s="96">
        <v>59641551.420000002</v>
      </c>
      <c r="W65" s="62">
        <v>7555.49</v>
      </c>
      <c r="X65" s="62">
        <v>123248452.61</v>
      </c>
      <c r="Y65" s="62">
        <v>4983.6000000000004</v>
      </c>
      <c r="Z65" s="96">
        <v>20390232.09</v>
      </c>
      <c r="AA65" s="62">
        <v>6690.39</v>
      </c>
      <c r="AB65" s="62">
        <v>54369132.670000002</v>
      </c>
      <c r="AC65" s="62">
        <f t="shared" si="11"/>
        <v>29795.982316000005</v>
      </c>
      <c r="AD65" s="96">
        <f t="shared" si="11"/>
        <v>339120998.5</v>
      </c>
      <c r="AE65" s="48"/>
      <c r="AF65" s="48" t="s">
        <v>2811</v>
      </c>
      <c r="AG65" s="48" t="s">
        <v>2504</v>
      </c>
      <c r="AH65" s="49" t="s">
        <v>2798</v>
      </c>
    </row>
    <row r="66" spans="1:34">
      <c r="A66" s="891"/>
      <c r="B66" s="891"/>
      <c r="C66" s="891"/>
      <c r="D66" s="48" t="s">
        <v>1087</v>
      </c>
      <c r="E66" s="62">
        <v>0</v>
      </c>
      <c r="F66" s="96">
        <v>0</v>
      </c>
      <c r="G66" s="62">
        <v>0</v>
      </c>
      <c r="H66" s="62">
        <v>0</v>
      </c>
      <c r="I66" s="62">
        <v>0</v>
      </c>
      <c r="J66" s="96">
        <v>0</v>
      </c>
      <c r="K66" s="62">
        <v>5203.3789999999999</v>
      </c>
      <c r="L66" s="62">
        <v>41869543.509999998</v>
      </c>
      <c r="M66" s="62">
        <v>5800.7219999999998</v>
      </c>
      <c r="N66" s="96">
        <v>44929454.369999997</v>
      </c>
      <c r="O66" s="62">
        <v>4347.7169999999996</v>
      </c>
      <c r="P66" s="62">
        <v>37224390.75</v>
      </c>
      <c r="Q66" s="62">
        <v>8471.7199999999993</v>
      </c>
      <c r="R66" s="96">
        <v>71768102.109999999</v>
      </c>
      <c r="S66" s="62">
        <v>11246.392</v>
      </c>
      <c r="T66" s="62">
        <v>79192291.900000006</v>
      </c>
      <c r="U66" s="62">
        <v>21817.989000000001</v>
      </c>
      <c r="V66" s="96">
        <v>161141364.86000001</v>
      </c>
      <c r="W66" s="62">
        <v>15971.169</v>
      </c>
      <c r="X66" s="62">
        <v>111780650.87</v>
      </c>
      <c r="Y66" s="62">
        <v>12371.047</v>
      </c>
      <c r="Z66" s="96">
        <v>107056271.28</v>
      </c>
      <c r="AA66" s="62">
        <v>13692.317999999999</v>
      </c>
      <c r="AB66" s="62">
        <v>110769794.55</v>
      </c>
      <c r="AC66" s="62">
        <f t="shared" si="11"/>
        <v>98922.453000000009</v>
      </c>
      <c r="AD66" s="96">
        <f t="shared" si="11"/>
        <v>765731864.20000005</v>
      </c>
      <c r="AE66" s="48"/>
      <c r="AF66" s="48" t="s">
        <v>2812</v>
      </c>
      <c r="AG66" s="48" t="s">
        <v>2504</v>
      </c>
      <c r="AH66" s="49" t="s">
        <v>2798</v>
      </c>
    </row>
    <row r="67" spans="1:34">
      <c r="A67" s="56">
        <v>34</v>
      </c>
      <c r="B67" s="227" t="s">
        <v>673</v>
      </c>
      <c r="C67" s="56" t="s">
        <v>674</v>
      </c>
      <c r="D67" s="53" t="s">
        <v>1087</v>
      </c>
      <c r="E67" s="82">
        <v>1262.182</v>
      </c>
      <c r="F67" s="95">
        <v>10553696.93</v>
      </c>
      <c r="G67" s="82">
        <v>1714.3330000000001</v>
      </c>
      <c r="H67" s="82">
        <v>15387698.720000001</v>
      </c>
      <c r="I67" s="82">
        <v>1463.67</v>
      </c>
      <c r="J67" s="95">
        <v>13106286.65</v>
      </c>
      <c r="K67" s="82">
        <v>1772.9280000000001</v>
      </c>
      <c r="L67" s="82">
        <v>15663251.539999999</v>
      </c>
      <c r="M67" s="82">
        <v>305.99099999999999</v>
      </c>
      <c r="N67" s="95">
        <v>2697491.1996900002</v>
      </c>
      <c r="O67" s="82">
        <v>1773.627</v>
      </c>
      <c r="P67" s="82">
        <v>14637051.92</v>
      </c>
      <c r="Q67" s="82">
        <v>1408.3489999999999</v>
      </c>
      <c r="R67" s="95">
        <v>11809795.039999999</v>
      </c>
      <c r="S67" s="82">
        <v>2374.1579999999999</v>
      </c>
      <c r="T67" s="82">
        <v>20043923.879999999</v>
      </c>
      <c r="U67" s="82">
        <v>1466.806</v>
      </c>
      <c r="V67" s="95">
        <v>12251878.48</v>
      </c>
      <c r="W67" s="82">
        <v>1547.252</v>
      </c>
      <c r="X67" s="82">
        <v>12796068.02</v>
      </c>
      <c r="Y67" s="82">
        <v>1820.8689999999999</v>
      </c>
      <c r="Z67" s="95">
        <v>14456316</v>
      </c>
      <c r="AA67" s="82">
        <v>1115.4680000000001</v>
      </c>
      <c r="AB67" s="82">
        <v>9117255.3890000004</v>
      </c>
      <c r="AC67" s="82">
        <f t="shared" si="11"/>
        <v>18025.633000000002</v>
      </c>
      <c r="AD67" s="82">
        <f t="shared" si="11"/>
        <v>152520713.76868999</v>
      </c>
      <c r="AE67" s="53"/>
      <c r="AF67" s="53"/>
      <c r="AG67" s="53"/>
      <c r="AH67" s="54"/>
    </row>
    <row r="68" spans="1:34">
      <c r="A68" s="48">
        <v>35</v>
      </c>
      <c r="B68" s="48" t="s">
        <v>676</v>
      </c>
      <c r="C68" s="48" t="s">
        <v>677</v>
      </c>
      <c r="D68" s="48" t="s">
        <v>2813</v>
      </c>
      <c r="E68" s="62">
        <v>0</v>
      </c>
      <c r="F68" s="96">
        <v>194058.07</v>
      </c>
      <c r="G68" s="62">
        <v>2337.5140000000001</v>
      </c>
      <c r="H68" s="62">
        <v>18507763.760000002</v>
      </c>
      <c r="I68" s="62">
        <v>1965.1780000000001</v>
      </c>
      <c r="J68" s="96">
        <v>15514102.68</v>
      </c>
      <c r="K68" s="62">
        <v>1943.6079999999999</v>
      </c>
      <c r="L68" s="62">
        <v>16294909.439999999</v>
      </c>
      <c r="M68" s="62">
        <v>1653.0219999999999</v>
      </c>
      <c r="N68" s="96">
        <v>16583320.189999999</v>
      </c>
      <c r="O68" s="62">
        <v>1747.52</v>
      </c>
      <c r="P68" s="62">
        <v>17601532.940000001</v>
      </c>
      <c r="Q68" s="62">
        <v>1847.998</v>
      </c>
      <c r="R68" s="96">
        <v>17093994.559999999</v>
      </c>
      <c r="S68" s="62">
        <v>687.58299999999997</v>
      </c>
      <c r="T68" s="62">
        <v>5148564.0199999996</v>
      </c>
      <c r="U68" s="62">
        <v>1478.4760000000001</v>
      </c>
      <c r="V68" s="96">
        <v>11174295.380000001</v>
      </c>
      <c r="W68" s="62">
        <v>1569.2180000000001</v>
      </c>
      <c r="X68" s="62">
        <v>13213490.970000001</v>
      </c>
      <c r="Y68" s="62">
        <v>1087.4960000000001</v>
      </c>
      <c r="Z68" s="96">
        <v>10705669.93</v>
      </c>
      <c r="AA68" s="62">
        <v>1860.8130000000001</v>
      </c>
      <c r="AB68" s="62">
        <v>15787886.470000001</v>
      </c>
      <c r="AC68" s="62">
        <f t="shared" ref="AC68:AD77" si="12">AA68+Y68+W68+U68+S68+Q68+O68+M68+K68+I68+G68+E68</f>
        <v>18178.425999999999</v>
      </c>
      <c r="AD68" s="96">
        <f t="shared" si="12"/>
        <v>157819588.40999997</v>
      </c>
      <c r="AE68" s="48"/>
      <c r="AF68" s="48"/>
      <c r="AG68" s="48"/>
      <c r="AH68" s="49"/>
    </row>
    <row r="69" spans="1:34">
      <c r="A69" s="915">
        <v>36</v>
      </c>
      <c r="B69" s="892" t="s">
        <v>681</v>
      </c>
      <c r="C69" s="915" t="s">
        <v>682</v>
      </c>
      <c r="D69" s="53" t="s">
        <v>1087</v>
      </c>
      <c r="E69" s="82">
        <v>1777.296</v>
      </c>
      <c r="F69" s="95">
        <v>16198275.74</v>
      </c>
      <c r="G69" s="82">
        <v>1949.0519999999999</v>
      </c>
      <c r="H69" s="82">
        <v>15787321.199999999</v>
      </c>
      <c r="I69" s="82">
        <v>3773.41</v>
      </c>
      <c r="J69" s="95">
        <v>30564621</v>
      </c>
      <c r="K69" s="82">
        <v>4445.4520000000002</v>
      </c>
      <c r="L69" s="82">
        <v>36674979</v>
      </c>
      <c r="M69" s="82">
        <v>4683.8280000000004</v>
      </c>
      <c r="N69" s="95">
        <v>39812538</v>
      </c>
      <c r="O69" s="82">
        <v>3954.4029999999998</v>
      </c>
      <c r="P69" s="82">
        <v>34007865.799999997</v>
      </c>
      <c r="Q69" s="82">
        <v>6366.02</v>
      </c>
      <c r="R69" s="95">
        <v>52201364</v>
      </c>
      <c r="S69" s="82">
        <v>3230.6179999999999</v>
      </c>
      <c r="T69" s="82">
        <v>27783314.800000001</v>
      </c>
      <c r="U69" s="82">
        <v>4281.9799999999996</v>
      </c>
      <c r="V69" s="95">
        <v>36396830</v>
      </c>
      <c r="W69" s="82">
        <v>6129.9089999999997</v>
      </c>
      <c r="X69" s="82">
        <v>47813290.200000003</v>
      </c>
      <c r="Y69" s="82">
        <v>3941.674</v>
      </c>
      <c r="Z69" s="95">
        <v>34095480.100000001</v>
      </c>
      <c r="AA69" s="82">
        <v>2894.7510000000002</v>
      </c>
      <c r="AB69" s="82">
        <v>23736958.199999999</v>
      </c>
      <c r="AC69" s="82">
        <f t="shared" si="12"/>
        <v>47428.393000000004</v>
      </c>
      <c r="AD69" s="95">
        <f t="shared" si="12"/>
        <v>395072838.04000002</v>
      </c>
      <c r="AE69" s="53"/>
      <c r="AF69" s="53"/>
      <c r="AG69" s="53"/>
      <c r="AH69" s="54"/>
    </row>
    <row r="70" spans="1:34">
      <c r="A70" s="916"/>
      <c r="B70" s="893"/>
      <c r="C70" s="916"/>
      <c r="D70" s="56" t="s">
        <v>1084</v>
      </c>
      <c r="E70" s="261">
        <v>985.875</v>
      </c>
      <c r="F70" s="262">
        <v>8021522.6440000003</v>
      </c>
      <c r="G70" s="261">
        <v>825.28399999999999</v>
      </c>
      <c r="H70" s="261">
        <v>5116760.8</v>
      </c>
      <c r="I70" s="261">
        <v>1466.5820000000001</v>
      </c>
      <c r="J70" s="262">
        <v>9092808.4000000004</v>
      </c>
      <c r="K70" s="261">
        <v>1233.8900000000001</v>
      </c>
      <c r="L70" s="261">
        <v>8020285</v>
      </c>
      <c r="M70" s="261">
        <v>582.62800000000004</v>
      </c>
      <c r="N70" s="262">
        <v>3495768</v>
      </c>
      <c r="O70" s="261">
        <v>1278.9559999999999</v>
      </c>
      <c r="P70" s="261">
        <v>8121370.5999999996</v>
      </c>
      <c r="Q70" s="261">
        <v>975.35400000000004</v>
      </c>
      <c r="R70" s="262">
        <v>6047194.7999999998</v>
      </c>
      <c r="S70" s="261">
        <v>799.41600000000005</v>
      </c>
      <c r="T70" s="261">
        <v>5196204.5199999996</v>
      </c>
      <c r="U70" s="261">
        <v>883.85799999999995</v>
      </c>
      <c r="V70" s="262">
        <v>5700884.0999999996</v>
      </c>
      <c r="W70" s="261">
        <v>274.488</v>
      </c>
      <c r="X70" s="261">
        <v>1770447.6</v>
      </c>
      <c r="Y70" s="261">
        <v>1116.598</v>
      </c>
      <c r="Z70" s="262">
        <v>7760356.0999999996</v>
      </c>
      <c r="AA70" s="261">
        <v>1155.508</v>
      </c>
      <c r="AB70" s="261">
        <v>7510802</v>
      </c>
      <c r="AC70" s="82">
        <f t="shared" si="12"/>
        <v>11578.437</v>
      </c>
      <c r="AD70" s="95">
        <f t="shared" si="12"/>
        <v>75854404.563999996</v>
      </c>
      <c r="AE70" s="56"/>
      <c r="AF70" s="56"/>
      <c r="AG70" s="56"/>
      <c r="AH70" s="57"/>
    </row>
    <row r="71" spans="1:34">
      <c r="A71" s="889">
        <v>37</v>
      </c>
      <c r="B71" s="889" t="s">
        <v>462</v>
      </c>
      <c r="C71" s="889" t="s">
        <v>685</v>
      </c>
      <c r="D71" s="51" t="s">
        <v>1084</v>
      </c>
      <c r="E71" s="81">
        <v>1656.48</v>
      </c>
      <c r="F71" s="94">
        <v>12319010.189999999</v>
      </c>
      <c r="G71" s="81">
        <v>842.50699999999995</v>
      </c>
      <c r="H71" s="81">
        <v>5855254.3509999998</v>
      </c>
      <c r="I71" s="81">
        <v>614.46</v>
      </c>
      <c r="J71" s="94">
        <v>3230665.318</v>
      </c>
      <c r="K71" s="81">
        <v>1714.02</v>
      </c>
      <c r="L71" s="81">
        <v>8132789.5190000003</v>
      </c>
      <c r="M71" s="81">
        <v>679.14</v>
      </c>
      <c r="N71" s="94">
        <v>3286408.4360000002</v>
      </c>
      <c r="O71" s="81">
        <v>485.1</v>
      </c>
      <c r="P71" s="81">
        <v>2272348.8160000001</v>
      </c>
      <c r="Q71" s="81">
        <v>582.12</v>
      </c>
      <c r="R71" s="94">
        <v>2825050.929</v>
      </c>
      <c r="S71" s="81">
        <v>161.69999999999999</v>
      </c>
      <c r="T71" s="81">
        <v>896321.36560000002</v>
      </c>
      <c r="U71" s="81">
        <v>776.16</v>
      </c>
      <c r="V71" s="94">
        <v>4302047.49</v>
      </c>
      <c r="W71" s="81">
        <v>0</v>
      </c>
      <c r="X71" s="81">
        <v>0</v>
      </c>
      <c r="Y71" s="81">
        <v>64.680000000000007</v>
      </c>
      <c r="Z71" s="94">
        <v>358524.63</v>
      </c>
      <c r="AA71" s="81">
        <v>905.52</v>
      </c>
      <c r="AB71" s="81">
        <v>5022490.01</v>
      </c>
      <c r="AC71" s="81">
        <f>AA71+Y71+W71+U71+S71+Q71+O71+M71+K71+I71+G71+E71</f>
        <v>8481.8870000000006</v>
      </c>
      <c r="AD71" s="94">
        <f t="shared" si="12"/>
        <v>48500911.0546</v>
      </c>
      <c r="AE71" s="51"/>
      <c r="AF71" s="51"/>
      <c r="AG71" s="51"/>
      <c r="AH71" s="50"/>
    </row>
    <row r="72" spans="1:34">
      <c r="A72" s="891"/>
      <c r="B72" s="891"/>
      <c r="C72" s="891"/>
      <c r="D72" s="48" t="s">
        <v>1087</v>
      </c>
      <c r="E72" s="62">
        <v>3738.38</v>
      </c>
      <c r="F72" s="96">
        <v>31258352.219999999</v>
      </c>
      <c r="G72" s="62">
        <v>2041</v>
      </c>
      <c r="H72" s="62">
        <v>18321358.210000001</v>
      </c>
      <c r="I72" s="62">
        <v>3006.1120000000001</v>
      </c>
      <c r="J72" s="96">
        <v>26917929.289999999</v>
      </c>
      <c r="K72" s="62">
        <v>2360.1480000000001</v>
      </c>
      <c r="L72" s="62">
        <v>20851152.329999998</v>
      </c>
      <c r="M72" s="62">
        <v>2438.529</v>
      </c>
      <c r="N72" s="96">
        <v>21543623.390000001</v>
      </c>
      <c r="O72" s="62">
        <v>2005.1210000000001</v>
      </c>
      <c r="P72" s="62">
        <v>16547481.619999999</v>
      </c>
      <c r="Q72" s="62">
        <v>2039.4839999999999</v>
      </c>
      <c r="R72" s="96">
        <v>17102215.449999999</v>
      </c>
      <c r="S72" s="62">
        <v>2352.0720000000001</v>
      </c>
      <c r="T72" s="62">
        <v>19857461.940000001</v>
      </c>
      <c r="U72" s="62">
        <v>3452.1529999999998</v>
      </c>
      <c r="V72" s="96">
        <v>28835005.489999998</v>
      </c>
      <c r="W72" s="62">
        <v>4340.6279999999997</v>
      </c>
      <c r="X72" s="62">
        <v>35897818.280000001</v>
      </c>
      <c r="Y72" s="62">
        <v>2136.1950000000002</v>
      </c>
      <c r="Z72" s="96">
        <v>16959764.789999999</v>
      </c>
      <c r="AA72" s="62">
        <v>2039.9960000000001</v>
      </c>
      <c r="AB72" s="62">
        <v>16673866.51</v>
      </c>
      <c r="AC72" s="81">
        <f t="shared" ref="AC72:AC78" si="13">AA72+Y72+W72+U72+S72+Q72+O72+M72+K72+I72+G72+E72</f>
        <v>31949.818000000003</v>
      </c>
      <c r="AD72" s="94">
        <f t="shared" si="12"/>
        <v>270766029.51999998</v>
      </c>
      <c r="AE72" s="48"/>
      <c r="AF72" s="48"/>
      <c r="AG72" s="48"/>
      <c r="AH72" s="49"/>
    </row>
    <row r="73" spans="1:34">
      <c r="A73" s="915">
        <v>38</v>
      </c>
      <c r="B73" s="892" t="s">
        <v>1248</v>
      </c>
      <c r="C73" s="915" t="s">
        <v>1249</v>
      </c>
      <c r="D73" s="56" t="s">
        <v>1084</v>
      </c>
      <c r="E73" s="261">
        <v>353.64</v>
      </c>
      <c r="F73" s="262">
        <v>7222397.6900000004</v>
      </c>
      <c r="G73" s="261">
        <v>0</v>
      </c>
      <c r="H73" s="261">
        <v>0</v>
      </c>
      <c r="I73" s="261">
        <v>626.97</v>
      </c>
      <c r="J73" s="262">
        <v>10395656.539999999</v>
      </c>
      <c r="K73" s="261">
        <v>314.77</v>
      </c>
      <c r="L73" s="261">
        <v>5492437.54</v>
      </c>
      <c r="M73" s="261">
        <v>456.31</v>
      </c>
      <c r="N73" s="262">
        <v>6663508.54</v>
      </c>
      <c r="O73" s="261">
        <v>189.86</v>
      </c>
      <c r="P73" s="261">
        <v>3495391.85</v>
      </c>
      <c r="Q73" s="261">
        <v>102.48</v>
      </c>
      <c r="R73" s="262">
        <v>1827554.1</v>
      </c>
      <c r="S73" s="261">
        <v>124.44</v>
      </c>
      <c r="T73" s="261">
        <v>2107371.5499999998</v>
      </c>
      <c r="U73" s="261">
        <v>140.71</v>
      </c>
      <c r="V73" s="262">
        <v>2077571.44</v>
      </c>
      <c r="W73" s="261">
        <v>98.28</v>
      </c>
      <c r="X73" s="261">
        <v>1653006.36</v>
      </c>
      <c r="Y73" s="261">
        <v>22.87</v>
      </c>
      <c r="Z73" s="262">
        <v>393032.7</v>
      </c>
      <c r="AA73" s="261">
        <v>439.69</v>
      </c>
      <c r="AB73" s="261">
        <v>7274331.3899999997</v>
      </c>
      <c r="AC73" s="82">
        <f t="shared" si="13"/>
        <v>2870.02</v>
      </c>
      <c r="AD73" s="95">
        <f t="shared" si="12"/>
        <v>48602259.699999988</v>
      </c>
      <c r="AE73" s="56"/>
      <c r="AF73" s="56"/>
      <c r="AG73" s="56"/>
      <c r="AH73" s="57"/>
    </row>
    <row r="74" spans="1:34">
      <c r="A74" s="916"/>
      <c r="B74" s="893"/>
      <c r="C74" s="916"/>
      <c r="D74" s="56" t="s">
        <v>1087</v>
      </c>
      <c r="E74" s="261">
        <v>0</v>
      </c>
      <c r="F74" s="262">
        <v>1656628.6</v>
      </c>
      <c r="G74" s="261">
        <v>13098556.960000001</v>
      </c>
      <c r="H74" s="261">
        <v>20297843.399999999</v>
      </c>
      <c r="I74" s="261">
        <v>2266029.75</v>
      </c>
      <c r="J74" s="262">
        <v>18889930.059999999</v>
      </c>
      <c r="K74" s="261">
        <v>2072109.5</v>
      </c>
      <c r="L74" s="261">
        <v>17357386.93</v>
      </c>
      <c r="M74" s="261">
        <v>2227311.5</v>
      </c>
      <c r="N74" s="262">
        <v>17451451.52</v>
      </c>
      <c r="O74" s="261">
        <v>2711219.5</v>
      </c>
      <c r="P74" s="261">
        <v>20984475.829999998</v>
      </c>
      <c r="Q74" s="261">
        <v>3007647.9</v>
      </c>
      <c r="R74" s="262">
        <v>23736156.059999999</v>
      </c>
      <c r="S74" s="261">
        <v>2032321.4</v>
      </c>
      <c r="T74" s="261">
        <v>15940637.51</v>
      </c>
      <c r="U74" s="261">
        <v>2423264.2000000002</v>
      </c>
      <c r="V74" s="262">
        <v>18892490.18</v>
      </c>
      <c r="W74" s="261">
        <v>2163070.2000000002</v>
      </c>
      <c r="X74" s="261">
        <v>15978998.15</v>
      </c>
      <c r="Y74" s="261">
        <v>3972007.6</v>
      </c>
      <c r="Z74" s="262">
        <v>29610182.460000001</v>
      </c>
      <c r="AA74" s="261">
        <v>2307743</v>
      </c>
      <c r="AB74" s="261">
        <v>17943361.600000001</v>
      </c>
      <c r="AC74" s="82">
        <f t="shared" si="13"/>
        <v>38281281.510000005</v>
      </c>
      <c r="AD74" s="95">
        <f t="shared" si="12"/>
        <v>218739542.30000004</v>
      </c>
      <c r="AE74" s="56"/>
      <c r="AF74" s="56"/>
      <c r="AG74" s="56"/>
      <c r="AH74" s="57"/>
    </row>
    <row r="75" spans="1:34">
      <c r="A75" s="48">
        <v>39</v>
      </c>
      <c r="B75" s="48" t="s">
        <v>188</v>
      </c>
      <c r="C75" s="48" t="s">
        <v>686</v>
      </c>
      <c r="D75" s="48" t="s">
        <v>1091</v>
      </c>
      <c r="E75" s="62">
        <v>9231.4549999999999</v>
      </c>
      <c r="F75" s="96">
        <v>72900228.510000005</v>
      </c>
      <c r="G75" s="62">
        <v>7187.076</v>
      </c>
      <c r="H75" s="62">
        <v>54067283.170000002</v>
      </c>
      <c r="I75" s="62">
        <v>5597.5690000000004</v>
      </c>
      <c r="J75" s="96">
        <v>42858672.990000002</v>
      </c>
      <c r="K75" s="62">
        <v>5285.0420000000004</v>
      </c>
      <c r="L75" s="62">
        <v>40420515.060000002</v>
      </c>
      <c r="M75" s="62">
        <v>5415.9560000000001</v>
      </c>
      <c r="N75" s="96">
        <v>41029244.590000004</v>
      </c>
      <c r="O75" s="62">
        <v>4912.6260000000002</v>
      </c>
      <c r="P75" s="62">
        <v>35948373</v>
      </c>
      <c r="Q75" s="62">
        <v>4695.6030000000001</v>
      </c>
      <c r="R75" s="96">
        <v>34020867.579999998</v>
      </c>
      <c r="S75" s="62">
        <v>5522.8990000000003</v>
      </c>
      <c r="T75" s="62">
        <v>41481606.460000001</v>
      </c>
      <c r="U75" s="62">
        <v>4342.5339999999997</v>
      </c>
      <c r="V75" s="96">
        <v>33113884.690000001</v>
      </c>
      <c r="W75" s="62">
        <v>7055.442</v>
      </c>
      <c r="X75" s="62">
        <v>53513767.140000001</v>
      </c>
      <c r="Y75" s="62">
        <v>5128.9049999999997</v>
      </c>
      <c r="Z75" s="96">
        <v>39241200.579999998</v>
      </c>
      <c r="AA75" s="62">
        <v>3871.4720000000002</v>
      </c>
      <c r="AB75" s="62">
        <v>30640869.620000001</v>
      </c>
      <c r="AC75" s="81">
        <f t="shared" si="13"/>
        <v>68246.578999999998</v>
      </c>
      <c r="AD75" s="81">
        <f t="shared" si="12"/>
        <v>519236513.38999999</v>
      </c>
      <c r="AE75" s="48"/>
      <c r="AF75" s="48"/>
      <c r="AG75" s="48"/>
      <c r="AH75" s="49"/>
    </row>
    <row r="76" spans="1:34">
      <c r="A76" s="915">
        <v>40</v>
      </c>
      <c r="B76" s="892" t="s">
        <v>2773</v>
      </c>
      <c r="C76" s="915" t="s">
        <v>1252</v>
      </c>
      <c r="D76" s="56" t="s">
        <v>1084</v>
      </c>
      <c r="E76" s="261">
        <v>125.42400000000001</v>
      </c>
      <c r="F76" s="262">
        <v>2121816.86</v>
      </c>
      <c r="G76" s="261">
        <v>113.818</v>
      </c>
      <c r="H76" s="261">
        <v>1879155.67</v>
      </c>
      <c r="I76" s="261">
        <v>284.69799999999998</v>
      </c>
      <c r="J76" s="262">
        <v>4370532.87</v>
      </c>
      <c r="K76" s="261">
        <v>157.45500000000001</v>
      </c>
      <c r="L76" s="261">
        <v>2487016.33</v>
      </c>
      <c r="M76" s="261">
        <v>464.94299999999998</v>
      </c>
      <c r="N76" s="262">
        <v>5748138.21</v>
      </c>
      <c r="O76" s="261">
        <v>172.88</v>
      </c>
      <c r="P76" s="261">
        <v>2519148.58</v>
      </c>
      <c r="Q76" s="261">
        <v>331.065</v>
      </c>
      <c r="R76" s="262">
        <v>5866863.1200000001</v>
      </c>
      <c r="S76" s="261">
        <v>755.56500000000005</v>
      </c>
      <c r="T76" s="261">
        <v>11237661</v>
      </c>
      <c r="U76" s="261">
        <v>449.51600000000002</v>
      </c>
      <c r="V76" s="262">
        <v>6249620.96</v>
      </c>
      <c r="W76" s="261">
        <v>208.42500000000001</v>
      </c>
      <c r="X76" s="261">
        <v>3109882.34</v>
      </c>
      <c r="Y76" s="261">
        <v>643.12099999999998</v>
      </c>
      <c r="Z76" s="262">
        <v>9595924.8300000001</v>
      </c>
      <c r="AA76" s="261">
        <v>332.92599999999999</v>
      </c>
      <c r="AB76" s="261">
        <v>4293756.6100000003</v>
      </c>
      <c r="AC76" s="261">
        <f t="shared" si="13"/>
        <v>4039.8359999999998</v>
      </c>
      <c r="AD76" s="261">
        <f t="shared" si="12"/>
        <v>59479517.379999995</v>
      </c>
      <c r="AE76" s="56"/>
      <c r="AF76" s="56"/>
      <c r="AG76" s="56"/>
      <c r="AH76" s="57"/>
    </row>
    <row r="77" spans="1:34">
      <c r="A77" s="916"/>
      <c r="B77" s="893"/>
      <c r="C77" s="916"/>
      <c r="D77" s="56" t="s">
        <v>1087</v>
      </c>
      <c r="E77" s="261">
        <v>4043.4589999999998</v>
      </c>
      <c r="F77" s="262">
        <v>33746522.770000003</v>
      </c>
      <c r="G77" s="261">
        <v>3630.558</v>
      </c>
      <c r="H77" s="261">
        <v>30252456.359999999</v>
      </c>
      <c r="I77" s="261">
        <v>3239.4650000000001</v>
      </c>
      <c r="J77" s="262">
        <v>26442154.460000001</v>
      </c>
      <c r="K77" s="261">
        <v>3147.2489999999998</v>
      </c>
      <c r="L77" s="261">
        <v>25854271.670000002</v>
      </c>
      <c r="M77" s="261">
        <v>3277.6219999999998</v>
      </c>
      <c r="N77" s="262">
        <v>24835643.949999999</v>
      </c>
      <c r="O77" s="261">
        <v>3365.5880000000002</v>
      </c>
      <c r="P77" s="261">
        <v>25990282.079999998</v>
      </c>
      <c r="Q77" s="261">
        <v>4824.366</v>
      </c>
      <c r="R77" s="262">
        <v>37352158.32</v>
      </c>
      <c r="S77" s="261">
        <v>4145.9989999999998</v>
      </c>
      <c r="T77" s="261">
        <v>31687123.899999999</v>
      </c>
      <c r="U77" s="261">
        <v>3110.8310000000001</v>
      </c>
      <c r="V77" s="262">
        <v>23524415.449999999</v>
      </c>
      <c r="W77" s="261">
        <v>4291.8770000000004</v>
      </c>
      <c r="X77" s="261">
        <v>31257192.760000002</v>
      </c>
      <c r="Y77" s="261">
        <v>3446.5839999999998</v>
      </c>
      <c r="Z77" s="262">
        <v>25990536.539999999</v>
      </c>
      <c r="AA77" s="261">
        <v>3952.0529999999999</v>
      </c>
      <c r="AB77" s="261">
        <v>30653159.09</v>
      </c>
      <c r="AC77" s="261">
        <f t="shared" si="13"/>
        <v>44475.650999999991</v>
      </c>
      <c r="AD77" s="261">
        <f t="shared" si="12"/>
        <v>347585917.34999996</v>
      </c>
      <c r="AE77" s="56"/>
      <c r="AF77" s="56"/>
      <c r="AG77" s="56"/>
      <c r="AH77" s="57"/>
    </row>
    <row r="78" spans="1:34">
      <c r="A78" s="51">
        <v>41</v>
      </c>
      <c r="B78" s="257" t="s">
        <v>141</v>
      </c>
      <c r="C78" s="51" t="s">
        <v>689</v>
      </c>
      <c r="D78" s="51" t="s">
        <v>1247</v>
      </c>
      <c r="E78" s="81">
        <v>0</v>
      </c>
      <c r="F78" s="94">
        <v>0</v>
      </c>
      <c r="G78" s="81">
        <v>0</v>
      </c>
      <c r="H78" s="81">
        <v>0</v>
      </c>
      <c r="I78" s="81">
        <v>0</v>
      </c>
      <c r="J78" s="94">
        <v>0</v>
      </c>
      <c r="K78" s="81">
        <v>0</v>
      </c>
      <c r="L78" s="81">
        <v>0</v>
      </c>
      <c r="M78" s="81">
        <v>0</v>
      </c>
      <c r="N78" s="94">
        <v>0</v>
      </c>
      <c r="O78" s="81">
        <v>0</v>
      </c>
      <c r="P78" s="81">
        <v>0</v>
      </c>
      <c r="Q78" s="81">
        <v>0</v>
      </c>
      <c r="R78" s="94">
        <v>0</v>
      </c>
      <c r="S78" s="81">
        <v>0</v>
      </c>
      <c r="T78" s="81">
        <v>0</v>
      </c>
      <c r="U78" s="81">
        <v>0</v>
      </c>
      <c r="V78" s="94">
        <v>0</v>
      </c>
      <c r="W78" s="81">
        <v>0</v>
      </c>
      <c r="X78" s="81">
        <v>0</v>
      </c>
      <c r="Y78" s="81">
        <v>0</v>
      </c>
      <c r="Z78" s="94">
        <v>0</v>
      </c>
      <c r="AA78" s="81">
        <v>0</v>
      </c>
      <c r="AB78" s="81">
        <v>0</v>
      </c>
      <c r="AC78" s="81">
        <f t="shared" si="13"/>
        <v>0</v>
      </c>
      <c r="AD78" s="94"/>
      <c r="AE78" s="51"/>
      <c r="AF78" s="51"/>
      <c r="AG78" s="51"/>
      <c r="AH78" s="50"/>
    </row>
    <row r="79" spans="1:34">
      <c r="A79" s="53">
        <v>42</v>
      </c>
      <c r="B79" s="221" t="s">
        <v>692</v>
      </c>
      <c r="C79" s="53" t="s">
        <v>693</v>
      </c>
      <c r="D79" s="53" t="s">
        <v>2814</v>
      </c>
      <c r="E79" s="82">
        <v>292278.32</v>
      </c>
      <c r="F79" s="95">
        <v>4004218.69</v>
      </c>
      <c r="G79" s="82">
        <v>0</v>
      </c>
      <c r="H79" s="82">
        <v>0</v>
      </c>
      <c r="I79" s="82">
        <v>300781.2</v>
      </c>
      <c r="J79" s="95">
        <v>3943247.82</v>
      </c>
      <c r="K79" s="82">
        <v>0</v>
      </c>
      <c r="L79" s="82">
        <v>0</v>
      </c>
      <c r="M79" s="82">
        <v>0</v>
      </c>
      <c r="N79" s="95">
        <v>0</v>
      </c>
      <c r="O79" s="82">
        <v>360988.53</v>
      </c>
      <c r="P79" s="82">
        <v>5422107.3399999999</v>
      </c>
      <c r="Q79" s="82">
        <v>0</v>
      </c>
      <c r="R79" s="95">
        <v>0</v>
      </c>
      <c r="S79" s="82">
        <v>0</v>
      </c>
      <c r="T79" s="82">
        <v>0</v>
      </c>
      <c r="U79" s="82">
        <v>312892.7</v>
      </c>
      <c r="V79" s="95">
        <v>4345521.66</v>
      </c>
      <c r="W79" s="82">
        <v>0</v>
      </c>
      <c r="X79" s="82">
        <v>0</v>
      </c>
      <c r="Y79" s="82">
        <v>331718.45</v>
      </c>
      <c r="Z79" s="95">
        <v>4141651.46</v>
      </c>
      <c r="AA79" s="82">
        <v>0</v>
      </c>
      <c r="AB79" s="82">
        <v>0</v>
      </c>
      <c r="AC79" s="82">
        <f t="shared" ref="AC79:AC80" si="14">AA79+Y79+W79+U79+S79+Q79+O79+M79+K79+I79+G79+E79</f>
        <v>1598659.2000000002</v>
      </c>
      <c r="AD79" s="95">
        <f>AB79+Z79+X79+V79+T79+R79+P79+N79+L79+J79+H79+F79</f>
        <v>21856746.970000003</v>
      </c>
      <c r="AE79" s="53"/>
      <c r="AF79" s="53"/>
      <c r="AG79" s="53" t="s">
        <v>2815</v>
      </c>
      <c r="AH79" s="54"/>
    </row>
    <row r="80" spans="1:34">
      <c r="A80" s="48">
        <v>43</v>
      </c>
      <c r="B80" s="248" t="s">
        <v>140</v>
      </c>
      <c r="C80" s="48" t="s">
        <v>698</v>
      </c>
      <c r="D80" s="48" t="s">
        <v>1247</v>
      </c>
      <c r="E80" s="62">
        <v>0</v>
      </c>
      <c r="F80" s="96">
        <v>0</v>
      </c>
      <c r="G80" s="62">
        <v>0</v>
      </c>
      <c r="H80" s="62">
        <v>0</v>
      </c>
      <c r="I80" s="62">
        <v>0</v>
      </c>
      <c r="J80" s="96">
        <v>0</v>
      </c>
      <c r="K80" s="62">
        <v>0</v>
      </c>
      <c r="L80" s="62">
        <v>0</v>
      </c>
      <c r="M80" s="62">
        <v>0</v>
      </c>
      <c r="N80" s="96">
        <v>0</v>
      </c>
      <c r="O80" s="62">
        <v>0</v>
      </c>
      <c r="P80" s="62">
        <v>0</v>
      </c>
      <c r="Q80" s="62">
        <v>0</v>
      </c>
      <c r="R80" s="96">
        <v>0</v>
      </c>
      <c r="S80" s="62">
        <v>0</v>
      </c>
      <c r="T80" s="62">
        <v>0</v>
      </c>
      <c r="U80" s="62">
        <v>0</v>
      </c>
      <c r="V80" s="96">
        <v>0</v>
      </c>
      <c r="W80" s="62">
        <v>0</v>
      </c>
      <c r="X80" s="62">
        <v>0</v>
      </c>
      <c r="Y80" s="62">
        <v>0</v>
      </c>
      <c r="Z80" s="96">
        <v>0</v>
      </c>
      <c r="AA80" s="62">
        <v>0</v>
      </c>
      <c r="AB80" s="62">
        <v>0</v>
      </c>
      <c r="AC80" s="62">
        <f t="shared" si="14"/>
        <v>0</v>
      </c>
      <c r="AD80" s="96"/>
      <c r="AE80" s="48"/>
      <c r="AF80" s="48"/>
      <c r="AG80" s="48"/>
      <c r="AH80" s="49"/>
    </row>
    <row r="81" spans="1:34">
      <c r="A81" s="892">
        <v>44</v>
      </c>
      <c r="B81" s="945" t="s">
        <v>709</v>
      </c>
      <c r="C81" s="892" t="s">
        <v>710</v>
      </c>
      <c r="D81" s="56" t="s">
        <v>1121</v>
      </c>
      <c r="E81" s="238">
        <v>50</v>
      </c>
      <c r="F81" s="260">
        <v>572690</v>
      </c>
      <c r="G81" s="238">
        <v>0</v>
      </c>
      <c r="H81" s="238">
        <v>0</v>
      </c>
      <c r="I81" s="238">
        <v>25</v>
      </c>
      <c r="J81" s="260">
        <v>190750</v>
      </c>
      <c r="K81" s="238">
        <v>0</v>
      </c>
      <c r="L81" s="238">
        <v>0</v>
      </c>
      <c r="M81" s="238">
        <v>47</v>
      </c>
      <c r="N81" s="260">
        <v>439615</v>
      </c>
      <c r="O81" s="238">
        <v>25</v>
      </c>
      <c r="P81" s="238">
        <v>251250</v>
      </c>
      <c r="Q81" s="238">
        <v>0</v>
      </c>
      <c r="R81" s="260">
        <v>0</v>
      </c>
      <c r="S81" s="238">
        <v>0</v>
      </c>
      <c r="T81" s="238">
        <v>0</v>
      </c>
      <c r="U81" s="238">
        <v>50</v>
      </c>
      <c r="V81" s="260">
        <v>454561</v>
      </c>
      <c r="W81" s="238">
        <v>25</v>
      </c>
      <c r="X81" s="238">
        <v>216744</v>
      </c>
      <c r="Y81" s="238">
        <v>0</v>
      </c>
      <c r="Z81" s="260">
        <v>0</v>
      </c>
      <c r="AA81" s="238">
        <v>0</v>
      </c>
      <c r="AB81" s="238">
        <v>0</v>
      </c>
      <c r="AC81" s="238">
        <f t="shared" ref="AC81:AD82" si="15">AA81+Y81+W81+U81+S81+Q81+O81+M81+K81+I81+G81+E81</f>
        <v>222</v>
      </c>
      <c r="AD81" s="260">
        <f t="shared" si="15"/>
        <v>2125610</v>
      </c>
      <c r="AE81" s="226"/>
      <c r="AF81" s="226"/>
      <c r="AG81" s="226"/>
      <c r="AH81" s="225"/>
    </row>
    <row r="82" spans="1:34">
      <c r="A82" s="893"/>
      <c r="B82" s="946"/>
      <c r="C82" s="893"/>
      <c r="D82" s="56" t="s">
        <v>2802</v>
      </c>
      <c r="E82" s="238">
        <v>194</v>
      </c>
      <c r="F82" s="260">
        <v>1043793</v>
      </c>
      <c r="G82" s="238">
        <v>0</v>
      </c>
      <c r="H82" s="238">
        <v>0</v>
      </c>
      <c r="I82" s="238">
        <v>125</v>
      </c>
      <c r="J82" s="260">
        <v>681500</v>
      </c>
      <c r="K82" s="238">
        <v>225</v>
      </c>
      <c r="L82" s="238">
        <v>1034500</v>
      </c>
      <c r="M82" s="238">
        <v>0</v>
      </c>
      <c r="N82" s="260">
        <v>0</v>
      </c>
      <c r="O82" s="238">
        <v>25</v>
      </c>
      <c r="P82" s="238">
        <v>138750</v>
      </c>
      <c r="Q82" s="238">
        <v>250</v>
      </c>
      <c r="R82" s="260">
        <v>1057250</v>
      </c>
      <c r="S82" s="238">
        <v>0</v>
      </c>
      <c r="T82" s="238">
        <v>0</v>
      </c>
      <c r="U82" s="238">
        <v>0</v>
      </c>
      <c r="V82" s="260">
        <v>0</v>
      </c>
      <c r="W82" s="238">
        <v>96</v>
      </c>
      <c r="X82" s="238">
        <v>428880</v>
      </c>
      <c r="Y82" s="238">
        <v>172</v>
      </c>
      <c r="Z82" s="260">
        <v>668500</v>
      </c>
      <c r="AA82" s="238">
        <v>200</v>
      </c>
      <c r="AB82" s="238">
        <v>608750</v>
      </c>
      <c r="AC82" s="238">
        <f t="shared" si="15"/>
        <v>1287</v>
      </c>
      <c r="AD82" s="260">
        <f t="shared" si="15"/>
        <v>5661923</v>
      </c>
      <c r="AE82" s="226"/>
      <c r="AF82" s="226"/>
      <c r="AG82" s="226"/>
      <c r="AH82" s="225"/>
    </row>
    <row r="83" spans="1:34">
      <c r="A83" s="48">
        <v>45</v>
      </c>
      <c r="B83" s="248" t="s">
        <v>714</v>
      </c>
      <c r="C83" s="48" t="s">
        <v>715</v>
      </c>
      <c r="D83" s="48" t="s">
        <v>1247</v>
      </c>
      <c r="E83" s="62">
        <v>0</v>
      </c>
      <c r="F83" s="96">
        <v>0</v>
      </c>
      <c r="G83" s="62">
        <v>0</v>
      </c>
      <c r="H83" s="62">
        <v>0</v>
      </c>
      <c r="I83" s="62">
        <v>0</v>
      </c>
      <c r="J83" s="96">
        <v>0</v>
      </c>
      <c r="K83" s="62">
        <v>0</v>
      </c>
      <c r="L83" s="62">
        <v>0</v>
      </c>
      <c r="M83" s="62">
        <v>0</v>
      </c>
      <c r="N83" s="96">
        <v>0</v>
      </c>
      <c r="O83" s="62">
        <v>0</v>
      </c>
      <c r="P83" s="62">
        <v>0</v>
      </c>
      <c r="Q83" s="62">
        <v>0</v>
      </c>
      <c r="R83" s="96">
        <v>0</v>
      </c>
      <c r="S83" s="62">
        <v>0</v>
      </c>
      <c r="T83" s="62">
        <v>0</v>
      </c>
      <c r="U83" s="62">
        <v>0</v>
      </c>
      <c r="V83" s="96">
        <v>0</v>
      </c>
      <c r="W83" s="62">
        <v>0</v>
      </c>
      <c r="X83" s="62">
        <v>0</v>
      </c>
      <c r="Y83" s="62">
        <v>0</v>
      </c>
      <c r="Z83" s="96">
        <v>0</v>
      </c>
      <c r="AA83" s="62">
        <v>0</v>
      </c>
      <c r="AB83" s="62">
        <v>0</v>
      </c>
      <c r="AC83" s="62"/>
      <c r="AD83" s="96"/>
      <c r="AE83" s="48"/>
      <c r="AF83" s="48"/>
      <c r="AG83" s="48"/>
      <c r="AH83" s="49"/>
    </row>
    <row r="84" spans="1:34">
      <c r="A84" s="226">
        <v>46</v>
      </c>
      <c r="B84" s="226" t="s">
        <v>54</v>
      </c>
      <c r="C84" s="226" t="s">
        <v>728</v>
      </c>
      <c r="D84" s="226" t="s">
        <v>1130</v>
      </c>
      <c r="E84" s="238">
        <v>0</v>
      </c>
      <c r="F84" s="260">
        <v>0</v>
      </c>
      <c r="G84" s="238">
        <v>741.65499999999997</v>
      </c>
      <c r="H84" s="238">
        <v>44870.13</v>
      </c>
      <c r="I84" s="238">
        <v>0</v>
      </c>
      <c r="J84" s="260">
        <v>0</v>
      </c>
      <c r="K84" s="238">
        <v>0</v>
      </c>
      <c r="L84" s="238">
        <v>0</v>
      </c>
      <c r="M84" s="238">
        <v>0</v>
      </c>
      <c r="N84" s="260">
        <v>0</v>
      </c>
      <c r="O84" s="238">
        <v>0</v>
      </c>
      <c r="P84" s="238">
        <v>0</v>
      </c>
      <c r="Q84" s="238">
        <v>515.94500000000005</v>
      </c>
      <c r="R84" s="260">
        <v>31214.67</v>
      </c>
      <c r="S84" s="238">
        <v>0</v>
      </c>
      <c r="T84" s="238">
        <v>0</v>
      </c>
      <c r="U84" s="238">
        <v>0</v>
      </c>
      <c r="V84" s="260">
        <v>0</v>
      </c>
      <c r="W84" s="238">
        <v>0</v>
      </c>
      <c r="X84" s="238">
        <v>0</v>
      </c>
      <c r="Y84" s="238">
        <v>0</v>
      </c>
      <c r="Z84" s="260">
        <v>0</v>
      </c>
      <c r="AA84" s="238">
        <v>316.45400000000001</v>
      </c>
      <c r="AB84" s="238">
        <v>19145.47</v>
      </c>
      <c r="AC84" s="251">
        <f t="shared" ref="AC84:AD87" si="16">AA84+Y84+W84+U84+S84+Q84+O84+M84+K84+I84+G84+E84</f>
        <v>1574.0540000000001</v>
      </c>
      <c r="AD84" s="251">
        <f t="shared" si="16"/>
        <v>95230.26999999999</v>
      </c>
      <c r="AE84" s="226"/>
      <c r="AF84" s="226" t="s">
        <v>2816</v>
      </c>
      <c r="AG84" s="226" t="s">
        <v>2514</v>
      </c>
      <c r="AH84" s="225" t="s">
        <v>2817</v>
      </c>
    </row>
    <row r="85" spans="1:34">
      <c r="A85" s="51">
        <v>47</v>
      </c>
      <c r="B85" s="257" t="s">
        <v>46</v>
      </c>
      <c r="C85" s="51" t="s">
        <v>729</v>
      </c>
      <c r="D85" s="51" t="s">
        <v>1247</v>
      </c>
      <c r="E85" s="81">
        <v>0</v>
      </c>
      <c r="F85" s="94">
        <v>0</v>
      </c>
      <c r="G85" s="81">
        <v>0</v>
      </c>
      <c r="H85" s="81">
        <v>0</v>
      </c>
      <c r="I85" s="81">
        <v>0</v>
      </c>
      <c r="J85" s="94">
        <v>0</v>
      </c>
      <c r="K85" s="81">
        <v>0</v>
      </c>
      <c r="L85" s="81">
        <v>0</v>
      </c>
      <c r="M85" s="81">
        <v>0</v>
      </c>
      <c r="N85" s="94">
        <v>0</v>
      </c>
      <c r="O85" s="81">
        <v>0</v>
      </c>
      <c r="P85" s="81">
        <v>0</v>
      </c>
      <c r="Q85" s="81">
        <v>0</v>
      </c>
      <c r="R85" s="94">
        <v>0</v>
      </c>
      <c r="S85" s="81">
        <v>0</v>
      </c>
      <c r="T85" s="81">
        <v>0</v>
      </c>
      <c r="U85" s="81">
        <v>0</v>
      </c>
      <c r="V85" s="94">
        <v>0</v>
      </c>
      <c r="W85" s="81">
        <v>0</v>
      </c>
      <c r="X85" s="81">
        <v>0</v>
      </c>
      <c r="Y85" s="81">
        <v>0</v>
      </c>
      <c r="Z85" s="94">
        <v>0</v>
      </c>
      <c r="AA85" s="81">
        <v>0</v>
      </c>
      <c r="AB85" s="81">
        <v>0</v>
      </c>
      <c r="AC85" s="81">
        <f t="shared" si="16"/>
        <v>0</v>
      </c>
      <c r="AD85" s="94"/>
      <c r="AE85" s="51"/>
      <c r="AF85" s="51"/>
      <c r="AG85" s="51"/>
      <c r="AH85" s="50"/>
    </row>
    <row r="86" spans="1:34">
      <c r="A86" s="226">
        <v>48</v>
      </c>
      <c r="B86" s="256" t="s">
        <v>64</v>
      </c>
      <c r="C86" s="226" t="s">
        <v>733</v>
      </c>
      <c r="D86" s="226" t="s">
        <v>1247</v>
      </c>
      <c r="E86" s="238">
        <v>0</v>
      </c>
      <c r="F86" s="260">
        <v>0</v>
      </c>
      <c r="G86" s="238">
        <v>0</v>
      </c>
      <c r="H86" s="238">
        <v>0</v>
      </c>
      <c r="I86" s="238">
        <v>0</v>
      </c>
      <c r="J86" s="260">
        <v>0</v>
      </c>
      <c r="K86" s="238">
        <v>0</v>
      </c>
      <c r="L86" s="238">
        <v>0</v>
      </c>
      <c r="M86" s="238">
        <v>0</v>
      </c>
      <c r="N86" s="260">
        <v>0</v>
      </c>
      <c r="O86" s="238">
        <v>0</v>
      </c>
      <c r="P86" s="238">
        <v>0</v>
      </c>
      <c r="Q86" s="238">
        <v>0</v>
      </c>
      <c r="R86" s="260">
        <v>0</v>
      </c>
      <c r="S86" s="238">
        <v>0</v>
      </c>
      <c r="T86" s="238">
        <v>0</v>
      </c>
      <c r="U86" s="238">
        <v>0</v>
      </c>
      <c r="V86" s="260">
        <v>0</v>
      </c>
      <c r="W86" s="238">
        <v>0</v>
      </c>
      <c r="X86" s="238">
        <v>0</v>
      </c>
      <c r="Y86" s="238">
        <v>0</v>
      </c>
      <c r="Z86" s="260">
        <v>0</v>
      </c>
      <c r="AA86" s="238">
        <v>0</v>
      </c>
      <c r="AB86" s="238">
        <v>0</v>
      </c>
      <c r="AC86" s="238">
        <f t="shared" si="16"/>
        <v>0</v>
      </c>
      <c r="AD86" s="260"/>
      <c r="AE86" s="226"/>
      <c r="AF86" s="226"/>
      <c r="AG86" s="226"/>
      <c r="AH86" s="225"/>
    </row>
    <row r="87" spans="1:34">
      <c r="A87" s="51">
        <v>49</v>
      </c>
      <c r="B87" s="257" t="s">
        <v>2588</v>
      </c>
      <c r="C87" s="51" t="s">
        <v>790</v>
      </c>
      <c r="D87" s="51" t="s">
        <v>1247</v>
      </c>
      <c r="E87" s="81">
        <v>0</v>
      </c>
      <c r="F87" s="94">
        <v>0</v>
      </c>
      <c r="G87" s="81">
        <v>0</v>
      </c>
      <c r="H87" s="81">
        <v>0</v>
      </c>
      <c r="I87" s="81">
        <v>0</v>
      </c>
      <c r="J87" s="94">
        <v>0</v>
      </c>
      <c r="K87" s="81">
        <v>0</v>
      </c>
      <c r="L87" s="81">
        <v>0</v>
      </c>
      <c r="M87" s="81">
        <v>0</v>
      </c>
      <c r="N87" s="94">
        <v>0</v>
      </c>
      <c r="O87" s="81">
        <v>0</v>
      </c>
      <c r="P87" s="81">
        <v>0</v>
      </c>
      <c r="Q87" s="81">
        <v>0</v>
      </c>
      <c r="R87" s="94">
        <v>0</v>
      </c>
      <c r="S87" s="81">
        <v>0</v>
      </c>
      <c r="T87" s="81">
        <v>0</v>
      </c>
      <c r="U87" s="81">
        <v>0</v>
      </c>
      <c r="V87" s="94">
        <v>0</v>
      </c>
      <c r="W87" s="81">
        <v>0</v>
      </c>
      <c r="X87" s="81">
        <v>0</v>
      </c>
      <c r="Y87" s="81">
        <v>0</v>
      </c>
      <c r="Z87" s="94">
        <v>0</v>
      </c>
      <c r="AA87" s="81">
        <v>0</v>
      </c>
      <c r="AB87" s="81">
        <v>0</v>
      </c>
      <c r="AC87" s="81">
        <f t="shared" si="16"/>
        <v>0</v>
      </c>
      <c r="AD87" s="94"/>
      <c r="AE87" s="51"/>
      <c r="AF87" s="51"/>
      <c r="AG87" s="51"/>
      <c r="AH87" s="50"/>
    </row>
  </sheetData>
  <autoFilter ref="A6:AH87" xr:uid="{5144D18B-BD25-4F58-8DFB-DBD507267B9C}">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filterColumn colId="24" showButton="0"/>
    <filterColumn colId="26" showButton="0"/>
    <filterColumn colId="28" showButton="0"/>
  </autoFilter>
  <mergeCells count="98">
    <mergeCell ref="A81:A82"/>
    <mergeCell ref="B81:B82"/>
    <mergeCell ref="C81:C82"/>
    <mergeCell ref="A73:A74"/>
    <mergeCell ref="B73:B74"/>
    <mergeCell ref="C73:C74"/>
    <mergeCell ref="A76:A77"/>
    <mergeCell ref="B76:B77"/>
    <mergeCell ref="C76:C77"/>
    <mergeCell ref="A69:A70"/>
    <mergeCell ref="B69:B70"/>
    <mergeCell ref="C69:C70"/>
    <mergeCell ref="A71:A72"/>
    <mergeCell ref="B71:B72"/>
    <mergeCell ref="C71:C72"/>
    <mergeCell ref="A62:A63"/>
    <mergeCell ref="B62:B63"/>
    <mergeCell ref="C62:C63"/>
    <mergeCell ref="A65:A66"/>
    <mergeCell ref="B65:B66"/>
    <mergeCell ref="C65:C66"/>
    <mergeCell ref="A58:A59"/>
    <mergeCell ref="B58:B59"/>
    <mergeCell ref="C58:C59"/>
    <mergeCell ref="A60:A61"/>
    <mergeCell ref="B60:B61"/>
    <mergeCell ref="C60:C61"/>
    <mergeCell ref="A50:A51"/>
    <mergeCell ref="B50:B51"/>
    <mergeCell ref="C50:C51"/>
    <mergeCell ref="A54:A56"/>
    <mergeCell ref="B54:B56"/>
    <mergeCell ref="C54:C56"/>
    <mergeCell ref="A44:A45"/>
    <mergeCell ref="B44:B45"/>
    <mergeCell ref="C44:C45"/>
    <mergeCell ref="A47:A48"/>
    <mergeCell ref="B47:B48"/>
    <mergeCell ref="C47:C48"/>
    <mergeCell ref="A38:A39"/>
    <mergeCell ref="B38:B39"/>
    <mergeCell ref="C38:C39"/>
    <mergeCell ref="A40:A42"/>
    <mergeCell ref="B40:B42"/>
    <mergeCell ref="C40:C42"/>
    <mergeCell ref="A34:A35"/>
    <mergeCell ref="B34:B35"/>
    <mergeCell ref="C34:C35"/>
    <mergeCell ref="A36:A37"/>
    <mergeCell ref="B36:B37"/>
    <mergeCell ref="C36:C37"/>
    <mergeCell ref="A29:A30"/>
    <mergeCell ref="B29:B30"/>
    <mergeCell ref="C29:C30"/>
    <mergeCell ref="A31:A32"/>
    <mergeCell ref="B31:B32"/>
    <mergeCell ref="C31:C32"/>
    <mergeCell ref="AG19:AG20"/>
    <mergeCell ref="AH19:AH20"/>
    <mergeCell ref="A27:A28"/>
    <mergeCell ref="B27:B28"/>
    <mergeCell ref="C27:C28"/>
    <mergeCell ref="A25:A26"/>
    <mergeCell ref="B25:B26"/>
    <mergeCell ref="C25:C26"/>
    <mergeCell ref="A19:A20"/>
    <mergeCell ref="B19:B20"/>
    <mergeCell ref="C19:C20"/>
    <mergeCell ref="A11:A16"/>
    <mergeCell ref="B11:B16"/>
    <mergeCell ref="C11:C16"/>
    <mergeCell ref="A17:A18"/>
    <mergeCell ref="B17:B18"/>
    <mergeCell ref="C17:C18"/>
    <mergeCell ref="AF6:AF7"/>
    <mergeCell ref="AG6:AG7"/>
    <mergeCell ref="AH6:AH7"/>
    <mergeCell ref="A9:A10"/>
    <mergeCell ref="B9:B10"/>
    <mergeCell ref="C9:C10"/>
    <mergeCell ref="U6:V6"/>
    <mergeCell ref="W6:X6"/>
    <mergeCell ref="Y6:Z6"/>
    <mergeCell ref="AA6:AB6"/>
    <mergeCell ref="AC6:AD6"/>
    <mergeCell ref="AE6:AE7"/>
    <mergeCell ref="I6:J6"/>
    <mergeCell ref="K6:L6"/>
    <mergeCell ref="M6:N6"/>
    <mergeCell ref="O6:P6"/>
    <mergeCell ref="Q6:R6"/>
    <mergeCell ref="S6:T6"/>
    <mergeCell ref="A6:A7"/>
    <mergeCell ref="B6:B7"/>
    <mergeCell ref="C6:C7"/>
    <mergeCell ref="D6:D7"/>
    <mergeCell ref="E6:F6"/>
    <mergeCell ref="G6:H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5A33F-190F-449B-B134-F951D8238C41}">
  <sheetPr>
    <tabColor rgb="FF92D050"/>
  </sheetPr>
  <dimension ref="A2:AJ10"/>
  <sheetViews>
    <sheetView workbookViewId="0">
      <selection activeCell="K21" sqref="K21"/>
    </sheetView>
  </sheetViews>
  <sheetFormatPr baseColWidth="10" defaultColWidth="11.5" defaultRowHeight="14"/>
  <cols>
    <col min="2" max="2" width="37" bestFit="1" customWidth="1"/>
    <col min="8" max="8" width="4.25" bestFit="1" customWidth="1"/>
    <col min="9" max="9" width="10" bestFit="1" customWidth="1"/>
    <col min="10" max="10" width="12.25" bestFit="1" customWidth="1"/>
    <col min="11" max="11" width="10" bestFit="1" customWidth="1"/>
    <col min="12" max="12" width="12.25" bestFit="1" customWidth="1"/>
    <col min="13" max="13" width="10" bestFit="1" customWidth="1"/>
    <col min="14" max="14" width="12.25" bestFit="1" customWidth="1"/>
    <col min="15" max="16" width="4.25" bestFit="1" customWidth="1"/>
    <col min="17" max="17" width="10" bestFit="1" customWidth="1"/>
    <col min="18" max="18" width="12.25" bestFit="1" customWidth="1"/>
    <col min="19" max="19" width="10" bestFit="1" customWidth="1"/>
    <col min="20" max="20" width="12.25" bestFit="1" customWidth="1"/>
    <col min="21" max="21" width="10" bestFit="1" customWidth="1"/>
    <col min="22" max="22" width="12.25" bestFit="1" customWidth="1"/>
    <col min="23" max="24" width="4.25" bestFit="1" customWidth="1"/>
    <col min="25" max="25" width="10" bestFit="1" customWidth="1"/>
    <col min="26" max="26" width="12.25" bestFit="1" customWidth="1"/>
    <col min="27" max="27" width="10" bestFit="1" customWidth="1"/>
    <col min="28" max="28" width="12.25" bestFit="1" customWidth="1"/>
    <col min="29" max="30" width="4.25" bestFit="1" customWidth="1"/>
    <col min="31" max="31" width="11.25" bestFit="1" customWidth="1"/>
    <col min="32" max="32" width="13.1640625" bestFit="1" customWidth="1"/>
  </cols>
  <sheetData>
    <row r="2" spans="1:36" ht="15.5">
      <c r="A2" s="7" t="s">
        <v>8284</v>
      </c>
    </row>
    <row r="4" spans="1:36" ht="14.5" thickBot="1">
      <c r="A4" s="854" t="s">
        <v>519</v>
      </c>
      <c r="B4" s="854" t="s">
        <v>520</v>
      </c>
      <c r="C4" s="854" t="s">
        <v>521</v>
      </c>
      <c r="D4" s="854" t="s">
        <v>8289</v>
      </c>
      <c r="E4" s="854" t="s">
        <v>8290</v>
      </c>
      <c r="F4" s="854" t="s">
        <v>8291</v>
      </c>
      <c r="G4" s="942">
        <v>44927</v>
      </c>
      <c r="H4" s="854"/>
      <c r="I4" s="942">
        <v>44958</v>
      </c>
      <c r="J4" s="854"/>
      <c r="K4" s="942">
        <v>44986</v>
      </c>
      <c r="L4" s="854"/>
      <c r="M4" s="942">
        <v>45017</v>
      </c>
      <c r="N4" s="854"/>
      <c r="O4" s="942">
        <v>45047</v>
      </c>
      <c r="P4" s="854"/>
      <c r="Q4" s="942">
        <v>45078</v>
      </c>
      <c r="R4" s="854"/>
      <c r="S4" s="942">
        <v>45108</v>
      </c>
      <c r="T4" s="854"/>
      <c r="U4" s="942">
        <v>45139</v>
      </c>
      <c r="V4" s="854"/>
      <c r="W4" s="942">
        <v>45170</v>
      </c>
      <c r="X4" s="854"/>
      <c r="Y4" s="942">
        <v>45200</v>
      </c>
      <c r="Z4" s="854"/>
      <c r="AA4" s="942">
        <v>45231</v>
      </c>
      <c r="AB4" s="854"/>
      <c r="AC4" s="942">
        <v>45261</v>
      </c>
      <c r="AD4" s="854"/>
      <c r="AE4" s="854" t="s">
        <v>1078</v>
      </c>
      <c r="AF4" s="854"/>
      <c r="AG4" s="855" t="s">
        <v>1122</v>
      </c>
      <c r="AH4" s="855" t="s">
        <v>1123</v>
      </c>
      <c r="AI4" s="854" t="s">
        <v>1079</v>
      </c>
      <c r="AJ4" s="854" t="s">
        <v>1080</v>
      </c>
    </row>
    <row r="5" spans="1:36">
      <c r="A5" s="855"/>
      <c r="B5" s="855"/>
      <c r="C5" s="855"/>
      <c r="D5" s="855"/>
      <c r="E5" s="855"/>
      <c r="F5" s="855"/>
      <c r="G5" s="89" t="s">
        <v>1081</v>
      </c>
      <c r="H5" s="90" t="s">
        <v>1082</v>
      </c>
      <c r="I5" s="89" t="s">
        <v>1081</v>
      </c>
      <c r="J5" s="90" t="s">
        <v>1082</v>
      </c>
      <c r="K5" s="89" t="s">
        <v>1081</v>
      </c>
      <c r="L5" s="90" t="s">
        <v>1082</v>
      </c>
      <c r="M5" s="89" t="s">
        <v>1081</v>
      </c>
      <c r="N5" s="90" t="s">
        <v>1082</v>
      </c>
      <c r="O5" s="89" t="s">
        <v>1081</v>
      </c>
      <c r="P5" s="90" t="s">
        <v>1082</v>
      </c>
      <c r="Q5" s="89" t="s">
        <v>1081</v>
      </c>
      <c r="R5" s="90" t="s">
        <v>1082</v>
      </c>
      <c r="S5" s="89" t="s">
        <v>1081</v>
      </c>
      <c r="T5" s="90" t="s">
        <v>1082</v>
      </c>
      <c r="U5" s="89" t="s">
        <v>1081</v>
      </c>
      <c r="V5" s="90" t="s">
        <v>1082</v>
      </c>
      <c r="W5" s="89" t="s">
        <v>1081</v>
      </c>
      <c r="X5" s="90" t="s">
        <v>1082</v>
      </c>
      <c r="Y5" s="89" t="s">
        <v>1081</v>
      </c>
      <c r="Z5" s="90" t="s">
        <v>1082</v>
      </c>
      <c r="AA5" s="89" t="s">
        <v>1081</v>
      </c>
      <c r="AB5" s="90" t="s">
        <v>1082</v>
      </c>
      <c r="AC5" s="89" t="s">
        <v>1081</v>
      </c>
      <c r="AD5" s="90" t="s">
        <v>1082</v>
      </c>
      <c r="AE5" s="46" t="s">
        <v>1081</v>
      </c>
      <c r="AF5" s="46" t="s">
        <v>1082</v>
      </c>
      <c r="AG5" s="856"/>
      <c r="AH5" s="856"/>
      <c r="AI5" s="855"/>
      <c r="AJ5" s="855"/>
    </row>
    <row r="6" spans="1:36">
      <c r="A6" s="48">
        <v>1</v>
      </c>
      <c r="B6" s="48" t="s">
        <v>755</v>
      </c>
      <c r="C6" s="48" t="s">
        <v>756</v>
      </c>
      <c r="D6" s="48" t="s">
        <v>8292</v>
      </c>
      <c r="E6" s="48" t="s">
        <v>8293</v>
      </c>
      <c r="F6" s="50" t="s">
        <v>8294</v>
      </c>
      <c r="G6" s="81">
        <v>0</v>
      </c>
      <c r="H6" s="81">
        <v>0</v>
      </c>
      <c r="I6" s="81">
        <v>264568</v>
      </c>
      <c r="J6" s="81">
        <v>20566458.048</v>
      </c>
      <c r="K6" s="81">
        <v>249527</v>
      </c>
      <c r="L6" s="81">
        <v>19241026.969999999</v>
      </c>
      <c r="M6" s="81">
        <v>229620</v>
      </c>
      <c r="N6" s="81">
        <v>19566838.68</v>
      </c>
      <c r="O6" s="81">
        <v>0</v>
      </c>
      <c r="P6" s="81">
        <v>0</v>
      </c>
      <c r="Q6" s="81">
        <v>253036</v>
      </c>
      <c r="R6" s="81">
        <v>19186454.699999999</v>
      </c>
      <c r="S6" s="81">
        <v>239543</v>
      </c>
      <c r="T6" s="81">
        <v>19204162.309999999</v>
      </c>
      <c r="U6" s="81">
        <v>269585</v>
      </c>
      <c r="V6" s="81">
        <v>23386498.75</v>
      </c>
      <c r="W6" s="81">
        <v>0</v>
      </c>
      <c r="X6" s="81">
        <v>0</v>
      </c>
      <c r="Y6" s="81">
        <v>261011</v>
      </c>
      <c r="Z6" s="81">
        <v>24303517.243000001</v>
      </c>
      <c r="AA6" s="81">
        <v>251582</v>
      </c>
      <c r="AB6" s="81">
        <v>21368620.333999999</v>
      </c>
      <c r="AC6" s="81">
        <v>0</v>
      </c>
      <c r="AD6" s="81">
        <v>0</v>
      </c>
      <c r="AE6" s="81">
        <f t="shared" ref="AE6:AF10" si="0">AC6+AA6+Y6+W6+U6+S6+Q6+O6+M6+K6+I6+G6</f>
        <v>2018472</v>
      </c>
      <c r="AF6" s="81">
        <f t="shared" si="0"/>
        <v>166823577.035</v>
      </c>
      <c r="AG6" s="51">
        <f>AF6/AE6</f>
        <v>82.6484474567891</v>
      </c>
      <c r="AH6" s="51"/>
      <c r="AI6" s="51"/>
      <c r="AJ6" s="51"/>
    </row>
    <row r="7" spans="1:36">
      <c r="A7" s="56">
        <v>2</v>
      </c>
      <c r="B7" s="56" t="s">
        <v>759</v>
      </c>
      <c r="C7" s="56" t="s">
        <v>760</v>
      </c>
      <c r="D7" s="56" t="s">
        <v>8292</v>
      </c>
      <c r="E7" s="56" t="s">
        <v>8293</v>
      </c>
      <c r="F7" s="54" t="s">
        <v>8294</v>
      </c>
      <c r="G7" s="82">
        <v>0</v>
      </c>
      <c r="H7" s="82">
        <v>0</v>
      </c>
      <c r="I7" s="82">
        <v>185000</v>
      </c>
      <c r="J7" s="82">
        <v>14381160</v>
      </c>
      <c r="K7" s="82">
        <v>210000</v>
      </c>
      <c r="L7" s="82">
        <v>16193100</v>
      </c>
      <c r="M7" s="82">
        <v>95000</v>
      </c>
      <c r="N7" s="82">
        <v>8095330</v>
      </c>
      <c r="O7" s="82">
        <v>0</v>
      </c>
      <c r="P7" s="82">
        <v>0</v>
      </c>
      <c r="Q7" s="82">
        <v>165000</v>
      </c>
      <c r="R7" s="82">
        <v>12511125</v>
      </c>
      <c r="S7" s="82">
        <v>160000</v>
      </c>
      <c r="T7" s="82">
        <v>12827200</v>
      </c>
      <c r="U7" s="82">
        <v>180000</v>
      </c>
      <c r="V7" s="82">
        <v>15615000</v>
      </c>
      <c r="W7" s="82">
        <v>0</v>
      </c>
      <c r="X7" s="82">
        <v>0</v>
      </c>
      <c r="Y7" s="82">
        <v>155000</v>
      </c>
      <c r="Z7" s="82">
        <v>14432515</v>
      </c>
      <c r="AA7" s="82">
        <v>160000</v>
      </c>
      <c r="AB7" s="82">
        <v>13589920</v>
      </c>
      <c r="AC7" s="82">
        <v>0</v>
      </c>
      <c r="AD7" s="82">
        <v>0</v>
      </c>
      <c r="AE7" s="82">
        <f t="shared" si="0"/>
        <v>1310000</v>
      </c>
      <c r="AF7" s="82">
        <f t="shared" si="0"/>
        <v>107645350</v>
      </c>
      <c r="AG7" s="51">
        <f>AF7/AE7</f>
        <v>82.172022900763352</v>
      </c>
      <c r="AH7" s="53"/>
      <c r="AI7" s="53"/>
      <c r="AJ7" s="53"/>
    </row>
    <row r="8" spans="1:36">
      <c r="A8" s="48">
        <v>3</v>
      </c>
      <c r="B8" s="48" t="s">
        <v>761</v>
      </c>
      <c r="C8" s="48" t="s">
        <v>762</v>
      </c>
      <c r="D8" s="48" t="s">
        <v>8292</v>
      </c>
      <c r="E8" s="48" t="s">
        <v>8293</v>
      </c>
      <c r="F8" s="50" t="s">
        <v>8294</v>
      </c>
      <c r="G8" s="81"/>
      <c r="H8" s="81"/>
      <c r="I8" s="81">
        <v>95000</v>
      </c>
      <c r="J8" s="81">
        <v>7384920</v>
      </c>
      <c r="K8" s="81">
        <v>115000</v>
      </c>
      <c r="L8" s="81">
        <v>8867650</v>
      </c>
      <c r="M8" s="81">
        <v>55000</v>
      </c>
      <c r="N8" s="81">
        <v>4686770</v>
      </c>
      <c r="O8" s="81"/>
      <c r="P8" s="81"/>
      <c r="Q8" s="81">
        <v>95000</v>
      </c>
      <c r="R8" s="81">
        <v>7203375</v>
      </c>
      <c r="S8" s="81">
        <v>90000</v>
      </c>
      <c r="T8" s="81">
        <v>7215300</v>
      </c>
      <c r="U8" s="81">
        <v>100000</v>
      </c>
      <c r="V8" s="81">
        <v>8675000</v>
      </c>
      <c r="W8" s="81"/>
      <c r="X8" s="81"/>
      <c r="Y8" s="81">
        <v>85000</v>
      </c>
      <c r="Z8" s="81">
        <v>7914605</v>
      </c>
      <c r="AA8" s="81">
        <v>75000</v>
      </c>
      <c r="AB8" s="81">
        <v>6370275</v>
      </c>
      <c r="AC8" s="81"/>
      <c r="AD8" s="81"/>
      <c r="AE8" s="81">
        <f t="shared" si="0"/>
        <v>710000</v>
      </c>
      <c r="AF8" s="81">
        <f t="shared" si="0"/>
        <v>58317895</v>
      </c>
      <c r="AG8" s="51">
        <f>AF8/AE8</f>
        <v>82.137880281690144</v>
      </c>
      <c r="AH8" s="51"/>
      <c r="AI8" s="51"/>
      <c r="AJ8" s="51"/>
    </row>
    <row r="9" spans="1:36">
      <c r="A9" s="56">
        <v>4</v>
      </c>
      <c r="B9" s="56" t="s">
        <v>763</v>
      </c>
      <c r="C9" s="56" t="s">
        <v>764</v>
      </c>
      <c r="D9" s="56" t="s">
        <v>8292</v>
      </c>
      <c r="E9" s="56" t="s">
        <v>8293</v>
      </c>
      <c r="F9" s="54" t="s">
        <v>8294</v>
      </c>
      <c r="G9" s="82">
        <v>0</v>
      </c>
      <c r="H9" s="82">
        <v>0</v>
      </c>
      <c r="I9" s="82">
        <v>185000</v>
      </c>
      <c r="J9" s="82">
        <v>14381160</v>
      </c>
      <c r="K9" s="82">
        <v>182730</v>
      </c>
      <c r="L9" s="82">
        <v>14090310.300000001</v>
      </c>
      <c r="M9" s="82">
        <v>150000</v>
      </c>
      <c r="N9" s="82">
        <v>12782100</v>
      </c>
      <c r="O9" s="82">
        <v>0</v>
      </c>
      <c r="P9" s="82">
        <v>0</v>
      </c>
      <c r="Q9" s="82">
        <v>210000</v>
      </c>
      <c r="R9" s="82">
        <v>15923250</v>
      </c>
      <c r="S9" s="82">
        <v>220000</v>
      </c>
      <c r="T9" s="82">
        <v>17637400</v>
      </c>
      <c r="U9" s="82">
        <v>190000</v>
      </c>
      <c r="V9" s="82">
        <v>16482500</v>
      </c>
      <c r="W9" s="82">
        <v>0</v>
      </c>
      <c r="X9" s="82">
        <v>0</v>
      </c>
      <c r="Y9" s="82">
        <v>200000</v>
      </c>
      <c r="Z9" s="82">
        <v>18622600</v>
      </c>
      <c r="AA9" s="82">
        <v>205000</v>
      </c>
      <c r="AB9" s="82">
        <v>17412085</v>
      </c>
      <c r="AC9" s="82">
        <v>0</v>
      </c>
      <c r="AD9" s="82">
        <v>0</v>
      </c>
      <c r="AE9" s="82">
        <f t="shared" si="0"/>
        <v>1542730</v>
      </c>
      <c r="AF9" s="82">
        <f t="shared" si="0"/>
        <v>127331405.3</v>
      </c>
      <c r="AG9" s="51">
        <f>AF9/AE9</f>
        <v>82.53641615836861</v>
      </c>
      <c r="AH9" s="53"/>
      <c r="AI9" s="53"/>
      <c r="AJ9" s="53"/>
    </row>
    <row r="10" spans="1:36">
      <c r="A10" s="48">
        <v>5</v>
      </c>
      <c r="B10" s="48" t="s">
        <v>765</v>
      </c>
      <c r="C10" s="48" t="s">
        <v>766</v>
      </c>
      <c r="D10" s="48" t="s">
        <v>8292</v>
      </c>
      <c r="E10" s="48" t="s">
        <v>8293</v>
      </c>
      <c r="F10" s="50" t="s">
        <v>8294</v>
      </c>
      <c r="G10" s="81">
        <v>0</v>
      </c>
      <c r="H10" s="81">
        <v>0</v>
      </c>
      <c r="I10" s="81">
        <v>155000</v>
      </c>
      <c r="J10" s="81">
        <v>12049080</v>
      </c>
      <c r="K10" s="81">
        <v>152270</v>
      </c>
      <c r="L10" s="81">
        <v>11741539.699999999</v>
      </c>
      <c r="M10" s="81">
        <v>130000</v>
      </c>
      <c r="N10" s="81">
        <v>11077820</v>
      </c>
      <c r="O10" s="81">
        <v>0</v>
      </c>
      <c r="P10" s="81">
        <v>0</v>
      </c>
      <c r="Q10" s="81">
        <v>170000</v>
      </c>
      <c r="R10" s="81">
        <v>12890250</v>
      </c>
      <c r="S10" s="81">
        <v>190000</v>
      </c>
      <c r="T10" s="81">
        <v>15232300</v>
      </c>
      <c r="U10" s="81">
        <v>160000</v>
      </c>
      <c r="V10" s="81">
        <v>13880000</v>
      </c>
      <c r="W10" s="81">
        <v>0</v>
      </c>
      <c r="X10" s="81">
        <v>0</v>
      </c>
      <c r="Y10" s="81">
        <v>155000</v>
      </c>
      <c r="Z10" s="81">
        <v>14432515</v>
      </c>
      <c r="AA10" s="81">
        <v>175000</v>
      </c>
      <c r="AB10" s="81">
        <v>14863975</v>
      </c>
      <c r="AC10" s="81">
        <v>0</v>
      </c>
      <c r="AD10" s="81">
        <v>0</v>
      </c>
      <c r="AE10" s="81">
        <f t="shared" si="0"/>
        <v>1287270</v>
      </c>
      <c r="AF10" s="81">
        <f t="shared" si="0"/>
        <v>106167479.7</v>
      </c>
      <c r="AG10" s="51">
        <f>AF10/AE10</f>
        <v>82.474911790067353</v>
      </c>
      <c r="AH10" s="51"/>
      <c r="AI10" s="51"/>
      <c r="AJ10" s="51"/>
    </row>
  </sheetData>
  <mergeCells count="23">
    <mergeCell ref="Q4:R4"/>
    <mergeCell ref="S4:T4"/>
    <mergeCell ref="U4:V4"/>
    <mergeCell ref="A4:A5"/>
    <mergeCell ref="B4:B5"/>
    <mergeCell ref="C4:C5"/>
    <mergeCell ref="F4:F5"/>
    <mergeCell ref="G4:H4"/>
    <mergeCell ref="I4:J4"/>
    <mergeCell ref="K4:L4"/>
    <mergeCell ref="M4:N4"/>
    <mergeCell ref="O4:P4"/>
    <mergeCell ref="D4:D5"/>
    <mergeCell ref="E4:E5"/>
    <mergeCell ref="AH4:AH5"/>
    <mergeCell ref="AI4:AI5"/>
    <mergeCell ref="AJ4:AJ5"/>
    <mergeCell ref="W4:X4"/>
    <mergeCell ref="Y4:Z4"/>
    <mergeCell ref="AA4:AB4"/>
    <mergeCell ref="AC4:AD4"/>
    <mergeCell ref="AE4:AF4"/>
    <mergeCell ref="AG4:AG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E09E3-A06D-439B-A7D3-86D31E47094D}">
  <sheetPr>
    <tabColor rgb="FF92D050"/>
  </sheetPr>
  <dimension ref="A1:G60"/>
  <sheetViews>
    <sheetView showGridLines="0" zoomScaleNormal="100" workbookViewId="0">
      <pane ySplit="11" topLeftCell="A12" activePane="bottomLeft" state="frozen"/>
      <selection activeCell="B71" sqref="B71:B72"/>
      <selection pane="bottomLeft" activeCell="F7" sqref="F7"/>
    </sheetView>
  </sheetViews>
  <sheetFormatPr baseColWidth="10" defaultColWidth="11.5" defaultRowHeight="12"/>
  <cols>
    <col min="1" max="1" width="11.5" style="161"/>
    <col min="2" max="2" width="57.5" style="148" bestFit="1" customWidth="1"/>
    <col min="3" max="3" width="13.4140625" style="148" customWidth="1"/>
    <col min="4" max="4" width="13.1640625" style="148" bestFit="1" customWidth="1"/>
    <col min="5" max="5" width="8.75" style="148" bestFit="1" customWidth="1"/>
    <col min="6" max="6" width="65.75" style="148" bestFit="1" customWidth="1"/>
    <col min="7" max="7" width="23.75" style="148" bestFit="1" customWidth="1"/>
    <col min="8" max="16384" width="11.5" style="148"/>
  </cols>
  <sheetData>
    <row r="1" spans="1:7">
      <c r="E1" s="148" t="s">
        <v>8625</v>
      </c>
    </row>
    <row r="2" spans="1:7">
      <c r="A2" s="191" t="s">
        <v>7226</v>
      </c>
    </row>
    <row r="3" spans="1:7">
      <c r="D3" s="654" t="s">
        <v>516</v>
      </c>
      <c r="E3" s="654">
        <v>49</v>
      </c>
    </row>
    <row r="4" spans="1:7">
      <c r="D4" s="655" t="s">
        <v>518</v>
      </c>
      <c r="E4" s="655">
        <f>+COUNTIF(C12:C60,"Non")</f>
        <v>17</v>
      </c>
    </row>
    <row r="5" spans="1:7">
      <c r="D5" s="654" t="s">
        <v>517</v>
      </c>
      <c r="E5" s="654">
        <f>+E6+E7</f>
        <v>32</v>
      </c>
    </row>
    <row r="6" spans="1:7">
      <c r="A6" s="191"/>
      <c r="D6" s="654" t="s">
        <v>2818</v>
      </c>
      <c r="E6" s="654">
        <f>+COUNTIF(D12:D60,"oui")</f>
        <v>7</v>
      </c>
    </row>
    <row r="7" spans="1:7">
      <c r="A7" s="191"/>
      <c r="D7" s="654" t="s">
        <v>2819</v>
      </c>
      <c r="E7" s="654">
        <f>+COUNTIF(E12:E60,"non")</f>
        <v>25</v>
      </c>
    </row>
    <row r="10" spans="1:7" ht="15.65" customHeight="1" thickBot="1">
      <c r="D10" s="948" t="s">
        <v>796</v>
      </c>
      <c r="E10" s="948"/>
      <c r="F10" s="948"/>
    </row>
    <row r="11" spans="1:7" ht="24.5" thickBot="1">
      <c r="A11" s="71" t="s">
        <v>3</v>
      </c>
      <c r="B11" s="71" t="s">
        <v>797</v>
      </c>
      <c r="C11" s="1" t="s">
        <v>8626</v>
      </c>
      <c r="D11" s="71" t="s">
        <v>1574</v>
      </c>
      <c r="E11" s="71" t="s">
        <v>850</v>
      </c>
      <c r="F11" s="71" t="s">
        <v>2594</v>
      </c>
      <c r="G11" s="71" t="s">
        <v>7896</v>
      </c>
    </row>
    <row r="12" spans="1:7" ht="12.5" thickTop="1">
      <c r="A12" s="68">
        <v>1</v>
      </c>
      <c r="B12" s="192" t="s">
        <v>69</v>
      </c>
      <c r="C12" s="192" t="s">
        <v>1574</v>
      </c>
      <c r="D12" s="68" t="s">
        <v>798</v>
      </c>
      <c r="E12" s="68"/>
      <c r="F12" s="657" t="s">
        <v>2596</v>
      </c>
      <c r="G12" s="656"/>
    </row>
    <row r="13" spans="1:7">
      <c r="A13" s="3">
        <v>2</v>
      </c>
      <c r="B13" s="2" t="s">
        <v>534</v>
      </c>
      <c r="C13" s="2" t="s">
        <v>1574</v>
      </c>
      <c r="D13" s="3"/>
      <c r="E13" s="3" t="s">
        <v>791</v>
      </c>
      <c r="F13" s="659" t="s">
        <v>529</v>
      </c>
      <c r="G13" s="3" t="s">
        <v>2601</v>
      </c>
    </row>
    <row r="14" spans="1:7">
      <c r="A14" s="68">
        <v>3</v>
      </c>
      <c r="B14" s="192" t="s">
        <v>539</v>
      </c>
      <c r="C14" s="192" t="s">
        <v>1574</v>
      </c>
      <c r="D14" s="68" t="s">
        <v>798</v>
      </c>
      <c r="E14" s="68"/>
      <c r="F14" s="657" t="s">
        <v>8346</v>
      </c>
      <c r="G14" s="657"/>
    </row>
    <row r="15" spans="1:7">
      <c r="A15" s="3">
        <v>4</v>
      </c>
      <c r="B15" s="2" t="s">
        <v>544</v>
      </c>
      <c r="C15" s="2" t="s">
        <v>1574</v>
      </c>
      <c r="D15" s="3"/>
      <c r="E15" s="3" t="s">
        <v>791</v>
      </c>
      <c r="F15" s="3" t="s">
        <v>2598</v>
      </c>
      <c r="G15" s="3" t="s">
        <v>2598</v>
      </c>
    </row>
    <row r="16" spans="1:7">
      <c r="A16" s="68">
        <v>5</v>
      </c>
      <c r="B16" s="192" t="s">
        <v>553</v>
      </c>
      <c r="C16" s="192" t="s">
        <v>1574</v>
      </c>
      <c r="D16" s="68"/>
      <c r="E16" s="68" t="s">
        <v>791</v>
      </c>
      <c r="F16" s="659" t="s">
        <v>529</v>
      </c>
      <c r="G16" s="68" t="s">
        <v>2601</v>
      </c>
    </row>
    <row r="17" spans="1:7">
      <c r="A17" s="3">
        <v>6</v>
      </c>
      <c r="B17" s="2" t="s">
        <v>2586</v>
      </c>
      <c r="C17" s="2" t="s">
        <v>850</v>
      </c>
      <c r="D17" s="947" t="s">
        <v>529</v>
      </c>
      <c r="E17" s="947"/>
      <c r="F17" s="947"/>
      <c r="G17" s="3" t="s">
        <v>7898</v>
      </c>
    </row>
    <row r="18" spans="1:7">
      <c r="A18" s="68">
        <v>7</v>
      </c>
      <c r="B18" s="192" t="s">
        <v>558</v>
      </c>
      <c r="C18" s="192" t="s">
        <v>850</v>
      </c>
      <c r="D18" s="947" t="s">
        <v>529</v>
      </c>
      <c r="E18" s="947"/>
      <c r="F18" s="947"/>
      <c r="G18" s="68" t="s">
        <v>7898</v>
      </c>
    </row>
    <row r="19" spans="1:7">
      <c r="A19" s="3">
        <v>8</v>
      </c>
      <c r="B19" s="2" t="s">
        <v>562</v>
      </c>
      <c r="C19" s="2" t="s">
        <v>1574</v>
      </c>
      <c r="D19" s="3" t="s">
        <v>798</v>
      </c>
      <c r="E19" s="3"/>
      <c r="F19" s="658" t="s">
        <v>2595</v>
      </c>
      <c r="G19" s="658"/>
    </row>
    <row r="20" spans="1:7">
      <c r="A20" s="68">
        <v>9</v>
      </c>
      <c r="B20" s="192" t="s">
        <v>564</v>
      </c>
      <c r="C20" s="192" t="s">
        <v>1574</v>
      </c>
      <c r="D20" s="68" t="s">
        <v>798</v>
      </c>
      <c r="E20" s="68"/>
      <c r="F20" s="657" t="s">
        <v>1856</v>
      </c>
      <c r="G20" s="657"/>
    </row>
    <row r="21" spans="1:7">
      <c r="A21" s="3">
        <v>10</v>
      </c>
      <c r="B21" s="2" t="s">
        <v>2587</v>
      </c>
      <c r="C21" s="2" t="s">
        <v>1574</v>
      </c>
      <c r="D21" s="3"/>
      <c r="E21" s="3" t="s">
        <v>791</v>
      </c>
      <c r="F21" s="659" t="s">
        <v>529</v>
      </c>
      <c r="G21" s="3" t="s">
        <v>2601</v>
      </c>
    </row>
    <row r="22" spans="1:7">
      <c r="A22" s="68">
        <v>11</v>
      </c>
      <c r="B22" s="192" t="s">
        <v>574</v>
      </c>
      <c r="C22" s="192" t="s">
        <v>1574</v>
      </c>
      <c r="D22" s="68" t="s">
        <v>798</v>
      </c>
      <c r="E22" s="68"/>
      <c r="F22" s="657" t="s">
        <v>1857</v>
      </c>
      <c r="G22" s="657"/>
    </row>
    <row r="23" spans="1:7">
      <c r="A23" s="3">
        <v>12</v>
      </c>
      <c r="B23" s="2" t="s">
        <v>578</v>
      </c>
      <c r="C23" s="2" t="s">
        <v>1574</v>
      </c>
      <c r="D23" s="3"/>
      <c r="E23" s="3" t="s">
        <v>791</v>
      </c>
      <c r="F23" s="659" t="s">
        <v>529</v>
      </c>
      <c r="G23" s="3" t="s">
        <v>2601</v>
      </c>
    </row>
    <row r="24" spans="1:7">
      <c r="A24" s="68">
        <v>13</v>
      </c>
      <c r="B24" s="192" t="s">
        <v>582</v>
      </c>
      <c r="C24" s="192" t="s">
        <v>850</v>
      </c>
      <c r="D24" s="947" t="s">
        <v>529</v>
      </c>
      <c r="E24" s="947"/>
      <c r="F24" s="947"/>
      <c r="G24" s="68" t="s">
        <v>7898</v>
      </c>
    </row>
    <row r="25" spans="1:7">
      <c r="A25" s="3">
        <v>14</v>
      </c>
      <c r="B25" s="2" t="s">
        <v>590</v>
      </c>
      <c r="C25" s="2" t="s">
        <v>1574</v>
      </c>
      <c r="D25" s="3" t="s">
        <v>798</v>
      </c>
      <c r="E25" s="3"/>
      <c r="F25" s="658" t="s">
        <v>2600</v>
      </c>
      <c r="G25" s="658"/>
    </row>
    <row r="26" spans="1:7">
      <c r="A26" s="68">
        <v>15</v>
      </c>
      <c r="B26" s="192" t="s">
        <v>68</v>
      </c>
      <c r="C26" s="192" t="s">
        <v>1574</v>
      </c>
      <c r="D26" s="68"/>
      <c r="E26" s="68" t="s">
        <v>791</v>
      </c>
      <c r="F26" s="659" t="s">
        <v>529</v>
      </c>
      <c r="G26" s="68" t="s">
        <v>2601</v>
      </c>
    </row>
    <row r="27" spans="1:7">
      <c r="A27" s="3">
        <v>16</v>
      </c>
      <c r="B27" s="2" t="s">
        <v>599</v>
      </c>
      <c r="C27" s="2" t="s">
        <v>850</v>
      </c>
      <c r="D27" s="947" t="s">
        <v>529</v>
      </c>
      <c r="E27" s="947"/>
      <c r="F27" s="947"/>
      <c r="G27" s="3" t="s">
        <v>7898</v>
      </c>
    </row>
    <row r="28" spans="1:7">
      <c r="A28" s="68">
        <v>17</v>
      </c>
      <c r="B28" s="192" t="s">
        <v>607</v>
      </c>
      <c r="C28" s="192" t="s">
        <v>1574</v>
      </c>
      <c r="D28" s="68"/>
      <c r="E28" s="68" t="s">
        <v>791</v>
      </c>
      <c r="F28" s="659" t="s">
        <v>529</v>
      </c>
      <c r="G28" s="68" t="s">
        <v>2601</v>
      </c>
    </row>
    <row r="29" spans="1:7">
      <c r="A29" s="3">
        <v>18</v>
      </c>
      <c r="B29" s="2" t="s">
        <v>74</v>
      </c>
      <c r="C29" s="2" t="s">
        <v>1574</v>
      </c>
      <c r="D29" s="3"/>
      <c r="E29" s="3" t="s">
        <v>791</v>
      </c>
      <c r="F29" s="659" t="s">
        <v>529</v>
      </c>
      <c r="G29" s="3" t="s">
        <v>2601</v>
      </c>
    </row>
    <row r="30" spans="1:7">
      <c r="A30" s="68">
        <v>19</v>
      </c>
      <c r="B30" s="192" t="s">
        <v>17</v>
      </c>
      <c r="C30" s="192" t="s">
        <v>1574</v>
      </c>
      <c r="D30" s="68"/>
      <c r="E30" s="68" t="s">
        <v>850</v>
      </c>
      <c r="F30" s="659" t="s">
        <v>529</v>
      </c>
      <c r="G30" s="68" t="s">
        <v>8627</v>
      </c>
    </row>
    <row r="31" spans="1:7">
      <c r="A31" s="3">
        <v>20</v>
      </c>
      <c r="B31" s="2" t="s">
        <v>190</v>
      </c>
      <c r="C31" s="2" t="s">
        <v>1574</v>
      </c>
      <c r="D31" s="3"/>
      <c r="E31" s="3" t="s">
        <v>791</v>
      </c>
      <c r="F31" s="659" t="s">
        <v>529</v>
      </c>
      <c r="G31" s="3" t="s">
        <v>2601</v>
      </c>
    </row>
    <row r="32" spans="1:7">
      <c r="A32" s="68">
        <v>21</v>
      </c>
      <c r="B32" s="192" t="s">
        <v>615</v>
      </c>
      <c r="C32" s="192" t="s">
        <v>850</v>
      </c>
      <c r="D32" s="947" t="s">
        <v>529</v>
      </c>
      <c r="E32" s="947"/>
      <c r="F32" s="947"/>
      <c r="G32" s="68" t="s">
        <v>7898</v>
      </c>
    </row>
    <row r="33" spans="1:7">
      <c r="A33" s="3">
        <v>22</v>
      </c>
      <c r="B33" s="2" t="s">
        <v>618</v>
      </c>
      <c r="C33" s="2" t="s">
        <v>1574</v>
      </c>
      <c r="D33" s="3"/>
      <c r="E33" s="3" t="s">
        <v>791</v>
      </c>
      <c r="F33" s="659" t="s">
        <v>529</v>
      </c>
      <c r="G33" s="3" t="s">
        <v>2601</v>
      </c>
    </row>
    <row r="34" spans="1:7">
      <c r="A34" s="68">
        <v>23</v>
      </c>
      <c r="B34" s="192" t="s">
        <v>622</v>
      </c>
      <c r="C34" s="192" t="s">
        <v>850</v>
      </c>
      <c r="D34" s="947" t="s">
        <v>529</v>
      </c>
      <c r="E34" s="947"/>
      <c r="F34" s="947"/>
      <c r="G34" s="68" t="s">
        <v>7898</v>
      </c>
    </row>
    <row r="35" spans="1:7">
      <c r="A35" s="3">
        <v>24</v>
      </c>
      <c r="B35" s="2" t="s">
        <v>130</v>
      </c>
      <c r="C35" s="2" t="s">
        <v>850</v>
      </c>
      <c r="D35" s="947" t="s">
        <v>529</v>
      </c>
      <c r="E35" s="947"/>
      <c r="F35" s="947"/>
      <c r="G35" s="3" t="s">
        <v>7898</v>
      </c>
    </row>
    <row r="36" spans="1:7">
      <c r="A36" s="68">
        <v>25</v>
      </c>
      <c r="B36" s="192" t="s">
        <v>630</v>
      </c>
      <c r="C36" s="192" t="s">
        <v>1574</v>
      </c>
      <c r="D36" s="68"/>
      <c r="E36" s="68" t="s">
        <v>791</v>
      </c>
      <c r="F36" s="659" t="s">
        <v>529</v>
      </c>
      <c r="G36" s="68" t="s">
        <v>2601</v>
      </c>
    </row>
    <row r="37" spans="1:7">
      <c r="A37" s="3">
        <v>26</v>
      </c>
      <c r="B37" s="2" t="s">
        <v>99</v>
      </c>
      <c r="C37" s="2" t="s">
        <v>850</v>
      </c>
      <c r="D37" s="947" t="s">
        <v>529</v>
      </c>
      <c r="E37" s="947"/>
      <c r="F37" s="947"/>
      <c r="G37" s="3" t="s">
        <v>7898</v>
      </c>
    </row>
    <row r="38" spans="1:7">
      <c r="A38" s="68">
        <v>27</v>
      </c>
      <c r="B38" s="192" t="s">
        <v>87</v>
      </c>
      <c r="C38" s="192" t="s">
        <v>850</v>
      </c>
      <c r="D38" s="947" t="s">
        <v>529</v>
      </c>
      <c r="E38" s="947"/>
      <c r="F38" s="947"/>
      <c r="G38" s="68" t="s">
        <v>7898</v>
      </c>
    </row>
    <row r="39" spans="1:7">
      <c r="A39" s="3">
        <v>28</v>
      </c>
      <c r="B39" s="2" t="s">
        <v>646</v>
      </c>
      <c r="C39" s="2" t="s">
        <v>1574</v>
      </c>
      <c r="D39" s="3"/>
      <c r="E39" s="3" t="s">
        <v>791</v>
      </c>
      <c r="F39" s="659" t="s">
        <v>529</v>
      </c>
      <c r="G39" s="3" t="s">
        <v>2601</v>
      </c>
    </row>
    <row r="40" spans="1:7">
      <c r="A40" s="68">
        <v>29</v>
      </c>
      <c r="B40" s="192" t="s">
        <v>651</v>
      </c>
      <c r="C40" s="192" t="s">
        <v>850</v>
      </c>
      <c r="D40" s="947" t="s">
        <v>529</v>
      </c>
      <c r="E40" s="947"/>
      <c r="F40" s="947"/>
      <c r="G40" s="68" t="s">
        <v>7898</v>
      </c>
    </row>
    <row r="41" spans="1:7">
      <c r="A41" s="3">
        <v>30</v>
      </c>
      <c r="B41" s="2" t="s">
        <v>102</v>
      </c>
      <c r="C41" s="2" t="s">
        <v>1574</v>
      </c>
      <c r="D41" s="3"/>
      <c r="E41" s="3" t="s">
        <v>791</v>
      </c>
      <c r="F41" s="659" t="s">
        <v>529</v>
      </c>
      <c r="G41" s="3" t="s">
        <v>2601</v>
      </c>
    </row>
    <row r="42" spans="1:7">
      <c r="A42" s="68">
        <v>31</v>
      </c>
      <c r="B42" s="192" t="s">
        <v>659</v>
      </c>
      <c r="C42" s="192" t="s">
        <v>850</v>
      </c>
      <c r="D42" s="947" t="s">
        <v>529</v>
      </c>
      <c r="E42" s="947"/>
      <c r="F42" s="947"/>
      <c r="G42" s="68" t="s">
        <v>7898</v>
      </c>
    </row>
    <row r="43" spans="1:7">
      <c r="A43" s="3">
        <v>32</v>
      </c>
      <c r="B43" s="2" t="s">
        <v>662</v>
      </c>
      <c r="C43" s="2" t="s">
        <v>1574</v>
      </c>
      <c r="D43" s="3"/>
      <c r="E43" s="3" t="s">
        <v>791</v>
      </c>
      <c r="F43" s="659" t="s">
        <v>529</v>
      </c>
      <c r="G43" s="3" t="s">
        <v>2601</v>
      </c>
    </row>
    <row r="44" spans="1:7">
      <c r="A44" s="68">
        <v>33</v>
      </c>
      <c r="B44" s="192" t="s">
        <v>666</v>
      </c>
      <c r="C44" s="192" t="s">
        <v>1574</v>
      </c>
      <c r="D44" s="68" t="s">
        <v>798</v>
      </c>
      <c r="E44" s="68"/>
      <c r="F44" s="656" t="s">
        <v>2604</v>
      </c>
      <c r="G44" s="656"/>
    </row>
    <row r="45" spans="1:7">
      <c r="A45" s="3">
        <v>34</v>
      </c>
      <c r="B45" s="2" t="s">
        <v>673</v>
      </c>
      <c r="C45" s="2" t="s">
        <v>1574</v>
      </c>
      <c r="D45" s="3"/>
      <c r="E45" s="3" t="s">
        <v>791</v>
      </c>
      <c r="F45" s="659" t="s">
        <v>529</v>
      </c>
      <c r="G45" s="3" t="s">
        <v>2601</v>
      </c>
    </row>
    <row r="46" spans="1:7">
      <c r="A46" s="68">
        <v>35</v>
      </c>
      <c r="B46" s="192" t="s">
        <v>676</v>
      </c>
      <c r="C46" s="192" t="s">
        <v>1574</v>
      </c>
      <c r="D46" s="68"/>
      <c r="E46" s="68" t="s">
        <v>791</v>
      </c>
      <c r="F46" s="659" t="s">
        <v>529</v>
      </c>
      <c r="G46" s="68" t="s">
        <v>2601</v>
      </c>
    </row>
    <row r="47" spans="1:7">
      <c r="A47" s="3">
        <v>36</v>
      </c>
      <c r="B47" s="2" t="s">
        <v>681</v>
      </c>
      <c r="C47" s="2" t="s">
        <v>1574</v>
      </c>
      <c r="D47" s="3"/>
      <c r="E47" s="3" t="s">
        <v>791</v>
      </c>
      <c r="F47" s="659" t="s">
        <v>529</v>
      </c>
      <c r="G47" s="3" t="s">
        <v>2601</v>
      </c>
    </row>
    <row r="48" spans="1:7">
      <c r="A48" s="68">
        <v>37</v>
      </c>
      <c r="B48" s="192" t="s">
        <v>462</v>
      </c>
      <c r="C48" s="192" t="s">
        <v>850</v>
      </c>
      <c r="D48" s="947" t="s">
        <v>529</v>
      </c>
      <c r="E48" s="947"/>
      <c r="F48" s="947"/>
      <c r="G48" s="68" t="s">
        <v>7898</v>
      </c>
    </row>
    <row r="49" spans="1:7">
      <c r="A49" s="3">
        <v>38</v>
      </c>
      <c r="B49" s="2" t="s">
        <v>1248</v>
      </c>
      <c r="C49" s="2" t="s">
        <v>850</v>
      </c>
      <c r="D49" s="947" t="s">
        <v>529</v>
      </c>
      <c r="E49" s="947"/>
      <c r="F49" s="947"/>
      <c r="G49" s="3" t="s">
        <v>7898</v>
      </c>
    </row>
    <row r="50" spans="1:7">
      <c r="A50" s="68">
        <v>39</v>
      </c>
      <c r="B50" s="192" t="s">
        <v>188</v>
      </c>
      <c r="C50" s="192" t="s">
        <v>1574</v>
      </c>
      <c r="D50" s="68"/>
      <c r="E50" s="68" t="s">
        <v>791</v>
      </c>
      <c r="F50" s="659" t="s">
        <v>529</v>
      </c>
      <c r="G50" s="68" t="s">
        <v>2601</v>
      </c>
    </row>
    <row r="51" spans="1:7">
      <c r="A51" s="3">
        <v>40</v>
      </c>
      <c r="B51" s="2" t="s">
        <v>974</v>
      </c>
      <c r="C51" s="2" t="s">
        <v>1574</v>
      </c>
      <c r="D51" s="3"/>
      <c r="E51" s="3" t="s">
        <v>791</v>
      </c>
      <c r="F51" s="659" t="s">
        <v>529</v>
      </c>
      <c r="G51" s="3" t="s">
        <v>2601</v>
      </c>
    </row>
    <row r="52" spans="1:7">
      <c r="A52" s="68">
        <v>41</v>
      </c>
      <c r="B52" s="192" t="s">
        <v>141</v>
      </c>
      <c r="C52" s="192" t="s">
        <v>850</v>
      </c>
      <c r="D52" s="947" t="s">
        <v>529</v>
      </c>
      <c r="E52" s="947"/>
      <c r="F52" s="947"/>
      <c r="G52" s="68" t="s">
        <v>7898</v>
      </c>
    </row>
    <row r="53" spans="1:7">
      <c r="A53" s="3">
        <v>42</v>
      </c>
      <c r="B53" s="2" t="s">
        <v>692</v>
      </c>
      <c r="C53" s="2" t="s">
        <v>1574</v>
      </c>
      <c r="D53" s="3"/>
      <c r="E53" s="3" t="s">
        <v>791</v>
      </c>
      <c r="F53" s="659" t="s">
        <v>529</v>
      </c>
      <c r="G53" s="3" t="s">
        <v>2601</v>
      </c>
    </row>
    <row r="54" spans="1:7">
      <c r="A54" s="68">
        <v>43</v>
      </c>
      <c r="B54" s="192" t="s">
        <v>140</v>
      </c>
      <c r="C54" s="192" t="s">
        <v>1574</v>
      </c>
      <c r="D54" s="68"/>
      <c r="E54" s="68" t="s">
        <v>791</v>
      </c>
      <c r="F54" s="659" t="s">
        <v>529</v>
      </c>
      <c r="G54" s="68" t="s">
        <v>2601</v>
      </c>
    </row>
    <row r="55" spans="1:7">
      <c r="A55" s="3">
        <v>44</v>
      </c>
      <c r="B55" s="2" t="s">
        <v>709</v>
      </c>
      <c r="C55" s="2" t="s">
        <v>1574</v>
      </c>
      <c r="D55" s="3"/>
      <c r="E55" s="3" t="s">
        <v>791</v>
      </c>
      <c r="F55" s="659" t="s">
        <v>529</v>
      </c>
      <c r="G55" s="3" t="s">
        <v>2601</v>
      </c>
    </row>
    <row r="56" spans="1:7">
      <c r="A56" s="68">
        <v>45</v>
      </c>
      <c r="B56" s="192" t="s">
        <v>714</v>
      </c>
      <c r="C56" s="192" t="s">
        <v>1574</v>
      </c>
      <c r="D56" s="68"/>
      <c r="E56" s="68" t="s">
        <v>791</v>
      </c>
      <c r="F56" s="659" t="s">
        <v>529</v>
      </c>
      <c r="G56" s="68" t="s">
        <v>2601</v>
      </c>
    </row>
    <row r="57" spans="1:7">
      <c r="A57" s="3">
        <v>46</v>
      </c>
      <c r="B57" s="2" t="s">
        <v>54</v>
      </c>
      <c r="C57" s="2" t="s">
        <v>850</v>
      </c>
      <c r="D57" s="947" t="s">
        <v>529</v>
      </c>
      <c r="E57" s="947"/>
      <c r="F57" s="947"/>
      <c r="G57" s="3" t="s">
        <v>7898</v>
      </c>
    </row>
    <row r="58" spans="1:7">
      <c r="A58" s="68">
        <v>47</v>
      </c>
      <c r="B58" s="192" t="s">
        <v>46</v>
      </c>
      <c r="C58" s="192" t="s">
        <v>850</v>
      </c>
      <c r="D58" s="947" t="s">
        <v>529</v>
      </c>
      <c r="E58" s="947"/>
      <c r="F58" s="947"/>
      <c r="G58" s="68" t="s">
        <v>7898</v>
      </c>
    </row>
    <row r="59" spans="1:7">
      <c r="A59" s="3">
        <v>48</v>
      </c>
      <c r="B59" s="2" t="s">
        <v>64</v>
      </c>
      <c r="C59" s="2" t="s">
        <v>850</v>
      </c>
      <c r="D59" s="947" t="s">
        <v>529</v>
      </c>
      <c r="E59" s="947"/>
      <c r="F59" s="947"/>
      <c r="G59" s="3" t="s">
        <v>7898</v>
      </c>
    </row>
    <row r="60" spans="1:7">
      <c r="A60" s="68">
        <v>49</v>
      </c>
      <c r="B60" s="192" t="s">
        <v>2588</v>
      </c>
      <c r="C60" s="192" t="s">
        <v>1574</v>
      </c>
      <c r="D60" s="68"/>
      <c r="E60" s="68" t="s">
        <v>791</v>
      </c>
      <c r="F60" s="659" t="s">
        <v>529</v>
      </c>
      <c r="G60" s="68" t="s">
        <v>2601</v>
      </c>
    </row>
  </sheetData>
  <autoFilter ref="B11:G60" xr:uid="{1BEE09E3-A06D-439B-A7D3-86D31E47094D}"/>
  <mergeCells count="18">
    <mergeCell ref="D10:F10"/>
    <mergeCell ref="D17:F17"/>
    <mergeCell ref="D18:F18"/>
    <mergeCell ref="D24:F24"/>
    <mergeCell ref="D27:F27"/>
    <mergeCell ref="D32:F32"/>
    <mergeCell ref="D34:F34"/>
    <mergeCell ref="D35:F35"/>
    <mergeCell ref="D37:F37"/>
    <mergeCell ref="D52:F52"/>
    <mergeCell ref="D57:F57"/>
    <mergeCell ref="D58:F58"/>
    <mergeCell ref="D59:F59"/>
    <mergeCell ref="D38:F38"/>
    <mergeCell ref="D40:F40"/>
    <mergeCell ref="D42:F42"/>
    <mergeCell ref="D48:F48"/>
    <mergeCell ref="D49:F49"/>
  </mergeCells>
  <hyperlinks>
    <hyperlink ref="F22" r:id="rId1" xr:uid="{45F635C4-AE32-417C-9539-D403F2BE84C5}"/>
    <hyperlink ref="F20" r:id="rId2" xr:uid="{59DA2A66-2CA5-4AB0-93EB-1ED95AD000E0}"/>
    <hyperlink ref="F19" r:id="rId3" xr:uid="{E4764BAC-2179-4F92-A571-5BA0A6FBCA28}"/>
    <hyperlink ref="F12" r:id="rId4" xr:uid="{5E55085F-05A0-4EE2-9DC2-9D0E8B08D4BE}"/>
    <hyperlink ref="F25" r:id="rId5" xr:uid="{FD13CC1A-FA07-4A2A-A108-B0BCBA6A1863}"/>
    <hyperlink ref="F44" r:id="rId6" xr:uid="{1D4425B5-FE52-49F0-8B50-2B8A69EFC3A7}"/>
    <hyperlink ref="F14" r:id="rId7" xr:uid="{8A17F664-3840-4DF3-A096-6A2D2C007351}"/>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C620F-3049-4137-A347-6227AAE4A4C5}">
  <sheetPr>
    <tabColor rgb="FF92D050"/>
  </sheetPr>
  <dimension ref="A1:G18"/>
  <sheetViews>
    <sheetView showGridLines="0" zoomScaleNormal="100" workbookViewId="0">
      <pane ySplit="11" topLeftCell="A12" activePane="bottomLeft" state="frozen"/>
      <selection activeCell="B71" sqref="B71:B72"/>
      <selection pane="bottomLeft" activeCell="F26" sqref="F26"/>
    </sheetView>
  </sheetViews>
  <sheetFormatPr baseColWidth="10" defaultColWidth="11.5" defaultRowHeight="12"/>
  <cols>
    <col min="1" max="1" width="11.5" style="161"/>
    <col min="2" max="2" width="57.5" style="148" bestFit="1" customWidth="1"/>
    <col min="3" max="3" width="13.4140625" style="148" customWidth="1"/>
    <col min="4" max="4" width="13.1640625" style="148" bestFit="1" customWidth="1"/>
    <col min="5" max="5" width="8.75" style="148" bestFit="1" customWidth="1"/>
    <col min="6" max="6" width="51" style="148" bestFit="1" customWidth="1"/>
    <col min="7" max="7" width="17.1640625" style="148" customWidth="1"/>
    <col min="8" max="16384" width="11.5" style="148"/>
  </cols>
  <sheetData>
    <row r="1" spans="1:7">
      <c r="E1" s="148" t="s">
        <v>8625</v>
      </c>
    </row>
    <row r="2" spans="1:7">
      <c r="A2" s="191" t="s">
        <v>7227</v>
      </c>
    </row>
    <row r="3" spans="1:7">
      <c r="D3" s="654" t="s">
        <v>516</v>
      </c>
      <c r="E3" s="654">
        <v>7</v>
      </c>
    </row>
    <row r="4" spans="1:7">
      <c r="D4" s="655" t="s">
        <v>518</v>
      </c>
      <c r="E4" s="655">
        <f>+COUNTIF(C12:C18,"Non")</f>
        <v>2</v>
      </c>
    </row>
    <row r="5" spans="1:7">
      <c r="D5" s="654" t="s">
        <v>517</v>
      </c>
      <c r="E5" s="654">
        <f>+E6+E7</f>
        <v>5</v>
      </c>
    </row>
    <row r="6" spans="1:7">
      <c r="A6" s="191"/>
      <c r="D6" s="654" t="s">
        <v>2818</v>
      </c>
      <c r="E6" s="654">
        <f>+COUNTIF(D12:D18,"oui")</f>
        <v>5</v>
      </c>
    </row>
    <row r="7" spans="1:7">
      <c r="A7" s="191"/>
      <c r="D7" s="654" t="s">
        <v>2819</v>
      </c>
      <c r="E7" s="654">
        <f>+COUNTIF(E12:E18,"non")</f>
        <v>0</v>
      </c>
    </row>
    <row r="10" spans="1:7" ht="15.65" customHeight="1" thickBot="1">
      <c r="D10" s="948" t="s">
        <v>796</v>
      </c>
      <c r="E10" s="948"/>
      <c r="F10" s="948"/>
    </row>
    <row r="11" spans="1:7" ht="24.5" thickBot="1">
      <c r="A11" s="71" t="s">
        <v>3</v>
      </c>
      <c r="B11" s="71" t="s">
        <v>797</v>
      </c>
      <c r="C11" s="1" t="s">
        <v>8626</v>
      </c>
      <c r="D11" s="71" t="s">
        <v>1574</v>
      </c>
      <c r="E11" s="71" t="s">
        <v>850</v>
      </c>
      <c r="F11" s="71" t="s">
        <v>2594</v>
      </c>
      <c r="G11" s="71" t="s">
        <v>7896</v>
      </c>
    </row>
    <row r="12" spans="1:7" ht="14.5" thickTop="1">
      <c r="A12" s="68">
        <v>1</v>
      </c>
      <c r="B12" s="192" t="s">
        <v>755</v>
      </c>
      <c r="C12" s="192" t="s">
        <v>1574</v>
      </c>
      <c r="D12" s="68" t="s">
        <v>798</v>
      </c>
      <c r="E12" s="68"/>
      <c r="F12" s="189" t="s">
        <v>2605</v>
      </c>
      <c r="G12" s="656"/>
    </row>
    <row r="13" spans="1:7" ht="14">
      <c r="A13" s="3">
        <v>2</v>
      </c>
      <c r="B13" s="2" t="s">
        <v>759</v>
      </c>
      <c r="C13" s="2" t="s">
        <v>1574</v>
      </c>
      <c r="D13" s="3" t="s">
        <v>798</v>
      </c>
      <c r="E13" s="3"/>
      <c r="F13" s="190" t="s">
        <v>2605</v>
      </c>
      <c r="G13" s="3"/>
    </row>
    <row r="14" spans="1:7" ht="14">
      <c r="A14" s="68">
        <v>3</v>
      </c>
      <c r="B14" s="192" t="s">
        <v>761</v>
      </c>
      <c r="C14" s="192" t="s">
        <v>1574</v>
      </c>
      <c r="D14" s="68" t="s">
        <v>798</v>
      </c>
      <c r="E14" s="68"/>
      <c r="F14" s="189" t="s">
        <v>2605</v>
      </c>
      <c r="G14" s="657"/>
    </row>
    <row r="15" spans="1:7" ht="14">
      <c r="A15" s="3">
        <v>4</v>
      </c>
      <c r="B15" s="2" t="s">
        <v>763</v>
      </c>
      <c r="C15" s="2" t="s">
        <v>1574</v>
      </c>
      <c r="D15" s="3" t="s">
        <v>798</v>
      </c>
      <c r="E15" s="3"/>
      <c r="F15" s="190" t="s">
        <v>2605</v>
      </c>
      <c r="G15" s="3"/>
    </row>
    <row r="16" spans="1:7" ht="14">
      <c r="A16" s="68">
        <v>5</v>
      </c>
      <c r="B16" s="192" t="s">
        <v>765</v>
      </c>
      <c r="C16" s="192" t="s">
        <v>1574</v>
      </c>
      <c r="D16" s="660" t="s">
        <v>798</v>
      </c>
      <c r="E16" s="660"/>
      <c r="F16" s="189" t="s">
        <v>2605</v>
      </c>
      <c r="G16" s="68"/>
    </row>
    <row r="17" spans="1:7">
      <c r="A17" s="3">
        <v>6</v>
      </c>
      <c r="B17" s="2" t="s">
        <v>767</v>
      </c>
      <c r="C17" s="2" t="s">
        <v>850</v>
      </c>
      <c r="D17" s="949" t="s">
        <v>529</v>
      </c>
      <c r="E17" s="949"/>
      <c r="F17" s="949"/>
      <c r="G17" s="3" t="s">
        <v>7898</v>
      </c>
    </row>
    <row r="18" spans="1:7">
      <c r="A18" s="68">
        <v>7</v>
      </c>
      <c r="B18" s="192" t="s">
        <v>769</v>
      </c>
      <c r="C18" s="192" t="s">
        <v>850</v>
      </c>
      <c r="D18" s="949" t="s">
        <v>529</v>
      </c>
      <c r="E18" s="949"/>
      <c r="F18" s="949"/>
      <c r="G18" s="68" t="s">
        <v>7898</v>
      </c>
    </row>
  </sheetData>
  <autoFilter ref="A11:F18" xr:uid="{6B9EA288-22EB-43F1-B5CB-FAC6F6DB8B4B}"/>
  <mergeCells count="3">
    <mergeCell ref="D10:F10"/>
    <mergeCell ref="D17:F17"/>
    <mergeCell ref="D18:F18"/>
  </mergeCells>
  <hyperlinks>
    <hyperlink ref="F12" r:id="rId1" xr:uid="{390C1FA4-85FB-42E6-BB85-9514B1D8E3DF}"/>
    <hyperlink ref="F13:F16" r:id="rId2" display="perenco.com/wp-content/uploads/2024/07/2023-ESG-Report.pdf" xr:uid="{E6F44E2F-6EAA-4685-8660-3006E2B6A35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8DE23-8046-4EDF-AA3A-8833603C2651}">
  <sheetPr codeName="Feuil20">
    <tabColor rgb="FF92D050"/>
  </sheetPr>
  <dimension ref="A3:E110"/>
  <sheetViews>
    <sheetView topLeftCell="A6" workbookViewId="0">
      <selection activeCell="B23" sqref="B23"/>
    </sheetView>
  </sheetViews>
  <sheetFormatPr baseColWidth="10" defaultColWidth="11.5" defaultRowHeight="12"/>
  <cols>
    <col min="1" max="1" width="26.25" style="97" bestFit="1" customWidth="1"/>
    <col min="2" max="2" width="80.4140625" style="97" customWidth="1"/>
    <col min="3" max="3" width="17.5" style="98" bestFit="1" customWidth="1"/>
    <col min="4" max="4" width="11" style="98" customWidth="1"/>
    <col min="5" max="5" width="16" style="97" customWidth="1"/>
    <col min="6" max="16384" width="11.5" style="97"/>
  </cols>
  <sheetData>
    <row r="3" spans="1:5" ht="15.5">
      <c r="A3" s="7" t="s">
        <v>7233</v>
      </c>
    </row>
    <row r="5" spans="1:5">
      <c r="A5" s="99"/>
      <c r="B5" s="99"/>
      <c r="C5" s="100"/>
      <c r="D5" s="100"/>
      <c r="E5" s="99"/>
    </row>
    <row r="6" spans="1:5" ht="12.5" thickBot="1">
      <c r="A6" s="71" t="s">
        <v>1131</v>
      </c>
      <c r="B6" s="71" t="s">
        <v>1132</v>
      </c>
      <c r="C6" s="71" t="s">
        <v>1133</v>
      </c>
      <c r="D6" s="71"/>
    </row>
    <row r="7" spans="1:5" ht="15.65" customHeight="1" thickTop="1" thickBot="1">
      <c r="A7" s="957" t="s">
        <v>1134</v>
      </c>
      <c r="B7" s="958"/>
      <c r="C7" s="65" t="s">
        <v>1135</v>
      </c>
      <c r="D7" s="65" t="s">
        <v>1136</v>
      </c>
    </row>
    <row r="8" spans="1:5">
      <c r="A8" s="959" t="s">
        <v>1137</v>
      </c>
      <c r="B8" s="101" t="s">
        <v>1138</v>
      </c>
      <c r="C8" s="102" t="s">
        <v>1139</v>
      </c>
      <c r="D8" s="103" t="s">
        <v>1140</v>
      </c>
    </row>
    <row r="9" spans="1:5">
      <c r="A9" s="960"/>
      <c r="B9" s="104" t="s">
        <v>1141</v>
      </c>
      <c r="C9" s="105" t="s">
        <v>1139</v>
      </c>
      <c r="D9" s="106" t="s">
        <v>1140</v>
      </c>
    </row>
    <row r="10" spans="1:5">
      <c r="A10" s="960"/>
      <c r="B10" s="104" t="s">
        <v>1142</v>
      </c>
      <c r="C10" s="105" t="s">
        <v>1139</v>
      </c>
      <c r="D10" s="106" t="s">
        <v>1140</v>
      </c>
    </row>
    <row r="11" spans="1:5">
      <c r="A11" s="960"/>
      <c r="B11" s="104" t="s">
        <v>1143</v>
      </c>
      <c r="C11" s="105" t="s">
        <v>1139</v>
      </c>
      <c r="D11" s="106" t="s">
        <v>1140</v>
      </c>
    </row>
    <row r="12" spans="1:5">
      <c r="A12" s="960"/>
      <c r="B12" s="104" t="s">
        <v>1144</v>
      </c>
      <c r="C12" s="105" t="s">
        <v>1139</v>
      </c>
      <c r="D12" s="106" t="s">
        <v>1140</v>
      </c>
    </row>
    <row r="13" spans="1:5">
      <c r="A13" s="960"/>
      <c r="B13" s="104" t="s">
        <v>1145</v>
      </c>
      <c r="C13" s="105" t="s">
        <v>1139</v>
      </c>
      <c r="D13" s="106"/>
    </row>
    <row r="14" spans="1:5" ht="12.5" thickBot="1">
      <c r="A14" s="961"/>
      <c r="B14" s="107" t="s">
        <v>1146</v>
      </c>
      <c r="C14" s="108" t="s">
        <v>1139</v>
      </c>
      <c r="D14" s="109" t="s">
        <v>1140</v>
      </c>
    </row>
    <row r="15" spans="1:5">
      <c r="A15" s="959" t="s">
        <v>1147</v>
      </c>
      <c r="B15" s="101" t="s">
        <v>1148</v>
      </c>
      <c r="C15" s="102" t="s">
        <v>1139</v>
      </c>
      <c r="D15" s="103"/>
    </row>
    <row r="16" spans="1:5" ht="12.5" thickBot="1">
      <c r="A16" s="961"/>
      <c r="B16" s="107" t="s">
        <v>1149</v>
      </c>
      <c r="C16" s="108" t="s">
        <v>1139</v>
      </c>
      <c r="D16" s="109"/>
    </row>
    <row r="17" spans="1:4">
      <c r="A17" s="959" t="s">
        <v>1</v>
      </c>
      <c r="B17" s="101" t="s">
        <v>1150</v>
      </c>
      <c r="C17" s="110"/>
      <c r="D17" s="103" t="s">
        <v>1140</v>
      </c>
    </row>
    <row r="18" spans="1:4">
      <c r="A18" s="960"/>
      <c r="B18" s="104" t="s">
        <v>1151</v>
      </c>
      <c r="C18" s="111"/>
      <c r="D18" s="106" t="s">
        <v>1140</v>
      </c>
    </row>
    <row r="19" spans="1:4">
      <c r="A19" s="960"/>
      <c r="B19" s="104" t="s">
        <v>1152</v>
      </c>
      <c r="C19" s="111"/>
      <c r="D19" s="106" t="s">
        <v>1140</v>
      </c>
    </row>
    <row r="20" spans="1:4">
      <c r="A20" s="960"/>
      <c r="B20" s="104" t="s">
        <v>1153</v>
      </c>
      <c r="C20" s="111"/>
      <c r="D20" s="106" t="s">
        <v>1140</v>
      </c>
    </row>
    <row r="21" spans="1:4">
      <c r="A21" s="960"/>
      <c r="B21" s="104" t="s">
        <v>1154</v>
      </c>
      <c r="C21" s="111"/>
      <c r="D21" s="106" t="s">
        <v>1140</v>
      </c>
    </row>
    <row r="22" spans="1:4">
      <c r="A22" s="960"/>
      <c r="B22" s="104" t="s">
        <v>1155</v>
      </c>
      <c r="C22" s="111"/>
      <c r="D22" s="106" t="s">
        <v>1140</v>
      </c>
    </row>
    <row r="23" spans="1:4">
      <c r="A23" s="960"/>
      <c r="B23" s="104" t="s">
        <v>1156</v>
      </c>
      <c r="C23" s="111"/>
      <c r="D23" s="106" t="s">
        <v>1140</v>
      </c>
    </row>
    <row r="24" spans="1:4">
      <c r="A24" s="960"/>
      <c r="B24" s="104" t="s">
        <v>1157</v>
      </c>
      <c r="C24" s="111"/>
      <c r="D24" s="106" t="s">
        <v>1140</v>
      </c>
    </row>
    <row r="25" spans="1:4">
      <c r="A25" s="960"/>
      <c r="B25" s="104" t="s">
        <v>1158</v>
      </c>
      <c r="C25" s="111"/>
      <c r="D25" s="106" t="s">
        <v>1140</v>
      </c>
    </row>
    <row r="26" spans="1:4">
      <c r="A26" s="960"/>
      <c r="B26" s="104" t="s">
        <v>1159</v>
      </c>
      <c r="C26" s="105" t="s">
        <v>1139</v>
      </c>
      <c r="D26" s="106" t="s">
        <v>1140</v>
      </c>
    </row>
    <row r="27" spans="1:4">
      <c r="A27" s="960"/>
      <c r="B27" s="104" t="s">
        <v>1160</v>
      </c>
      <c r="C27" s="105" t="s">
        <v>1139</v>
      </c>
      <c r="D27" s="106"/>
    </row>
    <row r="28" spans="1:4">
      <c r="A28" s="960"/>
      <c r="B28" s="104" t="s">
        <v>1161</v>
      </c>
      <c r="C28" s="105" t="s">
        <v>1139</v>
      </c>
      <c r="D28" s="106"/>
    </row>
    <row r="29" spans="1:4">
      <c r="A29" s="960"/>
      <c r="B29" s="104" t="s">
        <v>1162</v>
      </c>
      <c r="C29" s="105" t="s">
        <v>1139</v>
      </c>
      <c r="D29" s="106"/>
    </row>
    <row r="30" spans="1:4">
      <c r="A30" s="960"/>
      <c r="B30" s="104" t="s">
        <v>1163</v>
      </c>
      <c r="C30" s="111"/>
      <c r="D30" s="106" t="s">
        <v>1140</v>
      </c>
    </row>
    <row r="31" spans="1:4">
      <c r="A31" s="960"/>
      <c r="B31" s="104" t="s">
        <v>1164</v>
      </c>
      <c r="C31" s="111"/>
      <c r="D31" s="106" t="s">
        <v>1140</v>
      </c>
    </row>
    <row r="32" spans="1:4">
      <c r="A32" s="960"/>
      <c r="B32" s="104" t="s">
        <v>1165</v>
      </c>
      <c r="C32" s="105" t="s">
        <v>1139</v>
      </c>
      <c r="D32" s="106" t="s">
        <v>1140</v>
      </c>
    </row>
    <row r="33" spans="1:4">
      <c r="A33" s="960"/>
      <c r="B33" s="104" t="s">
        <v>1166</v>
      </c>
      <c r="C33" s="105" t="s">
        <v>1139</v>
      </c>
      <c r="D33" s="106"/>
    </row>
    <row r="34" spans="1:4">
      <c r="A34" s="960"/>
      <c r="B34" s="104" t="s">
        <v>1167</v>
      </c>
      <c r="C34" s="111"/>
      <c r="D34" s="106" t="s">
        <v>1140</v>
      </c>
    </row>
    <row r="35" spans="1:4">
      <c r="A35" s="960"/>
      <c r="B35" s="104" t="s">
        <v>1168</v>
      </c>
      <c r="C35" s="105" t="s">
        <v>1139</v>
      </c>
      <c r="D35" s="106"/>
    </row>
    <row r="36" spans="1:4">
      <c r="A36" s="960"/>
      <c r="B36" s="104" t="s">
        <v>1169</v>
      </c>
      <c r="C36" s="111"/>
      <c r="D36" s="106" t="s">
        <v>1140</v>
      </c>
    </row>
    <row r="37" spans="1:4">
      <c r="A37" s="960"/>
      <c r="B37" s="104" t="s">
        <v>1170</v>
      </c>
      <c r="C37" s="111"/>
      <c r="D37" s="106" t="s">
        <v>1140</v>
      </c>
    </row>
    <row r="38" spans="1:4">
      <c r="A38" s="960"/>
      <c r="B38" s="104" t="s">
        <v>1171</v>
      </c>
      <c r="C38" s="105" t="s">
        <v>1139</v>
      </c>
      <c r="D38" s="106"/>
    </row>
    <row r="39" spans="1:4">
      <c r="A39" s="960"/>
      <c r="B39" s="104" t="s">
        <v>1172</v>
      </c>
      <c r="C39" s="105" t="s">
        <v>1139</v>
      </c>
      <c r="D39" s="106"/>
    </row>
    <row r="40" spans="1:4">
      <c r="A40" s="960"/>
      <c r="B40" s="104" t="s">
        <v>1173</v>
      </c>
      <c r="C40" s="105" t="s">
        <v>1139</v>
      </c>
      <c r="D40" s="106" t="s">
        <v>1140</v>
      </c>
    </row>
    <row r="41" spans="1:4">
      <c r="A41" s="960"/>
      <c r="B41" s="104" t="s">
        <v>1174</v>
      </c>
      <c r="C41" s="111"/>
      <c r="D41" s="106" t="s">
        <v>1140</v>
      </c>
    </row>
    <row r="42" spans="1:4">
      <c r="A42" s="960"/>
      <c r="B42" s="104" t="s">
        <v>1175</v>
      </c>
      <c r="C42" s="105" t="s">
        <v>1139</v>
      </c>
      <c r="D42" s="106"/>
    </row>
    <row r="43" spans="1:4">
      <c r="A43" s="960"/>
      <c r="B43" s="104" t="s">
        <v>1176</v>
      </c>
      <c r="C43" s="105" t="s">
        <v>1139</v>
      </c>
      <c r="D43" s="106" t="s">
        <v>1140</v>
      </c>
    </row>
    <row r="44" spans="1:4">
      <c r="A44" s="960"/>
      <c r="B44" s="104" t="s">
        <v>1177</v>
      </c>
      <c r="C44" s="111"/>
      <c r="D44" s="106" t="s">
        <v>1140</v>
      </c>
    </row>
    <row r="45" spans="1:4">
      <c r="A45" s="960"/>
      <c r="B45" s="104" t="s">
        <v>1178</v>
      </c>
      <c r="C45" s="105" t="s">
        <v>1139</v>
      </c>
      <c r="D45" s="106"/>
    </row>
    <row r="46" spans="1:4">
      <c r="A46" s="960"/>
      <c r="B46" s="104" t="s">
        <v>1179</v>
      </c>
      <c r="C46" s="105" t="s">
        <v>1139</v>
      </c>
      <c r="D46" s="106" t="s">
        <v>1140</v>
      </c>
    </row>
    <row r="47" spans="1:4">
      <c r="A47" s="960"/>
      <c r="B47" s="104" t="s">
        <v>1180</v>
      </c>
      <c r="C47" s="105" t="s">
        <v>1139</v>
      </c>
      <c r="D47" s="106"/>
    </row>
    <row r="48" spans="1:4">
      <c r="A48" s="962"/>
      <c r="B48" s="112" t="s">
        <v>1071</v>
      </c>
      <c r="C48" s="105" t="s">
        <v>1139</v>
      </c>
      <c r="D48" s="106" t="s">
        <v>1140</v>
      </c>
    </row>
    <row r="49" spans="1:4">
      <c r="A49" s="962"/>
      <c r="B49" s="112" t="s">
        <v>1065</v>
      </c>
      <c r="C49" s="105" t="s">
        <v>1139</v>
      </c>
      <c r="D49" s="106" t="s">
        <v>1140</v>
      </c>
    </row>
    <row r="50" spans="1:4">
      <c r="A50" s="962"/>
      <c r="B50" s="112" t="s">
        <v>1062</v>
      </c>
      <c r="C50" s="105" t="s">
        <v>1139</v>
      </c>
      <c r="D50" s="106" t="s">
        <v>1140</v>
      </c>
    </row>
    <row r="51" spans="1:4">
      <c r="A51" s="962"/>
      <c r="B51" s="112" t="s">
        <v>1070</v>
      </c>
      <c r="C51" s="105" t="s">
        <v>1139</v>
      </c>
      <c r="D51" s="106" t="s">
        <v>1140</v>
      </c>
    </row>
    <row r="52" spans="1:4" ht="12.5" thickBot="1">
      <c r="A52" s="961"/>
      <c r="B52" s="107" t="s">
        <v>1181</v>
      </c>
      <c r="C52" s="108" t="s">
        <v>1139</v>
      </c>
      <c r="D52" s="109"/>
    </row>
    <row r="53" spans="1:4" ht="14.5" thickTop="1" thickBot="1">
      <c r="A53" s="957" t="s">
        <v>1182</v>
      </c>
      <c r="B53" s="958"/>
      <c r="C53" s="65"/>
      <c r="D53" s="65"/>
    </row>
    <row r="54" spans="1:4" ht="12.5" thickBot="1">
      <c r="A54" s="113" t="s">
        <v>1137</v>
      </c>
      <c r="B54" s="114" t="s">
        <v>1183</v>
      </c>
      <c r="C54" s="115" t="s">
        <v>1139</v>
      </c>
      <c r="D54" s="116" t="s">
        <v>1140</v>
      </c>
    </row>
    <row r="55" spans="1:4">
      <c r="A55" s="950" t="s">
        <v>1</v>
      </c>
      <c r="B55" s="101" t="s">
        <v>1184</v>
      </c>
      <c r="C55" s="102" t="s">
        <v>1139</v>
      </c>
      <c r="D55" s="103" t="s">
        <v>1140</v>
      </c>
    </row>
    <row r="56" spans="1:4" ht="12.5" thickBot="1">
      <c r="A56" s="952"/>
      <c r="B56" s="107" t="s">
        <v>1185</v>
      </c>
      <c r="C56" s="117"/>
      <c r="D56" s="109" t="s">
        <v>1140</v>
      </c>
    </row>
    <row r="57" spans="1:4">
      <c r="A57" s="950" t="s">
        <v>1147</v>
      </c>
      <c r="B57" s="101" t="s">
        <v>1186</v>
      </c>
      <c r="C57" s="102" t="s">
        <v>1139</v>
      </c>
      <c r="D57" s="103" t="s">
        <v>1140</v>
      </c>
    </row>
    <row r="58" spans="1:4" ht="12.5" thickBot="1">
      <c r="A58" s="952"/>
      <c r="B58" s="107" t="s">
        <v>1187</v>
      </c>
      <c r="C58" s="108" t="s">
        <v>1139</v>
      </c>
      <c r="D58" s="109"/>
    </row>
    <row r="59" spans="1:4">
      <c r="A59" s="950" t="s">
        <v>1188</v>
      </c>
      <c r="B59" s="101" t="s">
        <v>1189</v>
      </c>
      <c r="C59" s="102" t="s">
        <v>1139</v>
      </c>
      <c r="D59" s="103"/>
    </row>
    <row r="60" spans="1:4">
      <c r="A60" s="951"/>
      <c r="B60" s="104" t="s">
        <v>1190</v>
      </c>
      <c r="C60" s="105" t="s">
        <v>1139</v>
      </c>
      <c r="D60" s="106" t="s">
        <v>1140</v>
      </c>
    </row>
    <row r="61" spans="1:4">
      <c r="A61" s="951"/>
      <c r="B61" s="104" t="s">
        <v>1191</v>
      </c>
      <c r="C61" s="105" t="s">
        <v>1139</v>
      </c>
      <c r="D61" s="106"/>
    </row>
    <row r="62" spans="1:4">
      <c r="A62" s="951"/>
      <c r="B62" s="104" t="s">
        <v>1192</v>
      </c>
      <c r="C62" s="118" t="s">
        <v>1193</v>
      </c>
      <c r="D62" s="119"/>
    </row>
    <row r="63" spans="1:4">
      <c r="A63" s="951"/>
      <c r="B63" s="104" t="s">
        <v>1194</v>
      </c>
      <c r="C63" s="118" t="s">
        <v>1193</v>
      </c>
      <c r="D63" s="119"/>
    </row>
    <row r="64" spans="1:4">
      <c r="A64" s="951"/>
      <c r="B64" s="104" t="s">
        <v>1195</v>
      </c>
      <c r="C64" s="105" t="s">
        <v>1139</v>
      </c>
      <c r="D64" s="106"/>
    </row>
    <row r="65" spans="1:4">
      <c r="A65" s="951"/>
      <c r="B65" s="104" t="s">
        <v>1196</v>
      </c>
      <c r="C65" s="105" t="s">
        <v>1139</v>
      </c>
      <c r="D65" s="106"/>
    </row>
    <row r="66" spans="1:4">
      <c r="A66" s="951"/>
      <c r="B66" s="104" t="s">
        <v>1197</v>
      </c>
      <c r="C66" s="105" t="s">
        <v>1139</v>
      </c>
      <c r="D66" s="106"/>
    </row>
    <row r="67" spans="1:4">
      <c r="A67" s="951"/>
      <c r="B67" s="104" t="s">
        <v>1198</v>
      </c>
      <c r="C67" s="105" t="s">
        <v>1139</v>
      </c>
      <c r="D67" s="106"/>
    </row>
    <row r="68" spans="1:4">
      <c r="A68" s="951"/>
      <c r="B68" s="104" t="s">
        <v>1199</v>
      </c>
      <c r="C68" s="105" t="s">
        <v>1139</v>
      </c>
      <c r="D68" s="106"/>
    </row>
    <row r="69" spans="1:4">
      <c r="A69" s="951"/>
      <c r="B69" s="104" t="s">
        <v>1200</v>
      </c>
      <c r="C69" s="105" t="s">
        <v>1139</v>
      </c>
      <c r="D69" s="106"/>
    </row>
    <row r="70" spans="1:4">
      <c r="A70" s="951"/>
      <c r="B70" s="104" t="s">
        <v>1201</v>
      </c>
      <c r="C70" s="105" t="s">
        <v>1139</v>
      </c>
      <c r="D70" s="106"/>
    </row>
    <row r="71" spans="1:4">
      <c r="A71" s="951"/>
      <c r="B71" s="104" t="s">
        <v>1202</v>
      </c>
      <c r="C71" s="105" t="s">
        <v>1139</v>
      </c>
      <c r="D71" s="106"/>
    </row>
    <row r="72" spans="1:4">
      <c r="A72" s="951"/>
      <c r="B72" s="104" t="s">
        <v>1203</v>
      </c>
      <c r="C72" s="105" t="s">
        <v>1139</v>
      </c>
      <c r="D72" s="106"/>
    </row>
    <row r="73" spans="1:4">
      <c r="A73" s="951"/>
      <c r="B73" s="104" t="s">
        <v>1204</v>
      </c>
      <c r="C73" s="105" t="s">
        <v>1139</v>
      </c>
      <c r="D73" s="106"/>
    </row>
    <row r="74" spans="1:4">
      <c r="A74" s="951"/>
      <c r="B74" s="104" t="s">
        <v>1205</v>
      </c>
      <c r="C74" s="105" t="s">
        <v>1139</v>
      </c>
      <c r="D74" s="106"/>
    </row>
    <row r="75" spans="1:4">
      <c r="A75" s="951"/>
      <c r="B75" s="104" t="s">
        <v>1072</v>
      </c>
      <c r="C75" s="105" t="s">
        <v>1139</v>
      </c>
      <c r="D75" s="106"/>
    </row>
    <row r="76" spans="1:4">
      <c r="A76" s="951"/>
      <c r="B76" s="120" t="s">
        <v>1206</v>
      </c>
      <c r="C76" s="105" t="s">
        <v>1139</v>
      </c>
      <c r="D76" s="106"/>
    </row>
    <row r="77" spans="1:4">
      <c r="A77" s="951"/>
      <c r="B77" s="120" t="s">
        <v>1074</v>
      </c>
      <c r="C77" s="121"/>
      <c r="D77" s="106" t="s">
        <v>1140</v>
      </c>
    </row>
    <row r="78" spans="1:4" ht="12.5" thickBot="1">
      <c r="A78" s="952"/>
      <c r="B78" s="107" t="s">
        <v>1207</v>
      </c>
      <c r="C78" s="108" t="s">
        <v>1139</v>
      </c>
      <c r="D78" s="109"/>
    </row>
    <row r="79" spans="1:4">
      <c r="A79" s="953" t="s">
        <v>1208</v>
      </c>
      <c r="B79" s="101" t="s">
        <v>1209</v>
      </c>
      <c r="C79" s="102" t="s">
        <v>1139</v>
      </c>
      <c r="D79" s="103"/>
    </row>
    <row r="80" spans="1:4">
      <c r="A80" s="954"/>
      <c r="B80" s="104" t="s">
        <v>1210</v>
      </c>
      <c r="C80" s="105" t="s">
        <v>1139</v>
      </c>
      <c r="D80" s="106"/>
    </row>
    <row r="81" spans="1:4">
      <c r="A81" s="954"/>
      <c r="B81" s="104" t="s">
        <v>1068</v>
      </c>
      <c r="C81" s="105" t="s">
        <v>1139</v>
      </c>
      <c r="D81" s="106"/>
    </row>
    <row r="82" spans="1:4">
      <c r="A82" s="954"/>
      <c r="B82" s="104" t="s">
        <v>1066</v>
      </c>
      <c r="C82" s="105" t="s">
        <v>1139</v>
      </c>
      <c r="D82" s="106"/>
    </row>
    <row r="83" spans="1:4">
      <c r="A83" s="954"/>
      <c r="B83" s="104" t="s">
        <v>1211</v>
      </c>
      <c r="C83" s="105" t="s">
        <v>1139</v>
      </c>
      <c r="D83" s="106"/>
    </row>
    <row r="84" spans="1:4">
      <c r="A84" s="954"/>
      <c r="B84" s="104" t="s">
        <v>1069</v>
      </c>
      <c r="C84" s="105" t="s">
        <v>1139</v>
      </c>
      <c r="D84" s="106"/>
    </row>
    <row r="85" spans="1:4">
      <c r="A85" s="954"/>
      <c r="B85" s="104" t="s">
        <v>1212</v>
      </c>
      <c r="C85" s="105" t="s">
        <v>1139</v>
      </c>
      <c r="D85" s="106"/>
    </row>
    <row r="86" spans="1:4">
      <c r="A86" s="954"/>
      <c r="B86" s="104" t="s">
        <v>1213</v>
      </c>
      <c r="C86" s="105" t="s">
        <v>1139</v>
      </c>
      <c r="D86" s="106"/>
    </row>
    <row r="87" spans="1:4">
      <c r="A87" s="954"/>
      <c r="B87" s="104" t="s">
        <v>1214</v>
      </c>
      <c r="C87" s="105" t="s">
        <v>1139</v>
      </c>
      <c r="D87" s="106"/>
    </row>
    <row r="88" spans="1:4">
      <c r="A88" s="954"/>
      <c r="B88" s="120" t="s">
        <v>1215</v>
      </c>
      <c r="C88" s="105" t="s">
        <v>1139</v>
      </c>
      <c r="D88" s="106"/>
    </row>
    <row r="89" spans="1:4">
      <c r="A89" s="954"/>
      <c r="B89" s="120" t="s">
        <v>1067</v>
      </c>
      <c r="C89" s="105" t="s">
        <v>1139</v>
      </c>
      <c r="D89" s="106"/>
    </row>
    <row r="90" spans="1:4">
      <c r="A90" s="954"/>
      <c r="B90" s="120" t="s">
        <v>1216</v>
      </c>
      <c r="C90" s="118" t="s">
        <v>1193</v>
      </c>
      <c r="D90" s="119"/>
    </row>
    <row r="91" spans="1:4" ht="12.5" thickBot="1">
      <c r="A91" s="955"/>
      <c r="B91" s="122" t="s">
        <v>1217</v>
      </c>
      <c r="C91" s="108" t="s">
        <v>1139</v>
      </c>
      <c r="D91" s="109"/>
    </row>
    <row r="92" spans="1:4">
      <c r="A92" s="953" t="s">
        <v>1218</v>
      </c>
      <c r="B92" s="101" t="s">
        <v>1219</v>
      </c>
      <c r="C92" s="110"/>
      <c r="D92" s="103" t="s">
        <v>1140</v>
      </c>
    </row>
    <row r="93" spans="1:4">
      <c r="A93" s="954"/>
      <c r="B93" s="104" t="s">
        <v>1220</v>
      </c>
      <c r="C93" s="111"/>
      <c r="D93" s="106" t="s">
        <v>1140</v>
      </c>
    </row>
    <row r="94" spans="1:4">
      <c r="A94" s="954"/>
      <c r="B94" s="104" t="s">
        <v>1221</v>
      </c>
      <c r="C94" s="111"/>
      <c r="D94" s="106" t="s">
        <v>1140</v>
      </c>
    </row>
    <row r="95" spans="1:4">
      <c r="A95" s="954"/>
      <c r="B95" s="104" t="s">
        <v>1222</v>
      </c>
      <c r="C95" s="111"/>
      <c r="D95" s="106" t="s">
        <v>1140</v>
      </c>
    </row>
    <row r="96" spans="1:4" ht="12.5" thickBot="1">
      <c r="A96" s="955"/>
      <c r="B96" s="107" t="s">
        <v>1223</v>
      </c>
      <c r="C96" s="117"/>
      <c r="D96" s="109" t="s">
        <v>1140</v>
      </c>
    </row>
    <row r="97" spans="1:4" ht="12.5" thickBot="1">
      <c r="A97" s="123" t="s">
        <v>947</v>
      </c>
      <c r="B97" s="114" t="s">
        <v>1073</v>
      </c>
      <c r="C97" s="115" t="s">
        <v>1139</v>
      </c>
      <c r="D97" s="116" t="s">
        <v>1140</v>
      </c>
    </row>
    <row r="98" spans="1:4">
      <c r="A98" s="953" t="s">
        <v>1224</v>
      </c>
      <c r="B98" s="101" t="s">
        <v>1225</v>
      </c>
      <c r="C98" s="102" t="s">
        <v>1139</v>
      </c>
      <c r="D98" s="103"/>
    </row>
    <row r="99" spans="1:4">
      <c r="A99" s="956"/>
      <c r="B99" s="112" t="s">
        <v>1226</v>
      </c>
      <c r="C99" s="124" t="s">
        <v>1139</v>
      </c>
      <c r="D99" s="125"/>
    </row>
    <row r="100" spans="1:4" ht="12.5" thickBot="1">
      <c r="A100" s="955"/>
      <c r="B100" s="107" t="s">
        <v>1063</v>
      </c>
      <c r="C100" s="108" t="s">
        <v>1139</v>
      </c>
      <c r="D100" s="109"/>
    </row>
    <row r="101" spans="1:4" ht="12.5" thickBot="1">
      <c r="A101" s="123" t="s">
        <v>1227</v>
      </c>
      <c r="B101" s="114" t="s">
        <v>1228</v>
      </c>
      <c r="C101" s="115" t="s">
        <v>1139</v>
      </c>
      <c r="D101" s="116" t="s">
        <v>1140</v>
      </c>
    </row>
    <row r="102" spans="1:4">
      <c r="A102" s="953" t="s">
        <v>1229</v>
      </c>
      <c r="B102" s="126" t="s">
        <v>1064</v>
      </c>
      <c r="C102" s="102" t="s">
        <v>1139</v>
      </c>
      <c r="D102" s="103"/>
    </row>
    <row r="103" spans="1:4">
      <c r="A103" s="954"/>
      <c r="B103" s="120" t="s">
        <v>1230</v>
      </c>
      <c r="C103" s="118" t="s">
        <v>1193</v>
      </c>
      <c r="D103" s="119"/>
    </row>
    <row r="104" spans="1:4" ht="12.5" thickBot="1">
      <c r="A104" s="955"/>
      <c r="B104" s="127" t="s">
        <v>1231</v>
      </c>
      <c r="C104" s="108" t="s">
        <v>1139</v>
      </c>
      <c r="D104" s="109"/>
    </row>
    <row r="105" spans="1:4" ht="12.5" thickBot="1">
      <c r="A105" s="123" t="s">
        <v>1232</v>
      </c>
      <c r="B105" s="114" t="s">
        <v>1233</v>
      </c>
      <c r="C105" s="128" t="s">
        <v>1193</v>
      </c>
      <c r="D105" s="129"/>
    </row>
    <row r="106" spans="1:4" ht="12.5" thickBot="1">
      <c r="A106" s="123" t="s">
        <v>1234</v>
      </c>
      <c r="B106" s="130" t="s">
        <v>1191</v>
      </c>
      <c r="C106" s="128" t="s">
        <v>1193</v>
      </c>
      <c r="D106" s="129"/>
    </row>
    <row r="107" spans="1:4" ht="12.5" thickBot="1">
      <c r="A107" s="131" t="s">
        <v>1235</v>
      </c>
      <c r="B107" s="114" t="s">
        <v>1061</v>
      </c>
      <c r="C107" s="115" t="s">
        <v>1139</v>
      </c>
      <c r="D107" s="116"/>
    </row>
    <row r="108" spans="1:4" ht="12.5" thickBot="1">
      <c r="A108" s="131" t="s">
        <v>881</v>
      </c>
      <c r="B108" s="114" t="s">
        <v>1236</v>
      </c>
      <c r="C108" s="115" t="s">
        <v>1139</v>
      </c>
      <c r="D108" s="116" t="s">
        <v>1140</v>
      </c>
    </row>
    <row r="109" spans="1:4" ht="12.5" thickBot="1">
      <c r="A109" s="131" t="s">
        <v>1237</v>
      </c>
      <c r="B109" s="114" t="s">
        <v>1238</v>
      </c>
      <c r="C109" s="115" t="s">
        <v>1139</v>
      </c>
      <c r="D109" s="116" t="s">
        <v>1140</v>
      </c>
    </row>
    <row r="110" spans="1:4">
      <c r="A110" s="132"/>
      <c r="B110" s="133" t="s">
        <v>1239</v>
      </c>
      <c r="C110" s="134"/>
      <c r="D110" s="135"/>
    </row>
  </sheetData>
  <mergeCells count="12">
    <mergeCell ref="A55:A56"/>
    <mergeCell ref="A57:A58"/>
    <mergeCell ref="A7:B7"/>
    <mergeCell ref="A53:B53"/>
    <mergeCell ref="A8:A14"/>
    <mergeCell ref="A15:A16"/>
    <mergeCell ref="A17:A52"/>
    <mergeCell ref="A59:A78"/>
    <mergeCell ref="A79:A91"/>
    <mergeCell ref="A92:A96"/>
    <mergeCell ref="A98:A100"/>
    <mergeCell ref="A102:A104"/>
  </mergeCells>
  <pageMargins left="0.7" right="0.7" top="0.75" bottom="0.75" header="0.3" footer="0.3"/>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51398-BFF1-48FB-9F32-9E50E7D68D40}">
  <sheetPr codeName="Feuil21">
    <tabColor rgb="FF92D050"/>
  </sheetPr>
  <dimension ref="A3:B9"/>
  <sheetViews>
    <sheetView workbookViewId="0">
      <selection activeCell="C21" sqref="C21"/>
    </sheetView>
  </sheetViews>
  <sheetFormatPr baseColWidth="10" defaultColWidth="11.5" defaultRowHeight="14"/>
  <cols>
    <col min="1" max="1" width="3.75" customWidth="1"/>
    <col min="2" max="2" width="46.25" bestFit="1" customWidth="1"/>
  </cols>
  <sheetData>
    <row r="3" spans="1:2" ht="15.5">
      <c r="A3" s="7" t="s">
        <v>7234</v>
      </c>
      <c r="B3" s="97"/>
    </row>
    <row r="4" spans="1:2" ht="15.5">
      <c r="A4" s="7"/>
      <c r="B4" s="97"/>
    </row>
    <row r="6" spans="1:2" ht="14.5" thickBot="1">
      <c r="A6" s="71" t="s">
        <v>786</v>
      </c>
      <c r="B6" s="71" t="s">
        <v>787</v>
      </c>
    </row>
    <row r="7" spans="1:2" ht="14.5" thickTop="1">
      <c r="A7" s="73">
        <v>1</v>
      </c>
      <c r="B7" s="73" t="s">
        <v>1240</v>
      </c>
    </row>
    <row r="8" spans="1:2">
      <c r="A8" s="72">
        <v>2</v>
      </c>
      <c r="B8" s="72" t="s">
        <v>6938</v>
      </c>
    </row>
    <row r="9" spans="1:2">
      <c r="A9" s="73">
        <v>3</v>
      </c>
      <c r="B9" s="73" t="s">
        <v>6939</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5288C-AC3E-487A-A223-6DA8A9F3D903}">
  <sheetPr codeName="Feuil22">
    <tabColor rgb="FF92D050"/>
  </sheetPr>
  <dimension ref="A3:D55"/>
  <sheetViews>
    <sheetView topLeftCell="A18" workbookViewId="0">
      <selection activeCell="F1" sqref="F1"/>
    </sheetView>
  </sheetViews>
  <sheetFormatPr baseColWidth="10" defaultColWidth="11.4140625" defaultRowHeight="12"/>
  <cols>
    <col min="1" max="1" width="5" style="136" customWidth="1"/>
    <col min="2" max="2" width="58.75" style="136" bestFit="1" customWidth="1"/>
    <col min="3" max="3" width="11.25" style="136" bestFit="1" customWidth="1"/>
    <col min="4" max="4" width="34.5" style="136" bestFit="1" customWidth="1"/>
    <col min="5" max="16384" width="11.4140625" style="136"/>
  </cols>
  <sheetData>
    <row r="3" spans="1:4" ht="15.5">
      <c r="A3" s="7" t="s">
        <v>7236</v>
      </c>
    </row>
    <row r="6" spans="1:4" ht="24.5" thickBot="1">
      <c r="A6" s="71" t="s">
        <v>786</v>
      </c>
      <c r="B6" s="71" t="s">
        <v>787</v>
      </c>
      <c r="C6" s="71" t="s">
        <v>521</v>
      </c>
      <c r="D6" s="1" t="s">
        <v>1241</v>
      </c>
    </row>
    <row r="7" spans="1:4" ht="14" thickTop="1">
      <c r="A7" s="73">
        <v>1</v>
      </c>
      <c r="B7" s="73" t="s">
        <v>952</v>
      </c>
      <c r="C7" s="73" t="s">
        <v>535</v>
      </c>
      <c r="D7" s="11" t="s">
        <v>1242</v>
      </c>
    </row>
    <row r="8" spans="1:4" ht="13.5">
      <c r="A8" s="72">
        <v>2</v>
      </c>
      <c r="B8" s="72" t="s">
        <v>951</v>
      </c>
      <c r="C8" s="72" t="s">
        <v>528</v>
      </c>
      <c r="D8" s="13" t="s">
        <v>1242</v>
      </c>
    </row>
    <row r="9" spans="1:4" ht="13.5">
      <c r="A9" s="73">
        <v>3</v>
      </c>
      <c r="B9" s="73" t="s">
        <v>6940</v>
      </c>
      <c r="C9" s="73" t="s">
        <v>559</v>
      </c>
      <c r="D9" s="11" t="s">
        <v>1242</v>
      </c>
    </row>
    <row r="10" spans="1:4" ht="13.5">
      <c r="A10" s="72">
        <v>4</v>
      </c>
      <c r="B10" s="72" t="s">
        <v>953</v>
      </c>
      <c r="C10" s="72" t="s">
        <v>540</v>
      </c>
      <c r="D10" s="13" t="s">
        <v>1242</v>
      </c>
    </row>
    <row r="11" spans="1:4" ht="13.5">
      <c r="A11" s="73">
        <v>5</v>
      </c>
      <c r="B11" s="73" t="s">
        <v>955</v>
      </c>
      <c r="C11" s="73" t="s">
        <v>554</v>
      </c>
      <c r="D11" s="11" t="s">
        <v>1242</v>
      </c>
    </row>
    <row r="12" spans="1:4" ht="13.5">
      <c r="A12" s="72">
        <v>6</v>
      </c>
      <c r="B12" s="72" t="s">
        <v>954</v>
      </c>
      <c r="C12" s="72" t="s">
        <v>545</v>
      </c>
      <c r="D12" s="13" t="s">
        <v>1242</v>
      </c>
    </row>
    <row r="13" spans="1:4" ht="13.5">
      <c r="A13" s="73">
        <v>7</v>
      </c>
      <c r="B13" s="73" t="s">
        <v>957</v>
      </c>
      <c r="C13" s="73" t="s">
        <v>575</v>
      </c>
      <c r="D13" s="11" t="s">
        <v>1242</v>
      </c>
    </row>
    <row r="14" spans="1:4" ht="13.5">
      <c r="A14" s="72">
        <v>8</v>
      </c>
      <c r="B14" s="72" t="s">
        <v>6941</v>
      </c>
      <c r="C14" s="72" t="s">
        <v>579</v>
      </c>
      <c r="D14" s="13" t="s">
        <v>1242</v>
      </c>
    </row>
    <row r="15" spans="1:4" ht="13.5">
      <c r="A15" s="73">
        <v>9</v>
      </c>
      <c r="B15" s="73" t="s">
        <v>564</v>
      </c>
      <c r="C15" s="73" t="s">
        <v>1243</v>
      </c>
      <c r="D15" s="11" t="s">
        <v>1242</v>
      </c>
    </row>
    <row r="16" spans="1:4" ht="13.5">
      <c r="A16" s="72">
        <v>10</v>
      </c>
      <c r="B16" s="72" t="s">
        <v>968</v>
      </c>
      <c r="C16" s="72" t="s">
        <v>667</v>
      </c>
      <c r="D16" s="13" t="s">
        <v>1242</v>
      </c>
    </row>
    <row r="17" spans="1:4" ht="13.5">
      <c r="A17" s="73">
        <v>11</v>
      </c>
      <c r="B17" s="73" t="s">
        <v>6942</v>
      </c>
      <c r="C17" s="73" t="s">
        <v>1244</v>
      </c>
      <c r="D17" s="11" t="s">
        <v>1242</v>
      </c>
    </row>
    <row r="18" spans="1:4" ht="13.5">
      <c r="A18" s="72">
        <v>12</v>
      </c>
      <c r="B18" s="72" t="s">
        <v>6943</v>
      </c>
      <c r="C18" s="72" t="s">
        <v>652</v>
      </c>
      <c r="D18" s="13" t="s">
        <v>1242</v>
      </c>
    </row>
    <row r="19" spans="1:4" ht="13.5">
      <c r="A19" s="73">
        <v>13</v>
      </c>
      <c r="B19" s="73" t="s">
        <v>961</v>
      </c>
      <c r="C19" s="73" t="s">
        <v>591</v>
      </c>
      <c r="D19" s="11" t="s">
        <v>1242</v>
      </c>
    </row>
    <row r="20" spans="1:4" ht="13.5">
      <c r="A20" s="72">
        <v>14</v>
      </c>
      <c r="B20" s="72" t="s">
        <v>956</v>
      </c>
      <c r="C20" s="72" t="s">
        <v>563</v>
      </c>
      <c r="D20" s="13" t="s">
        <v>1242</v>
      </c>
    </row>
    <row r="21" spans="1:4" ht="13.5">
      <c r="A21" s="73">
        <v>15</v>
      </c>
      <c r="B21" s="73" t="s">
        <v>960</v>
      </c>
      <c r="C21" s="73" t="s">
        <v>583</v>
      </c>
      <c r="D21" s="11" t="s">
        <v>1242</v>
      </c>
    </row>
    <row r="22" spans="1:4" ht="13.5">
      <c r="A22" s="72">
        <v>16</v>
      </c>
      <c r="B22" s="72" t="s">
        <v>6944</v>
      </c>
      <c r="C22" s="72" t="s">
        <v>616</v>
      </c>
      <c r="D22" s="13" t="s">
        <v>1242</v>
      </c>
    </row>
    <row r="23" spans="1:4" ht="13.5">
      <c r="A23" s="73">
        <v>17</v>
      </c>
      <c r="B23" s="73" t="s">
        <v>6945</v>
      </c>
      <c r="C23" s="73" t="s">
        <v>619</v>
      </c>
      <c r="D23" s="11" t="s">
        <v>1242</v>
      </c>
    </row>
    <row r="24" spans="1:4" ht="13.5">
      <c r="A24" s="72">
        <v>18</v>
      </c>
      <c r="B24" s="72" t="s">
        <v>6946</v>
      </c>
      <c r="C24" s="72" t="s">
        <v>609</v>
      </c>
      <c r="D24" s="13" t="s">
        <v>1242</v>
      </c>
    </row>
    <row r="25" spans="1:4" ht="13.5">
      <c r="A25" s="73">
        <v>19</v>
      </c>
      <c r="B25" s="73" t="s">
        <v>6947</v>
      </c>
      <c r="C25" s="73" t="s">
        <v>596</v>
      </c>
      <c r="D25" s="11" t="s">
        <v>1242</v>
      </c>
    </row>
    <row r="26" spans="1:4" ht="13.5">
      <c r="A26" s="72">
        <v>20</v>
      </c>
      <c r="B26" s="72" t="s">
        <v>6948</v>
      </c>
      <c r="C26" s="72" t="s">
        <v>1245</v>
      </c>
      <c r="D26" s="13" t="s">
        <v>1242</v>
      </c>
    </row>
    <row r="27" spans="1:4" ht="13.5">
      <c r="A27" s="73">
        <v>21</v>
      </c>
      <c r="B27" s="73" t="s">
        <v>6949</v>
      </c>
      <c r="C27" s="73" t="s">
        <v>600</v>
      </c>
      <c r="D27" s="11" t="s">
        <v>1242</v>
      </c>
    </row>
    <row r="28" spans="1:4" ht="13.5">
      <c r="A28" s="72">
        <v>22</v>
      </c>
      <c r="B28" s="72" t="s">
        <v>622</v>
      </c>
      <c r="C28" s="72" t="s">
        <v>623</v>
      </c>
      <c r="D28" s="13" t="s">
        <v>1242</v>
      </c>
    </row>
    <row r="29" spans="1:4" ht="13.5">
      <c r="A29" s="73">
        <v>23</v>
      </c>
      <c r="B29" s="73" t="s">
        <v>6950</v>
      </c>
      <c r="C29" s="73" t="s">
        <v>608</v>
      </c>
      <c r="D29" s="11" t="s">
        <v>1242</v>
      </c>
    </row>
    <row r="30" spans="1:4" ht="13.5">
      <c r="A30" s="72">
        <v>24</v>
      </c>
      <c r="B30" s="72" t="s">
        <v>6951</v>
      </c>
      <c r="C30" s="72" t="s">
        <v>663</v>
      </c>
      <c r="D30" s="13" t="s">
        <v>1242</v>
      </c>
    </row>
    <row r="31" spans="1:4" ht="13.5">
      <c r="A31" s="73">
        <v>25</v>
      </c>
      <c r="B31" s="73" t="s">
        <v>6952</v>
      </c>
      <c r="C31" s="73" t="s">
        <v>682</v>
      </c>
      <c r="D31" s="11" t="s">
        <v>1242</v>
      </c>
    </row>
    <row r="32" spans="1:4" ht="13.5">
      <c r="A32" s="72">
        <v>26</v>
      </c>
      <c r="B32" s="72" t="s">
        <v>99</v>
      </c>
      <c r="C32" s="72" t="s">
        <v>637</v>
      </c>
      <c r="D32" s="13" t="s">
        <v>1242</v>
      </c>
    </row>
    <row r="33" spans="1:4" ht="13.5">
      <c r="A33" s="73">
        <v>27</v>
      </c>
      <c r="B33" s="73" t="s">
        <v>969</v>
      </c>
      <c r="C33" s="73" t="s">
        <v>642</v>
      </c>
      <c r="D33" s="11" t="s">
        <v>1242</v>
      </c>
    </row>
    <row r="34" spans="1:4" ht="13.5">
      <c r="A34" s="72">
        <v>28</v>
      </c>
      <c r="B34" s="72" t="s">
        <v>6953</v>
      </c>
      <c r="C34" s="72" t="s">
        <v>631</v>
      </c>
      <c r="D34" s="13" t="s">
        <v>1242</v>
      </c>
    </row>
    <row r="35" spans="1:4" ht="13.5">
      <c r="A35" s="73">
        <v>29</v>
      </c>
      <c r="B35" s="73" t="s">
        <v>2773</v>
      </c>
      <c r="C35" s="73" t="s">
        <v>1252</v>
      </c>
      <c r="D35" s="11" t="s">
        <v>1242</v>
      </c>
    </row>
    <row r="36" spans="1:4" ht="13.5">
      <c r="A36" s="72">
        <v>30</v>
      </c>
      <c r="B36" s="72" t="s">
        <v>102</v>
      </c>
      <c r="C36" s="72" t="s">
        <v>1246</v>
      </c>
      <c r="D36" s="13" t="s">
        <v>1242</v>
      </c>
    </row>
    <row r="37" spans="1:4" ht="13.5">
      <c r="A37" s="73">
        <v>31</v>
      </c>
      <c r="B37" s="73" t="s">
        <v>6954</v>
      </c>
      <c r="C37" s="73" t="s">
        <v>627</v>
      </c>
      <c r="D37" s="11" t="s">
        <v>1242</v>
      </c>
    </row>
    <row r="38" spans="1:4" ht="13.5">
      <c r="A38" s="72">
        <v>32</v>
      </c>
      <c r="B38" s="72" t="s">
        <v>6955</v>
      </c>
      <c r="C38" s="72" t="s">
        <v>1249</v>
      </c>
      <c r="D38" s="13" t="s">
        <v>1242</v>
      </c>
    </row>
    <row r="39" spans="1:4" ht="13.5">
      <c r="A39" s="73">
        <v>33</v>
      </c>
      <c r="B39" s="73" t="s">
        <v>972</v>
      </c>
      <c r="C39" s="73" t="s">
        <v>674</v>
      </c>
      <c r="D39" s="11" t="s">
        <v>1242</v>
      </c>
    </row>
    <row r="40" spans="1:4" ht="13.5">
      <c r="A40" s="72">
        <v>34</v>
      </c>
      <c r="B40" s="72" t="s">
        <v>6956</v>
      </c>
      <c r="C40" s="72" t="s">
        <v>1253</v>
      </c>
      <c r="D40" s="13" t="s">
        <v>1242</v>
      </c>
    </row>
    <row r="41" spans="1:4" ht="13.5">
      <c r="A41" s="73">
        <v>35</v>
      </c>
      <c r="B41" s="73" t="s">
        <v>462</v>
      </c>
      <c r="C41" s="73" t="s">
        <v>685</v>
      </c>
      <c r="D41" s="11" t="s">
        <v>1242</v>
      </c>
    </row>
    <row r="42" spans="1:4" ht="13.5">
      <c r="A42" s="72">
        <v>36</v>
      </c>
      <c r="B42" s="72" t="s">
        <v>970</v>
      </c>
      <c r="C42" s="72" t="s">
        <v>660</v>
      </c>
      <c r="D42" s="13" t="s">
        <v>1242</v>
      </c>
    </row>
    <row r="43" spans="1:4" ht="13.5">
      <c r="A43" s="73">
        <v>37</v>
      </c>
      <c r="B43" s="73" t="s">
        <v>802</v>
      </c>
      <c r="C43" s="73" t="s">
        <v>647</v>
      </c>
      <c r="D43" s="11" t="s">
        <v>1242</v>
      </c>
    </row>
    <row r="44" spans="1:4" ht="13.5">
      <c r="A44" s="72">
        <v>38</v>
      </c>
      <c r="B44" s="72" t="s">
        <v>6957</v>
      </c>
      <c r="C44" s="72" t="s">
        <v>1250</v>
      </c>
      <c r="D44" s="13" t="s">
        <v>1242</v>
      </c>
    </row>
    <row r="45" spans="1:4" ht="13.5">
      <c r="A45" s="73">
        <v>39</v>
      </c>
      <c r="B45" s="73" t="s">
        <v>975</v>
      </c>
      <c r="C45" s="73" t="s">
        <v>6958</v>
      </c>
      <c r="D45" s="11" t="s">
        <v>1242</v>
      </c>
    </row>
    <row r="46" spans="1:4" ht="13.5">
      <c r="A46" s="72">
        <v>40</v>
      </c>
      <c r="B46" s="72" t="s">
        <v>6959</v>
      </c>
      <c r="C46" s="72" t="s">
        <v>677</v>
      </c>
      <c r="D46" s="13" t="s">
        <v>1242</v>
      </c>
    </row>
    <row r="47" spans="1:4" ht="13.5">
      <c r="A47" s="73">
        <v>41</v>
      </c>
      <c r="B47" s="73" t="s">
        <v>140</v>
      </c>
      <c r="C47" s="73" t="s">
        <v>698</v>
      </c>
      <c r="D47" s="11" t="s">
        <v>1242</v>
      </c>
    </row>
    <row r="48" spans="1:4" ht="13.5">
      <c r="A48" s="72">
        <v>42</v>
      </c>
      <c r="B48" s="72" t="s">
        <v>6960</v>
      </c>
      <c r="C48" s="72" t="s">
        <v>571</v>
      </c>
      <c r="D48" s="13" t="s">
        <v>1281</v>
      </c>
    </row>
    <row r="49" spans="1:4" ht="13.5">
      <c r="A49" s="73">
        <v>43</v>
      </c>
      <c r="B49" s="73" t="s">
        <v>6961</v>
      </c>
      <c r="C49" s="73" t="s">
        <v>693</v>
      </c>
      <c r="D49" s="11" t="s">
        <v>1281</v>
      </c>
    </row>
    <row r="50" spans="1:4" ht="13.5">
      <c r="A50" s="72">
        <v>44</v>
      </c>
      <c r="B50" s="72" t="s">
        <v>6962</v>
      </c>
      <c r="C50" s="72" t="s">
        <v>710</v>
      </c>
      <c r="D50" s="13" t="s">
        <v>1281</v>
      </c>
    </row>
    <row r="51" spans="1:4" ht="13.5">
      <c r="A51" s="73">
        <v>45</v>
      </c>
      <c r="B51" s="73" t="s">
        <v>6963</v>
      </c>
      <c r="C51" s="73" t="s">
        <v>715</v>
      </c>
      <c r="D51" s="11" t="s">
        <v>1281</v>
      </c>
    </row>
    <row r="52" spans="1:4" ht="13.5">
      <c r="A52" s="72">
        <v>46</v>
      </c>
      <c r="B52" s="72" t="s">
        <v>6964</v>
      </c>
      <c r="C52" s="72" t="s">
        <v>790</v>
      </c>
      <c r="D52" s="13" t="s">
        <v>1281</v>
      </c>
    </row>
    <row r="53" spans="1:4" ht="13.5">
      <c r="A53" s="73">
        <v>47</v>
      </c>
      <c r="B53" s="73" t="s">
        <v>6965</v>
      </c>
      <c r="C53" s="73" t="s">
        <v>733</v>
      </c>
      <c r="D53" s="11" t="s">
        <v>1281</v>
      </c>
    </row>
    <row r="54" spans="1:4" ht="13.5">
      <c r="A54" s="72">
        <v>48</v>
      </c>
      <c r="B54" s="72" t="s">
        <v>6966</v>
      </c>
      <c r="C54" s="72" t="s">
        <v>728</v>
      </c>
      <c r="D54" s="13" t="s">
        <v>1281</v>
      </c>
    </row>
    <row r="55" spans="1:4" ht="13.5">
      <c r="A55" s="73">
        <v>49</v>
      </c>
      <c r="B55" s="73" t="s">
        <v>6967</v>
      </c>
      <c r="C55" s="73" t="s">
        <v>729</v>
      </c>
      <c r="D55" s="11" t="s">
        <v>1281</v>
      </c>
    </row>
  </sheetData>
  <autoFilter ref="A6:D55" xr:uid="{A450CA85-57DF-440D-991D-5606BCDBF7BE}"/>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49786-847A-40DC-BEC4-6FFB5D4D506B}">
  <sheetPr codeName="Feuil23">
    <tabColor rgb="FF92D050"/>
  </sheetPr>
  <dimension ref="A3:C447"/>
  <sheetViews>
    <sheetView showGridLines="0" topLeftCell="A408" zoomScale="80" zoomScaleNormal="80" workbookViewId="0">
      <selection activeCell="B447" sqref="B447"/>
    </sheetView>
  </sheetViews>
  <sheetFormatPr baseColWidth="10" defaultColWidth="11.4140625" defaultRowHeight="12"/>
  <cols>
    <col min="1" max="1" width="6" style="136" bestFit="1" customWidth="1"/>
    <col min="2" max="2" width="58.75" style="136" bestFit="1" customWidth="1"/>
    <col min="3" max="3" width="9.5" style="136" bestFit="1" customWidth="1"/>
    <col min="4" max="16384" width="11.4140625" style="136"/>
  </cols>
  <sheetData>
    <row r="3" spans="1:3" ht="15.5">
      <c r="A3" s="7" t="s">
        <v>7235</v>
      </c>
    </row>
    <row r="4" spans="1:3" ht="15.5">
      <c r="A4" s="7"/>
    </row>
    <row r="6" spans="1:3" ht="12.5" thickBot="1">
      <c r="A6" s="71" t="s">
        <v>786</v>
      </c>
      <c r="B6" s="71" t="s">
        <v>787</v>
      </c>
      <c r="C6" s="71" t="s">
        <v>521</v>
      </c>
    </row>
    <row r="7" spans="1:3" ht="14" thickTop="1">
      <c r="A7" s="73">
        <v>1</v>
      </c>
      <c r="B7" s="73" t="s">
        <v>967</v>
      </c>
      <c r="C7" s="73" t="s">
        <v>641</v>
      </c>
    </row>
    <row r="8" spans="1:3" ht="13.5">
      <c r="A8" s="72">
        <v>2</v>
      </c>
      <c r="B8" s="72" t="s">
        <v>1254</v>
      </c>
      <c r="C8" s="72"/>
    </row>
    <row r="9" spans="1:3" ht="13.5">
      <c r="A9" s="73">
        <v>3</v>
      </c>
      <c r="B9" s="73" t="s">
        <v>6968</v>
      </c>
      <c r="C9" s="73" t="s">
        <v>684</v>
      </c>
    </row>
    <row r="10" spans="1:3" ht="13.5">
      <c r="A10" s="72">
        <v>4</v>
      </c>
      <c r="B10" s="72" t="s">
        <v>1251</v>
      </c>
      <c r="C10" s="72" t="s">
        <v>688</v>
      </c>
    </row>
    <row r="11" spans="1:3" ht="13.5">
      <c r="A11" s="73">
        <v>5</v>
      </c>
      <c r="B11" s="73" t="s">
        <v>6969</v>
      </c>
      <c r="C11" s="73" t="s">
        <v>473</v>
      </c>
    </row>
    <row r="12" spans="1:3" ht="13.5">
      <c r="A12" s="72">
        <v>6</v>
      </c>
      <c r="B12" s="72" t="s">
        <v>6970</v>
      </c>
      <c r="C12" s="72" t="s">
        <v>691</v>
      </c>
    </row>
    <row r="13" spans="1:3" ht="13.5">
      <c r="A13" s="73">
        <v>7</v>
      </c>
      <c r="B13" s="73" t="s">
        <v>6971</v>
      </c>
      <c r="C13" s="73" t="s">
        <v>705</v>
      </c>
    </row>
    <row r="14" spans="1:3" ht="13.5">
      <c r="A14" s="72">
        <v>8</v>
      </c>
      <c r="B14" s="72" t="s">
        <v>701</v>
      </c>
      <c r="C14" s="72" t="s">
        <v>702</v>
      </c>
    </row>
    <row r="15" spans="1:3" ht="13.5">
      <c r="A15" s="73">
        <v>9</v>
      </c>
      <c r="B15" s="73" t="s">
        <v>6972</v>
      </c>
      <c r="C15" s="73" t="s">
        <v>735</v>
      </c>
    </row>
    <row r="16" spans="1:3" ht="13.5">
      <c r="A16" s="72">
        <v>10</v>
      </c>
      <c r="B16" s="72" t="s">
        <v>6973</v>
      </c>
      <c r="C16" s="72" t="s">
        <v>696</v>
      </c>
    </row>
    <row r="17" spans="1:3" ht="13.5">
      <c r="A17" s="73">
        <v>11</v>
      </c>
      <c r="B17" s="73" t="s">
        <v>978</v>
      </c>
      <c r="C17" s="73" t="s">
        <v>1257</v>
      </c>
    </row>
    <row r="18" spans="1:3" ht="13.5">
      <c r="A18" s="72">
        <v>12</v>
      </c>
      <c r="B18" s="72" t="s">
        <v>6974</v>
      </c>
      <c r="C18" s="72" t="s">
        <v>703</v>
      </c>
    </row>
    <row r="19" spans="1:3" ht="13.5">
      <c r="A19" s="73">
        <v>13</v>
      </c>
      <c r="B19" s="73" t="s">
        <v>5745</v>
      </c>
      <c r="C19" s="73"/>
    </row>
    <row r="20" spans="1:3" ht="13.5">
      <c r="A20" s="72">
        <v>14</v>
      </c>
      <c r="B20" s="72" t="s">
        <v>6975</v>
      </c>
      <c r="C20" s="72" t="s">
        <v>6976</v>
      </c>
    </row>
    <row r="21" spans="1:3" ht="13.5">
      <c r="A21" s="73">
        <v>15</v>
      </c>
      <c r="B21" s="73" t="s">
        <v>75</v>
      </c>
      <c r="C21" s="73" t="s">
        <v>719</v>
      </c>
    </row>
    <row r="22" spans="1:3" ht="13.5">
      <c r="A22" s="72">
        <v>16</v>
      </c>
      <c r="B22" s="72" t="s">
        <v>138</v>
      </c>
      <c r="C22" s="72" t="s">
        <v>706</v>
      </c>
    </row>
    <row r="23" spans="1:3" ht="13.5">
      <c r="A23" s="73">
        <v>17</v>
      </c>
      <c r="B23" s="73" t="s">
        <v>6977</v>
      </c>
      <c r="C23" s="73" t="s">
        <v>6978</v>
      </c>
    </row>
    <row r="24" spans="1:3" ht="13.5">
      <c r="A24" s="72">
        <v>18</v>
      </c>
      <c r="B24" s="72" t="s">
        <v>990</v>
      </c>
      <c r="C24" s="72" t="s">
        <v>1256</v>
      </c>
    </row>
    <row r="25" spans="1:3" ht="13.5">
      <c r="A25" s="73">
        <v>19</v>
      </c>
      <c r="B25" s="73" t="s">
        <v>6979</v>
      </c>
      <c r="C25" s="73" t="s">
        <v>697</v>
      </c>
    </row>
    <row r="26" spans="1:3" ht="13.5">
      <c r="A26" s="72">
        <v>20</v>
      </c>
      <c r="B26" s="72" t="s">
        <v>6980</v>
      </c>
      <c r="C26" s="72" t="s">
        <v>712</v>
      </c>
    </row>
    <row r="27" spans="1:3" ht="13.5">
      <c r="A27" s="73">
        <v>21</v>
      </c>
      <c r="B27" s="73" t="s">
        <v>6981</v>
      </c>
      <c r="C27" s="73" t="s">
        <v>707</v>
      </c>
    </row>
    <row r="28" spans="1:3" ht="13.5">
      <c r="A28" s="72">
        <v>22</v>
      </c>
      <c r="B28" s="72" t="s">
        <v>6982</v>
      </c>
      <c r="C28" s="72" t="s">
        <v>6983</v>
      </c>
    </row>
    <row r="29" spans="1:3" ht="13.5">
      <c r="A29" s="73">
        <v>23</v>
      </c>
      <c r="B29" s="73" t="s">
        <v>6984</v>
      </c>
      <c r="C29" s="73" t="s">
        <v>721</v>
      </c>
    </row>
    <row r="30" spans="1:3" ht="13.5">
      <c r="A30" s="72">
        <v>24</v>
      </c>
      <c r="B30" s="72" t="s">
        <v>6985</v>
      </c>
      <c r="C30" s="72" t="s">
        <v>1255</v>
      </c>
    </row>
    <row r="31" spans="1:3" ht="13.5">
      <c r="A31" s="73">
        <v>25</v>
      </c>
      <c r="B31" s="73" t="s">
        <v>1895</v>
      </c>
      <c r="C31" s="73" t="s">
        <v>6986</v>
      </c>
    </row>
    <row r="32" spans="1:3" ht="13.5">
      <c r="A32" s="72">
        <v>26</v>
      </c>
      <c r="B32" s="72" t="s">
        <v>73</v>
      </c>
      <c r="C32" s="72" t="s">
        <v>1319</v>
      </c>
    </row>
    <row r="33" spans="1:3" ht="13.5">
      <c r="A33" s="73">
        <v>27</v>
      </c>
      <c r="B33" s="73" t="s">
        <v>6987</v>
      </c>
      <c r="C33" s="73" t="s">
        <v>713</v>
      </c>
    </row>
    <row r="34" spans="1:3" ht="13.5">
      <c r="A34" s="72">
        <v>28</v>
      </c>
      <c r="B34" s="72" t="s">
        <v>985</v>
      </c>
      <c r="C34" s="72" t="s">
        <v>1259</v>
      </c>
    </row>
    <row r="35" spans="1:3" ht="13.5">
      <c r="A35" s="73">
        <v>29</v>
      </c>
      <c r="B35" s="73" t="s">
        <v>6988</v>
      </c>
      <c r="C35" s="73" t="s">
        <v>1260</v>
      </c>
    </row>
    <row r="36" spans="1:3" ht="13.5">
      <c r="A36" s="72">
        <v>30</v>
      </c>
      <c r="B36" s="72" t="s">
        <v>984</v>
      </c>
      <c r="C36" s="72" t="s">
        <v>6989</v>
      </c>
    </row>
    <row r="37" spans="1:3" ht="13.5">
      <c r="A37" s="73">
        <v>31</v>
      </c>
      <c r="B37" s="73" t="s">
        <v>983</v>
      </c>
      <c r="C37" s="73" t="s">
        <v>1285</v>
      </c>
    </row>
    <row r="38" spans="1:3" ht="13.5">
      <c r="A38" s="72">
        <v>32</v>
      </c>
      <c r="B38" s="72" t="s">
        <v>231</v>
      </c>
      <c r="C38" s="72" t="s">
        <v>1355</v>
      </c>
    </row>
    <row r="39" spans="1:3" ht="13.5">
      <c r="A39" s="73">
        <v>33</v>
      </c>
      <c r="B39" s="73" t="s">
        <v>6990</v>
      </c>
      <c r="C39" s="73" t="s">
        <v>1261</v>
      </c>
    </row>
    <row r="40" spans="1:3" ht="13.5">
      <c r="A40" s="72">
        <v>34</v>
      </c>
      <c r="B40" s="72" t="s">
        <v>6991</v>
      </c>
      <c r="C40" s="72" t="s">
        <v>2246</v>
      </c>
    </row>
    <row r="41" spans="1:3" ht="13.5">
      <c r="A41" s="73">
        <v>35</v>
      </c>
      <c r="B41" s="73" t="s">
        <v>6992</v>
      </c>
      <c r="C41" s="73" t="s">
        <v>6993</v>
      </c>
    </row>
    <row r="42" spans="1:3" ht="13.5">
      <c r="A42" s="72">
        <v>36</v>
      </c>
      <c r="B42" s="72" t="s">
        <v>453</v>
      </c>
      <c r="C42" s="72" t="s">
        <v>718</v>
      </c>
    </row>
    <row r="43" spans="1:3" ht="13.5">
      <c r="A43" s="73">
        <v>37</v>
      </c>
      <c r="B43" s="73" t="s">
        <v>6994</v>
      </c>
      <c r="C43" s="73"/>
    </row>
    <row r="44" spans="1:3" ht="13.5">
      <c r="A44" s="72">
        <v>38</v>
      </c>
      <c r="B44" s="72" t="s">
        <v>6995</v>
      </c>
      <c r="C44" s="72"/>
    </row>
    <row r="45" spans="1:3" ht="13.5">
      <c r="A45" s="73">
        <v>39</v>
      </c>
      <c r="B45" s="73" t="s">
        <v>25</v>
      </c>
      <c r="C45" s="73" t="s">
        <v>711</v>
      </c>
    </row>
    <row r="46" spans="1:3" ht="13.5">
      <c r="A46" s="72">
        <v>40</v>
      </c>
      <c r="B46" s="72" t="s">
        <v>62</v>
      </c>
      <c r="C46" s="72" t="s">
        <v>1267</v>
      </c>
    </row>
    <row r="47" spans="1:3" ht="13.5">
      <c r="A47" s="73">
        <v>41</v>
      </c>
      <c r="B47" s="73" t="s">
        <v>55</v>
      </c>
      <c r="C47" s="73"/>
    </row>
    <row r="48" spans="1:3" ht="13.5">
      <c r="A48" s="72">
        <v>42</v>
      </c>
      <c r="B48" s="72" t="s">
        <v>446</v>
      </c>
      <c r="C48" s="72"/>
    </row>
    <row r="49" spans="1:3" ht="13.5">
      <c r="A49" s="73">
        <v>43</v>
      </c>
      <c r="B49" s="73" t="s">
        <v>6996</v>
      </c>
      <c r="C49" s="73" t="s">
        <v>6997</v>
      </c>
    </row>
    <row r="50" spans="1:3" ht="13.5">
      <c r="A50" s="72">
        <v>44</v>
      </c>
      <c r="B50" s="72" t="s">
        <v>6998</v>
      </c>
      <c r="C50" s="72" t="s">
        <v>708</v>
      </c>
    </row>
    <row r="51" spans="1:3" ht="13.5">
      <c r="A51" s="73">
        <v>45</v>
      </c>
      <c r="B51" s="73" t="s">
        <v>6999</v>
      </c>
      <c r="C51" s="73" t="s">
        <v>727</v>
      </c>
    </row>
    <row r="52" spans="1:3" ht="13.5">
      <c r="A52" s="72">
        <v>46</v>
      </c>
      <c r="B52" s="72" t="s">
        <v>449</v>
      </c>
      <c r="C52" s="72" t="s">
        <v>1295</v>
      </c>
    </row>
    <row r="53" spans="1:3" ht="13.5">
      <c r="A53" s="73">
        <v>47</v>
      </c>
      <c r="B53" s="73" t="s">
        <v>7000</v>
      </c>
      <c r="C53" s="73"/>
    </row>
    <row r="54" spans="1:3" ht="13.5">
      <c r="A54" s="72">
        <v>48</v>
      </c>
      <c r="B54" s="72" t="s">
        <v>269</v>
      </c>
      <c r="C54" s="72" t="s">
        <v>720</v>
      </c>
    </row>
    <row r="55" spans="1:3" ht="13.5">
      <c r="A55" s="73">
        <v>49</v>
      </c>
      <c r="B55" s="73" t="s">
        <v>5735</v>
      </c>
      <c r="C55" s="73" t="s">
        <v>1309</v>
      </c>
    </row>
    <row r="56" spans="1:3" ht="13.5">
      <c r="A56" s="72">
        <v>50</v>
      </c>
      <c r="B56" s="72" t="s">
        <v>7001</v>
      </c>
      <c r="C56" s="72" t="s">
        <v>723</v>
      </c>
    </row>
    <row r="57" spans="1:3" ht="13.5">
      <c r="A57" s="73">
        <v>51</v>
      </c>
      <c r="B57" s="73" t="s">
        <v>88</v>
      </c>
      <c r="C57" s="73" t="s">
        <v>1290</v>
      </c>
    </row>
    <row r="58" spans="1:3" ht="13.5">
      <c r="A58" s="72">
        <v>52</v>
      </c>
      <c r="B58" s="72" t="s">
        <v>988</v>
      </c>
      <c r="C58" s="72" t="s">
        <v>1275</v>
      </c>
    </row>
    <row r="59" spans="1:3" ht="13.5">
      <c r="A59" s="73">
        <v>53</v>
      </c>
      <c r="B59" s="73" t="s">
        <v>7002</v>
      </c>
      <c r="C59" s="73" t="s">
        <v>1277</v>
      </c>
    </row>
    <row r="60" spans="1:3" ht="13.5">
      <c r="A60" s="72">
        <v>54</v>
      </c>
      <c r="B60" s="72" t="s">
        <v>149</v>
      </c>
      <c r="C60" s="72"/>
    </row>
    <row r="61" spans="1:3" ht="13.5">
      <c r="A61" s="73">
        <v>55</v>
      </c>
      <c r="B61" s="73" t="s">
        <v>7003</v>
      </c>
      <c r="C61" s="73"/>
    </row>
    <row r="62" spans="1:3" ht="13.5">
      <c r="A62" s="72">
        <v>56</v>
      </c>
      <c r="B62" s="72" t="s">
        <v>7004</v>
      </c>
      <c r="C62" s="72" t="s">
        <v>1269</v>
      </c>
    </row>
    <row r="63" spans="1:3" ht="13.5">
      <c r="A63" s="73">
        <v>57</v>
      </c>
      <c r="B63" s="73" t="s">
        <v>79</v>
      </c>
      <c r="C63" s="73" t="s">
        <v>1258</v>
      </c>
    </row>
    <row r="64" spans="1:3" ht="13.5">
      <c r="A64" s="72">
        <v>58</v>
      </c>
      <c r="B64" s="72" t="s">
        <v>7005</v>
      </c>
      <c r="C64" s="72"/>
    </row>
    <row r="65" spans="1:3" ht="13.5">
      <c r="A65" s="73">
        <v>59</v>
      </c>
      <c r="B65" s="73" t="s">
        <v>7006</v>
      </c>
      <c r="C65" s="73" t="s">
        <v>1263</v>
      </c>
    </row>
    <row r="66" spans="1:3" ht="13.5">
      <c r="A66" s="72">
        <v>60</v>
      </c>
      <c r="B66" s="72" t="s">
        <v>7007</v>
      </c>
      <c r="C66" s="72" t="s">
        <v>1278</v>
      </c>
    </row>
    <row r="67" spans="1:3" ht="13.5">
      <c r="A67" s="73">
        <v>61</v>
      </c>
      <c r="B67" s="73" t="s">
        <v>7008</v>
      </c>
      <c r="C67" s="73" t="s">
        <v>1286</v>
      </c>
    </row>
    <row r="68" spans="1:3" ht="13.5">
      <c r="A68" s="72">
        <v>62</v>
      </c>
      <c r="B68" s="72" t="s">
        <v>5685</v>
      </c>
      <c r="C68" s="72"/>
    </row>
    <row r="69" spans="1:3" ht="13.5">
      <c r="A69" s="73">
        <v>63</v>
      </c>
      <c r="B69" s="73" t="s">
        <v>5706</v>
      </c>
      <c r="C69" s="73"/>
    </row>
    <row r="70" spans="1:3" ht="13.5">
      <c r="A70" s="72">
        <v>64</v>
      </c>
      <c r="B70" s="72" t="s">
        <v>7009</v>
      </c>
      <c r="C70" s="72"/>
    </row>
    <row r="71" spans="1:3" ht="13.5">
      <c r="A71" s="73">
        <v>65</v>
      </c>
      <c r="B71" s="73" t="s">
        <v>7010</v>
      </c>
      <c r="C71" s="73"/>
    </row>
    <row r="72" spans="1:3" ht="13.5">
      <c r="A72" s="72">
        <v>66</v>
      </c>
      <c r="B72" s="72" t="s">
        <v>1008</v>
      </c>
      <c r="C72" s="72" t="s">
        <v>1303</v>
      </c>
    </row>
    <row r="73" spans="1:3" ht="13.5">
      <c r="A73" s="73">
        <v>67</v>
      </c>
      <c r="B73" s="73" t="s">
        <v>7011</v>
      </c>
      <c r="C73" s="73"/>
    </row>
    <row r="74" spans="1:3" ht="13.5">
      <c r="A74" s="72">
        <v>68</v>
      </c>
      <c r="B74" s="72" t="s">
        <v>392</v>
      </c>
      <c r="C74" s="72" t="s">
        <v>1335</v>
      </c>
    </row>
    <row r="75" spans="1:3" ht="13.5">
      <c r="A75" s="73">
        <v>69</v>
      </c>
      <c r="B75" s="73" t="s">
        <v>7012</v>
      </c>
      <c r="C75" s="73" t="s">
        <v>1280</v>
      </c>
    </row>
    <row r="76" spans="1:3" ht="13.5">
      <c r="A76" s="72">
        <v>70</v>
      </c>
      <c r="B76" s="72" t="s">
        <v>7013</v>
      </c>
      <c r="C76" s="72" t="s">
        <v>1304</v>
      </c>
    </row>
    <row r="77" spans="1:3" ht="13.5">
      <c r="A77" s="73">
        <v>71</v>
      </c>
      <c r="B77" s="73" t="s">
        <v>7014</v>
      </c>
      <c r="C77" s="73" t="s">
        <v>1300</v>
      </c>
    </row>
    <row r="78" spans="1:3" ht="13.5">
      <c r="A78" s="72">
        <v>72</v>
      </c>
      <c r="B78" s="72" t="s">
        <v>5741</v>
      </c>
      <c r="C78" s="72"/>
    </row>
    <row r="79" spans="1:3" ht="13.5">
      <c r="A79" s="73">
        <v>73</v>
      </c>
      <c r="B79" s="73" t="s">
        <v>5709</v>
      </c>
      <c r="C79" s="73"/>
    </row>
    <row r="80" spans="1:3" ht="13.5">
      <c r="A80" s="72">
        <v>74</v>
      </c>
      <c r="B80" s="72" t="s">
        <v>111</v>
      </c>
      <c r="C80" s="72" t="s">
        <v>2589</v>
      </c>
    </row>
    <row r="81" spans="1:3" ht="13.5">
      <c r="A81" s="73">
        <v>75</v>
      </c>
      <c r="B81" s="73" t="s">
        <v>404</v>
      </c>
      <c r="C81" s="73" t="s">
        <v>1334</v>
      </c>
    </row>
    <row r="82" spans="1:3" ht="13.5">
      <c r="A82" s="72">
        <v>76</v>
      </c>
      <c r="B82" s="72" t="s">
        <v>1273</v>
      </c>
      <c r="C82" s="72" t="s">
        <v>1274</v>
      </c>
    </row>
    <row r="83" spans="1:3" ht="13.5">
      <c r="A83" s="73">
        <v>77</v>
      </c>
      <c r="B83" s="73" t="s">
        <v>240</v>
      </c>
      <c r="C83" s="73" t="s">
        <v>1284</v>
      </c>
    </row>
    <row r="84" spans="1:3" ht="13.5">
      <c r="A84" s="72">
        <v>78</v>
      </c>
      <c r="B84" s="72" t="s">
        <v>137</v>
      </c>
      <c r="C84" s="72"/>
    </row>
    <row r="85" spans="1:3" ht="13.5">
      <c r="A85" s="73">
        <v>79</v>
      </c>
      <c r="B85" s="73" t="s">
        <v>91</v>
      </c>
      <c r="C85" s="73" t="s">
        <v>1289</v>
      </c>
    </row>
    <row r="86" spans="1:3" ht="13.5">
      <c r="A86" s="72">
        <v>80</v>
      </c>
      <c r="B86" s="72" t="s">
        <v>7015</v>
      </c>
      <c r="C86" s="72" t="s">
        <v>1306</v>
      </c>
    </row>
    <row r="87" spans="1:3" ht="13.5">
      <c r="A87" s="73">
        <v>81</v>
      </c>
      <c r="B87" s="73" t="s">
        <v>327</v>
      </c>
      <c r="C87" s="73" t="s">
        <v>1264</v>
      </c>
    </row>
    <row r="88" spans="1:3" ht="13.5">
      <c r="A88" s="72">
        <v>82</v>
      </c>
      <c r="B88" s="72" t="s">
        <v>1004</v>
      </c>
      <c r="C88" s="72" t="s">
        <v>1315</v>
      </c>
    </row>
    <row r="89" spans="1:3" ht="13.5">
      <c r="A89" s="73">
        <v>83</v>
      </c>
      <c r="B89" s="73" t="s">
        <v>7016</v>
      </c>
      <c r="C89" s="73"/>
    </row>
    <row r="90" spans="1:3" ht="13.5">
      <c r="A90" s="72">
        <v>84</v>
      </c>
      <c r="B90" s="72" t="s">
        <v>994</v>
      </c>
      <c r="C90" s="72" t="s">
        <v>1292</v>
      </c>
    </row>
    <row r="91" spans="1:3" ht="13.5">
      <c r="A91" s="73">
        <v>85</v>
      </c>
      <c r="B91" s="73" t="s">
        <v>7017</v>
      </c>
      <c r="C91" s="73" t="s">
        <v>1272</v>
      </c>
    </row>
    <row r="92" spans="1:3" ht="13.5">
      <c r="A92" s="72">
        <v>86</v>
      </c>
      <c r="B92" s="72" t="s">
        <v>7018</v>
      </c>
      <c r="C92" s="72" t="s">
        <v>7019</v>
      </c>
    </row>
    <row r="93" spans="1:3" ht="13.5">
      <c r="A93" s="73">
        <v>87</v>
      </c>
      <c r="B93" s="73" t="s">
        <v>1265</v>
      </c>
      <c r="C93" s="73" t="s">
        <v>1266</v>
      </c>
    </row>
    <row r="94" spans="1:3" ht="13.5">
      <c r="A94" s="72">
        <v>88</v>
      </c>
      <c r="B94" s="72" t="s">
        <v>993</v>
      </c>
      <c r="C94" s="72" t="s">
        <v>7020</v>
      </c>
    </row>
    <row r="95" spans="1:3" ht="13.5">
      <c r="A95" s="73">
        <v>89</v>
      </c>
      <c r="B95" s="73" t="s">
        <v>7021</v>
      </c>
      <c r="C95" s="73"/>
    </row>
    <row r="96" spans="1:3" ht="13.5">
      <c r="A96" s="72">
        <v>90</v>
      </c>
      <c r="B96" s="72" t="s">
        <v>165</v>
      </c>
      <c r="C96" s="72" t="s">
        <v>1291</v>
      </c>
    </row>
    <row r="97" spans="1:3" ht="13.5">
      <c r="A97" s="73">
        <v>91</v>
      </c>
      <c r="B97" s="73" t="s">
        <v>7022</v>
      </c>
      <c r="C97" s="73"/>
    </row>
    <row r="98" spans="1:3" ht="13.5">
      <c r="A98" s="72">
        <v>92</v>
      </c>
      <c r="B98" s="72" t="s">
        <v>412</v>
      </c>
      <c r="C98" s="72"/>
    </row>
    <row r="99" spans="1:3" ht="13.5">
      <c r="A99" s="73">
        <v>93</v>
      </c>
      <c r="B99" s="73" t="s">
        <v>7023</v>
      </c>
      <c r="C99" s="73" t="s">
        <v>1293</v>
      </c>
    </row>
    <row r="100" spans="1:3" ht="13.5">
      <c r="A100" s="72">
        <v>94</v>
      </c>
      <c r="B100" s="72" t="s">
        <v>1026</v>
      </c>
      <c r="C100" s="72" t="s">
        <v>1305</v>
      </c>
    </row>
    <row r="101" spans="1:3" ht="13.5">
      <c r="A101" s="73">
        <v>95</v>
      </c>
      <c r="B101" s="73" t="s">
        <v>7024</v>
      </c>
      <c r="C101" s="73" t="s">
        <v>7025</v>
      </c>
    </row>
    <row r="102" spans="1:3" ht="13.5">
      <c r="A102" s="72">
        <v>96</v>
      </c>
      <c r="B102" s="72" t="s">
        <v>7026</v>
      </c>
      <c r="C102" s="72" t="s">
        <v>1357</v>
      </c>
    </row>
    <row r="103" spans="1:3" ht="13.5">
      <c r="A103" s="73">
        <v>97</v>
      </c>
      <c r="B103" s="73" t="s">
        <v>7027</v>
      </c>
      <c r="C103" s="73"/>
    </row>
    <row r="104" spans="1:3" ht="13.5">
      <c r="A104" s="72">
        <v>98</v>
      </c>
      <c r="B104" s="72" t="s">
        <v>113</v>
      </c>
      <c r="C104" s="72" t="s">
        <v>1298</v>
      </c>
    </row>
    <row r="105" spans="1:3" ht="13.5">
      <c r="A105" s="73">
        <v>99</v>
      </c>
      <c r="B105" s="73" t="s">
        <v>7028</v>
      </c>
      <c r="C105" s="73" t="s">
        <v>1325</v>
      </c>
    </row>
    <row r="106" spans="1:3" ht="13.5">
      <c r="A106" s="72">
        <v>100</v>
      </c>
      <c r="B106" s="72" t="s">
        <v>991</v>
      </c>
      <c r="C106" s="72" t="s">
        <v>1282</v>
      </c>
    </row>
    <row r="107" spans="1:3" ht="13.5">
      <c r="A107" s="73">
        <v>101</v>
      </c>
      <c r="B107" s="73" t="s">
        <v>7029</v>
      </c>
      <c r="C107" s="73" t="s">
        <v>7030</v>
      </c>
    </row>
    <row r="108" spans="1:3" ht="13.5">
      <c r="A108" s="72">
        <v>102</v>
      </c>
      <c r="B108" s="72" t="s">
        <v>418</v>
      </c>
      <c r="C108" s="72" t="s">
        <v>1307</v>
      </c>
    </row>
    <row r="109" spans="1:3" ht="13.5">
      <c r="A109" s="73">
        <v>103</v>
      </c>
      <c r="B109" s="73" t="s">
        <v>1003</v>
      </c>
      <c r="C109" s="73" t="s">
        <v>1311</v>
      </c>
    </row>
    <row r="110" spans="1:3" ht="13.5">
      <c r="A110" s="72">
        <v>104</v>
      </c>
      <c r="B110" s="72" t="s">
        <v>7031</v>
      </c>
      <c r="C110" s="72"/>
    </row>
    <row r="111" spans="1:3" ht="13.5">
      <c r="A111" s="73">
        <v>105</v>
      </c>
      <c r="B111" s="73" t="s">
        <v>5702</v>
      </c>
      <c r="C111" s="73"/>
    </row>
    <row r="112" spans="1:3" ht="13.5">
      <c r="A112" s="72">
        <v>106</v>
      </c>
      <c r="B112" s="72" t="s">
        <v>5731</v>
      </c>
      <c r="C112" s="72"/>
    </row>
    <row r="113" spans="1:3" ht="13.5">
      <c r="A113" s="73">
        <v>107</v>
      </c>
      <c r="B113" s="73" t="s">
        <v>7032</v>
      </c>
      <c r="C113" s="73"/>
    </row>
    <row r="114" spans="1:3" ht="13.5">
      <c r="A114" s="72">
        <v>108</v>
      </c>
      <c r="B114" s="72" t="s">
        <v>1000</v>
      </c>
      <c r="C114" s="72" t="s">
        <v>6958</v>
      </c>
    </row>
    <row r="115" spans="1:3" ht="13.5">
      <c r="A115" s="73">
        <v>109</v>
      </c>
      <c r="B115" s="73" t="s">
        <v>7033</v>
      </c>
      <c r="C115" s="73"/>
    </row>
    <row r="116" spans="1:3" ht="13.5">
      <c r="A116" s="72">
        <v>110</v>
      </c>
      <c r="B116" s="72" t="s">
        <v>6881</v>
      </c>
      <c r="C116" s="72"/>
    </row>
    <row r="117" spans="1:3" ht="13.5">
      <c r="A117" s="73">
        <v>111</v>
      </c>
      <c r="B117" s="73" t="s">
        <v>150</v>
      </c>
      <c r="C117" s="73"/>
    </row>
    <row r="118" spans="1:3" ht="13.5">
      <c r="A118" s="72">
        <v>112</v>
      </c>
      <c r="B118" s="72" t="s">
        <v>1033</v>
      </c>
      <c r="C118" s="72" t="s">
        <v>1371</v>
      </c>
    </row>
    <row r="119" spans="1:3" ht="13.5">
      <c r="A119" s="73">
        <v>113</v>
      </c>
      <c r="B119" s="73" t="s">
        <v>1279</v>
      </c>
      <c r="C119" s="73" t="s">
        <v>1280</v>
      </c>
    </row>
    <row r="120" spans="1:3" ht="13.5">
      <c r="A120" s="72">
        <v>114</v>
      </c>
      <c r="B120" s="72" t="s">
        <v>1888</v>
      </c>
      <c r="C120" s="72" t="s">
        <v>7034</v>
      </c>
    </row>
    <row r="121" spans="1:3" ht="13.5">
      <c r="A121" s="73">
        <v>115</v>
      </c>
      <c r="B121" s="73" t="s">
        <v>7035</v>
      </c>
      <c r="C121" s="73"/>
    </row>
    <row r="122" spans="1:3" ht="13.5">
      <c r="A122" s="72">
        <v>116</v>
      </c>
      <c r="B122" s="72" t="s">
        <v>166</v>
      </c>
      <c r="C122" s="72" t="s">
        <v>7036</v>
      </c>
    </row>
    <row r="123" spans="1:3" ht="13.5">
      <c r="A123" s="73">
        <v>117</v>
      </c>
      <c r="B123" s="73" t="s">
        <v>995</v>
      </c>
      <c r="C123" s="73" t="s">
        <v>1296</v>
      </c>
    </row>
    <row r="124" spans="1:3" ht="13.5">
      <c r="A124" s="72">
        <v>118</v>
      </c>
      <c r="B124" s="72" t="s">
        <v>271</v>
      </c>
      <c r="C124" s="72" t="s">
        <v>1294</v>
      </c>
    </row>
    <row r="125" spans="1:3" ht="13.5">
      <c r="A125" s="73">
        <v>119</v>
      </c>
      <c r="B125" s="73" t="s">
        <v>1047</v>
      </c>
      <c r="C125" s="73" t="s">
        <v>7037</v>
      </c>
    </row>
    <row r="126" spans="1:3" ht="13.5">
      <c r="A126" s="72">
        <v>120</v>
      </c>
      <c r="B126" s="72" t="s">
        <v>26</v>
      </c>
      <c r="C126" s="72" t="s">
        <v>1354</v>
      </c>
    </row>
    <row r="127" spans="1:3" ht="13.5">
      <c r="A127" s="73">
        <v>121</v>
      </c>
      <c r="B127" s="73" t="s">
        <v>152</v>
      </c>
      <c r="C127" s="73" t="s">
        <v>1332</v>
      </c>
    </row>
    <row r="128" spans="1:3" ht="13.5">
      <c r="A128" s="72">
        <v>122</v>
      </c>
      <c r="B128" s="72" t="s">
        <v>7038</v>
      </c>
      <c r="C128" s="72" t="s">
        <v>1321</v>
      </c>
    </row>
    <row r="129" spans="1:3" ht="13.5">
      <c r="A129" s="73">
        <v>123</v>
      </c>
      <c r="B129" s="73" t="s">
        <v>998</v>
      </c>
      <c r="C129" s="73" t="s">
        <v>1288</v>
      </c>
    </row>
    <row r="130" spans="1:3" ht="13.5">
      <c r="A130" s="72">
        <v>124</v>
      </c>
      <c r="B130" s="72" t="s">
        <v>1028</v>
      </c>
      <c r="C130" s="72" t="s">
        <v>7039</v>
      </c>
    </row>
    <row r="131" spans="1:3" ht="13.5">
      <c r="A131" s="73">
        <v>125</v>
      </c>
      <c r="B131" s="73" t="s">
        <v>7040</v>
      </c>
      <c r="C131" s="73"/>
    </row>
    <row r="132" spans="1:3" ht="13.5">
      <c r="A132" s="72">
        <v>126</v>
      </c>
      <c r="B132" s="72" t="s">
        <v>7041</v>
      </c>
      <c r="C132" s="72"/>
    </row>
    <row r="133" spans="1:3" ht="13.5">
      <c r="A133" s="73">
        <v>127</v>
      </c>
      <c r="B133" s="73" t="s">
        <v>7042</v>
      </c>
      <c r="C133" s="73"/>
    </row>
    <row r="134" spans="1:3" ht="13.5">
      <c r="A134" s="72">
        <v>128</v>
      </c>
      <c r="B134" s="72" t="s">
        <v>7043</v>
      </c>
      <c r="C134" s="72"/>
    </row>
    <row r="135" spans="1:3" ht="13.5">
      <c r="A135" s="73">
        <v>129</v>
      </c>
      <c r="B135" s="73" t="s">
        <v>7044</v>
      </c>
      <c r="C135" s="73"/>
    </row>
    <row r="136" spans="1:3" ht="13.5">
      <c r="A136" s="72">
        <v>130</v>
      </c>
      <c r="B136" s="72" t="s">
        <v>7045</v>
      </c>
      <c r="C136" s="72"/>
    </row>
    <row r="137" spans="1:3" ht="13.5">
      <c r="A137" s="73">
        <v>131</v>
      </c>
      <c r="B137" s="73" t="s">
        <v>7046</v>
      </c>
      <c r="C137" s="73" t="s">
        <v>7047</v>
      </c>
    </row>
    <row r="138" spans="1:3" ht="13.5">
      <c r="A138" s="72">
        <v>132</v>
      </c>
      <c r="B138" s="72" t="s">
        <v>7048</v>
      </c>
      <c r="C138" s="72"/>
    </row>
    <row r="139" spans="1:3" ht="13.5">
      <c r="A139" s="73">
        <v>133</v>
      </c>
      <c r="B139" s="73" t="s">
        <v>7049</v>
      </c>
      <c r="C139" s="73"/>
    </row>
    <row r="140" spans="1:3" ht="13.5">
      <c r="A140" s="72">
        <v>134</v>
      </c>
      <c r="B140" s="72" t="s">
        <v>1010</v>
      </c>
      <c r="C140" s="72"/>
    </row>
    <row r="141" spans="1:3" ht="13.5">
      <c r="A141" s="73">
        <v>135</v>
      </c>
      <c r="B141" s="73" t="s">
        <v>238</v>
      </c>
      <c r="C141" s="73"/>
    </row>
    <row r="142" spans="1:3" ht="13.5">
      <c r="A142" s="72">
        <v>136</v>
      </c>
      <c r="B142" s="72" t="s">
        <v>1031</v>
      </c>
      <c r="C142" s="72" t="s">
        <v>1366</v>
      </c>
    </row>
    <row r="143" spans="1:3" ht="13.5">
      <c r="A143" s="73">
        <v>137</v>
      </c>
      <c r="B143" s="73" t="s">
        <v>7050</v>
      </c>
      <c r="C143" s="73"/>
    </row>
    <row r="144" spans="1:3" ht="13.5">
      <c r="A144" s="72">
        <v>138</v>
      </c>
      <c r="B144" s="72" t="s">
        <v>104</v>
      </c>
      <c r="C144" s="72"/>
    </row>
    <row r="145" spans="1:3" ht="13.5">
      <c r="A145" s="73">
        <v>139</v>
      </c>
      <c r="B145" s="73" t="s">
        <v>7051</v>
      </c>
      <c r="C145" s="73"/>
    </row>
    <row r="146" spans="1:3" ht="13.5">
      <c r="A146" s="72">
        <v>140</v>
      </c>
      <c r="B146" s="72" t="s">
        <v>5694</v>
      </c>
      <c r="C146" s="72" t="s">
        <v>7052</v>
      </c>
    </row>
    <row r="147" spans="1:3" ht="13.5">
      <c r="A147" s="73">
        <v>141</v>
      </c>
      <c r="B147" s="73" t="s">
        <v>1016</v>
      </c>
      <c r="C147" s="73" t="s">
        <v>1341</v>
      </c>
    </row>
    <row r="148" spans="1:3" ht="13.5">
      <c r="A148" s="72">
        <v>142</v>
      </c>
      <c r="B148" s="72" t="s">
        <v>997</v>
      </c>
      <c r="C148" s="72" t="s">
        <v>1299</v>
      </c>
    </row>
    <row r="149" spans="1:3" ht="13.5">
      <c r="A149" s="73">
        <v>143</v>
      </c>
      <c r="B149" s="73" t="s">
        <v>7053</v>
      </c>
      <c r="C149" s="73" t="s">
        <v>7054</v>
      </c>
    </row>
    <row r="150" spans="1:3" ht="13.5">
      <c r="A150" s="72">
        <v>144</v>
      </c>
      <c r="B150" s="72" t="s">
        <v>7055</v>
      </c>
      <c r="C150" s="72"/>
    </row>
    <row r="151" spans="1:3" ht="13.5">
      <c r="A151" s="73">
        <v>145</v>
      </c>
      <c r="B151" s="73" t="s">
        <v>7056</v>
      </c>
      <c r="C151" s="73" t="s">
        <v>1276</v>
      </c>
    </row>
    <row r="152" spans="1:3" ht="13.5">
      <c r="A152" s="72">
        <v>146</v>
      </c>
      <c r="B152" s="72" t="s">
        <v>1002</v>
      </c>
      <c r="C152" s="72" t="s">
        <v>1312</v>
      </c>
    </row>
    <row r="153" spans="1:3" ht="13.5">
      <c r="A153" s="73">
        <v>147</v>
      </c>
      <c r="B153" s="73" t="s">
        <v>996</v>
      </c>
      <c r="C153" s="73"/>
    </row>
    <row r="154" spans="1:3" ht="13.5">
      <c r="A154" s="72">
        <v>148</v>
      </c>
      <c r="B154" s="72" t="s">
        <v>117</v>
      </c>
      <c r="C154" s="72" t="s">
        <v>7057</v>
      </c>
    </row>
    <row r="155" spans="1:3" ht="13.5">
      <c r="A155" s="73">
        <v>149</v>
      </c>
      <c r="B155" s="73" t="s">
        <v>98</v>
      </c>
      <c r="C155" s="73"/>
    </row>
    <row r="156" spans="1:3" ht="13.5">
      <c r="A156" s="72">
        <v>150</v>
      </c>
      <c r="B156" s="72" t="s">
        <v>1893</v>
      </c>
      <c r="C156" s="72" t="s">
        <v>7058</v>
      </c>
    </row>
    <row r="157" spans="1:3" ht="13.5">
      <c r="A157" s="73">
        <v>151</v>
      </c>
      <c r="B157" s="73" t="s">
        <v>162</v>
      </c>
      <c r="C157" s="73" t="s">
        <v>724</v>
      </c>
    </row>
    <row r="158" spans="1:3" ht="13.5">
      <c r="A158" s="72">
        <v>152</v>
      </c>
      <c r="B158" s="72" t="s">
        <v>7059</v>
      </c>
      <c r="C158" s="72"/>
    </row>
    <row r="159" spans="1:3" ht="13.5">
      <c r="A159" s="73">
        <v>153</v>
      </c>
      <c r="B159" s="73" t="s">
        <v>7060</v>
      </c>
      <c r="C159" s="73"/>
    </row>
    <row r="160" spans="1:3" ht="13.5">
      <c r="A160" s="72">
        <v>154</v>
      </c>
      <c r="B160" s="72" t="s">
        <v>1007</v>
      </c>
      <c r="C160" s="72"/>
    </row>
    <row r="161" spans="1:3" ht="13.5">
      <c r="A161" s="73">
        <v>155</v>
      </c>
      <c r="B161" s="73" t="s">
        <v>7061</v>
      </c>
      <c r="C161" s="73"/>
    </row>
    <row r="162" spans="1:3" ht="13.5">
      <c r="A162" s="72">
        <v>156</v>
      </c>
      <c r="B162" s="72" t="s">
        <v>982</v>
      </c>
      <c r="C162" s="72" t="s">
        <v>1262</v>
      </c>
    </row>
    <row r="163" spans="1:3" ht="13.5">
      <c r="A163" s="73">
        <v>157</v>
      </c>
      <c r="B163" s="73" t="s">
        <v>7062</v>
      </c>
      <c r="C163" s="73"/>
    </row>
    <row r="164" spans="1:3" ht="13.5">
      <c r="A164" s="72">
        <v>158</v>
      </c>
      <c r="B164" s="72" t="s">
        <v>1035</v>
      </c>
      <c r="C164" s="72" t="s">
        <v>1375</v>
      </c>
    </row>
    <row r="165" spans="1:3" ht="13.5">
      <c r="A165" s="73">
        <v>159</v>
      </c>
      <c r="B165" s="73" t="s">
        <v>380</v>
      </c>
      <c r="C165" s="73" t="s">
        <v>1327</v>
      </c>
    </row>
    <row r="166" spans="1:3" ht="13.5">
      <c r="A166" s="72">
        <v>160</v>
      </c>
      <c r="B166" s="72" t="s">
        <v>7063</v>
      </c>
      <c r="C166" s="72"/>
    </row>
    <row r="167" spans="1:3" ht="13.5">
      <c r="A167" s="73">
        <v>161</v>
      </c>
      <c r="B167" s="73" t="s">
        <v>7064</v>
      </c>
      <c r="C167" s="73" t="s">
        <v>1380</v>
      </c>
    </row>
    <row r="168" spans="1:3" ht="13.5">
      <c r="A168" s="72">
        <v>162</v>
      </c>
      <c r="B168" s="72" t="s">
        <v>201</v>
      </c>
      <c r="C168" s="72" t="s">
        <v>1320</v>
      </c>
    </row>
    <row r="169" spans="1:3" ht="13.5">
      <c r="A169" s="73">
        <v>163</v>
      </c>
      <c r="B169" s="73" t="s">
        <v>276</v>
      </c>
      <c r="C169" s="73" t="s">
        <v>1348</v>
      </c>
    </row>
    <row r="170" spans="1:3" ht="13.5">
      <c r="A170" s="72">
        <v>164</v>
      </c>
      <c r="B170" s="72" t="s">
        <v>1892</v>
      </c>
      <c r="C170" s="72"/>
    </row>
    <row r="171" spans="1:3" ht="13.5">
      <c r="A171" s="73">
        <v>165</v>
      </c>
      <c r="B171" s="73" t="s">
        <v>208</v>
      </c>
      <c r="C171" s="73"/>
    </row>
    <row r="172" spans="1:3" ht="13.5">
      <c r="A172" s="72">
        <v>166</v>
      </c>
      <c r="B172" s="72" t="s">
        <v>7065</v>
      </c>
      <c r="C172" s="72"/>
    </row>
    <row r="173" spans="1:3" ht="13.5">
      <c r="A173" s="73">
        <v>167</v>
      </c>
      <c r="B173" s="73" t="s">
        <v>174</v>
      </c>
      <c r="C173" s="73"/>
    </row>
    <row r="174" spans="1:3" ht="13.5">
      <c r="A174" s="72">
        <v>168</v>
      </c>
      <c r="B174" s="72" t="s">
        <v>7066</v>
      </c>
      <c r="C174" s="72"/>
    </row>
    <row r="175" spans="1:3" ht="13.5">
      <c r="A175" s="73">
        <v>169</v>
      </c>
      <c r="B175" s="73" t="s">
        <v>7067</v>
      </c>
      <c r="C175" s="73" t="s">
        <v>1322</v>
      </c>
    </row>
    <row r="176" spans="1:3" ht="13.5">
      <c r="A176" s="72">
        <v>170</v>
      </c>
      <c r="B176" s="72" t="s">
        <v>7068</v>
      </c>
      <c r="C176" s="72" t="s">
        <v>1330</v>
      </c>
    </row>
    <row r="177" spans="1:3" ht="13.5">
      <c r="A177" s="73">
        <v>171</v>
      </c>
      <c r="B177" s="73" t="s">
        <v>7069</v>
      </c>
      <c r="C177" s="73"/>
    </row>
    <row r="178" spans="1:3" ht="13.5">
      <c r="A178" s="72">
        <v>172</v>
      </c>
      <c r="B178" s="72" t="s">
        <v>7070</v>
      </c>
      <c r="C178" s="72"/>
    </row>
    <row r="179" spans="1:3" ht="13.5">
      <c r="A179" s="73">
        <v>173</v>
      </c>
      <c r="B179" s="73" t="s">
        <v>7071</v>
      </c>
      <c r="C179" s="73" t="s">
        <v>1310</v>
      </c>
    </row>
    <row r="180" spans="1:3" ht="13.5">
      <c r="A180" s="72">
        <v>174</v>
      </c>
      <c r="B180" s="72" t="s">
        <v>368</v>
      </c>
      <c r="C180" s="72" t="s">
        <v>1313</v>
      </c>
    </row>
    <row r="181" spans="1:3" ht="13.5">
      <c r="A181" s="73">
        <v>175</v>
      </c>
      <c r="B181" s="73" t="s">
        <v>1014</v>
      </c>
      <c r="C181" s="73"/>
    </row>
    <row r="182" spans="1:3" ht="13.5">
      <c r="A182" s="72">
        <v>176</v>
      </c>
      <c r="B182" s="72" t="s">
        <v>5705</v>
      </c>
      <c r="C182" s="72"/>
    </row>
    <row r="183" spans="1:3" ht="13.5">
      <c r="A183" s="73">
        <v>177</v>
      </c>
      <c r="B183" s="73" t="s">
        <v>160</v>
      </c>
      <c r="C183" s="73" t="s">
        <v>1339</v>
      </c>
    </row>
    <row r="184" spans="1:3" ht="13.5">
      <c r="A184" s="72">
        <v>178</v>
      </c>
      <c r="B184" s="72" t="s">
        <v>7072</v>
      </c>
      <c r="C184" s="72" t="s">
        <v>1271</v>
      </c>
    </row>
    <row r="185" spans="1:3" ht="13.5">
      <c r="A185" s="73">
        <v>179</v>
      </c>
      <c r="B185" s="73" t="s">
        <v>1794</v>
      </c>
      <c r="C185" s="73"/>
    </row>
    <row r="186" spans="1:3" ht="13.5">
      <c r="A186" s="72">
        <v>180</v>
      </c>
      <c r="B186" s="72" t="s">
        <v>369</v>
      </c>
      <c r="C186" s="72"/>
    </row>
    <row r="187" spans="1:3" ht="13.5">
      <c r="A187" s="73">
        <v>181</v>
      </c>
      <c r="B187" s="73" t="s">
        <v>236</v>
      </c>
      <c r="C187" s="73"/>
    </row>
    <row r="188" spans="1:3" ht="13.5">
      <c r="A188" s="72">
        <v>182</v>
      </c>
      <c r="B188" s="72" t="s">
        <v>5732</v>
      </c>
      <c r="C188" s="72"/>
    </row>
    <row r="189" spans="1:3" ht="13.5">
      <c r="A189" s="73">
        <v>183</v>
      </c>
      <c r="B189" s="73" t="s">
        <v>33</v>
      </c>
      <c r="C189" s="73" t="s">
        <v>7073</v>
      </c>
    </row>
    <row r="190" spans="1:3" ht="13.5">
      <c r="A190" s="72">
        <v>184</v>
      </c>
      <c r="B190" s="72" t="s">
        <v>1657</v>
      </c>
      <c r="C190" s="72" t="s">
        <v>1362</v>
      </c>
    </row>
    <row r="191" spans="1:3" ht="13.5">
      <c r="A191" s="73">
        <v>185</v>
      </c>
      <c r="B191" s="73" t="s">
        <v>257</v>
      </c>
      <c r="C191" s="73" t="s">
        <v>1338</v>
      </c>
    </row>
    <row r="192" spans="1:3" ht="13.5">
      <c r="A192" s="72">
        <v>186</v>
      </c>
      <c r="B192" s="72" t="s">
        <v>206</v>
      </c>
      <c r="C192" s="72" t="s">
        <v>1369</v>
      </c>
    </row>
    <row r="193" spans="1:3" ht="13.5">
      <c r="A193" s="73">
        <v>187</v>
      </c>
      <c r="B193" s="73" t="s">
        <v>7074</v>
      </c>
      <c r="C193" s="73"/>
    </row>
    <row r="194" spans="1:3" ht="13.5">
      <c r="A194" s="72">
        <v>188</v>
      </c>
      <c r="B194" s="72" t="s">
        <v>1011</v>
      </c>
      <c r="C194" s="72" t="s">
        <v>1331</v>
      </c>
    </row>
    <row r="195" spans="1:3" ht="13.5">
      <c r="A195" s="73">
        <v>189</v>
      </c>
      <c r="B195" s="73" t="s">
        <v>7075</v>
      </c>
      <c r="C195" s="73"/>
    </row>
    <row r="196" spans="1:3" ht="13.5">
      <c r="A196" s="72">
        <v>190</v>
      </c>
      <c r="B196" s="72" t="s">
        <v>7076</v>
      </c>
      <c r="C196" s="72"/>
    </row>
    <row r="197" spans="1:3" ht="13.5">
      <c r="A197" s="73">
        <v>191</v>
      </c>
      <c r="B197" s="73" t="s">
        <v>278</v>
      </c>
      <c r="C197" s="73" t="s">
        <v>7077</v>
      </c>
    </row>
    <row r="198" spans="1:3" ht="13.5">
      <c r="A198" s="72">
        <v>192</v>
      </c>
      <c r="B198" s="72" t="s">
        <v>350</v>
      </c>
      <c r="C198" s="72" t="s">
        <v>1415</v>
      </c>
    </row>
    <row r="199" spans="1:3" ht="13.5">
      <c r="A199" s="73">
        <v>193</v>
      </c>
      <c r="B199" s="73" t="s">
        <v>7078</v>
      </c>
      <c r="C199" s="73" t="s">
        <v>1412</v>
      </c>
    </row>
    <row r="200" spans="1:3" ht="13.5">
      <c r="A200" s="72">
        <v>194</v>
      </c>
      <c r="B200" s="72" t="s">
        <v>7079</v>
      </c>
      <c r="C200" s="72"/>
    </row>
    <row r="201" spans="1:3" ht="13.5">
      <c r="A201" s="73">
        <v>195</v>
      </c>
      <c r="B201" s="73" t="s">
        <v>450</v>
      </c>
      <c r="C201" s="73" t="s">
        <v>1302</v>
      </c>
    </row>
    <row r="202" spans="1:3" ht="13.5">
      <c r="A202" s="72">
        <v>196</v>
      </c>
      <c r="B202" s="72" t="s">
        <v>1013</v>
      </c>
      <c r="C202" s="72" t="s">
        <v>1336</v>
      </c>
    </row>
    <row r="203" spans="1:3" ht="13.5">
      <c r="A203" s="73">
        <v>197</v>
      </c>
      <c r="B203" s="73" t="s">
        <v>7080</v>
      </c>
      <c r="C203" s="73"/>
    </row>
    <row r="204" spans="1:3" ht="13.5">
      <c r="A204" s="72">
        <v>198</v>
      </c>
      <c r="B204" s="72" t="s">
        <v>1019</v>
      </c>
      <c r="C204" s="72" t="s">
        <v>1346</v>
      </c>
    </row>
    <row r="205" spans="1:3" ht="13.5">
      <c r="A205" s="73">
        <v>199</v>
      </c>
      <c r="B205" s="73" t="s">
        <v>7081</v>
      </c>
      <c r="C205" s="73"/>
    </row>
    <row r="206" spans="1:3" ht="13.5">
      <c r="A206" s="72">
        <v>200</v>
      </c>
      <c r="B206" s="72" t="s">
        <v>261</v>
      </c>
      <c r="C206" s="72" t="s">
        <v>1345</v>
      </c>
    </row>
    <row r="207" spans="1:3" ht="13.5">
      <c r="A207" s="73">
        <v>201</v>
      </c>
      <c r="B207" s="73" t="s">
        <v>7082</v>
      </c>
      <c r="C207" s="73"/>
    </row>
    <row r="208" spans="1:3" ht="13.5">
      <c r="A208" s="72">
        <v>202</v>
      </c>
      <c r="B208" s="72" t="s">
        <v>7083</v>
      </c>
      <c r="C208" s="72" t="s">
        <v>1318</v>
      </c>
    </row>
    <row r="209" spans="1:3" ht="13.5">
      <c r="A209" s="73">
        <v>203</v>
      </c>
      <c r="B209" s="73" t="s">
        <v>7084</v>
      </c>
      <c r="C209" s="73" t="s">
        <v>1328</v>
      </c>
    </row>
    <row r="210" spans="1:3" ht="13.5">
      <c r="A210" s="72">
        <v>204</v>
      </c>
      <c r="B210" s="72" t="s">
        <v>7085</v>
      </c>
      <c r="C210" s="72"/>
    </row>
    <row r="211" spans="1:3" ht="13.5">
      <c r="A211" s="73">
        <v>205</v>
      </c>
      <c r="B211" s="73" t="s">
        <v>378</v>
      </c>
      <c r="C211" s="73" t="s">
        <v>1316</v>
      </c>
    </row>
    <row r="212" spans="1:3" ht="13.5">
      <c r="A212" s="72">
        <v>206</v>
      </c>
      <c r="B212" s="72" t="s">
        <v>349</v>
      </c>
      <c r="C212" s="72" t="s">
        <v>1360</v>
      </c>
    </row>
    <row r="213" spans="1:3" ht="13.5">
      <c r="A213" s="73">
        <v>207</v>
      </c>
      <c r="B213" s="73" t="s">
        <v>7086</v>
      </c>
      <c r="C213" s="73" t="s">
        <v>1420</v>
      </c>
    </row>
    <row r="214" spans="1:3" ht="13.5">
      <c r="A214" s="72">
        <v>208</v>
      </c>
      <c r="B214" s="72" t="s">
        <v>5697</v>
      </c>
      <c r="C214" s="72"/>
    </row>
    <row r="215" spans="1:3" ht="13.5">
      <c r="A215" s="73">
        <v>209</v>
      </c>
      <c r="B215" s="73" t="s">
        <v>5737</v>
      </c>
      <c r="C215" s="73"/>
    </row>
    <row r="216" spans="1:3" ht="13.5">
      <c r="A216" s="72">
        <v>210</v>
      </c>
      <c r="B216" s="72" t="s">
        <v>7087</v>
      </c>
      <c r="C216" s="72"/>
    </row>
    <row r="217" spans="1:3" ht="13.5">
      <c r="A217" s="73">
        <v>211</v>
      </c>
      <c r="B217" s="73" t="s">
        <v>1898</v>
      </c>
      <c r="C217" s="73"/>
    </row>
    <row r="218" spans="1:3" ht="13.5">
      <c r="A218" s="72">
        <v>212</v>
      </c>
      <c r="B218" s="72" t="s">
        <v>409</v>
      </c>
      <c r="C218" s="72" t="s">
        <v>7088</v>
      </c>
    </row>
    <row r="219" spans="1:3" ht="13.5">
      <c r="A219" s="73">
        <v>213</v>
      </c>
      <c r="B219" s="73" t="s">
        <v>375</v>
      </c>
      <c r="C219" s="73" t="s">
        <v>1443</v>
      </c>
    </row>
    <row r="220" spans="1:3" ht="13.5">
      <c r="A220" s="72">
        <v>214</v>
      </c>
      <c r="B220" s="72" t="s">
        <v>7089</v>
      </c>
      <c r="C220" s="72" t="s">
        <v>1414</v>
      </c>
    </row>
    <row r="221" spans="1:3" ht="13.5">
      <c r="A221" s="73">
        <v>215</v>
      </c>
      <c r="B221" s="73" t="s">
        <v>391</v>
      </c>
      <c r="C221" s="73" t="s">
        <v>1384</v>
      </c>
    </row>
    <row r="222" spans="1:3" ht="13.5">
      <c r="A222" s="72">
        <v>216</v>
      </c>
      <c r="B222" s="72" t="s">
        <v>7090</v>
      </c>
      <c r="C222" s="72" t="s">
        <v>1268</v>
      </c>
    </row>
    <row r="223" spans="1:3" ht="13.5">
      <c r="A223" s="73">
        <v>217</v>
      </c>
      <c r="B223" s="73" t="s">
        <v>204</v>
      </c>
      <c r="C223" s="73"/>
    </row>
    <row r="224" spans="1:3" ht="13.5">
      <c r="A224" s="72">
        <v>218</v>
      </c>
      <c r="B224" s="72" t="s">
        <v>397</v>
      </c>
      <c r="C224" s="72"/>
    </row>
    <row r="225" spans="1:3" ht="13.5">
      <c r="A225" s="73">
        <v>219</v>
      </c>
      <c r="B225" s="73" t="s">
        <v>7091</v>
      </c>
      <c r="C225" s="73"/>
    </row>
    <row r="226" spans="1:3" ht="13.5">
      <c r="A226" s="72">
        <v>220</v>
      </c>
      <c r="B226" s="72" t="s">
        <v>222</v>
      </c>
      <c r="C226" s="72" t="s">
        <v>1356</v>
      </c>
    </row>
    <row r="227" spans="1:3" ht="13.5">
      <c r="A227" s="73">
        <v>221</v>
      </c>
      <c r="B227" s="73" t="s">
        <v>155</v>
      </c>
      <c r="C227" s="73"/>
    </row>
    <row r="228" spans="1:3" ht="13.5">
      <c r="A228" s="72">
        <v>222</v>
      </c>
      <c r="B228" s="72" t="s">
        <v>143</v>
      </c>
      <c r="C228" s="72" t="s">
        <v>1358</v>
      </c>
    </row>
    <row r="229" spans="1:3" ht="13.5">
      <c r="A229" s="73">
        <v>223</v>
      </c>
      <c r="B229" s="73" t="s">
        <v>185</v>
      </c>
      <c r="C229" s="73" t="s">
        <v>1390</v>
      </c>
    </row>
    <row r="230" spans="1:3" ht="13.5">
      <c r="A230" s="72">
        <v>224</v>
      </c>
      <c r="B230" s="72" t="s">
        <v>1832</v>
      </c>
      <c r="C230" s="72"/>
    </row>
    <row r="231" spans="1:3" ht="13.5">
      <c r="A231" s="73">
        <v>225</v>
      </c>
      <c r="B231" s="73" t="s">
        <v>7092</v>
      </c>
      <c r="C231" s="73" t="s">
        <v>1301</v>
      </c>
    </row>
    <row r="232" spans="1:3" ht="13.5">
      <c r="A232" s="72">
        <v>226</v>
      </c>
      <c r="B232" s="72" t="s">
        <v>251</v>
      </c>
      <c r="C232" s="72" t="s">
        <v>1367</v>
      </c>
    </row>
    <row r="233" spans="1:3" ht="13.5">
      <c r="A233" s="73">
        <v>227</v>
      </c>
      <c r="B233" s="73" t="s">
        <v>415</v>
      </c>
      <c r="C233" s="73" t="s">
        <v>1364</v>
      </c>
    </row>
    <row r="234" spans="1:3" ht="13.5">
      <c r="A234" s="72">
        <v>228</v>
      </c>
      <c r="B234" s="72" t="s">
        <v>1899</v>
      </c>
      <c r="C234" s="72"/>
    </row>
    <row r="235" spans="1:3" ht="13.5">
      <c r="A235" s="73">
        <v>229</v>
      </c>
      <c r="B235" s="73" t="s">
        <v>303</v>
      </c>
      <c r="C235" s="73" t="s">
        <v>1421</v>
      </c>
    </row>
    <row r="236" spans="1:3" ht="13.5">
      <c r="A236" s="72">
        <v>230</v>
      </c>
      <c r="B236" s="72" t="s">
        <v>7093</v>
      </c>
      <c r="C236" s="72"/>
    </row>
    <row r="237" spans="1:3" ht="13.5">
      <c r="A237" s="73">
        <v>231</v>
      </c>
      <c r="B237" s="73" t="s">
        <v>7094</v>
      </c>
      <c r="C237" s="73"/>
    </row>
    <row r="238" spans="1:3" ht="13.5">
      <c r="A238" s="72">
        <v>232</v>
      </c>
      <c r="B238" s="72" t="s">
        <v>253</v>
      </c>
      <c r="C238" s="72"/>
    </row>
    <row r="239" spans="1:3" ht="13.5">
      <c r="A239" s="73">
        <v>233</v>
      </c>
      <c r="B239" s="73" t="s">
        <v>292</v>
      </c>
      <c r="C239" s="73" t="s">
        <v>1372</v>
      </c>
    </row>
    <row r="240" spans="1:3" ht="13.5">
      <c r="A240" s="72">
        <v>234</v>
      </c>
      <c r="B240" s="72" t="s">
        <v>235</v>
      </c>
      <c r="C240" s="72" t="s">
        <v>1425</v>
      </c>
    </row>
    <row r="241" spans="1:3" ht="13.5">
      <c r="A241" s="73">
        <v>235</v>
      </c>
      <c r="B241" s="73" t="s">
        <v>168</v>
      </c>
      <c r="C241" s="73"/>
    </row>
    <row r="242" spans="1:3" ht="13.5">
      <c r="A242" s="72">
        <v>236</v>
      </c>
      <c r="B242" s="72" t="s">
        <v>7095</v>
      </c>
      <c r="C242" s="72" t="s">
        <v>1373</v>
      </c>
    </row>
    <row r="243" spans="1:3" ht="13.5">
      <c r="A243" s="73">
        <v>237</v>
      </c>
      <c r="B243" s="73" t="s">
        <v>7096</v>
      </c>
      <c r="C243" s="73"/>
    </row>
    <row r="244" spans="1:3" ht="13.5">
      <c r="A244" s="72">
        <v>238</v>
      </c>
      <c r="B244" s="72" t="s">
        <v>264</v>
      </c>
      <c r="C244" s="72" t="s">
        <v>1324</v>
      </c>
    </row>
    <row r="245" spans="1:3" ht="13.5">
      <c r="A245" s="73">
        <v>239</v>
      </c>
      <c r="B245" s="73" t="s">
        <v>217</v>
      </c>
      <c r="C245" s="73" t="s">
        <v>1437</v>
      </c>
    </row>
    <row r="246" spans="1:3" ht="13.5">
      <c r="A246" s="72">
        <v>240</v>
      </c>
      <c r="B246" s="72" t="s">
        <v>234</v>
      </c>
      <c r="C246" s="72"/>
    </row>
    <row r="247" spans="1:3" ht="13.5">
      <c r="A247" s="73">
        <v>241</v>
      </c>
      <c r="B247" s="73" t="s">
        <v>1021</v>
      </c>
      <c r="C247" s="73"/>
    </row>
    <row r="248" spans="1:3" ht="13.5">
      <c r="A248" s="72">
        <v>242</v>
      </c>
      <c r="B248" s="72" t="s">
        <v>203</v>
      </c>
      <c r="C248" s="72" t="s">
        <v>7097</v>
      </c>
    </row>
    <row r="249" spans="1:3" ht="13.5">
      <c r="A249" s="73">
        <v>243</v>
      </c>
      <c r="B249" s="73" t="s">
        <v>7098</v>
      </c>
      <c r="C249" s="73" t="s">
        <v>7099</v>
      </c>
    </row>
    <row r="250" spans="1:3" ht="13.5">
      <c r="A250" s="72">
        <v>244</v>
      </c>
      <c r="B250" s="72" t="s">
        <v>1023</v>
      </c>
      <c r="C250" s="72" t="s">
        <v>1351</v>
      </c>
    </row>
    <row r="251" spans="1:3" ht="13.5">
      <c r="A251" s="73">
        <v>245</v>
      </c>
      <c r="B251" s="73" t="s">
        <v>131</v>
      </c>
      <c r="C251" s="73" t="s">
        <v>1376</v>
      </c>
    </row>
    <row r="252" spans="1:3" ht="13.5">
      <c r="A252" s="72">
        <v>246</v>
      </c>
      <c r="B252" s="72" t="s">
        <v>1025</v>
      </c>
      <c r="C252" s="72"/>
    </row>
    <row r="253" spans="1:3" ht="13.5">
      <c r="A253" s="73">
        <v>247</v>
      </c>
      <c r="B253" s="73" t="s">
        <v>118</v>
      </c>
      <c r="C253" s="73" t="s">
        <v>1377</v>
      </c>
    </row>
    <row r="254" spans="1:3" ht="13.5">
      <c r="A254" s="72">
        <v>248</v>
      </c>
      <c r="B254" s="72" t="s">
        <v>1037</v>
      </c>
      <c r="C254" s="72" t="s">
        <v>1378</v>
      </c>
    </row>
    <row r="255" spans="1:3" ht="13.5">
      <c r="A255" s="73">
        <v>249</v>
      </c>
      <c r="B255" s="73" t="s">
        <v>1052</v>
      </c>
      <c r="C255" s="73"/>
    </row>
    <row r="256" spans="1:3" ht="13.5">
      <c r="A256" s="72">
        <v>250</v>
      </c>
      <c r="B256" s="72" t="s">
        <v>1036</v>
      </c>
      <c r="C256" s="72" t="s">
        <v>1392</v>
      </c>
    </row>
    <row r="257" spans="1:3" ht="13.5">
      <c r="A257" s="73">
        <v>251</v>
      </c>
      <c r="B257" s="73" t="s">
        <v>6886</v>
      </c>
      <c r="C257" s="73"/>
    </row>
    <row r="258" spans="1:3" ht="13.5">
      <c r="A258" s="72">
        <v>252</v>
      </c>
      <c r="B258" s="72" t="s">
        <v>7100</v>
      </c>
      <c r="C258" s="72" t="s">
        <v>1317</v>
      </c>
    </row>
    <row r="259" spans="1:3" ht="13.5">
      <c r="A259" s="73">
        <v>253</v>
      </c>
      <c r="B259" s="73" t="s">
        <v>7101</v>
      </c>
      <c r="C259" s="73"/>
    </row>
    <row r="260" spans="1:3" ht="13.5">
      <c r="A260" s="72">
        <v>254</v>
      </c>
      <c r="B260" s="72" t="s">
        <v>7102</v>
      </c>
      <c r="C260" s="72"/>
    </row>
    <row r="261" spans="1:3" ht="13.5">
      <c r="A261" s="73">
        <v>255</v>
      </c>
      <c r="B261" s="73" t="s">
        <v>986</v>
      </c>
      <c r="C261" s="73" t="s">
        <v>1270</v>
      </c>
    </row>
    <row r="262" spans="1:3" ht="13.5">
      <c r="A262" s="72">
        <v>256</v>
      </c>
      <c r="B262" s="72" t="s">
        <v>5704</v>
      </c>
      <c r="C262" s="72"/>
    </row>
    <row r="263" spans="1:3" ht="13.5">
      <c r="A263" s="73">
        <v>257</v>
      </c>
      <c r="B263" s="73" t="s">
        <v>7103</v>
      </c>
      <c r="C263" s="73"/>
    </row>
    <row r="264" spans="1:3" ht="13.5">
      <c r="A264" s="72">
        <v>258</v>
      </c>
      <c r="B264" s="72" t="s">
        <v>1012</v>
      </c>
      <c r="C264" s="72" t="s">
        <v>1333</v>
      </c>
    </row>
    <row r="265" spans="1:3" ht="13.5">
      <c r="A265" s="73">
        <v>259</v>
      </c>
      <c r="B265" s="73" t="s">
        <v>7104</v>
      </c>
      <c r="C265" s="73" t="s">
        <v>1359</v>
      </c>
    </row>
    <row r="266" spans="1:3" ht="13.5">
      <c r="A266" s="72">
        <v>260</v>
      </c>
      <c r="B266" s="72" t="s">
        <v>5738</v>
      </c>
      <c r="C266" s="72"/>
    </row>
    <row r="267" spans="1:3" ht="13.5">
      <c r="A267" s="73">
        <v>261</v>
      </c>
      <c r="B267" s="73" t="s">
        <v>1771</v>
      </c>
      <c r="C267" s="73"/>
    </row>
    <row r="268" spans="1:3" ht="13.5">
      <c r="A268" s="72">
        <v>262</v>
      </c>
      <c r="B268" s="72" t="s">
        <v>1046</v>
      </c>
      <c r="C268" s="72"/>
    </row>
    <row r="269" spans="1:3" ht="13.5">
      <c r="A269" s="73">
        <v>263</v>
      </c>
      <c r="B269" s="73" t="s">
        <v>301</v>
      </c>
      <c r="C269" s="73"/>
    </row>
    <row r="270" spans="1:3" ht="13.5">
      <c r="A270" s="72">
        <v>264</v>
      </c>
      <c r="B270" s="72" t="s">
        <v>1040</v>
      </c>
      <c r="C270" s="72" t="s">
        <v>1381</v>
      </c>
    </row>
    <row r="271" spans="1:3" ht="13.5">
      <c r="A271" s="73">
        <v>265</v>
      </c>
      <c r="B271" s="73" t="s">
        <v>224</v>
      </c>
      <c r="C271" s="73" t="s">
        <v>1342</v>
      </c>
    </row>
    <row r="272" spans="1:3" ht="13.5">
      <c r="A272" s="72">
        <v>266</v>
      </c>
      <c r="B272" s="72" t="s">
        <v>377</v>
      </c>
      <c r="C272" s="72" t="s">
        <v>7105</v>
      </c>
    </row>
    <row r="273" spans="1:3" ht="13.5">
      <c r="A273" s="73">
        <v>267</v>
      </c>
      <c r="B273" s="73" t="s">
        <v>356</v>
      </c>
      <c r="C273" s="73" t="s">
        <v>1396</v>
      </c>
    </row>
    <row r="274" spans="1:3" ht="13.5">
      <c r="A274" s="72">
        <v>268</v>
      </c>
      <c r="B274" s="72" t="s">
        <v>126</v>
      </c>
      <c r="C274" s="72" t="s">
        <v>1385</v>
      </c>
    </row>
    <row r="275" spans="1:3" ht="13.5">
      <c r="A275" s="73">
        <v>269</v>
      </c>
      <c r="B275" s="73" t="s">
        <v>5692</v>
      </c>
      <c r="C275" s="73"/>
    </row>
    <row r="276" spans="1:3" ht="13.5">
      <c r="A276" s="72">
        <v>270</v>
      </c>
      <c r="B276" s="72" t="s">
        <v>7106</v>
      </c>
      <c r="C276" s="72"/>
    </row>
    <row r="277" spans="1:3" ht="13.5">
      <c r="A277" s="73">
        <v>271</v>
      </c>
      <c r="B277" s="73" t="s">
        <v>443</v>
      </c>
      <c r="C277" s="73" t="s">
        <v>1387</v>
      </c>
    </row>
    <row r="278" spans="1:3" ht="13.5">
      <c r="A278" s="72">
        <v>272</v>
      </c>
      <c r="B278" s="72" t="s">
        <v>7107</v>
      </c>
      <c r="C278" s="72"/>
    </row>
    <row r="279" spans="1:3" ht="13.5">
      <c r="A279" s="73">
        <v>273</v>
      </c>
      <c r="B279" s="73" t="s">
        <v>7108</v>
      </c>
      <c r="C279" s="73" t="s">
        <v>1432</v>
      </c>
    </row>
    <row r="280" spans="1:3" ht="13.5">
      <c r="A280" s="72">
        <v>274</v>
      </c>
      <c r="B280" s="72" t="s">
        <v>1022</v>
      </c>
      <c r="C280" s="72" t="s">
        <v>1347</v>
      </c>
    </row>
    <row r="281" spans="1:3" ht="13.5">
      <c r="A281" s="73">
        <v>275</v>
      </c>
      <c r="B281" s="73" t="s">
        <v>268</v>
      </c>
      <c r="C281" s="73"/>
    </row>
    <row r="282" spans="1:3" ht="13.5">
      <c r="A282" s="72">
        <v>276</v>
      </c>
      <c r="B282" s="72" t="s">
        <v>7109</v>
      </c>
      <c r="C282" s="72" t="s">
        <v>1411</v>
      </c>
    </row>
    <row r="283" spans="1:3" ht="13.5">
      <c r="A283" s="73">
        <v>277</v>
      </c>
      <c r="B283" s="73" t="s">
        <v>7110</v>
      </c>
      <c r="C283" s="73" t="s">
        <v>7111</v>
      </c>
    </row>
    <row r="284" spans="1:3" ht="13.5">
      <c r="A284" s="72">
        <v>278</v>
      </c>
      <c r="B284" s="72" t="s">
        <v>289</v>
      </c>
      <c r="C284" s="72"/>
    </row>
    <row r="285" spans="1:3" ht="13.5">
      <c r="A285" s="73">
        <v>279</v>
      </c>
      <c r="B285" s="73" t="s">
        <v>275</v>
      </c>
      <c r="C285" s="73"/>
    </row>
    <row r="286" spans="1:3" ht="13.5">
      <c r="A286" s="72">
        <v>280</v>
      </c>
      <c r="B286" s="72" t="s">
        <v>237</v>
      </c>
      <c r="C286" s="72"/>
    </row>
    <row r="287" spans="1:3" ht="13.5">
      <c r="A287" s="73">
        <v>281</v>
      </c>
      <c r="B287" s="73" t="s">
        <v>242</v>
      </c>
      <c r="C287" s="73"/>
    </row>
    <row r="288" spans="1:3" ht="13.5">
      <c r="A288" s="72">
        <v>282</v>
      </c>
      <c r="B288" s="72" t="s">
        <v>1045</v>
      </c>
      <c r="C288" s="72" t="s">
        <v>1386</v>
      </c>
    </row>
    <row r="289" spans="1:3" ht="13.5">
      <c r="A289" s="73">
        <v>283</v>
      </c>
      <c r="B289" s="73" t="s">
        <v>1038</v>
      </c>
      <c r="C289" s="73" t="s">
        <v>1365</v>
      </c>
    </row>
    <row r="290" spans="1:3" ht="13.5">
      <c r="A290" s="72">
        <v>284</v>
      </c>
      <c r="B290" s="72" t="s">
        <v>7112</v>
      </c>
      <c r="C290" s="72" t="s">
        <v>1283</v>
      </c>
    </row>
    <row r="291" spans="1:3" ht="13.5">
      <c r="A291" s="73">
        <v>285</v>
      </c>
      <c r="B291" s="73" t="s">
        <v>214</v>
      </c>
      <c r="C291" s="73" t="s">
        <v>1340</v>
      </c>
    </row>
    <row r="292" spans="1:3" ht="13.5">
      <c r="A292" s="72">
        <v>286</v>
      </c>
      <c r="B292" s="72" t="s">
        <v>7113</v>
      </c>
      <c r="C292" s="72"/>
    </row>
    <row r="293" spans="1:3" ht="13.5">
      <c r="A293" s="73">
        <v>287</v>
      </c>
      <c r="B293" s="73" t="s">
        <v>232</v>
      </c>
      <c r="C293" s="73" t="s">
        <v>1394</v>
      </c>
    </row>
    <row r="294" spans="1:3" ht="13.5">
      <c r="A294" s="72">
        <v>288</v>
      </c>
      <c r="B294" s="72" t="s">
        <v>182</v>
      </c>
      <c r="C294" s="72" t="s">
        <v>1389</v>
      </c>
    </row>
    <row r="295" spans="1:3" ht="13.5">
      <c r="A295" s="73">
        <v>289</v>
      </c>
      <c r="B295" s="73" t="s">
        <v>7114</v>
      </c>
      <c r="C295" s="73"/>
    </row>
    <row r="296" spans="1:3" ht="13.5">
      <c r="A296" s="72">
        <v>290</v>
      </c>
      <c r="B296" s="72" t="s">
        <v>1050</v>
      </c>
      <c r="C296" s="72" t="s">
        <v>1403</v>
      </c>
    </row>
    <row r="297" spans="1:3" ht="13.5">
      <c r="A297" s="73">
        <v>291</v>
      </c>
      <c r="B297" s="73" t="s">
        <v>7115</v>
      </c>
      <c r="C297" s="73" t="s">
        <v>1407</v>
      </c>
    </row>
    <row r="298" spans="1:3" ht="13.5">
      <c r="A298" s="72">
        <v>292</v>
      </c>
      <c r="B298" s="72" t="s">
        <v>7116</v>
      </c>
      <c r="C298" s="72" t="s">
        <v>1374</v>
      </c>
    </row>
    <row r="299" spans="1:3" ht="13.5">
      <c r="A299" s="73">
        <v>293</v>
      </c>
      <c r="B299" s="73" t="s">
        <v>5734</v>
      </c>
      <c r="C299" s="73" t="s">
        <v>1370</v>
      </c>
    </row>
    <row r="300" spans="1:3" ht="13.5">
      <c r="A300" s="72">
        <v>294</v>
      </c>
      <c r="B300" s="72" t="s">
        <v>435</v>
      </c>
      <c r="C300" s="72" t="s">
        <v>1397</v>
      </c>
    </row>
    <row r="301" spans="1:3" ht="13.5">
      <c r="A301" s="73">
        <v>295</v>
      </c>
      <c r="B301" s="73" t="s">
        <v>178</v>
      </c>
      <c r="C301" s="73" t="s">
        <v>1393</v>
      </c>
    </row>
    <row r="302" spans="1:3" ht="13.5">
      <c r="A302" s="72">
        <v>296</v>
      </c>
      <c r="B302" s="72" t="s">
        <v>1834</v>
      </c>
      <c r="C302" s="72" t="s">
        <v>7117</v>
      </c>
    </row>
    <row r="303" spans="1:3" ht="13.5">
      <c r="A303" s="73">
        <v>297</v>
      </c>
      <c r="B303" s="73" t="s">
        <v>1838</v>
      </c>
      <c r="C303" s="73"/>
    </row>
    <row r="304" spans="1:3" ht="13.5">
      <c r="A304" s="72">
        <v>298</v>
      </c>
      <c r="B304" s="72" t="s">
        <v>259</v>
      </c>
      <c r="C304" s="72"/>
    </row>
    <row r="305" spans="1:3" ht="13.5">
      <c r="A305" s="73">
        <v>299</v>
      </c>
      <c r="B305" s="73" t="s">
        <v>310</v>
      </c>
      <c r="C305" s="73" t="s">
        <v>1428</v>
      </c>
    </row>
    <row r="306" spans="1:3" ht="13.5">
      <c r="A306" s="72">
        <v>300</v>
      </c>
      <c r="B306" s="72" t="s">
        <v>1900</v>
      </c>
      <c r="C306" s="72" t="s">
        <v>1436</v>
      </c>
    </row>
    <row r="307" spans="1:3" ht="13.5">
      <c r="A307" s="73">
        <v>301</v>
      </c>
      <c r="B307" s="73" t="s">
        <v>132</v>
      </c>
      <c r="C307" s="73" t="s">
        <v>1388</v>
      </c>
    </row>
    <row r="308" spans="1:3" ht="13.5">
      <c r="A308" s="72">
        <v>302</v>
      </c>
      <c r="B308" s="72" t="s">
        <v>725</v>
      </c>
      <c r="C308" s="72" t="s">
        <v>726</v>
      </c>
    </row>
    <row r="309" spans="1:3" ht="13.5">
      <c r="A309" s="73">
        <v>303</v>
      </c>
      <c r="B309" s="73" t="s">
        <v>7118</v>
      </c>
      <c r="C309" s="73" t="s">
        <v>1343</v>
      </c>
    </row>
    <row r="310" spans="1:3" ht="13.5">
      <c r="A310" s="72">
        <v>304</v>
      </c>
      <c r="B310" s="72" t="s">
        <v>803</v>
      </c>
      <c r="C310" s="72" t="s">
        <v>7119</v>
      </c>
    </row>
    <row r="311" spans="1:3" ht="13.5">
      <c r="A311" s="73">
        <v>305</v>
      </c>
      <c r="B311" s="73" t="s">
        <v>1405</v>
      </c>
      <c r="C311" s="73"/>
    </row>
    <row r="312" spans="1:3" ht="13.5">
      <c r="A312" s="72">
        <v>306</v>
      </c>
      <c r="B312" s="72" t="s">
        <v>7120</v>
      </c>
      <c r="C312" s="72" t="s">
        <v>1417</v>
      </c>
    </row>
    <row r="313" spans="1:3" ht="13.5">
      <c r="A313" s="73">
        <v>307</v>
      </c>
      <c r="B313" s="73" t="s">
        <v>7121</v>
      </c>
      <c r="C313" s="73"/>
    </row>
    <row r="314" spans="1:3" ht="13.5">
      <c r="A314" s="72">
        <v>308</v>
      </c>
      <c r="B314" s="72" t="s">
        <v>335</v>
      </c>
      <c r="C314" s="72" t="s">
        <v>1395</v>
      </c>
    </row>
    <row r="315" spans="1:3" ht="13.5">
      <c r="A315" s="73">
        <v>309</v>
      </c>
      <c r="B315" s="73" t="s">
        <v>7122</v>
      </c>
      <c r="C315" s="73"/>
    </row>
    <row r="316" spans="1:3" ht="13.5">
      <c r="A316" s="72">
        <v>310</v>
      </c>
      <c r="B316" s="72" t="s">
        <v>1048</v>
      </c>
      <c r="C316" s="72" t="s">
        <v>1398</v>
      </c>
    </row>
    <row r="317" spans="1:3" ht="13.5">
      <c r="A317" s="73">
        <v>311</v>
      </c>
      <c r="B317" s="73" t="s">
        <v>1024</v>
      </c>
      <c r="C317" s="73" t="s">
        <v>1353</v>
      </c>
    </row>
    <row r="318" spans="1:3" ht="13.5">
      <c r="A318" s="72">
        <v>312</v>
      </c>
      <c r="B318" s="72" t="s">
        <v>7123</v>
      </c>
      <c r="C318" s="72" t="s">
        <v>1430</v>
      </c>
    </row>
    <row r="319" spans="1:3" ht="13.5">
      <c r="A319" s="73">
        <v>313</v>
      </c>
      <c r="B319" s="73" t="s">
        <v>209</v>
      </c>
      <c r="C319" s="73"/>
    </row>
    <row r="320" spans="1:3" ht="13.5">
      <c r="A320" s="72">
        <v>314</v>
      </c>
      <c r="B320" s="72" t="s">
        <v>1784</v>
      </c>
      <c r="C320" s="72"/>
    </row>
    <row r="321" spans="1:3" ht="13.5">
      <c r="A321" s="73">
        <v>315</v>
      </c>
      <c r="B321" s="73" t="s">
        <v>7124</v>
      </c>
      <c r="C321" s="73"/>
    </row>
    <row r="322" spans="1:3" ht="13.5">
      <c r="A322" s="72">
        <v>316</v>
      </c>
      <c r="B322" s="72" t="s">
        <v>452</v>
      </c>
      <c r="C322" s="72" t="s">
        <v>1410</v>
      </c>
    </row>
    <row r="323" spans="1:3" ht="13.5">
      <c r="A323" s="73">
        <v>317</v>
      </c>
      <c r="B323" s="73" t="s">
        <v>1029</v>
      </c>
      <c r="C323" s="73"/>
    </row>
    <row r="324" spans="1:3" ht="13.5">
      <c r="A324" s="72">
        <v>318</v>
      </c>
      <c r="B324" s="72" t="s">
        <v>305</v>
      </c>
      <c r="C324" s="72"/>
    </row>
    <row r="325" spans="1:3" ht="13.5">
      <c r="A325" s="73">
        <v>319</v>
      </c>
      <c r="B325" s="73" t="s">
        <v>194</v>
      </c>
      <c r="C325" s="73" t="s">
        <v>1391</v>
      </c>
    </row>
    <row r="326" spans="1:3" ht="13.5">
      <c r="A326" s="72">
        <v>320</v>
      </c>
      <c r="B326" s="72" t="s">
        <v>207</v>
      </c>
      <c r="C326" s="72" t="s">
        <v>1406</v>
      </c>
    </row>
    <row r="327" spans="1:3" ht="13.5">
      <c r="A327" s="73">
        <v>321</v>
      </c>
      <c r="B327" s="73" t="s">
        <v>454</v>
      </c>
      <c r="C327" s="73" t="s">
        <v>1399</v>
      </c>
    </row>
    <row r="328" spans="1:3" ht="13.5">
      <c r="A328" s="72">
        <v>322</v>
      </c>
      <c r="B328" s="72" t="s">
        <v>364</v>
      </c>
      <c r="C328" s="72"/>
    </row>
    <row r="329" spans="1:3" ht="13.5">
      <c r="A329" s="73">
        <v>323</v>
      </c>
      <c r="B329" s="73" t="s">
        <v>1018</v>
      </c>
      <c r="C329" s="73" t="s">
        <v>1344</v>
      </c>
    </row>
    <row r="330" spans="1:3" ht="13.5">
      <c r="A330" s="72">
        <v>324</v>
      </c>
      <c r="B330" s="72" t="s">
        <v>7125</v>
      </c>
      <c r="C330" s="72" t="s">
        <v>1379</v>
      </c>
    </row>
    <row r="331" spans="1:3" ht="13.5">
      <c r="A331" s="73">
        <v>325</v>
      </c>
      <c r="B331" s="73" t="s">
        <v>1051</v>
      </c>
      <c r="C331" s="73" t="s">
        <v>1409</v>
      </c>
    </row>
    <row r="332" spans="1:3" ht="13.5">
      <c r="A332" s="72">
        <v>326</v>
      </c>
      <c r="B332" s="72" t="s">
        <v>197</v>
      </c>
      <c r="C332" s="72" t="s">
        <v>1329</v>
      </c>
    </row>
    <row r="333" spans="1:3" ht="13.5">
      <c r="A333" s="73">
        <v>327</v>
      </c>
      <c r="B333" s="73" t="s">
        <v>172</v>
      </c>
      <c r="C333" s="73"/>
    </row>
    <row r="334" spans="1:3" ht="13.5">
      <c r="A334" s="72">
        <v>328</v>
      </c>
      <c r="B334" s="72" t="s">
        <v>7126</v>
      </c>
      <c r="C334" s="72" t="s">
        <v>1424</v>
      </c>
    </row>
    <row r="335" spans="1:3" ht="13.5">
      <c r="A335" s="73">
        <v>329</v>
      </c>
      <c r="B335" s="73" t="s">
        <v>421</v>
      </c>
      <c r="C335" s="73" t="s">
        <v>1422</v>
      </c>
    </row>
    <row r="336" spans="1:3" ht="13.5">
      <c r="A336" s="72">
        <v>330</v>
      </c>
      <c r="B336" s="72" t="s">
        <v>313</v>
      </c>
      <c r="C336" s="72" t="s">
        <v>1435</v>
      </c>
    </row>
    <row r="337" spans="1:3" ht="13.5">
      <c r="A337" s="73">
        <v>331</v>
      </c>
      <c r="B337" s="73" t="s">
        <v>7127</v>
      </c>
      <c r="C337" s="73" t="s">
        <v>1419</v>
      </c>
    </row>
    <row r="338" spans="1:3" ht="13.5">
      <c r="A338" s="72">
        <v>332</v>
      </c>
      <c r="B338" s="72" t="s">
        <v>1055</v>
      </c>
      <c r="C338" s="72" t="s">
        <v>1404</v>
      </c>
    </row>
    <row r="339" spans="1:3" ht="13.5">
      <c r="A339" s="73">
        <v>333</v>
      </c>
      <c r="B339" s="73" t="s">
        <v>1039</v>
      </c>
      <c r="C339" s="73" t="s">
        <v>7128</v>
      </c>
    </row>
    <row r="340" spans="1:3" ht="13.5">
      <c r="A340" s="72">
        <v>334</v>
      </c>
      <c r="B340" s="72" t="s">
        <v>1041</v>
      </c>
      <c r="C340" s="72" t="s">
        <v>1382</v>
      </c>
    </row>
    <row r="341" spans="1:3" ht="13.5">
      <c r="A341" s="73">
        <v>335</v>
      </c>
      <c r="B341" s="73" t="s">
        <v>1054</v>
      </c>
      <c r="C341" s="73" t="s">
        <v>1418</v>
      </c>
    </row>
    <row r="342" spans="1:3" ht="13.5">
      <c r="A342" s="72">
        <v>336</v>
      </c>
      <c r="B342" s="72" t="s">
        <v>1053</v>
      </c>
      <c r="C342" s="72" t="s">
        <v>1413</v>
      </c>
    </row>
    <row r="343" spans="1:3" ht="13.5">
      <c r="A343" s="73">
        <v>337</v>
      </c>
      <c r="B343" s="73" t="s">
        <v>1049</v>
      </c>
      <c r="C343" s="73" t="s">
        <v>1400</v>
      </c>
    </row>
    <row r="344" spans="1:3" ht="13.5">
      <c r="A344" s="72">
        <v>338</v>
      </c>
      <c r="B344" s="72" t="s">
        <v>7129</v>
      </c>
      <c r="C344" s="72"/>
    </row>
    <row r="345" spans="1:3" ht="13.5">
      <c r="A345" s="73">
        <v>339</v>
      </c>
      <c r="B345" s="73" t="s">
        <v>7130</v>
      </c>
      <c r="C345" s="73"/>
    </row>
    <row r="346" spans="1:3" ht="13.5">
      <c r="A346" s="72">
        <v>340</v>
      </c>
      <c r="B346" s="72" t="s">
        <v>223</v>
      </c>
      <c r="C346" s="72" t="s">
        <v>1416</v>
      </c>
    </row>
    <row r="347" spans="1:3" ht="13.5">
      <c r="A347" s="73">
        <v>341</v>
      </c>
      <c r="B347" s="73" t="s">
        <v>7131</v>
      </c>
      <c r="C347" s="73"/>
    </row>
    <row r="348" spans="1:3" ht="13.5">
      <c r="A348" s="72">
        <v>342</v>
      </c>
      <c r="B348" s="72" t="s">
        <v>7132</v>
      </c>
      <c r="C348" s="72"/>
    </row>
    <row r="349" spans="1:3" ht="13.5">
      <c r="A349" s="73">
        <v>343</v>
      </c>
      <c r="B349" s="73" t="s">
        <v>274</v>
      </c>
      <c r="C349" s="73"/>
    </row>
    <row r="350" spans="1:3" ht="13.5">
      <c r="A350" s="72">
        <v>344</v>
      </c>
      <c r="B350" s="72" t="s">
        <v>5714</v>
      </c>
      <c r="C350" s="72" t="s">
        <v>7133</v>
      </c>
    </row>
    <row r="351" spans="1:3" ht="13.5">
      <c r="A351" s="73">
        <v>345</v>
      </c>
      <c r="B351" s="73" t="s">
        <v>7134</v>
      </c>
      <c r="C351" s="73"/>
    </row>
    <row r="352" spans="1:3" ht="13.5">
      <c r="A352" s="72">
        <v>346</v>
      </c>
      <c r="B352" s="72" t="s">
        <v>7135</v>
      </c>
      <c r="C352" s="72"/>
    </row>
    <row r="353" spans="1:3" ht="13.5">
      <c r="A353" s="73">
        <v>347</v>
      </c>
      <c r="B353" s="73" t="s">
        <v>216</v>
      </c>
      <c r="C353" s="73"/>
    </row>
    <row r="354" spans="1:3" ht="13.5">
      <c r="A354" s="72">
        <v>348</v>
      </c>
      <c r="B354" s="72" t="s">
        <v>7136</v>
      </c>
      <c r="C354" s="72"/>
    </row>
    <row r="355" spans="1:3" ht="13.5">
      <c r="A355" s="73">
        <v>349</v>
      </c>
      <c r="B355" s="73" t="s">
        <v>7137</v>
      </c>
      <c r="C355" s="73"/>
    </row>
    <row r="356" spans="1:3" ht="13.5">
      <c r="A356" s="72">
        <v>350</v>
      </c>
      <c r="B356" s="72" t="s">
        <v>7138</v>
      </c>
      <c r="C356" s="72"/>
    </row>
    <row r="357" spans="1:3" ht="13.5">
      <c r="A357" s="73">
        <v>351</v>
      </c>
      <c r="B357" s="73" t="s">
        <v>7139</v>
      </c>
      <c r="C357" s="73"/>
    </row>
    <row r="358" spans="1:3" ht="13.5">
      <c r="A358" s="72">
        <v>352</v>
      </c>
      <c r="B358" s="72" t="s">
        <v>341</v>
      </c>
      <c r="C358" s="72" t="s">
        <v>1349</v>
      </c>
    </row>
    <row r="359" spans="1:3" ht="13.5">
      <c r="A359" s="73">
        <v>353</v>
      </c>
      <c r="B359" s="73" t="s">
        <v>312</v>
      </c>
      <c r="C359" s="73"/>
    </row>
    <row r="360" spans="1:3" ht="13.5">
      <c r="A360" s="72">
        <v>354</v>
      </c>
      <c r="B360" s="72" t="s">
        <v>7140</v>
      </c>
      <c r="C360" s="72"/>
    </row>
    <row r="361" spans="1:3" ht="13.5">
      <c r="A361" s="73">
        <v>355</v>
      </c>
      <c r="B361" s="73" t="s">
        <v>228</v>
      </c>
      <c r="C361" s="73"/>
    </row>
    <row r="362" spans="1:3" ht="13.5">
      <c r="A362" s="72">
        <v>356</v>
      </c>
      <c r="B362" s="72" t="s">
        <v>7141</v>
      </c>
      <c r="C362" s="72"/>
    </row>
    <row r="363" spans="1:3" ht="13.5">
      <c r="A363" s="73">
        <v>357</v>
      </c>
      <c r="B363" s="73" t="s">
        <v>7142</v>
      </c>
      <c r="C363" s="73"/>
    </row>
    <row r="364" spans="1:3" ht="13.5">
      <c r="A364" s="72">
        <v>358</v>
      </c>
      <c r="B364" s="72" t="s">
        <v>7143</v>
      </c>
      <c r="C364" s="72"/>
    </row>
    <row r="365" spans="1:3" ht="13.5">
      <c r="A365" s="73">
        <v>359</v>
      </c>
      <c r="B365" s="73" t="s">
        <v>323</v>
      </c>
      <c r="C365" s="73" t="s">
        <v>1439</v>
      </c>
    </row>
    <row r="366" spans="1:3" ht="13.5">
      <c r="A366" s="72">
        <v>360</v>
      </c>
      <c r="B366" s="72" t="s">
        <v>7144</v>
      </c>
      <c r="C366" s="72"/>
    </row>
    <row r="367" spans="1:3" ht="13.5">
      <c r="A367" s="73">
        <v>361</v>
      </c>
      <c r="B367" s="73" t="s">
        <v>1901</v>
      </c>
      <c r="C367" s="73" t="s">
        <v>1431</v>
      </c>
    </row>
    <row r="368" spans="1:3" ht="13.5">
      <c r="A368" s="72">
        <v>362</v>
      </c>
      <c r="B368" s="72" t="s">
        <v>456</v>
      </c>
      <c r="C368" s="72"/>
    </row>
    <row r="369" spans="1:3" ht="13.5">
      <c r="A369" s="73">
        <v>363</v>
      </c>
      <c r="B369" s="73" t="s">
        <v>1715</v>
      </c>
      <c r="C369" s="73"/>
    </row>
    <row r="370" spans="1:3" ht="13.5">
      <c r="A370" s="72">
        <v>364</v>
      </c>
      <c r="B370" s="72" t="s">
        <v>281</v>
      </c>
      <c r="C370" s="72"/>
    </row>
    <row r="371" spans="1:3" ht="13.5">
      <c r="A371" s="73">
        <v>365</v>
      </c>
      <c r="B371" s="73" t="s">
        <v>219</v>
      </c>
      <c r="C371" s="73"/>
    </row>
    <row r="372" spans="1:3" ht="13.5">
      <c r="A372" s="72">
        <v>366</v>
      </c>
      <c r="B372" s="72" t="s">
        <v>7145</v>
      </c>
      <c r="C372" s="72" t="s">
        <v>1429</v>
      </c>
    </row>
    <row r="373" spans="1:3" ht="13.5">
      <c r="A373" s="73">
        <v>367</v>
      </c>
      <c r="B373" s="73" t="s">
        <v>311</v>
      </c>
      <c r="C373" s="73" t="s">
        <v>7146</v>
      </c>
    </row>
    <row r="374" spans="1:3" ht="13.5">
      <c r="A374" s="72">
        <v>368</v>
      </c>
      <c r="B374" s="72" t="s">
        <v>1058</v>
      </c>
      <c r="C374" s="72" t="s">
        <v>1434</v>
      </c>
    </row>
    <row r="375" spans="1:3" ht="13.5">
      <c r="A375" s="73">
        <v>369</v>
      </c>
      <c r="B375" s="73" t="s">
        <v>1896</v>
      </c>
      <c r="C375" s="73" t="s">
        <v>7147</v>
      </c>
    </row>
    <row r="376" spans="1:3" ht="13.5">
      <c r="A376" s="72">
        <v>370</v>
      </c>
      <c r="B376" s="72" t="s">
        <v>7148</v>
      </c>
      <c r="C376" s="72"/>
    </row>
    <row r="377" spans="1:3" ht="13.5">
      <c r="A377" s="73">
        <v>371</v>
      </c>
      <c r="B377" s="73" t="s">
        <v>345</v>
      </c>
      <c r="C377" s="73"/>
    </row>
    <row r="378" spans="1:3" ht="13.5">
      <c r="A378" s="72">
        <v>372</v>
      </c>
      <c r="B378" s="72" t="s">
        <v>337</v>
      </c>
      <c r="C378" s="72" t="s">
        <v>1440</v>
      </c>
    </row>
    <row r="379" spans="1:3" ht="13.5">
      <c r="A379" s="73">
        <v>373</v>
      </c>
      <c r="B379" s="73" t="s">
        <v>5710</v>
      </c>
      <c r="C379" s="73"/>
    </row>
    <row r="380" spans="1:3" ht="13.5">
      <c r="A380" s="72">
        <v>374</v>
      </c>
      <c r="B380" s="72" t="s">
        <v>1886</v>
      </c>
      <c r="C380" s="72" t="s">
        <v>7149</v>
      </c>
    </row>
    <row r="381" spans="1:3" ht="13.5">
      <c r="A381" s="73">
        <v>375</v>
      </c>
      <c r="B381" s="73" t="s">
        <v>7150</v>
      </c>
      <c r="C381" s="73"/>
    </row>
    <row r="382" spans="1:3" ht="13.5">
      <c r="A382" s="72">
        <v>376</v>
      </c>
      <c r="B382" s="72" t="s">
        <v>7151</v>
      </c>
      <c r="C382" s="72"/>
    </row>
    <row r="383" spans="1:3" ht="13.5">
      <c r="A383" s="73">
        <v>377</v>
      </c>
      <c r="B383" s="73" t="s">
        <v>7152</v>
      </c>
      <c r="C383" s="73" t="s">
        <v>1438</v>
      </c>
    </row>
    <row r="384" spans="1:3" ht="13.5">
      <c r="A384" s="72">
        <v>378</v>
      </c>
      <c r="B384" s="72" t="s">
        <v>342</v>
      </c>
      <c r="C384" s="72" t="s">
        <v>1361</v>
      </c>
    </row>
    <row r="385" spans="1:3" ht="13.5">
      <c r="A385" s="73">
        <v>379</v>
      </c>
      <c r="B385" s="73" t="s">
        <v>7153</v>
      </c>
      <c r="C385" s="73"/>
    </row>
    <row r="386" spans="1:3" ht="13.5">
      <c r="A386" s="72">
        <v>380</v>
      </c>
      <c r="B386" s="72" t="s">
        <v>7154</v>
      </c>
      <c r="C386" s="72"/>
    </row>
    <row r="387" spans="1:3" ht="13.5">
      <c r="A387" s="73">
        <v>381</v>
      </c>
      <c r="B387" s="73" t="s">
        <v>7155</v>
      </c>
      <c r="C387" s="73"/>
    </row>
    <row r="388" spans="1:3" ht="13.5">
      <c r="A388" s="72">
        <v>382</v>
      </c>
      <c r="B388" s="72" t="s">
        <v>371</v>
      </c>
      <c r="C388" s="72" t="s">
        <v>1368</v>
      </c>
    </row>
    <row r="389" spans="1:3" ht="13.5">
      <c r="A389" s="73">
        <v>383</v>
      </c>
      <c r="B389" s="73" t="s">
        <v>1889</v>
      </c>
      <c r="C389" s="73" t="s">
        <v>7156</v>
      </c>
    </row>
    <row r="390" spans="1:3" ht="13.5">
      <c r="A390" s="72">
        <v>384</v>
      </c>
      <c r="B390" s="72" t="s">
        <v>7157</v>
      </c>
      <c r="C390" s="72"/>
    </row>
    <row r="391" spans="1:3" ht="13.5">
      <c r="A391" s="73">
        <v>385</v>
      </c>
      <c r="B391" s="73" t="s">
        <v>7158</v>
      </c>
      <c r="C391" s="73" t="s">
        <v>1442</v>
      </c>
    </row>
    <row r="392" spans="1:3" ht="13.5">
      <c r="A392" s="72">
        <v>386</v>
      </c>
      <c r="B392" s="72" t="s">
        <v>7159</v>
      </c>
      <c r="C392" s="72"/>
    </row>
    <row r="393" spans="1:3" ht="13.5">
      <c r="A393" s="73">
        <v>387</v>
      </c>
      <c r="B393" s="73" t="s">
        <v>7160</v>
      </c>
      <c r="C393" s="73"/>
    </row>
    <row r="394" spans="1:3" ht="13.5">
      <c r="A394" s="72">
        <v>388</v>
      </c>
      <c r="B394" s="72" t="s">
        <v>7161</v>
      </c>
      <c r="C394" s="72"/>
    </row>
    <row r="395" spans="1:3" ht="13.5">
      <c r="A395" s="73">
        <v>389</v>
      </c>
      <c r="B395" s="73" t="s">
        <v>411</v>
      </c>
      <c r="C395" s="73" t="s">
        <v>1433</v>
      </c>
    </row>
    <row r="396" spans="1:3" ht="13.5">
      <c r="A396" s="72">
        <v>390</v>
      </c>
      <c r="B396" s="72" t="s">
        <v>7162</v>
      </c>
      <c r="C396" s="72"/>
    </row>
    <row r="397" spans="1:3" ht="13.5">
      <c r="A397" s="73">
        <v>391</v>
      </c>
      <c r="B397" s="73" t="s">
        <v>7163</v>
      </c>
      <c r="C397" s="73"/>
    </row>
    <row r="398" spans="1:3" ht="13.5">
      <c r="A398" s="72">
        <v>392</v>
      </c>
      <c r="B398" s="72" t="s">
        <v>365</v>
      </c>
      <c r="C398" s="72" t="s">
        <v>1401</v>
      </c>
    </row>
    <row r="399" spans="1:3" ht="13.5">
      <c r="A399" s="73">
        <v>393</v>
      </c>
      <c r="B399" s="73" t="s">
        <v>7164</v>
      </c>
      <c r="C399" s="73"/>
    </row>
    <row r="400" spans="1:3" ht="13.5">
      <c r="A400" s="72">
        <v>394</v>
      </c>
      <c r="B400" s="72" t="s">
        <v>1890</v>
      </c>
      <c r="C400" s="72" t="s">
        <v>7165</v>
      </c>
    </row>
    <row r="401" spans="1:3" ht="13.5">
      <c r="A401" s="73">
        <v>395</v>
      </c>
      <c r="B401" s="73" t="s">
        <v>466</v>
      </c>
      <c r="C401" s="73"/>
    </row>
    <row r="402" spans="1:3" ht="13.5">
      <c r="A402" s="72">
        <v>396</v>
      </c>
      <c r="B402" s="72" t="s">
        <v>7166</v>
      </c>
      <c r="C402" s="72" t="s">
        <v>7167</v>
      </c>
    </row>
    <row r="403" spans="1:3" ht="13.5">
      <c r="A403" s="73">
        <v>397</v>
      </c>
      <c r="B403" s="73" t="s">
        <v>7168</v>
      </c>
      <c r="C403" s="73"/>
    </row>
    <row r="404" spans="1:3" ht="13.5">
      <c r="A404" s="72">
        <v>398</v>
      </c>
      <c r="B404" s="72" t="s">
        <v>7169</v>
      </c>
      <c r="C404" s="72"/>
    </row>
    <row r="405" spans="1:3" ht="13.5">
      <c r="A405" s="73">
        <v>399</v>
      </c>
      <c r="B405" s="73" t="s">
        <v>7170</v>
      </c>
      <c r="C405" s="73"/>
    </row>
    <row r="406" spans="1:3" ht="13.5">
      <c r="A406" s="72">
        <v>400</v>
      </c>
      <c r="B406" s="72" t="s">
        <v>285</v>
      </c>
      <c r="C406" s="72" t="s">
        <v>1426</v>
      </c>
    </row>
    <row r="407" spans="1:3" ht="13.5">
      <c r="A407" s="73">
        <v>401</v>
      </c>
      <c r="B407" s="73" t="s">
        <v>7171</v>
      </c>
      <c r="C407" s="73"/>
    </row>
    <row r="408" spans="1:3" ht="13.5">
      <c r="A408" s="72">
        <v>402</v>
      </c>
      <c r="B408" s="72" t="s">
        <v>7172</v>
      </c>
      <c r="C408" s="72"/>
    </row>
    <row r="409" spans="1:3" ht="13.5">
      <c r="A409" s="73">
        <v>403</v>
      </c>
      <c r="B409" s="73" t="s">
        <v>134</v>
      </c>
      <c r="C409" s="73"/>
    </row>
    <row r="410" spans="1:3" ht="13.5">
      <c r="A410" s="72">
        <v>404</v>
      </c>
      <c r="B410" s="72" t="s">
        <v>7173</v>
      </c>
      <c r="C410" s="72"/>
    </row>
    <row r="411" spans="1:3" ht="13.5">
      <c r="A411" s="73">
        <v>405</v>
      </c>
      <c r="B411" s="73" t="s">
        <v>7174</v>
      </c>
      <c r="C411" s="73"/>
    </row>
    <row r="412" spans="1:3" ht="13.5">
      <c r="A412" s="72">
        <v>406</v>
      </c>
      <c r="B412" s="72" t="s">
        <v>5728</v>
      </c>
      <c r="C412" s="72"/>
    </row>
    <row r="413" spans="1:3" ht="13.5">
      <c r="A413" s="73">
        <v>407</v>
      </c>
      <c r="B413" s="73" t="s">
        <v>783</v>
      </c>
      <c r="C413" s="73" t="s">
        <v>1441</v>
      </c>
    </row>
    <row r="414" spans="1:3" ht="13.5">
      <c r="A414" s="72">
        <v>408</v>
      </c>
      <c r="B414" s="72" t="s">
        <v>309</v>
      </c>
      <c r="C414" s="72"/>
    </row>
    <row r="415" spans="1:3" ht="13.5">
      <c r="A415" s="73">
        <v>409</v>
      </c>
      <c r="B415" s="73" t="s">
        <v>1887</v>
      </c>
      <c r="C415" s="73" t="s">
        <v>7175</v>
      </c>
    </row>
    <row r="416" spans="1:3" ht="13.5">
      <c r="A416" s="72">
        <v>410</v>
      </c>
      <c r="B416" s="72" t="s">
        <v>7176</v>
      </c>
      <c r="C416" s="72"/>
    </row>
    <row r="417" spans="1:3" ht="13.5">
      <c r="A417" s="73">
        <v>411</v>
      </c>
      <c r="B417" s="73" t="s">
        <v>317</v>
      </c>
      <c r="C417" s="73" t="s">
        <v>1287</v>
      </c>
    </row>
    <row r="418" spans="1:3" ht="13.5">
      <c r="A418" s="72">
        <v>412</v>
      </c>
      <c r="B418" s="72" t="s">
        <v>5701</v>
      </c>
      <c r="C418" s="72" t="s">
        <v>7177</v>
      </c>
    </row>
    <row r="419" spans="1:3" ht="13.5">
      <c r="A419" s="73">
        <v>413</v>
      </c>
      <c r="B419" s="73" t="s">
        <v>7178</v>
      </c>
      <c r="C419" s="73" t="s">
        <v>1350</v>
      </c>
    </row>
    <row r="420" spans="1:3" ht="13.5">
      <c r="A420" s="72">
        <v>414</v>
      </c>
      <c r="B420" s="72" t="s">
        <v>374</v>
      </c>
      <c r="C420" s="72" t="s">
        <v>1444</v>
      </c>
    </row>
    <row r="421" spans="1:3" ht="13.5">
      <c r="A421" s="73">
        <v>415</v>
      </c>
      <c r="B421" s="73" t="s">
        <v>7179</v>
      </c>
      <c r="C421" s="73"/>
    </row>
    <row r="422" spans="1:3" ht="13.5">
      <c r="A422" s="72">
        <v>416</v>
      </c>
      <c r="B422" s="72" t="s">
        <v>1891</v>
      </c>
      <c r="C422" s="72" t="s">
        <v>7180</v>
      </c>
    </row>
    <row r="423" spans="1:3" ht="13.5">
      <c r="A423" s="73">
        <v>417</v>
      </c>
      <c r="B423" s="73" t="s">
        <v>7181</v>
      </c>
      <c r="C423" s="73" t="s">
        <v>1337</v>
      </c>
    </row>
    <row r="424" spans="1:3" ht="13.5">
      <c r="A424" s="72">
        <v>418</v>
      </c>
      <c r="B424" s="72" t="s">
        <v>7182</v>
      </c>
      <c r="C424" s="72"/>
    </row>
    <row r="425" spans="1:3" ht="13.5">
      <c r="A425" s="73">
        <v>419</v>
      </c>
      <c r="B425" s="73" t="s">
        <v>344</v>
      </c>
      <c r="C425" s="73" t="s">
        <v>1383</v>
      </c>
    </row>
    <row r="426" spans="1:3" ht="13.5">
      <c r="A426" s="72">
        <v>420</v>
      </c>
      <c r="B426" s="72" t="s">
        <v>7183</v>
      </c>
      <c r="C426" s="72" t="s">
        <v>1445</v>
      </c>
    </row>
    <row r="427" spans="1:3" ht="13.5">
      <c r="A427" s="73">
        <v>421</v>
      </c>
      <c r="B427" s="73" t="s">
        <v>316</v>
      </c>
      <c r="C427" s="73"/>
    </row>
    <row r="428" spans="1:3" ht="13.5">
      <c r="A428" s="72">
        <v>422</v>
      </c>
      <c r="B428" s="72" t="s">
        <v>7184</v>
      </c>
      <c r="C428" s="72" t="s">
        <v>1446</v>
      </c>
    </row>
    <row r="429" spans="1:3" ht="13.5">
      <c r="A429" s="73">
        <v>423</v>
      </c>
      <c r="B429" s="73" t="s">
        <v>7185</v>
      </c>
      <c r="C429" s="73"/>
    </row>
    <row r="430" spans="1:3" ht="13.5">
      <c r="A430" s="72">
        <v>424</v>
      </c>
      <c r="B430" s="72" t="s">
        <v>5693</v>
      </c>
      <c r="C430" s="72"/>
    </row>
    <row r="431" spans="1:3" ht="13.5">
      <c r="A431" s="73">
        <v>425</v>
      </c>
      <c r="B431" s="73" t="s">
        <v>7186</v>
      </c>
      <c r="C431" s="73"/>
    </row>
    <row r="432" spans="1:3" ht="13.5">
      <c r="A432" s="72">
        <v>426</v>
      </c>
      <c r="B432" s="72" t="s">
        <v>7187</v>
      </c>
      <c r="C432" s="72"/>
    </row>
    <row r="433" spans="1:3" ht="13.5">
      <c r="A433" s="73">
        <v>427</v>
      </c>
      <c r="B433" s="73" t="s">
        <v>7188</v>
      </c>
      <c r="C433" s="73"/>
    </row>
    <row r="434" spans="1:3" ht="13.5">
      <c r="A434" s="72">
        <v>428</v>
      </c>
      <c r="B434" s="72" t="s">
        <v>7189</v>
      </c>
      <c r="C434" s="72" t="s">
        <v>7190</v>
      </c>
    </row>
    <row r="435" spans="1:3" ht="13.5">
      <c r="A435" s="73">
        <v>429</v>
      </c>
      <c r="B435" s="73" t="s">
        <v>7191</v>
      </c>
      <c r="C435" s="73"/>
    </row>
    <row r="436" spans="1:3" ht="13.5">
      <c r="A436" s="72">
        <v>430</v>
      </c>
      <c r="B436" s="72" t="s">
        <v>1894</v>
      </c>
      <c r="C436" s="72" t="s">
        <v>7192</v>
      </c>
    </row>
    <row r="437" spans="1:3" ht="13.5">
      <c r="A437" s="73">
        <v>431</v>
      </c>
      <c r="B437" s="73" t="s">
        <v>7193</v>
      </c>
      <c r="C437" s="73" t="s">
        <v>7194</v>
      </c>
    </row>
    <row r="438" spans="1:3" ht="13.5">
      <c r="A438" s="72">
        <v>432</v>
      </c>
      <c r="B438" s="72" t="s">
        <v>7195</v>
      </c>
      <c r="C438" s="72"/>
    </row>
    <row r="439" spans="1:3" ht="13.5">
      <c r="A439" s="73">
        <v>433</v>
      </c>
      <c r="B439" s="73" t="s">
        <v>338</v>
      </c>
      <c r="C439" s="73"/>
    </row>
    <row r="440" spans="1:3" ht="13.5">
      <c r="A440" s="72">
        <v>434</v>
      </c>
      <c r="B440" s="72" t="s">
        <v>7196</v>
      </c>
      <c r="C440" s="72"/>
    </row>
    <row r="441" spans="1:3" ht="13.5">
      <c r="A441" s="73">
        <v>435</v>
      </c>
      <c r="B441" s="73" t="s">
        <v>5690</v>
      </c>
      <c r="C441" s="73"/>
    </row>
    <row r="442" spans="1:3" ht="13.5">
      <c r="A442" s="72">
        <v>436</v>
      </c>
      <c r="B442" s="72" t="s">
        <v>5723</v>
      </c>
      <c r="C442" s="72"/>
    </row>
    <row r="443" spans="1:3" ht="13.5">
      <c r="A443" s="73">
        <v>437</v>
      </c>
      <c r="B443" s="73" t="s">
        <v>7197</v>
      </c>
      <c r="C443" s="73"/>
    </row>
    <row r="444" spans="1:3" ht="13.5">
      <c r="A444" s="72">
        <v>438</v>
      </c>
      <c r="B444" s="72" t="s">
        <v>5703</v>
      </c>
      <c r="C444" s="72"/>
    </row>
    <row r="445" spans="1:3" ht="13.5">
      <c r="A445" s="73">
        <v>439</v>
      </c>
      <c r="B445" s="73" t="s">
        <v>7198</v>
      </c>
      <c r="C445" s="73"/>
    </row>
    <row r="446" spans="1:3" ht="13.5">
      <c r="A446" s="72">
        <v>440</v>
      </c>
      <c r="B446" s="72" t="s">
        <v>5699</v>
      </c>
      <c r="C446" s="72"/>
    </row>
    <row r="447" spans="1:3" ht="13.5">
      <c r="A447" s="73">
        <v>441</v>
      </c>
      <c r="B447" s="73" t="s">
        <v>1897</v>
      </c>
      <c r="C447" s="73" t="s">
        <v>7199</v>
      </c>
    </row>
  </sheetData>
  <autoFilter ref="A6:C447" xr:uid="{B335122F-77E0-48C7-AF1B-27E856CC852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EA02D-BF61-47D8-82A0-E1197735612C}">
  <sheetPr>
    <tabColor rgb="FF92D050"/>
  </sheetPr>
  <dimension ref="A3:I69"/>
  <sheetViews>
    <sheetView topLeftCell="A3" zoomScale="80" zoomScaleNormal="80" workbookViewId="0">
      <pane ySplit="5" topLeftCell="A36" activePane="bottomLeft" state="frozen"/>
      <selection activeCell="G22" sqref="G22"/>
      <selection pane="bottomLeft" activeCell="F41" sqref="F41"/>
    </sheetView>
  </sheetViews>
  <sheetFormatPr baseColWidth="10" defaultColWidth="11.5" defaultRowHeight="14"/>
  <cols>
    <col min="2" max="2" width="67.4140625" bestFit="1" customWidth="1"/>
    <col min="5" max="5" width="44" customWidth="1"/>
    <col min="6" max="6" width="20.75" customWidth="1"/>
    <col min="7" max="7" width="47.4140625" bestFit="1" customWidth="1"/>
    <col min="8" max="8" width="35.83203125" customWidth="1"/>
    <col min="9" max="9" width="58" bestFit="1" customWidth="1"/>
  </cols>
  <sheetData>
    <row r="3" spans="1:9" ht="15.5">
      <c r="A3" s="7" t="s">
        <v>7237</v>
      </c>
    </row>
    <row r="5" spans="1:9" ht="14.5">
      <c r="A5" s="6" t="s">
        <v>1628</v>
      </c>
    </row>
    <row r="6" spans="1:9" ht="21.65" customHeight="1" thickBot="1">
      <c r="A6" s="854" t="s">
        <v>519</v>
      </c>
      <c r="B6" s="854" t="s">
        <v>520</v>
      </c>
      <c r="C6" s="854" t="s">
        <v>521</v>
      </c>
      <c r="D6" s="854" t="s">
        <v>1629</v>
      </c>
      <c r="E6" s="854" t="s">
        <v>7211</v>
      </c>
      <c r="F6" s="854" t="s">
        <v>2822</v>
      </c>
      <c r="G6" s="854" t="s">
        <v>5</v>
      </c>
      <c r="H6" s="854" t="s">
        <v>2823</v>
      </c>
      <c r="I6" s="854" t="s">
        <v>2824</v>
      </c>
    </row>
    <row r="7" spans="1:9">
      <c r="A7" s="855"/>
      <c r="B7" s="855"/>
      <c r="C7" s="855"/>
      <c r="D7" s="855"/>
      <c r="E7" s="855"/>
      <c r="F7" s="855"/>
      <c r="G7" s="855"/>
      <c r="H7" s="855"/>
      <c r="I7" s="855"/>
    </row>
    <row r="8" spans="1:9">
      <c r="A8" s="48">
        <v>1</v>
      </c>
      <c r="B8" s="64" t="s">
        <v>69</v>
      </c>
      <c r="C8" s="48" t="s">
        <v>528</v>
      </c>
      <c r="D8" s="48" t="s">
        <v>798</v>
      </c>
      <c r="E8" s="48" t="s">
        <v>799</v>
      </c>
      <c r="F8" s="48" t="s">
        <v>799</v>
      </c>
      <c r="G8" s="48" t="s">
        <v>799</v>
      </c>
      <c r="H8" s="48" t="s">
        <v>1247</v>
      </c>
      <c r="I8" s="48" t="s">
        <v>1247</v>
      </c>
    </row>
    <row r="9" spans="1:9">
      <c r="A9" s="53">
        <v>2</v>
      </c>
      <c r="B9" s="54" t="s">
        <v>534</v>
      </c>
      <c r="C9" s="53" t="s">
        <v>535</v>
      </c>
      <c r="D9" s="53" t="s">
        <v>798</v>
      </c>
      <c r="E9" s="53" t="s">
        <v>799</v>
      </c>
      <c r="F9" s="53" t="s">
        <v>850</v>
      </c>
      <c r="G9" s="53" t="s">
        <v>529</v>
      </c>
      <c r="H9" s="53" t="s">
        <v>1574</v>
      </c>
      <c r="I9" s="53" t="s">
        <v>2520</v>
      </c>
    </row>
    <row r="10" spans="1:9">
      <c r="A10" s="48">
        <v>3</v>
      </c>
      <c r="B10" s="64" t="s">
        <v>539</v>
      </c>
      <c r="C10" s="48" t="s">
        <v>540</v>
      </c>
      <c r="D10" s="48" t="s">
        <v>798</v>
      </c>
      <c r="E10" s="48" t="s">
        <v>1630</v>
      </c>
      <c r="F10" s="48" t="s">
        <v>798</v>
      </c>
      <c r="G10" s="263" t="s">
        <v>8347</v>
      </c>
      <c r="H10" s="48" t="s">
        <v>1574</v>
      </c>
      <c r="I10" s="48" t="s">
        <v>2520</v>
      </c>
    </row>
    <row r="11" spans="1:9" ht="21" customHeight="1">
      <c r="A11" s="53">
        <v>4</v>
      </c>
      <c r="B11" s="54" t="s">
        <v>544</v>
      </c>
      <c r="C11" s="53" t="s">
        <v>545</v>
      </c>
      <c r="D11" s="53" t="s">
        <v>798</v>
      </c>
      <c r="E11" s="55" t="s">
        <v>799</v>
      </c>
      <c r="F11" s="53" t="s">
        <v>850</v>
      </c>
      <c r="G11" s="53" t="s">
        <v>529</v>
      </c>
      <c r="H11" s="53" t="s">
        <v>1574</v>
      </c>
      <c r="I11" s="53" t="s">
        <v>2825</v>
      </c>
    </row>
    <row r="12" spans="1:9">
      <c r="A12" s="48">
        <v>5</v>
      </c>
      <c r="B12" s="64" t="s">
        <v>553</v>
      </c>
      <c r="C12" s="48" t="s">
        <v>554</v>
      </c>
      <c r="D12" s="48" t="s">
        <v>798</v>
      </c>
      <c r="E12" s="48" t="s">
        <v>799</v>
      </c>
      <c r="F12" s="48" t="s">
        <v>850</v>
      </c>
      <c r="G12" s="48" t="s">
        <v>529</v>
      </c>
      <c r="H12" s="48" t="s">
        <v>1574</v>
      </c>
      <c r="I12" s="48" t="s">
        <v>2826</v>
      </c>
    </row>
    <row r="13" spans="1:9">
      <c r="A13" s="53">
        <v>6</v>
      </c>
      <c r="B13" s="54" t="s">
        <v>2586</v>
      </c>
      <c r="C13" s="53" t="s">
        <v>2478</v>
      </c>
      <c r="D13" s="53" t="s">
        <v>791</v>
      </c>
      <c r="E13" s="53" t="s">
        <v>799</v>
      </c>
      <c r="F13" s="53" t="s">
        <v>799</v>
      </c>
      <c r="G13" s="53" t="s">
        <v>799</v>
      </c>
      <c r="H13" s="53" t="s">
        <v>529</v>
      </c>
      <c r="I13" s="53" t="s">
        <v>529</v>
      </c>
    </row>
    <row r="14" spans="1:9">
      <c r="A14" s="48">
        <v>7</v>
      </c>
      <c r="B14" s="64" t="s">
        <v>558</v>
      </c>
      <c r="C14" s="48" t="s">
        <v>559</v>
      </c>
      <c r="D14" s="48" t="s">
        <v>798</v>
      </c>
      <c r="E14" s="48" t="s">
        <v>799</v>
      </c>
      <c r="F14" s="48" t="s">
        <v>799</v>
      </c>
      <c r="G14" s="48" t="s">
        <v>799</v>
      </c>
      <c r="H14" s="48" t="s">
        <v>1574</v>
      </c>
      <c r="I14" s="48" t="s">
        <v>2826</v>
      </c>
    </row>
    <row r="15" spans="1:9">
      <c r="A15" s="53">
        <v>8</v>
      </c>
      <c r="B15" s="54" t="s">
        <v>562</v>
      </c>
      <c r="C15" s="53" t="s">
        <v>563</v>
      </c>
      <c r="D15" s="53" t="s">
        <v>799</v>
      </c>
      <c r="E15" s="53" t="s">
        <v>799</v>
      </c>
      <c r="F15" s="53" t="s">
        <v>799</v>
      </c>
      <c r="G15" s="53" t="s">
        <v>799</v>
      </c>
      <c r="H15" s="53" t="s">
        <v>1574</v>
      </c>
      <c r="I15" s="53" t="s">
        <v>2826</v>
      </c>
    </row>
    <row r="16" spans="1:9">
      <c r="A16" s="48">
        <v>9</v>
      </c>
      <c r="B16" s="64" t="s">
        <v>564</v>
      </c>
      <c r="C16" s="48" t="s">
        <v>565</v>
      </c>
      <c r="D16" s="48" t="s">
        <v>798</v>
      </c>
      <c r="E16" s="48" t="s">
        <v>1630</v>
      </c>
      <c r="F16" s="48" t="s">
        <v>798</v>
      </c>
      <c r="G16" s="263" t="s">
        <v>10240</v>
      </c>
      <c r="H16" s="48" t="s">
        <v>1574</v>
      </c>
      <c r="I16" s="48" t="s">
        <v>2520</v>
      </c>
    </row>
    <row r="17" spans="1:9">
      <c r="A17" s="53">
        <v>10</v>
      </c>
      <c r="B17" s="54" t="s">
        <v>570</v>
      </c>
      <c r="C17" s="53" t="s">
        <v>571</v>
      </c>
      <c r="D17" s="53" t="s">
        <v>798</v>
      </c>
      <c r="E17" s="53" t="s">
        <v>799</v>
      </c>
      <c r="F17" s="53" t="s">
        <v>798</v>
      </c>
      <c r="G17" s="264" t="s">
        <v>2820</v>
      </c>
      <c r="H17" s="53" t="s">
        <v>1574</v>
      </c>
      <c r="I17" s="53" t="s">
        <v>2520</v>
      </c>
    </row>
    <row r="18" spans="1:9">
      <c r="A18" s="48">
        <v>11</v>
      </c>
      <c r="B18" s="64" t="s">
        <v>574</v>
      </c>
      <c r="C18" s="48" t="s">
        <v>575</v>
      </c>
      <c r="D18" s="48" t="s">
        <v>798</v>
      </c>
      <c r="E18" s="48" t="s">
        <v>799</v>
      </c>
      <c r="F18" s="48" t="s">
        <v>798</v>
      </c>
      <c r="G18" s="263" t="s">
        <v>2821</v>
      </c>
      <c r="H18" s="48" t="s">
        <v>1247</v>
      </c>
      <c r="I18" s="48" t="s">
        <v>1247</v>
      </c>
    </row>
    <row r="19" spans="1:9">
      <c r="A19" s="53">
        <v>12</v>
      </c>
      <c r="B19" s="54" t="s">
        <v>578</v>
      </c>
      <c r="C19" s="53" t="s">
        <v>579</v>
      </c>
      <c r="D19" s="53" t="s">
        <v>798</v>
      </c>
      <c r="E19" s="53" t="s">
        <v>799</v>
      </c>
      <c r="F19" s="53" t="s">
        <v>850</v>
      </c>
      <c r="G19" s="53" t="s">
        <v>529</v>
      </c>
      <c r="H19" s="53" t="s">
        <v>1247</v>
      </c>
      <c r="I19" s="53" t="s">
        <v>1247</v>
      </c>
    </row>
    <row r="20" spans="1:9">
      <c r="A20" s="48">
        <v>13</v>
      </c>
      <c r="B20" s="64" t="s">
        <v>582</v>
      </c>
      <c r="C20" s="48" t="s">
        <v>583</v>
      </c>
      <c r="D20" s="48" t="s">
        <v>798</v>
      </c>
      <c r="E20" s="48" t="s">
        <v>799</v>
      </c>
      <c r="F20" s="48" t="s">
        <v>798</v>
      </c>
      <c r="G20" s="48" t="s">
        <v>799</v>
      </c>
      <c r="H20" s="48" t="s">
        <v>1574</v>
      </c>
      <c r="I20" s="48" t="s">
        <v>2520</v>
      </c>
    </row>
    <row r="21" spans="1:9">
      <c r="A21" s="53">
        <v>14</v>
      </c>
      <c r="B21" s="54" t="s">
        <v>590</v>
      </c>
      <c r="C21" s="53" t="s">
        <v>2589</v>
      </c>
      <c r="D21" s="53" t="s">
        <v>798</v>
      </c>
      <c r="E21" s="53" t="s">
        <v>799</v>
      </c>
      <c r="F21" s="53" t="s">
        <v>798</v>
      </c>
      <c r="G21" s="264" t="s">
        <v>2821</v>
      </c>
      <c r="H21" s="53" t="s">
        <v>1574</v>
      </c>
      <c r="I21" s="53" t="s">
        <v>2520</v>
      </c>
    </row>
    <row r="22" spans="1:9">
      <c r="A22" s="48">
        <v>15</v>
      </c>
      <c r="B22" s="64" t="s">
        <v>68</v>
      </c>
      <c r="C22" s="48" t="s">
        <v>596</v>
      </c>
      <c r="D22" s="48" t="s">
        <v>798</v>
      </c>
      <c r="E22" s="48" t="s">
        <v>799</v>
      </c>
      <c r="F22" s="48" t="s">
        <v>850</v>
      </c>
      <c r="G22" s="48" t="s">
        <v>529</v>
      </c>
      <c r="H22" s="48" t="s">
        <v>1247</v>
      </c>
      <c r="I22" s="48" t="s">
        <v>1247</v>
      </c>
    </row>
    <row r="23" spans="1:9">
      <c r="A23" s="53">
        <v>16</v>
      </c>
      <c r="B23" s="54" t="s">
        <v>599</v>
      </c>
      <c r="C23" s="53" t="s">
        <v>600</v>
      </c>
      <c r="D23" s="53" t="s">
        <v>799</v>
      </c>
      <c r="E23" s="53" t="s">
        <v>799</v>
      </c>
      <c r="F23" s="53" t="s">
        <v>799</v>
      </c>
      <c r="G23" s="53" t="s">
        <v>799</v>
      </c>
      <c r="H23" s="53" t="s">
        <v>1574</v>
      </c>
      <c r="I23" s="53" t="s">
        <v>2826</v>
      </c>
    </row>
    <row r="24" spans="1:9">
      <c r="A24" s="48">
        <v>17</v>
      </c>
      <c r="B24" s="64" t="s">
        <v>607</v>
      </c>
      <c r="C24" s="48" t="s">
        <v>608</v>
      </c>
      <c r="D24" s="48" t="s">
        <v>798</v>
      </c>
      <c r="E24" s="48" t="s">
        <v>799</v>
      </c>
      <c r="F24" s="48" t="s">
        <v>799</v>
      </c>
      <c r="G24" s="48" t="s">
        <v>799</v>
      </c>
      <c r="H24" s="48" t="s">
        <v>1247</v>
      </c>
      <c r="I24" s="48" t="s">
        <v>1247</v>
      </c>
    </row>
    <row r="25" spans="1:9">
      <c r="A25" s="53">
        <v>18</v>
      </c>
      <c r="B25" s="54" t="s">
        <v>74</v>
      </c>
      <c r="C25" s="53" t="s">
        <v>609</v>
      </c>
      <c r="D25" s="53" t="s">
        <v>798</v>
      </c>
      <c r="E25" s="53" t="s">
        <v>799</v>
      </c>
      <c r="F25" s="53" t="s">
        <v>799</v>
      </c>
      <c r="G25" s="53" t="s">
        <v>799</v>
      </c>
      <c r="H25" s="53" t="s">
        <v>1574</v>
      </c>
      <c r="I25" s="53" t="s">
        <v>2520</v>
      </c>
    </row>
    <row r="26" spans="1:9">
      <c r="A26" s="48">
        <v>19</v>
      </c>
      <c r="B26" s="64" t="s">
        <v>17</v>
      </c>
      <c r="C26" s="48" t="s">
        <v>1244</v>
      </c>
      <c r="D26" s="48" t="s">
        <v>798</v>
      </c>
      <c r="E26" s="48" t="s">
        <v>799</v>
      </c>
      <c r="F26" s="48" t="s">
        <v>850</v>
      </c>
      <c r="G26" s="48" t="s">
        <v>529</v>
      </c>
      <c r="H26" s="48" t="s">
        <v>1574</v>
      </c>
      <c r="I26" s="48" t="s">
        <v>2520</v>
      </c>
    </row>
    <row r="27" spans="1:9">
      <c r="A27" s="53">
        <v>20</v>
      </c>
      <c r="B27" s="54" t="s">
        <v>190</v>
      </c>
      <c r="C27" s="53" t="s">
        <v>612</v>
      </c>
      <c r="D27" s="53" t="s">
        <v>850</v>
      </c>
      <c r="E27" s="53" t="s">
        <v>799</v>
      </c>
      <c r="F27" s="53" t="s">
        <v>850</v>
      </c>
      <c r="G27" s="53" t="s">
        <v>529</v>
      </c>
      <c r="H27" s="53" t="s">
        <v>529</v>
      </c>
      <c r="I27" s="53" t="s">
        <v>529</v>
      </c>
    </row>
    <row r="28" spans="1:9">
      <c r="A28" s="48">
        <v>21</v>
      </c>
      <c r="B28" s="64" t="s">
        <v>615</v>
      </c>
      <c r="C28" s="48" t="s">
        <v>616</v>
      </c>
      <c r="D28" s="48" t="s">
        <v>791</v>
      </c>
      <c r="E28" s="48" t="s">
        <v>799</v>
      </c>
      <c r="F28" s="48" t="s">
        <v>850</v>
      </c>
      <c r="G28" s="48" t="s">
        <v>529</v>
      </c>
      <c r="H28" s="48" t="s">
        <v>529</v>
      </c>
      <c r="I28" s="48" t="s">
        <v>529</v>
      </c>
    </row>
    <row r="29" spans="1:9">
      <c r="A29" s="53">
        <v>22</v>
      </c>
      <c r="B29" s="54" t="s">
        <v>618</v>
      </c>
      <c r="C29" s="53" t="s">
        <v>619</v>
      </c>
      <c r="D29" s="53" t="s">
        <v>798</v>
      </c>
      <c r="E29" s="53" t="s">
        <v>799</v>
      </c>
      <c r="F29" s="53" t="s">
        <v>799</v>
      </c>
      <c r="G29" s="53" t="s">
        <v>799</v>
      </c>
      <c r="H29" s="53" t="s">
        <v>1574</v>
      </c>
      <c r="I29" s="53" t="s">
        <v>2520</v>
      </c>
    </row>
    <row r="30" spans="1:9">
      <c r="A30" s="48">
        <v>23</v>
      </c>
      <c r="B30" s="64" t="s">
        <v>622</v>
      </c>
      <c r="C30" s="48" t="s">
        <v>623</v>
      </c>
      <c r="D30" s="48" t="s">
        <v>799</v>
      </c>
      <c r="E30" s="48" t="s">
        <v>799</v>
      </c>
      <c r="F30" s="48" t="s">
        <v>799</v>
      </c>
      <c r="G30" s="48" t="s">
        <v>799</v>
      </c>
      <c r="H30" s="48" t="s">
        <v>1247</v>
      </c>
      <c r="I30" s="48" t="s">
        <v>1247</v>
      </c>
    </row>
    <row r="31" spans="1:9">
      <c r="A31" s="53">
        <v>24</v>
      </c>
      <c r="B31" s="54" t="s">
        <v>130</v>
      </c>
      <c r="C31" s="53" t="s">
        <v>627</v>
      </c>
      <c r="D31" s="53" t="s">
        <v>799</v>
      </c>
      <c r="E31" s="53" t="s">
        <v>799</v>
      </c>
      <c r="F31" s="53" t="s">
        <v>799</v>
      </c>
      <c r="G31" s="53" t="s">
        <v>799</v>
      </c>
      <c r="H31" s="53" t="s">
        <v>1574</v>
      </c>
      <c r="I31" s="53" t="s">
        <v>2826</v>
      </c>
    </row>
    <row r="32" spans="1:9">
      <c r="A32" s="48">
        <v>25</v>
      </c>
      <c r="B32" s="64" t="s">
        <v>630</v>
      </c>
      <c r="C32" s="48" t="s">
        <v>631</v>
      </c>
      <c r="D32" s="48" t="s">
        <v>798</v>
      </c>
      <c r="E32" s="48" t="s">
        <v>799</v>
      </c>
      <c r="F32" s="48" t="s">
        <v>850</v>
      </c>
      <c r="G32" s="48" t="s">
        <v>529</v>
      </c>
      <c r="H32" s="48" t="s">
        <v>1247</v>
      </c>
      <c r="I32" s="48" t="s">
        <v>1247</v>
      </c>
    </row>
    <row r="33" spans="1:9">
      <c r="A33" s="53">
        <v>26</v>
      </c>
      <c r="B33" s="54" t="s">
        <v>99</v>
      </c>
      <c r="C33" s="53" t="s">
        <v>637</v>
      </c>
      <c r="D33" s="53" t="s">
        <v>798</v>
      </c>
      <c r="E33" s="53" t="s">
        <v>799</v>
      </c>
      <c r="F33" s="53" t="s">
        <v>850</v>
      </c>
      <c r="G33" s="53" t="s">
        <v>529</v>
      </c>
      <c r="H33" s="53" t="s">
        <v>1574</v>
      </c>
      <c r="I33" s="53" t="s">
        <v>2520</v>
      </c>
    </row>
    <row r="34" spans="1:9">
      <c r="A34" s="48">
        <v>27</v>
      </c>
      <c r="B34" s="64" t="s">
        <v>87</v>
      </c>
      <c r="C34" s="48" t="s">
        <v>642</v>
      </c>
      <c r="D34" s="48" t="s">
        <v>798</v>
      </c>
      <c r="E34" s="48" t="s">
        <v>799</v>
      </c>
      <c r="F34" s="48" t="s">
        <v>799</v>
      </c>
      <c r="G34" s="48" t="s">
        <v>799</v>
      </c>
      <c r="H34" s="48" t="s">
        <v>1247</v>
      </c>
      <c r="I34" s="48" t="s">
        <v>1247</v>
      </c>
    </row>
    <row r="35" spans="1:9">
      <c r="A35" s="53">
        <v>28</v>
      </c>
      <c r="B35" s="54" t="s">
        <v>646</v>
      </c>
      <c r="C35" s="53" t="s">
        <v>647</v>
      </c>
      <c r="D35" s="53" t="s">
        <v>798</v>
      </c>
      <c r="E35" s="53" t="s">
        <v>799</v>
      </c>
      <c r="F35" s="53" t="s">
        <v>799</v>
      </c>
      <c r="G35" s="53" t="s">
        <v>799</v>
      </c>
      <c r="H35" s="53" t="s">
        <v>1574</v>
      </c>
      <c r="I35" s="53" t="s">
        <v>2826</v>
      </c>
    </row>
    <row r="36" spans="1:9">
      <c r="A36" s="48">
        <v>29</v>
      </c>
      <c r="B36" s="64" t="s">
        <v>651</v>
      </c>
      <c r="C36" s="48" t="s">
        <v>652</v>
      </c>
      <c r="D36" s="48" t="s">
        <v>798</v>
      </c>
      <c r="E36" s="48" t="s">
        <v>799</v>
      </c>
      <c r="F36" s="48" t="s">
        <v>799</v>
      </c>
      <c r="G36" s="48" t="s">
        <v>799</v>
      </c>
      <c r="H36" s="48" t="s">
        <v>1247</v>
      </c>
      <c r="I36" s="48" t="s">
        <v>1247</v>
      </c>
    </row>
    <row r="37" spans="1:9">
      <c r="A37" s="53">
        <v>30</v>
      </c>
      <c r="B37" s="54" t="s">
        <v>102</v>
      </c>
      <c r="C37" s="53" t="s">
        <v>1246</v>
      </c>
      <c r="D37" s="53" t="s">
        <v>798</v>
      </c>
      <c r="E37" s="53" t="s">
        <v>799</v>
      </c>
      <c r="F37" s="53" t="s">
        <v>850</v>
      </c>
      <c r="G37" s="53" t="s">
        <v>529</v>
      </c>
      <c r="H37" s="53" t="s">
        <v>1574</v>
      </c>
      <c r="I37" s="53" t="s">
        <v>850</v>
      </c>
    </row>
    <row r="38" spans="1:9">
      <c r="A38" s="48">
        <v>31</v>
      </c>
      <c r="B38" s="64" t="s">
        <v>659</v>
      </c>
      <c r="C38" s="48" t="s">
        <v>660</v>
      </c>
      <c r="D38" s="48" t="s">
        <v>799</v>
      </c>
      <c r="E38" s="48" t="s">
        <v>799</v>
      </c>
      <c r="F38" s="48" t="s">
        <v>799</v>
      </c>
      <c r="G38" s="48" t="s">
        <v>799</v>
      </c>
      <c r="H38" s="48" t="s">
        <v>1574</v>
      </c>
      <c r="I38" s="48" t="s">
        <v>850</v>
      </c>
    </row>
    <row r="39" spans="1:9">
      <c r="A39" s="53">
        <v>32</v>
      </c>
      <c r="B39" s="54" t="s">
        <v>662</v>
      </c>
      <c r="C39" s="53" t="s">
        <v>663</v>
      </c>
      <c r="D39" s="53" t="s">
        <v>798</v>
      </c>
      <c r="E39" s="53" t="s">
        <v>1630</v>
      </c>
      <c r="F39" s="265" t="s">
        <v>2827</v>
      </c>
      <c r="G39" s="265" t="s">
        <v>2827</v>
      </c>
      <c r="H39" s="265" t="s">
        <v>2827</v>
      </c>
      <c r="I39" s="265" t="s">
        <v>2827</v>
      </c>
    </row>
    <row r="40" spans="1:9">
      <c r="A40" s="48">
        <v>33</v>
      </c>
      <c r="B40" s="64" t="s">
        <v>666</v>
      </c>
      <c r="C40" s="48" t="s">
        <v>667</v>
      </c>
      <c r="D40" s="48" t="s">
        <v>798</v>
      </c>
      <c r="E40" s="48" t="s">
        <v>799</v>
      </c>
      <c r="F40" s="48" t="s">
        <v>850</v>
      </c>
      <c r="G40" s="48" t="s">
        <v>529</v>
      </c>
      <c r="H40" s="48" t="s">
        <v>1574</v>
      </c>
      <c r="I40" s="48" t="s">
        <v>850</v>
      </c>
    </row>
    <row r="41" spans="1:9">
      <c r="A41" s="53">
        <v>34</v>
      </c>
      <c r="B41" s="54" t="s">
        <v>673</v>
      </c>
      <c r="C41" s="53" t="s">
        <v>674</v>
      </c>
      <c r="D41" s="53" t="s">
        <v>798</v>
      </c>
      <c r="E41" s="53" t="s">
        <v>799</v>
      </c>
      <c r="F41" s="53" t="s">
        <v>799</v>
      </c>
      <c r="G41" s="53" t="s">
        <v>799</v>
      </c>
      <c r="H41" s="53" t="s">
        <v>1574</v>
      </c>
      <c r="I41" s="53" t="s">
        <v>850</v>
      </c>
    </row>
    <row r="42" spans="1:9">
      <c r="A42" s="48">
        <v>35</v>
      </c>
      <c r="B42" s="64" t="s">
        <v>676</v>
      </c>
      <c r="C42" s="48" t="s">
        <v>677</v>
      </c>
      <c r="D42" s="48" t="s">
        <v>798</v>
      </c>
      <c r="E42" s="48" t="s">
        <v>1630</v>
      </c>
      <c r="F42" s="48" t="s">
        <v>850</v>
      </c>
      <c r="G42" s="48" t="s">
        <v>529</v>
      </c>
      <c r="H42" s="48" t="s">
        <v>1574</v>
      </c>
      <c r="I42" s="48" t="s">
        <v>2520</v>
      </c>
    </row>
    <row r="43" spans="1:9">
      <c r="A43" s="53">
        <v>36</v>
      </c>
      <c r="B43" s="54" t="s">
        <v>681</v>
      </c>
      <c r="C43" s="53" t="s">
        <v>682</v>
      </c>
      <c r="D43" s="53" t="s">
        <v>798</v>
      </c>
      <c r="E43" s="53" t="s">
        <v>799</v>
      </c>
      <c r="F43" s="53" t="s">
        <v>799</v>
      </c>
      <c r="G43" s="53" t="s">
        <v>799</v>
      </c>
      <c r="H43" s="53" t="s">
        <v>1574</v>
      </c>
      <c r="I43" s="53" t="s">
        <v>850</v>
      </c>
    </row>
    <row r="44" spans="1:9">
      <c r="A44" s="48">
        <v>37</v>
      </c>
      <c r="B44" s="64" t="s">
        <v>462</v>
      </c>
      <c r="C44" s="48" t="s">
        <v>685</v>
      </c>
      <c r="D44" s="48" t="s">
        <v>799</v>
      </c>
      <c r="E44" s="48" t="s">
        <v>799</v>
      </c>
      <c r="F44" s="48" t="s">
        <v>799</v>
      </c>
      <c r="G44" s="48" t="s">
        <v>799</v>
      </c>
      <c r="H44" s="48" t="s">
        <v>1247</v>
      </c>
      <c r="I44" s="48" t="s">
        <v>1247</v>
      </c>
    </row>
    <row r="45" spans="1:9">
      <c r="A45" s="53">
        <v>38</v>
      </c>
      <c r="B45" s="54" t="s">
        <v>1248</v>
      </c>
      <c r="C45" s="53" t="s">
        <v>1249</v>
      </c>
      <c r="D45" s="53" t="s">
        <v>798</v>
      </c>
      <c r="E45" s="53" t="s">
        <v>799</v>
      </c>
      <c r="F45" s="53" t="s">
        <v>799</v>
      </c>
      <c r="G45" s="53" t="s">
        <v>799</v>
      </c>
      <c r="H45" s="53" t="s">
        <v>1247</v>
      </c>
      <c r="I45" s="53" t="s">
        <v>1247</v>
      </c>
    </row>
    <row r="46" spans="1:9">
      <c r="A46" s="48">
        <v>39</v>
      </c>
      <c r="B46" s="64" t="s">
        <v>188</v>
      </c>
      <c r="C46" s="48" t="s">
        <v>686</v>
      </c>
      <c r="D46" s="48" t="s">
        <v>798</v>
      </c>
      <c r="E46" s="48" t="s">
        <v>799</v>
      </c>
      <c r="F46" s="48" t="s">
        <v>799</v>
      </c>
      <c r="G46" s="48" t="s">
        <v>799</v>
      </c>
      <c r="H46" s="48" t="s">
        <v>1574</v>
      </c>
      <c r="I46" s="48" t="s">
        <v>850</v>
      </c>
    </row>
    <row r="47" spans="1:9">
      <c r="A47" s="53">
        <v>40</v>
      </c>
      <c r="B47" s="54" t="s">
        <v>974</v>
      </c>
      <c r="C47" s="53" t="s">
        <v>1252</v>
      </c>
      <c r="D47" s="53" t="s">
        <v>798</v>
      </c>
      <c r="E47" s="53" t="s">
        <v>799</v>
      </c>
      <c r="F47" s="53" t="s">
        <v>850</v>
      </c>
      <c r="G47" s="53" t="s">
        <v>529</v>
      </c>
      <c r="H47" s="53" t="s">
        <v>1574</v>
      </c>
      <c r="I47" s="53" t="s">
        <v>2826</v>
      </c>
    </row>
    <row r="48" spans="1:9">
      <c r="A48" s="48">
        <v>41</v>
      </c>
      <c r="B48" s="64" t="s">
        <v>141</v>
      </c>
      <c r="C48" s="48" t="s">
        <v>689</v>
      </c>
      <c r="D48" s="48" t="s">
        <v>791</v>
      </c>
      <c r="E48" s="48" t="s">
        <v>799</v>
      </c>
      <c r="F48" s="48" t="s">
        <v>799</v>
      </c>
      <c r="G48" s="48" t="s">
        <v>799</v>
      </c>
      <c r="H48" s="48" t="s">
        <v>1574</v>
      </c>
      <c r="I48" s="48" t="s">
        <v>850</v>
      </c>
    </row>
    <row r="49" spans="1:9">
      <c r="A49" s="53">
        <v>42</v>
      </c>
      <c r="B49" s="54" t="s">
        <v>692</v>
      </c>
      <c r="C49" s="53" t="s">
        <v>693</v>
      </c>
      <c r="D49" s="53" t="s">
        <v>798</v>
      </c>
      <c r="E49" s="53" t="s">
        <v>799</v>
      </c>
      <c r="F49" s="53" t="s">
        <v>799</v>
      </c>
      <c r="G49" s="53" t="s">
        <v>799</v>
      </c>
      <c r="H49" s="53" t="s">
        <v>1574</v>
      </c>
      <c r="I49" s="53" t="s">
        <v>2520</v>
      </c>
    </row>
    <row r="50" spans="1:9">
      <c r="A50" s="48">
        <v>43</v>
      </c>
      <c r="B50" s="64" t="s">
        <v>140</v>
      </c>
      <c r="C50" s="48" t="s">
        <v>698</v>
      </c>
      <c r="D50" s="48" t="s">
        <v>799</v>
      </c>
      <c r="E50" s="48" t="s">
        <v>799</v>
      </c>
      <c r="F50" s="48" t="s">
        <v>799</v>
      </c>
      <c r="G50" s="48" t="s">
        <v>799</v>
      </c>
      <c r="H50" s="48" t="s">
        <v>1574</v>
      </c>
      <c r="I50" s="48" t="s">
        <v>850</v>
      </c>
    </row>
    <row r="51" spans="1:9">
      <c r="A51" s="53">
        <v>44</v>
      </c>
      <c r="B51" s="54" t="s">
        <v>709</v>
      </c>
      <c r="C51" s="53" t="s">
        <v>710</v>
      </c>
      <c r="D51" s="53" t="s">
        <v>798</v>
      </c>
      <c r="E51" s="53" t="s">
        <v>1630</v>
      </c>
      <c r="F51" s="53" t="s">
        <v>850</v>
      </c>
      <c r="G51" s="53" t="s">
        <v>529</v>
      </c>
      <c r="H51" s="53" t="s">
        <v>1247</v>
      </c>
      <c r="I51" s="53" t="s">
        <v>1247</v>
      </c>
    </row>
    <row r="52" spans="1:9">
      <c r="A52" s="48">
        <v>45</v>
      </c>
      <c r="B52" s="64" t="s">
        <v>714</v>
      </c>
      <c r="C52" s="48" t="s">
        <v>715</v>
      </c>
      <c r="D52" s="48" t="s">
        <v>798</v>
      </c>
      <c r="E52" s="48" t="s">
        <v>799</v>
      </c>
      <c r="F52" s="48" t="s">
        <v>850</v>
      </c>
      <c r="G52" s="48" t="s">
        <v>529</v>
      </c>
      <c r="H52" s="48" t="s">
        <v>1574</v>
      </c>
      <c r="I52" s="48" t="s">
        <v>2520</v>
      </c>
    </row>
    <row r="53" spans="1:9">
      <c r="A53" s="53">
        <v>46</v>
      </c>
      <c r="B53" s="54" t="s">
        <v>54</v>
      </c>
      <c r="C53" s="53" t="s">
        <v>728</v>
      </c>
      <c r="D53" s="53" t="s">
        <v>798</v>
      </c>
      <c r="E53" s="53" t="s">
        <v>799</v>
      </c>
      <c r="F53" s="53" t="s">
        <v>850</v>
      </c>
      <c r="G53" s="53" t="s">
        <v>529</v>
      </c>
      <c r="H53" s="53" t="s">
        <v>1247</v>
      </c>
      <c r="I53" s="53" t="s">
        <v>1247</v>
      </c>
    </row>
    <row r="54" spans="1:9">
      <c r="A54" s="48">
        <v>47</v>
      </c>
      <c r="B54" s="64" t="s">
        <v>46</v>
      </c>
      <c r="C54" s="48" t="s">
        <v>729</v>
      </c>
      <c r="D54" s="48" t="s">
        <v>798</v>
      </c>
      <c r="E54" s="48" t="s">
        <v>799</v>
      </c>
      <c r="F54" s="48" t="s">
        <v>850</v>
      </c>
      <c r="G54" s="48" t="s">
        <v>529</v>
      </c>
      <c r="H54" s="48" t="s">
        <v>1574</v>
      </c>
      <c r="I54" s="48" t="s">
        <v>2520</v>
      </c>
    </row>
    <row r="55" spans="1:9">
      <c r="A55" s="53">
        <v>48</v>
      </c>
      <c r="B55" s="54" t="s">
        <v>64</v>
      </c>
      <c r="C55" s="53" t="s">
        <v>733</v>
      </c>
      <c r="D55" s="53" t="s">
        <v>799</v>
      </c>
      <c r="E55" s="53" t="s">
        <v>799</v>
      </c>
      <c r="F55" s="53" t="s">
        <v>799</v>
      </c>
      <c r="G55" s="53" t="s">
        <v>799</v>
      </c>
      <c r="H55" s="53" t="s">
        <v>1247</v>
      </c>
      <c r="I55" s="53" t="s">
        <v>1247</v>
      </c>
    </row>
    <row r="56" spans="1:9">
      <c r="A56" s="48">
        <v>49</v>
      </c>
      <c r="B56" s="64" t="s">
        <v>2588</v>
      </c>
      <c r="C56" s="48" t="s">
        <v>790</v>
      </c>
      <c r="D56" s="48" t="s">
        <v>798</v>
      </c>
      <c r="E56" s="48" t="s">
        <v>799</v>
      </c>
      <c r="F56" s="48" t="s">
        <v>850</v>
      </c>
      <c r="G56" s="48" t="s">
        <v>529</v>
      </c>
      <c r="H56" s="48" t="s">
        <v>1247</v>
      </c>
      <c r="I56" s="48" t="s">
        <v>1247</v>
      </c>
    </row>
    <row r="60" spans="1:9" ht="14.5">
      <c r="A60" s="6" t="s">
        <v>1631</v>
      </c>
    </row>
    <row r="61" spans="1:9" ht="14.5" thickBot="1">
      <c r="A61" s="854" t="s">
        <v>519</v>
      </c>
      <c r="B61" s="854" t="s">
        <v>520</v>
      </c>
      <c r="C61" s="854" t="s">
        <v>521</v>
      </c>
      <c r="D61" s="854" t="s">
        <v>1629</v>
      </c>
      <c r="E61" s="854" t="s">
        <v>2828</v>
      </c>
      <c r="F61" s="854" t="s">
        <v>2822</v>
      </c>
      <c r="G61" s="854" t="s">
        <v>5</v>
      </c>
      <c r="H61" s="854" t="s">
        <v>2823</v>
      </c>
      <c r="I61" s="854" t="s">
        <v>2824</v>
      </c>
    </row>
    <row r="62" spans="1:9">
      <c r="A62" s="855"/>
      <c r="B62" s="855"/>
      <c r="C62" s="855"/>
      <c r="D62" s="855"/>
      <c r="E62" s="855"/>
      <c r="F62" s="855"/>
      <c r="G62" s="855"/>
      <c r="H62" s="855"/>
      <c r="I62" s="855"/>
    </row>
    <row r="63" spans="1:9" ht="24">
      <c r="A63" s="48">
        <v>1</v>
      </c>
      <c r="B63" s="64" t="s">
        <v>755</v>
      </c>
      <c r="C63" s="48" t="s">
        <v>756</v>
      </c>
      <c r="D63" s="48" t="s">
        <v>798</v>
      </c>
      <c r="E63" s="48" t="s">
        <v>799</v>
      </c>
      <c r="F63" s="58" t="s">
        <v>2829</v>
      </c>
      <c r="G63" s="58" t="s">
        <v>529</v>
      </c>
      <c r="H63" s="58" t="s">
        <v>1247</v>
      </c>
      <c r="I63" s="58" t="s">
        <v>1247</v>
      </c>
    </row>
    <row r="64" spans="1:9" ht="24">
      <c r="A64" s="53">
        <v>2</v>
      </c>
      <c r="B64" s="54" t="s">
        <v>759</v>
      </c>
      <c r="C64" s="53" t="s">
        <v>760</v>
      </c>
      <c r="D64" s="53" t="s">
        <v>798</v>
      </c>
      <c r="E64" s="53" t="s">
        <v>799</v>
      </c>
      <c r="F64" s="55" t="s">
        <v>2829</v>
      </c>
      <c r="G64" s="53" t="s">
        <v>529</v>
      </c>
      <c r="H64" s="53" t="s">
        <v>1247</v>
      </c>
      <c r="I64" s="53" t="s">
        <v>1247</v>
      </c>
    </row>
    <row r="65" spans="1:9" ht="24">
      <c r="A65" s="48">
        <v>3</v>
      </c>
      <c r="B65" s="50" t="s">
        <v>761</v>
      </c>
      <c r="C65" s="51" t="s">
        <v>762</v>
      </c>
      <c r="D65" s="51" t="s">
        <v>798</v>
      </c>
      <c r="E65" s="51" t="s">
        <v>799</v>
      </c>
      <c r="F65" s="78" t="s">
        <v>2829</v>
      </c>
      <c r="G65" s="78" t="s">
        <v>529</v>
      </c>
      <c r="H65" s="78" t="s">
        <v>1247</v>
      </c>
      <c r="I65" s="78" t="s">
        <v>1247</v>
      </c>
    </row>
    <row r="66" spans="1:9" ht="24">
      <c r="A66" s="53">
        <v>4</v>
      </c>
      <c r="B66" s="54" t="s">
        <v>763</v>
      </c>
      <c r="C66" s="53" t="s">
        <v>764</v>
      </c>
      <c r="D66" s="53" t="s">
        <v>798</v>
      </c>
      <c r="E66" s="53" t="s">
        <v>799</v>
      </c>
      <c r="F66" s="55" t="s">
        <v>2829</v>
      </c>
      <c r="G66" s="53" t="s">
        <v>529</v>
      </c>
      <c r="H66" s="53" t="s">
        <v>1247</v>
      </c>
      <c r="I66" s="53" t="s">
        <v>1247</v>
      </c>
    </row>
    <row r="67" spans="1:9" ht="24">
      <c r="A67" s="48">
        <v>5</v>
      </c>
      <c r="B67" s="50" t="s">
        <v>765</v>
      </c>
      <c r="C67" s="51" t="s">
        <v>766</v>
      </c>
      <c r="D67" s="51" t="s">
        <v>798</v>
      </c>
      <c r="E67" s="51" t="s">
        <v>799</v>
      </c>
      <c r="F67" s="78" t="s">
        <v>2829</v>
      </c>
      <c r="G67" s="78" t="s">
        <v>529</v>
      </c>
      <c r="H67" s="78" t="s">
        <v>1247</v>
      </c>
      <c r="I67" s="78" t="s">
        <v>1247</v>
      </c>
    </row>
    <row r="68" spans="1:9">
      <c r="A68" s="53">
        <v>6</v>
      </c>
      <c r="B68" s="176" t="s">
        <v>767</v>
      </c>
      <c r="C68" s="53" t="s">
        <v>768</v>
      </c>
      <c r="D68" s="53" t="s">
        <v>799</v>
      </c>
      <c r="E68" s="53" t="s">
        <v>799</v>
      </c>
      <c r="F68" s="53" t="s">
        <v>799</v>
      </c>
      <c r="G68" s="53" t="s">
        <v>799</v>
      </c>
      <c r="H68" s="53" t="s">
        <v>1247</v>
      </c>
      <c r="I68" s="53" t="s">
        <v>1247</v>
      </c>
    </row>
    <row r="69" spans="1:9">
      <c r="A69" s="48">
        <v>7</v>
      </c>
      <c r="B69" s="50" t="s">
        <v>769</v>
      </c>
      <c r="C69" s="51" t="s">
        <v>770</v>
      </c>
      <c r="D69" s="51" t="s">
        <v>798</v>
      </c>
      <c r="E69" s="51" t="s">
        <v>799</v>
      </c>
      <c r="F69" s="51" t="s">
        <v>799</v>
      </c>
      <c r="G69" s="51" t="s">
        <v>799</v>
      </c>
      <c r="H69" s="51" t="s">
        <v>1574</v>
      </c>
      <c r="I69" s="51" t="s">
        <v>2520</v>
      </c>
    </row>
  </sheetData>
  <autoFilter ref="A6:I56" xr:uid="{925F4596-B5CF-4504-BA84-8B9F0339C962}"/>
  <mergeCells count="18">
    <mergeCell ref="F61:F62"/>
    <mergeCell ref="G61:G62"/>
    <mergeCell ref="A6:A7"/>
    <mergeCell ref="B6:B7"/>
    <mergeCell ref="C6:C7"/>
    <mergeCell ref="D6:D7"/>
    <mergeCell ref="E6:E7"/>
    <mergeCell ref="F6:F7"/>
    <mergeCell ref="A61:A62"/>
    <mergeCell ref="B61:B62"/>
    <mergeCell ref="C61:C62"/>
    <mergeCell ref="D61:D62"/>
    <mergeCell ref="E61:E62"/>
    <mergeCell ref="H61:H62"/>
    <mergeCell ref="I61:I62"/>
    <mergeCell ref="G6:G7"/>
    <mergeCell ref="H6:H7"/>
    <mergeCell ref="I6:I7"/>
  </mergeCells>
  <hyperlinks>
    <hyperlink ref="G17" r:id="rId1" xr:uid="{8BA9117B-FBCF-4792-BB61-2DDF35E4B10D}"/>
    <hyperlink ref="G18" r:id="rId2" display="Le rapport Finanier Group" xr:uid="{2F12749B-6099-400E-ABEA-FDF7D67FA962}"/>
    <hyperlink ref="G21" r:id="rId3" xr:uid="{FF4C2F77-CD48-4F9A-B852-ECB8332B45D5}"/>
    <hyperlink ref="G10" r:id="rId4" xr:uid="{01047A8F-6041-46C6-BBF5-66C0ADE93980}"/>
    <hyperlink ref="G16" r:id="rId5" xr:uid="{476BBACF-B263-483B-9407-2376E2A85E37}"/>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12241-BB8E-4727-A016-E3FB3A70666A}">
  <sheetPr codeName="Feuil25">
    <tabColor rgb="FF92D050"/>
  </sheetPr>
  <dimension ref="A3:G84"/>
  <sheetViews>
    <sheetView showGridLines="0" workbookViewId="0">
      <selection activeCell="B4" sqref="B4"/>
    </sheetView>
  </sheetViews>
  <sheetFormatPr baseColWidth="10" defaultColWidth="11.5" defaultRowHeight="11.5"/>
  <cols>
    <col min="1" max="1" width="6.4140625" style="199" customWidth="1"/>
    <col min="2" max="2" width="114.25" style="199" bestFit="1" customWidth="1"/>
    <col min="3" max="3" width="19.5" style="199" bestFit="1" customWidth="1"/>
    <col min="4" max="4" width="20.1640625" style="199" bestFit="1" customWidth="1"/>
    <col min="5" max="5" width="21.75" style="199" customWidth="1"/>
    <col min="6" max="6" width="22" style="206" customWidth="1"/>
    <col min="7" max="8" width="11.5" style="199"/>
    <col min="9" max="9" width="54.4140625" style="199" bestFit="1" customWidth="1"/>
    <col min="10" max="10" width="14.4140625" style="199" bestFit="1" customWidth="1"/>
    <col min="11" max="16384" width="11.5" style="199"/>
  </cols>
  <sheetData>
    <row r="3" spans="1:7" ht="12">
      <c r="A3" s="191" t="s">
        <v>7238</v>
      </c>
    </row>
    <row r="6" spans="1:7" ht="24">
      <c r="A6" s="200" t="s">
        <v>3</v>
      </c>
      <c r="B6" s="200" t="s">
        <v>2607</v>
      </c>
      <c r="C6" s="200" t="s">
        <v>2608</v>
      </c>
      <c r="D6" s="200" t="s">
        <v>2609</v>
      </c>
    </row>
    <row r="7" spans="1:7" ht="12">
      <c r="A7" s="201">
        <v>1</v>
      </c>
      <c r="B7" s="202" t="s">
        <v>2610</v>
      </c>
      <c r="C7" s="203">
        <v>19240627.166099999</v>
      </c>
      <c r="D7" s="202" t="s">
        <v>61</v>
      </c>
      <c r="G7" s="207"/>
    </row>
    <row r="8" spans="1:7" ht="12">
      <c r="A8" s="215">
        <v>2</v>
      </c>
      <c r="B8" s="216" t="s">
        <v>2611</v>
      </c>
      <c r="C8" s="217">
        <v>29344191.969999999</v>
      </c>
      <c r="D8" s="218" t="s">
        <v>61</v>
      </c>
      <c r="G8" s="207"/>
    </row>
    <row r="9" spans="1:7" ht="12">
      <c r="A9" s="201">
        <v>3</v>
      </c>
      <c r="B9" s="202" t="s">
        <v>2612</v>
      </c>
      <c r="C9" s="203">
        <v>92755516.920000002</v>
      </c>
      <c r="D9" s="202" t="s">
        <v>14</v>
      </c>
      <c r="G9" s="207"/>
    </row>
    <row r="10" spans="1:7" ht="12">
      <c r="A10" s="215">
        <v>4</v>
      </c>
      <c r="B10" s="216" t="s">
        <v>2613</v>
      </c>
      <c r="C10" s="217">
        <v>69073565.579999998</v>
      </c>
      <c r="D10" s="218" t="s">
        <v>14</v>
      </c>
      <c r="G10" s="207"/>
    </row>
    <row r="11" spans="1:7" ht="12">
      <c r="A11" s="201">
        <v>5</v>
      </c>
      <c r="B11" s="202" t="s">
        <v>2614</v>
      </c>
      <c r="C11" s="203">
        <v>34524231.939999998</v>
      </c>
      <c r="D11" s="202" t="s">
        <v>61</v>
      </c>
      <c r="G11" s="207"/>
    </row>
    <row r="12" spans="1:7" ht="12">
      <c r="A12" s="215">
        <v>6</v>
      </c>
      <c r="B12" s="216" t="s">
        <v>2615</v>
      </c>
      <c r="C12" s="217">
        <v>25943631.02</v>
      </c>
      <c r="D12" s="218" t="s">
        <v>61</v>
      </c>
      <c r="G12" s="207"/>
    </row>
    <row r="13" spans="1:7" ht="12">
      <c r="A13" s="201">
        <v>7</v>
      </c>
      <c r="B13" s="202" t="s">
        <v>2616</v>
      </c>
      <c r="C13" s="203">
        <v>18856314.75</v>
      </c>
      <c r="D13" s="202" t="s">
        <v>61</v>
      </c>
      <c r="G13" s="207"/>
    </row>
    <row r="14" spans="1:7" ht="12">
      <c r="A14" s="215">
        <v>8</v>
      </c>
      <c r="B14" s="216" t="s">
        <v>2617</v>
      </c>
      <c r="C14" s="217">
        <v>64683853.939999998</v>
      </c>
      <c r="D14" s="218" t="s">
        <v>2618</v>
      </c>
      <c r="G14" s="207"/>
    </row>
    <row r="15" spans="1:7" ht="12">
      <c r="A15" s="201">
        <v>9</v>
      </c>
      <c r="B15" s="202" t="s">
        <v>2619</v>
      </c>
      <c r="C15" s="203">
        <v>114879516.42</v>
      </c>
      <c r="D15" s="202" t="s">
        <v>61</v>
      </c>
      <c r="G15" s="207"/>
    </row>
    <row r="16" spans="1:7" ht="12">
      <c r="A16" s="215">
        <v>10</v>
      </c>
      <c r="B16" s="216" t="s">
        <v>2620</v>
      </c>
      <c r="C16" s="217">
        <v>24255299.120999999</v>
      </c>
      <c r="D16" s="218" t="s">
        <v>61</v>
      </c>
      <c r="G16" s="207"/>
    </row>
    <row r="17" spans="1:7" ht="12">
      <c r="A17" s="201">
        <v>11</v>
      </c>
      <c r="B17" s="202" t="s">
        <v>2621</v>
      </c>
      <c r="C17" s="203">
        <v>15032299.310000001</v>
      </c>
      <c r="D17" s="202" t="s">
        <v>1921</v>
      </c>
      <c r="G17" s="207"/>
    </row>
    <row r="18" spans="1:7" ht="12">
      <c r="A18" s="215">
        <v>12</v>
      </c>
      <c r="B18" s="216" t="s">
        <v>2622</v>
      </c>
      <c r="C18" s="217">
        <v>11000000</v>
      </c>
      <c r="D18" s="218" t="s">
        <v>1469</v>
      </c>
      <c r="G18" s="207"/>
    </row>
    <row r="19" spans="1:7" ht="24">
      <c r="A19" s="201">
        <v>13</v>
      </c>
      <c r="B19" s="202" t="s">
        <v>2623</v>
      </c>
      <c r="C19" s="203">
        <v>30000000.000000004</v>
      </c>
      <c r="D19" s="202" t="s">
        <v>2624</v>
      </c>
      <c r="G19" s="207"/>
    </row>
    <row r="20" spans="1:7" ht="12">
      <c r="A20" s="215">
        <v>14</v>
      </c>
      <c r="B20" s="216" t="s">
        <v>2625</v>
      </c>
      <c r="C20" s="217">
        <v>6000000</v>
      </c>
      <c r="D20" s="218" t="s">
        <v>16</v>
      </c>
      <c r="G20" s="207"/>
    </row>
    <row r="21" spans="1:7" ht="12">
      <c r="A21" s="201">
        <v>15</v>
      </c>
      <c r="B21" s="202" t="s">
        <v>2626</v>
      </c>
      <c r="C21" s="203">
        <v>13000000</v>
      </c>
      <c r="D21" s="202" t="s">
        <v>56</v>
      </c>
      <c r="G21" s="207"/>
    </row>
    <row r="22" spans="1:7" ht="12">
      <c r="A22" s="215">
        <v>16</v>
      </c>
      <c r="B22" s="216" t="s">
        <v>2627</v>
      </c>
      <c r="C22" s="217">
        <v>11000000</v>
      </c>
      <c r="D22" s="218" t="s">
        <v>2628</v>
      </c>
      <c r="G22" s="207"/>
    </row>
    <row r="23" spans="1:7" ht="12">
      <c r="A23" s="201">
        <v>17</v>
      </c>
      <c r="B23" s="202" t="s">
        <v>2629</v>
      </c>
      <c r="C23" s="203">
        <v>5000000.0000000009</v>
      </c>
      <c r="D23" s="202" t="s">
        <v>1469</v>
      </c>
      <c r="G23" s="207"/>
    </row>
    <row r="24" spans="1:7" ht="12">
      <c r="A24" s="215">
        <v>18</v>
      </c>
      <c r="B24" s="216" t="s">
        <v>2630</v>
      </c>
      <c r="C24" s="217">
        <v>9740014.4900000002</v>
      </c>
      <c r="D24" s="218" t="s">
        <v>45</v>
      </c>
      <c r="G24" s="207"/>
    </row>
    <row r="25" spans="1:7" ht="12">
      <c r="A25" s="201">
        <v>19</v>
      </c>
      <c r="B25" s="202" t="s">
        <v>2631</v>
      </c>
      <c r="C25" s="203">
        <v>5213008.16</v>
      </c>
      <c r="D25" s="202" t="s">
        <v>1469</v>
      </c>
      <c r="G25" s="207"/>
    </row>
    <row r="26" spans="1:7" ht="12">
      <c r="A26" s="215">
        <v>20</v>
      </c>
      <c r="B26" s="216" t="s">
        <v>2632</v>
      </c>
      <c r="C26" s="217">
        <v>7500000</v>
      </c>
      <c r="D26" s="218" t="s">
        <v>1469</v>
      </c>
      <c r="G26" s="207"/>
    </row>
    <row r="27" spans="1:7" ht="12">
      <c r="A27" s="201">
        <v>21</v>
      </c>
      <c r="B27" s="202" t="s">
        <v>2633</v>
      </c>
      <c r="C27" s="203">
        <v>5500000</v>
      </c>
      <c r="D27" s="202" t="s">
        <v>1469</v>
      </c>
      <c r="G27" s="207"/>
    </row>
    <row r="28" spans="1:7" ht="12">
      <c r="A28" s="215">
        <v>22</v>
      </c>
      <c r="B28" s="216" t="s">
        <v>2634</v>
      </c>
      <c r="C28" s="217">
        <v>6000000</v>
      </c>
      <c r="D28" s="218" t="s">
        <v>45</v>
      </c>
      <c r="G28" s="207"/>
    </row>
    <row r="29" spans="1:7" ht="12">
      <c r="A29" s="201">
        <v>23</v>
      </c>
      <c r="B29" s="202" t="s">
        <v>2635</v>
      </c>
      <c r="C29" s="203">
        <v>5999999.9999999991</v>
      </c>
      <c r="D29" s="202" t="s">
        <v>45</v>
      </c>
      <c r="G29" s="207"/>
    </row>
    <row r="30" spans="1:7" ht="12">
      <c r="A30" s="215">
        <v>24</v>
      </c>
      <c r="B30" s="216" t="s">
        <v>2636</v>
      </c>
      <c r="C30" s="217">
        <v>14999999.999999998</v>
      </c>
      <c r="D30" s="218" t="s">
        <v>21</v>
      </c>
      <c r="G30" s="207"/>
    </row>
    <row r="31" spans="1:7" ht="12">
      <c r="A31" s="201">
        <v>25</v>
      </c>
      <c r="B31" s="202" t="s">
        <v>2637</v>
      </c>
      <c r="C31" s="203">
        <v>5000000</v>
      </c>
      <c r="D31" s="202" t="s">
        <v>56</v>
      </c>
      <c r="G31" s="207"/>
    </row>
    <row r="32" spans="1:7" ht="12">
      <c r="A32" s="215">
        <v>26</v>
      </c>
      <c r="B32" s="216" t="s">
        <v>2638</v>
      </c>
      <c r="C32" s="217">
        <v>9433134.9100000001</v>
      </c>
      <c r="D32" s="218" t="s">
        <v>56</v>
      </c>
      <c r="G32" s="207"/>
    </row>
    <row r="33" spans="1:7" ht="12">
      <c r="A33" s="201">
        <v>27</v>
      </c>
      <c r="B33" s="202" t="s">
        <v>2639</v>
      </c>
      <c r="C33" s="203">
        <v>9106864.2300000004</v>
      </c>
      <c r="D33" s="202" t="s">
        <v>1469</v>
      </c>
      <c r="G33" s="207"/>
    </row>
    <row r="34" spans="1:7" ht="12">
      <c r="A34" s="215">
        <v>28</v>
      </c>
      <c r="B34" s="216" t="s">
        <v>2640</v>
      </c>
      <c r="C34" s="217">
        <v>10000000.000000002</v>
      </c>
      <c r="D34" s="218" t="s">
        <v>431</v>
      </c>
      <c r="G34" s="207"/>
    </row>
    <row r="35" spans="1:7" ht="12">
      <c r="A35" s="201">
        <v>29</v>
      </c>
      <c r="B35" s="202" t="s">
        <v>2641</v>
      </c>
      <c r="C35" s="203">
        <v>31916581.48</v>
      </c>
      <c r="D35" s="202" t="s">
        <v>2642</v>
      </c>
      <c r="G35" s="207"/>
    </row>
    <row r="36" spans="1:7" ht="12">
      <c r="A36" s="215">
        <v>30</v>
      </c>
      <c r="B36" s="216" t="s">
        <v>2643</v>
      </c>
      <c r="C36" s="217">
        <v>10000000</v>
      </c>
      <c r="D36" s="218" t="s">
        <v>1469</v>
      </c>
      <c r="G36" s="207"/>
    </row>
    <row r="37" spans="1:7" ht="12">
      <c r="A37" s="201">
        <v>31</v>
      </c>
      <c r="B37" s="202" t="s">
        <v>2644</v>
      </c>
      <c r="C37" s="203">
        <v>5000000</v>
      </c>
      <c r="D37" s="202" t="s">
        <v>1469</v>
      </c>
      <c r="G37" s="207"/>
    </row>
    <row r="38" spans="1:7" ht="12">
      <c r="A38" s="215">
        <v>32</v>
      </c>
      <c r="B38" s="216" t="s">
        <v>2645</v>
      </c>
      <c r="C38" s="217">
        <v>5000000</v>
      </c>
      <c r="D38" s="218" t="s">
        <v>56</v>
      </c>
      <c r="G38" s="207"/>
    </row>
    <row r="39" spans="1:7" ht="12">
      <c r="A39" s="201">
        <v>33</v>
      </c>
      <c r="B39" s="202" t="s">
        <v>2646</v>
      </c>
      <c r="C39" s="203">
        <v>26871394.09</v>
      </c>
      <c r="D39" s="202" t="s">
        <v>1469</v>
      </c>
      <c r="G39" s="207"/>
    </row>
    <row r="40" spans="1:7" ht="12">
      <c r="A40" s="215">
        <v>34</v>
      </c>
      <c r="B40" s="216" t="s">
        <v>2647</v>
      </c>
      <c r="C40" s="217">
        <v>6128606.2199999997</v>
      </c>
      <c r="D40" s="218" t="s">
        <v>1469</v>
      </c>
      <c r="G40" s="207"/>
    </row>
    <row r="41" spans="1:7" ht="12">
      <c r="A41" s="201">
        <v>35</v>
      </c>
      <c r="B41" s="202" t="s">
        <v>2648</v>
      </c>
      <c r="C41" s="203">
        <v>10000000.000000002</v>
      </c>
      <c r="D41" s="202" t="s">
        <v>1469</v>
      </c>
      <c r="G41" s="207"/>
    </row>
    <row r="42" spans="1:7" ht="12">
      <c r="A42" s="215">
        <v>36</v>
      </c>
      <c r="B42" s="216" t="s">
        <v>2649</v>
      </c>
      <c r="C42" s="217">
        <v>10000000.000000002</v>
      </c>
      <c r="D42" s="218" t="s">
        <v>19</v>
      </c>
      <c r="G42" s="207"/>
    </row>
    <row r="43" spans="1:7" ht="12">
      <c r="A43" s="201">
        <v>37</v>
      </c>
      <c r="B43" s="202" t="s">
        <v>2650</v>
      </c>
      <c r="C43" s="203">
        <v>10000000</v>
      </c>
      <c r="D43" s="202" t="s">
        <v>28</v>
      </c>
      <c r="G43" s="207"/>
    </row>
    <row r="44" spans="1:7" ht="12">
      <c r="A44" s="215">
        <v>38</v>
      </c>
      <c r="B44" s="216" t="s">
        <v>2651</v>
      </c>
      <c r="C44" s="217">
        <v>10000000</v>
      </c>
      <c r="D44" s="218" t="s">
        <v>19</v>
      </c>
      <c r="G44" s="207"/>
    </row>
    <row r="45" spans="1:7" ht="12">
      <c r="A45" s="201">
        <v>39</v>
      </c>
      <c r="B45" s="202" t="s">
        <v>2652</v>
      </c>
      <c r="C45" s="203">
        <v>15000000</v>
      </c>
      <c r="D45" s="202" t="s">
        <v>61</v>
      </c>
      <c r="G45" s="207"/>
    </row>
    <row r="46" spans="1:7" ht="12">
      <c r="A46" s="215">
        <v>40</v>
      </c>
      <c r="B46" s="216" t="s">
        <v>2653</v>
      </c>
      <c r="C46" s="217">
        <v>5000000</v>
      </c>
      <c r="D46" s="218" t="s">
        <v>61</v>
      </c>
      <c r="G46" s="207"/>
    </row>
    <row r="47" spans="1:7" ht="12">
      <c r="A47" s="201">
        <v>41</v>
      </c>
      <c r="B47" s="202" t="s">
        <v>2654</v>
      </c>
      <c r="C47" s="203">
        <v>5000000.0000000009</v>
      </c>
      <c r="D47" s="202" t="s">
        <v>66</v>
      </c>
      <c r="G47" s="207"/>
    </row>
    <row r="48" spans="1:7" ht="12">
      <c r="A48" s="215">
        <v>42</v>
      </c>
      <c r="B48" s="216" t="s">
        <v>2655</v>
      </c>
      <c r="C48" s="217">
        <v>9500000</v>
      </c>
      <c r="D48" s="218" t="s">
        <v>16</v>
      </c>
      <c r="G48" s="207"/>
    </row>
    <row r="49" spans="1:7" ht="12">
      <c r="A49" s="201">
        <v>43</v>
      </c>
      <c r="B49" s="202" t="s">
        <v>2656</v>
      </c>
      <c r="C49" s="203">
        <v>1384684.65</v>
      </c>
      <c r="D49" s="202" t="s">
        <v>16</v>
      </c>
      <c r="G49" s="207"/>
    </row>
    <row r="50" spans="1:7" ht="12">
      <c r="A50" s="215">
        <v>44</v>
      </c>
      <c r="B50" s="216" t="s">
        <v>2657</v>
      </c>
      <c r="C50" s="217">
        <v>24605352.489999998</v>
      </c>
      <c r="D50" s="218" t="s">
        <v>61</v>
      </c>
      <c r="G50" s="207"/>
    </row>
    <row r="51" spans="1:7" ht="12">
      <c r="A51" s="201">
        <v>45</v>
      </c>
      <c r="B51" s="202" t="s">
        <v>2658</v>
      </c>
      <c r="C51" s="203">
        <v>16410804.970000001</v>
      </c>
      <c r="D51" s="202" t="s">
        <v>1919</v>
      </c>
      <c r="G51" s="207"/>
    </row>
    <row r="52" spans="1:7" ht="12">
      <c r="A52" s="215">
        <v>46</v>
      </c>
      <c r="B52" s="216" t="s">
        <v>2659</v>
      </c>
      <c r="C52" s="217">
        <v>1501348.98</v>
      </c>
      <c r="D52" s="218" t="s">
        <v>45</v>
      </c>
      <c r="G52" s="207"/>
    </row>
    <row r="53" spans="1:7" ht="12">
      <c r="A53" s="201">
        <v>47</v>
      </c>
      <c r="B53" s="202" t="s">
        <v>2660</v>
      </c>
      <c r="C53" s="203">
        <v>1995567.58</v>
      </c>
      <c r="D53" s="202" t="s">
        <v>45</v>
      </c>
      <c r="G53" s="207"/>
    </row>
    <row r="54" spans="1:7" ht="12">
      <c r="A54" s="215">
        <v>48</v>
      </c>
      <c r="B54" s="216" t="s">
        <v>2661</v>
      </c>
      <c r="C54" s="217">
        <v>23222678.640000001</v>
      </c>
      <c r="D54" s="218" t="s">
        <v>56</v>
      </c>
      <c r="G54" s="207"/>
    </row>
    <row r="55" spans="1:7" ht="12">
      <c r="A55" s="201">
        <v>49</v>
      </c>
      <c r="B55" s="202" t="s">
        <v>2662</v>
      </c>
      <c r="C55" s="203">
        <v>10762614.68</v>
      </c>
      <c r="D55" s="202" t="s">
        <v>2663</v>
      </c>
      <c r="G55" s="207"/>
    </row>
    <row r="56" spans="1:7" ht="12">
      <c r="A56" s="215">
        <v>50</v>
      </c>
      <c r="B56" s="216" t="s">
        <v>2664</v>
      </c>
      <c r="C56" s="217">
        <v>8226835.4299999997</v>
      </c>
      <c r="D56" s="218" t="s">
        <v>2665</v>
      </c>
      <c r="G56" s="207"/>
    </row>
    <row r="57" spans="1:7" ht="12">
      <c r="A57" s="201">
        <v>51</v>
      </c>
      <c r="B57" s="202" t="s">
        <v>2666</v>
      </c>
      <c r="C57" s="203">
        <v>3083771.95</v>
      </c>
      <c r="D57" s="202" t="s">
        <v>56</v>
      </c>
      <c r="G57" s="207"/>
    </row>
    <row r="58" spans="1:7" ht="12">
      <c r="A58" s="215">
        <v>52</v>
      </c>
      <c r="B58" s="216" t="s">
        <v>2667</v>
      </c>
      <c r="C58" s="217">
        <v>3214285.31</v>
      </c>
      <c r="D58" s="218" t="s">
        <v>431</v>
      </c>
      <c r="G58" s="207"/>
    </row>
    <row r="59" spans="1:7" ht="12">
      <c r="A59" s="201">
        <v>53</v>
      </c>
      <c r="B59" s="202" t="s">
        <v>2668</v>
      </c>
      <c r="C59" s="203">
        <v>2300000</v>
      </c>
      <c r="D59" s="202" t="s">
        <v>431</v>
      </c>
      <c r="G59" s="207"/>
    </row>
    <row r="60" spans="1:7" ht="12">
      <c r="A60" s="215">
        <v>54</v>
      </c>
      <c r="B60" s="216" t="s">
        <v>2669</v>
      </c>
      <c r="C60" s="217">
        <v>5750000</v>
      </c>
      <c r="D60" s="218" t="s">
        <v>431</v>
      </c>
      <c r="G60" s="207"/>
    </row>
    <row r="61" spans="1:7" ht="12">
      <c r="A61" s="201">
        <v>55</v>
      </c>
      <c r="B61" s="202" t="s">
        <v>2670</v>
      </c>
      <c r="C61" s="203">
        <v>857828.8</v>
      </c>
      <c r="D61" s="202" t="s">
        <v>45</v>
      </c>
      <c r="G61" s="207"/>
    </row>
    <row r="62" spans="1:7" ht="12">
      <c r="A62" s="215">
        <v>56</v>
      </c>
      <c r="B62" s="216" t="s">
        <v>2671</v>
      </c>
      <c r="C62" s="217">
        <v>51169519.270000003</v>
      </c>
      <c r="D62" s="218" t="s">
        <v>61</v>
      </c>
      <c r="G62" s="207"/>
    </row>
    <row r="63" spans="1:7" ht="24">
      <c r="A63" s="201">
        <v>57</v>
      </c>
      <c r="B63" s="202" t="s">
        <v>2672</v>
      </c>
      <c r="C63" s="203">
        <v>80155048.980000004</v>
      </c>
      <c r="D63" s="202" t="s">
        <v>2673</v>
      </c>
      <c r="G63" s="207"/>
    </row>
    <row r="64" spans="1:7" ht="12">
      <c r="A64" s="215">
        <v>58</v>
      </c>
      <c r="B64" s="216" t="s">
        <v>2674</v>
      </c>
      <c r="C64" s="217">
        <v>17550000</v>
      </c>
      <c r="D64" s="218" t="s">
        <v>2675</v>
      </c>
      <c r="G64" s="207"/>
    </row>
    <row r="65" spans="1:7" ht="12">
      <c r="A65" s="201">
        <v>59</v>
      </c>
      <c r="B65" s="202" t="s">
        <v>2676</v>
      </c>
      <c r="C65" s="203">
        <v>961032.66</v>
      </c>
      <c r="D65" s="202" t="s">
        <v>21</v>
      </c>
      <c r="G65" s="207"/>
    </row>
    <row r="66" spans="1:7" ht="12">
      <c r="A66" s="215">
        <v>60</v>
      </c>
      <c r="B66" s="216" t="s">
        <v>2677</v>
      </c>
      <c r="C66" s="217">
        <v>2560000</v>
      </c>
      <c r="D66" s="218" t="s">
        <v>66</v>
      </c>
      <c r="G66" s="207"/>
    </row>
    <row r="67" spans="1:7" ht="12">
      <c r="A67" s="201">
        <v>61</v>
      </c>
      <c r="B67" s="202" t="s">
        <v>2678</v>
      </c>
      <c r="C67" s="203">
        <v>2495000</v>
      </c>
      <c r="D67" s="202" t="s">
        <v>66</v>
      </c>
      <c r="G67" s="207"/>
    </row>
    <row r="68" spans="1:7" ht="12">
      <c r="A68" s="215">
        <v>62</v>
      </c>
      <c r="B68" s="216" t="s">
        <v>2679</v>
      </c>
      <c r="C68" s="217">
        <v>54260.99</v>
      </c>
      <c r="D68" s="218" t="s">
        <v>56</v>
      </c>
      <c r="G68" s="207"/>
    </row>
    <row r="69" spans="1:7" ht="12">
      <c r="A69" s="201">
        <v>63</v>
      </c>
      <c r="B69" s="202" t="s">
        <v>2680</v>
      </c>
      <c r="C69" s="203">
        <v>390000</v>
      </c>
      <c r="D69" s="202" t="s">
        <v>28</v>
      </c>
      <c r="G69" s="207"/>
    </row>
    <row r="70" spans="1:7" ht="12">
      <c r="A70" s="215">
        <v>64</v>
      </c>
      <c r="B70" s="216" t="s">
        <v>2681</v>
      </c>
      <c r="C70" s="217">
        <v>787136</v>
      </c>
      <c r="D70" s="218" t="s">
        <v>1469</v>
      </c>
      <c r="G70" s="207"/>
    </row>
    <row r="71" spans="1:7" ht="12">
      <c r="A71" s="201">
        <v>65</v>
      </c>
      <c r="B71" s="202" t="s">
        <v>2682</v>
      </c>
      <c r="C71" s="203">
        <v>4202187.41</v>
      </c>
      <c r="D71" s="202" t="s">
        <v>56</v>
      </c>
      <c r="G71" s="207"/>
    </row>
    <row r="72" spans="1:7" ht="12">
      <c r="A72" s="215">
        <v>66</v>
      </c>
      <c r="B72" s="216" t="s">
        <v>2683</v>
      </c>
      <c r="C72" s="217">
        <v>4415600</v>
      </c>
      <c r="D72" s="218" t="s">
        <v>1502</v>
      </c>
      <c r="G72" s="207"/>
    </row>
    <row r="73" spans="1:7" ht="12">
      <c r="A73" s="201">
        <v>67</v>
      </c>
      <c r="B73" s="202" t="s">
        <v>2684</v>
      </c>
      <c r="C73" s="203">
        <v>5015683.62</v>
      </c>
      <c r="D73" s="202" t="s">
        <v>2685</v>
      </c>
      <c r="G73" s="207"/>
    </row>
    <row r="74" spans="1:7" ht="12">
      <c r="A74" s="215">
        <v>68</v>
      </c>
      <c r="B74" s="216" t="s">
        <v>2686</v>
      </c>
      <c r="C74" s="217">
        <v>2820000</v>
      </c>
      <c r="D74" s="218" t="s">
        <v>2675</v>
      </c>
      <c r="G74" s="207"/>
    </row>
    <row r="75" spans="1:7" ht="12">
      <c r="A75" s="201">
        <v>69</v>
      </c>
      <c r="B75" s="202" t="s">
        <v>2687</v>
      </c>
      <c r="C75" s="203">
        <v>6900000</v>
      </c>
      <c r="D75" s="202" t="s">
        <v>2688</v>
      </c>
      <c r="G75" s="207"/>
    </row>
    <row r="76" spans="1:7" ht="12">
      <c r="A76" s="215">
        <v>70</v>
      </c>
      <c r="B76" s="216" t="s">
        <v>2689</v>
      </c>
      <c r="C76" s="217">
        <v>1150000</v>
      </c>
      <c r="D76" s="218" t="s">
        <v>1919</v>
      </c>
      <c r="G76" s="207"/>
    </row>
    <row r="77" spans="1:7" ht="12">
      <c r="A77" s="201">
        <v>71</v>
      </c>
      <c r="B77" s="202" t="s">
        <v>2690</v>
      </c>
      <c r="C77" s="203">
        <v>6900000</v>
      </c>
      <c r="D77" s="202" t="s">
        <v>2691</v>
      </c>
      <c r="G77" s="207"/>
    </row>
    <row r="78" spans="1:7" ht="12">
      <c r="A78" s="215">
        <v>72</v>
      </c>
      <c r="B78" s="216" t="s">
        <v>2692</v>
      </c>
      <c r="C78" s="217">
        <v>5100000</v>
      </c>
      <c r="D78" s="218" t="s">
        <v>61</v>
      </c>
      <c r="G78" s="207"/>
    </row>
    <row r="79" spans="1:7" ht="12">
      <c r="A79" s="201">
        <v>73</v>
      </c>
      <c r="B79" s="202" t="s">
        <v>2693</v>
      </c>
      <c r="C79" s="203">
        <v>2690000</v>
      </c>
      <c r="D79" s="202" t="s">
        <v>431</v>
      </c>
      <c r="G79" s="207"/>
    </row>
    <row r="80" spans="1:7" ht="12">
      <c r="A80" s="215">
        <v>74</v>
      </c>
      <c r="B80" s="216" t="s">
        <v>2694</v>
      </c>
      <c r="C80" s="217">
        <v>941316.65</v>
      </c>
      <c r="D80" s="218" t="s">
        <v>2695</v>
      </c>
      <c r="G80" s="207"/>
    </row>
    <row r="81" spans="1:7" ht="12">
      <c r="A81" s="201">
        <v>75</v>
      </c>
      <c r="B81" s="202" t="s">
        <v>2696</v>
      </c>
      <c r="C81" s="203">
        <v>46200000</v>
      </c>
      <c r="D81" s="202" t="s">
        <v>61</v>
      </c>
      <c r="G81" s="207"/>
    </row>
    <row r="82" spans="1:7" ht="12">
      <c r="A82" s="215">
        <v>76</v>
      </c>
      <c r="B82" s="216" t="s">
        <v>2697</v>
      </c>
      <c r="C82" s="217">
        <v>25600000</v>
      </c>
      <c r="D82" s="218" t="s">
        <v>61</v>
      </c>
      <c r="G82" s="207"/>
    </row>
    <row r="83" spans="1:7" ht="12">
      <c r="A83" s="201">
        <v>77</v>
      </c>
      <c r="B83" s="202" t="s">
        <v>2698</v>
      </c>
      <c r="C83" s="203">
        <v>5000000</v>
      </c>
      <c r="D83" s="202" t="s">
        <v>16</v>
      </c>
      <c r="G83" s="207"/>
    </row>
    <row r="84" spans="1:7" ht="14.5" customHeight="1">
      <c r="A84" s="963" t="s">
        <v>516</v>
      </c>
      <c r="B84" s="964"/>
      <c r="C84" s="204">
        <f>SUM(C7:C83)</f>
        <v>1208871210.7771001</v>
      </c>
      <c r="D84" s="202"/>
    </row>
  </sheetData>
  <autoFilter ref="A6:D6" xr:uid="{E3212241-BB8E-4727-A016-E3FB3A70666A}"/>
  <mergeCells count="1">
    <mergeCell ref="A84:B8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B3F3B-2A13-4FD0-A2FE-77B8BFD5048F}">
  <sheetPr codeName="Feuil26">
    <tabColor rgb="FF92D050"/>
  </sheetPr>
  <dimension ref="A3:N610"/>
  <sheetViews>
    <sheetView showGridLines="0" zoomScale="80" zoomScaleNormal="80" workbookViewId="0">
      <pane ySplit="7" topLeftCell="A48" activePane="bottomLeft" state="frozen"/>
      <selection activeCell="A5" sqref="A5"/>
      <selection pane="bottomLeft" activeCell="A5" sqref="A5"/>
    </sheetView>
  </sheetViews>
  <sheetFormatPr baseColWidth="10" defaultColWidth="11.5" defaultRowHeight="14"/>
  <cols>
    <col min="1" max="1" width="10.75" style="44"/>
    <col min="2" max="2" width="43.5" customWidth="1"/>
    <col min="3" max="3" width="16" customWidth="1"/>
    <col min="4" max="4" width="20.75" bestFit="1" customWidth="1"/>
    <col min="5" max="6" width="22" customWidth="1"/>
    <col min="7" max="7" width="22.75" customWidth="1"/>
    <col min="8" max="8" width="20.5" customWidth="1"/>
    <col min="9" max="9" width="12.5" bestFit="1" customWidth="1"/>
    <col min="12" max="12" width="32.5" customWidth="1"/>
    <col min="14" max="14" width="17.75" bestFit="1" customWidth="1"/>
  </cols>
  <sheetData>
    <row r="3" spans="1:14" ht="15.5">
      <c r="A3" s="7" t="s">
        <v>7239</v>
      </c>
    </row>
    <row r="6" spans="1:14" ht="3" customHeight="1"/>
    <row r="7" spans="1:14" s="52" customFormat="1" ht="37.5" customHeight="1">
      <c r="A7" s="137" t="s">
        <v>1447</v>
      </c>
      <c r="B7" s="137" t="s">
        <v>1448</v>
      </c>
      <c r="C7" s="137" t="s">
        <v>1449</v>
      </c>
      <c r="D7" s="137" t="s">
        <v>1450</v>
      </c>
      <c r="E7" s="137" t="s">
        <v>1451</v>
      </c>
      <c r="F7" s="137" t="s">
        <v>2699</v>
      </c>
      <c r="G7" s="137" t="s">
        <v>1452</v>
      </c>
      <c r="H7" s="137" t="s">
        <v>1453</v>
      </c>
      <c r="I7" s="137" t="s">
        <v>1454</v>
      </c>
      <c r="J7" s="137" t="s">
        <v>1455</v>
      </c>
      <c r="K7" s="137" t="s">
        <v>1456</v>
      </c>
      <c r="L7" s="137" t="s">
        <v>1457</v>
      </c>
      <c r="M7" s="138"/>
      <c r="N7" s="139"/>
    </row>
    <row r="8" spans="1:14" ht="24" customHeight="1">
      <c r="A8" s="968" t="s">
        <v>1458</v>
      </c>
      <c r="B8" s="968"/>
      <c r="C8" s="968"/>
      <c r="D8" s="968"/>
      <c r="E8" s="968"/>
      <c r="F8" s="968"/>
      <c r="G8" s="968"/>
      <c r="H8" s="968"/>
      <c r="I8" s="968"/>
      <c r="J8" s="968"/>
      <c r="K8" s="968"/>
      <c r="L8" s="968"/>
      <c r="M8" s="5"/>
    </row>
    <row r="9" spans="1:14" ht="14.5">
      <c r="A9" s="8">
        <v>1</v>
      </c>
      <c r="B9" s="140" t="s">
        <v>1459</v>
      </c>
      <c r="C9" s="76" t="s">
        <v>56</v>
      </c>
      <c r="D9" s="74">
        <v>13000000</v>
      </c>
      <c r="E9" s="74">
        <v>13000000</v>
      </c>
      <c r="F9" s="74">
        <v>0</v>
      </c>
      <c r="G9" s="141">
        <v>13000000</v>
      </c>
      <c r="H9" s="74">
        <v>0</v>
      </c>
      <c r="I9" s="142" t="s">
        <v>1460</v>
      </c>
      <c r="J9" s="74">
        <v>5</v>
      </c>
      <c r="K9" s="74">
        <v>5</v>
      </c>
      <c r="L9" s="75"/>
      <c r="M9" s="5"/>
    </row>
    <row r="10" spans="1:14" ht="36">
      <c r="A10" s="8">
        <v>2</v>
      </c>
      <c r="B10" s="140" t="s">
        <v>1461</v>
      </c>
      <c r="C10" s="76" t="s">
        <v>1462</v>
      </c>
      <c r="D10" s="74">
        <v>30000000</v>
      </c>
      <c r="E10" s="74">
        <v>30000000</v>
      </c>
      <c r="F10" s="74">
        <v>0</v>
      </c>
      <c r="G10" s="141">
        <v>30000000</v>
      </c>
      <c r="H10" s="74">
        <v>0</v>
      </c>
      <c r="I10" s="142" t="s">
        <v>1460</v>
      </c>
      <c r="J10" s="74">
        <v>149.6</v>
      </c>
      <c r="K10" s="74">
        <v>149.6</v>
      </c>
      <c r="L10" s="75"/>
      <c r="M10" s="5"/>
    </row>
    <row r="11" spans="1:14" ht="24">
      <c r="A11" s="8">
        <v>3</v>
      </c>
      <c r="B11" s="140" t="s">
        <v>1463</v>
      </c>
      <c r="C11" s="76" t="s">
        <v>19</v>
      </c>
      <c r="D11" s="74">
        <v>11000000</v>
      </c>
      <c r="E11" s="74">
        <v>11000000</v>
      </c>
      <c r="F11" s="74">
        <v>0</v>
      </c>
      <c r="G11" s="141">
        <v>11000000</v>
      </c>
      <c r="H11" s="74">
        <v>0</v>
      </c>
      <c r="I11" s="142" t="s">
        <v>1460</v>
      </c>
      <c r="J11" s="74">
        <v>7.85</v>
      </c>
      <c r="K11" s="74">
        <v>7.85</v>
      </c>
      <c r="L11" s="75"/>
      <c r="M11" s="5"/>
    </row>
    <row r="12" spans="1:14" ht="14.5">
      <c r="A12" s="8">
        <v>4</v>
      </c>
      <c r="B12" s="140" t="s">
        <v>1464</v>
      </c>
      <c r="C12" s="76" t="s">
        <v>16</v>
      </c>
      <c r="D12" s="74">
        <v>6000000</v>
      </c>
      <c r="E12" s="74">
        <v>6000000</v>
      </c>
      <c r="F12" s="74">
        <v>0</v>
      </c>
      <c r="G12" s="141">
        <v>6000000</v>
      </c>
      <c r="H12" s="74">
        <v>0</v>
      </c>
      <c r="I12" s="142" t="s">
        <v>1460</v>
      </c>
      <c r="J12" s="74">
        <v>4.66</v>
      </c>
      <c r="K12" s="74">
        <v>4.66</v>
      </c>
      <c r="L12" s="75"/>
      <c r="M12" s="5"/>
    </row>
    <row r="13" spans="1:14" ht="24">
      <c r="A13" s="8">
        <v>5</v>
      </c>
      <c r="B13" s="140" t="s">
        <v>1465</v>
      </c>
      <c r="C13" s="76" t="s">
        <v>431</v>
      </c>
      <c r="D13" s="74">
        <v>10000000</v>
      </c>
      <c r="E13" s="74">
        <v>10000000</v>
      </c>
      <c r="F13" s="74">
        <v>0</v>
      </c>
      <c r="G13" s="141">
        <v>10000000</v>
      </c>
      <c r="H13" s="74">
        <v>0</v>
      </c>
      <c r="I13" s="142" t="s">
        <v>1460</v>
      </c>
      <c r="J13" s="74">
        <v>6.3</v>
      </c>
      <c r="K13" s="74">
        <v>6.3</v>
      </c>
      <c r="L13" s="75"/>
      <c r="M13" s="5"/>
    </row>
    <row r="14" spans="1:14" ht="24">
      <c r="A14" s="8">
        <v>6</v>
      </c>
      <c r="B14" s="140" t="s">
        <v>1466</v>
      </c>
      <c r="C14" s="76" t="s">
        <v>1467</v>
      </c>
      <c r="D14" s="74">
        <v>15000000</v>
      </c>
      <c r="E14" s="74">
        <v>15000000</v>
      </c>
      <c r="F14" s="74">
        <v>0</v>
      </c>
      <c r="G14" s="141">
        <v>15000000</v>
      </c>
      <c r="H14" s="74">
        <v>0</v>
      </c>
      <c r="I14" s="142" t="s">
        <v>1460</v>
      </c>
      <c r="J14" s="74">
        <v>16.22</v>
      </c>
      <c r="K14" s="74">
        <v>16.22</v>
      </c>
      <c r="L14" s="75"/>
      <c r="M14" s="5"/>
    </row>
    <row r="15" spans="1:14" ht="24">
      <c r="A15" s="8">
        <v>7</v>
      </c>
      <c r="B15" s="140" t="s">
        <v>1468</v>
      </c>
      <c r="C15" s="76" t="s">
        <v>1469</v>
      </c>
      <c r="D15" s="74">
        <v>15000000</v>
      </c>
      <c r="E15" s="74">
        <v>15000000</v>
      </c>
      <c r="F15" s="74">
        <v>0</v>
      </c>
      <c r="G15" s="141">
        <v>15000000</v>
      </c>
      <c r="H15" s="74">
        <v>0</v>
      </c>
      <c r="I15" s="142" t="s">
        <v>1460</v>
      </c>
      <c r="J15" s="74">
        <v>4.5999999999999996</v>
      </c>
      <c r="K15" s="74">
        <v>4.5999999999999996</v>
      </c>
      <c r="L15" s="75"/>
      <c r="M15" s="5"/>
    </row>
    <row r="16" spans="1:14" ht="24">
      <c r="A16" s="8">
        <v>8</v>
      </c>
      <c r="B16" s="140" t="s">
        <v>1470</v>
      </c>
      <c r="C16" s="76" t="s">
        <v>1469</v>
      </c>
      <c r="D16" s="74">
        <v>26871393.780000001</v>
      </c>
      <c r="E16" s="74">
        <v>26871393.780000001</v>
      </c>
      <c r="F16" s="74">
        <v>0</v>
      </c>
      <c r="G16" s="141">
        <v>26871393.780000001</v>
      </c>
      <c r="H16" s="74">
        <v>0</v>
      </c>
      <c r="I16" s="142" t="s">
        <v>1460</v>
      </c>
      <c r="J16" s="74">
        <v>7.57</v>
      </c>
      <c r="K16" s="74">
        <v>7.57</v>
      </c>
      <c r="L16" s="75"/>
      <c r="M16" s="5"/>
    </row>
    <row r="17" spans="1:14" ht="24">
      <c r="A17" s="8">
        <v>9</v>
      </c>
      <c r="B17" s="140" t="s">
        <v>1471</v>
      </c>
      <c r="C17" s="76" t="s">
        <v>1469</v>
      </c>
      <c r="D17" s="74">
        <v>16128606.220000001</v>
      </c>
      <c r="E17" s="74">
        <v>16128606.220000001</v>
      </c>
      <c r="F17" s="74">
        <v>0</v>
      </c>
      <c r="G17" s="141">
        <v>16128606.220000001</v>
      </c>
      <c r="H17" s="74">
        <v>0</v>
      </c>
      <c r="I17" s="142" t="s">
        <v>1472</v>
      </c>
      <c r="J17" s="143">
        <v>15000</v>
      </c>
      <c r="K17" s="143">
        <v>15000</v>
      </c>
      <c r="L17" s="75"/>
      <c r="M17" s="5"/>
    </row>
    <row r="18" spans="1:14" ht="24">
      <c r="A18" s="8">
        <v>10</v>
      </c>
      <c r="B18" s="140" t="s">
        <v>1473</v>
      </c>
      <c r="C18" s="76" t="s">
        <v>19</v>
      </c>
      <c r="D18" s="74">
        <v>10000000</v>
      </c>
      <c r="E18" s="74">
        <v>10000000</v>
      </c>
      <c r="F18" s="74">
        <v>0</v>
      </c>
      <c r="G18" s="141">
        <v>10000000</v>
      </c>
      <c r="H18" s="74">
        <v>0</v>
      </c>
      <c r="I18" s="142" t="s">
        <v>1460</v>
      </c>
      <c r="J18" s="74">
        <v>11</v>
      </c>
      <c r="K18" s="74">
        <v>11</v>
      </c>
      <c r="L18" s="75"/>
      <c r="M18" s="5"/>
    </row>
    <row r="19" spans="1:14" ht="14.5">
      <c r="A19" s="8">
        <v>11</v>
      </c>
      <c r="B19" s="140" t="s">
        <v>1474</v>
      </c>
      <c r="C19" s="76" t="s">
        <v>19</v>
      </c>
      <c r="D19" s="74">
        <v>10000000</v>
      </c>
      <c r="E19" s="74">
        <v>10000000</v>
      </c>
      <c r="F19" s="74">
        <v>0</v>
      </c>
      <c r="G19" s="141">
        <v>10000000</v>
      </c>
      <c r="H19" s="74">
        <v>0</v>
      </c>
      <c r="I19" s="142" t="s">
        <v>1472</v>
      </c>
      <c r="J19" s="74">
        <v>10000</v>
      </c>
      <c r="K19" s="74">
        <v>10000</v>
      </c>
      <c r="L19" s="75"/>
      <c r="M19" s="5"/>
    </row>
    <row r="20" spans="1:14" ht="14.5">
      <c r="A20" s="8">
        <v>12</v>
      </c>
      <c r="B20" s="140" t="s">
        <v>1475</v>
      </c>
      <c r="C20" s="76" t="s">
        <v>28</v>
      </c>
      <c r="D20" s="74">
        <v>10000000</v>
      </c>
      <c r="E20" s="74">
        <v>10000000</v>
      </c>
      <c r="F20" s="74">
        <v>0</v>
      </c>
      <c r="G20" s="141">
        <v>10000000</v>
      </c>
      <c r="H20" s="74">
        <v>0</v>
      </c>
      <c r="I20" s="142" t="s">
        <v>1472</v>
      </c>
      <c r="J20" s="74">
        <v>10000</v>
      </c>
      <c r="K20" s="74">
        <v>10000</v>
      </c>
      <c r="L20" s="75"/>
      <c r="M20" s="5"/>
    </row>
    <row r="21" spans="1:14" ht="31.15" customHeight="1">
      <c r="A21" s="8">
        <v>13</v>
      </c>
      <c r="B21" s="140" t="s">
        <v>1476</v>
      </c>
      <c r="C21" s="76" t="s">
        <v>1469</v>
      </c>
      <c r="D21" s="74">
        <v>5000000</v>
      </c>
      <c r="E21" s="74">
        <v>5000000</v>
      </c>
      <c r="F21" s="74">
        <v>0</v>
      </c>
      <c r="G21" s="141">
        <v>5000000</v>
      </c>
      <c r="H21" s="74">
        <v>0</v>
      </c>
      <c r="I21" s="142" t="s">
        <v>1460</v>
      </c>
      <c r="J21" s="74">
        <v>3.84</v>
      </c>
      <c r="K21" s="74">
        <v>3.84</v>
      </c>
      <c r="L21" s="75"/>
      <c r="M21" s="5"/>
    </row>
    <row r="22" spans="1:14" ht="36">
      <c r="A22" s="8">
        <v>14</v>
      </c>
      <c r="B22" s="140" t="s">
        <v>1477</v>
      </c>
      <c r="C22" s="76" t="s">
        <v>1478</v>
      </c>
      <c r="D22" s="74">
        <v>10000000</v>
      </c>
      <c r="E22" s="74">
        <v>10000000</v>
      </c>
      <c r="F22" s="74">
        <v>0</v>
      </c>
      <c r="G22" s="141">
        <v>10000000</v>
      </c>
      <c r="H22" s="74">
        <v>0</v>
      </c>
      <c r="I22" s="142" t="s">
        <v>1479</v>
      </c>
      <c r="J22" s="74">
        <v>10000</v>
      </c>
      <c r="K22" s="74">
        <v>10000</v>
      </c>
      <c r="L22" s="75"/>
      <c r="M22" s="5"/>
    </row>
    <row r="23" spans="1:14" ht="24">
      <c r="A23" s="8">
        <v>15</v>
      </c>
      <c r="B23" s="140" t="s">
        <v>1480</v>
      </c>
      <c r="C23" s="76" t="s">
        <v>1469</v>
      </c>
      <c r="D23" s="74">
        <v>5000000</v>
      </c>
      <c r="E23" s="74">
        <v>5000000</v>
      </c>
      <c r="F23" s="74">
        <v>0</v>
      </c>
      <c r="G23" s="141">
        <v>5000000</v>
      </c>
      <c r="H23" s="74">
        <v>0</v>
      </c>
      <c r="I23" s="142" t="s">
        <v>1460</v>
      </c>
      <c r="J23" s="74">
        <v>70</v>
      </c>
      <c r="K23" s="74">
        <v>70</v>
      </c>
      <c r="L23" s="75"/>
      <c r="M23" s="5"/>
    </row>
    <row r="24" spans="1:14" ht="24">
      <c r="A24" s="8">
        <v>16</v>
      </c>
      <c r="B24" s="140" t="s">
        <v>1481</v>
      </c>
      <c r="C24" s="76" t="s">
        <v>1469</v>
      </c>
      <c r="D24" s="74">
        <v>7500000</v>
      </c>
      <c r="E24" s="74">
        <v>7500000</v>
      </c>
      <c r="F24" s="74">
        <v>0</v>
      </c>
      <c r="G24" s="141">
        <v>7500000</v>
      </c>
      <c r="H24" s="74">
        <v>0</v>
      </c>
      <c r="I24" s="142" t="s">
        <v>1460</v>
      </c>
      <c r="J24" s="74">
        <v>115</v>
      </c>
      <c r="K24" s="74">
        <v>115</v>
      </c>
      <c r="L24" s="75"/>
      <c r="M24" s="5"/>
    </row>
    <row r="25" spans="1:14" ht="24">
      <c r="A25" s="8">
        <v>17</v>
      </c>
      <c r="B25" s="140" t="s">
        <v>1482</v>
      </c>
      <c r="C25" s="76" t="s">
        <v>1478</v>
      </c>
      <c r="D25" s="74">
        <v>6000000</v>
      </c>
      <c r="E25" s="74">
        <v>6000000</v>
      </c>
      <c r="F25" s="74">
        <v>0</v>
      </c>
      <c r="G25" s="141">
        <v>6000000</v>
      </c>
      <c r="H25" s="74">
        <v>0</v>
      </c>
      <c r="I25" s="142" t="s">
        <v>1460</v>
      </c>
      <c r="J25" s="74">
        <v>230</v>
      </c>
      <c r="K25" s="74">
        <v>230</v>
      </c>
      <c r="L25" s="75"/>
      <c r="M25" s="5"/>
    </row>
    <row r="26" spans="1:14" ht="24">
      <c r="A26" s="8">
        <v>18</v>
      </c>
      <c r="B26" s="140" t="s">
        <v>1483</v>
      </c>
      <c r="C26" s="76" t="s">
        <v>1478</v>
      </c>
      <c r="D26" s="74">
        <v>6000000</v>
      </c>
      <c r="E26" s="74">
        <v>6000000</v>
      </c>
      <c r="F26" s="74">
        <v>0</v>
      </c>
      <c r="G26" s="141">
        <v>6000000</v>
      </c>
      <c r="H26" s="74">
        <v>0</v>
      </c>
      <c r="I26" s="142" t="s">
        <v>1460</v>
      </c>
      <c r="J26" s="74">
        <v>350</v>
      </c>
      <c r="K26" s="74">
        <v>350</v>
      </c>
      <c r="L26" s="75"/>
      <c r="M26" s="5"/>
    </row>
    <row r="27" spans="1:14" ht="24">
      <c r="A27" s="8">
        <v>19</v>
      </c>
      <c r="B27" s="140" t="s">
        <v>1484</v>
      </c>
      <c r="C27" s="76" t="s">
        <v>21</v>
      </c>
      <c r="D27" s="74">
        <v>15000000</v>
      </c>
      <c r="E27" s="74">
        <v>15000000</v>
      </c>
      <c r="F27" s="74">
        <v>0</v>
      </c>
      <c r="G27" s="141">
        <v>15000000</v>
      </c>
      <c r="H27" s="74">
        <v>0</v>
      </c>
      <c r="I27" s="142" t="s">
        <v>1460</v>
      </c>
      <c r="J27" s="74">
        <v>10.98</v>
      </c>
      <c r="K27" s="74">
        <v>10.98</v>
      </c>
      <c r="L27" s="75"/>
      <c r="M27" s="5"/>
      <c r="N27" s="84">
        <f>+E38+497021372.36</f>
        <v>800172961.34000003</v>
      </c>
    </row>
    <row r="28" spans="1:14" ht="24">
      <c r="A28" s="8">
        <v>20</v>
      </c>
      <c r="B28" s="140" t="s">
        <v>1485</v>
      </c>
      <c r="C28" s="76" t="s">
        <v>56</v>
      </c>
      <c r="D28" s="74">
        <v>10000000</v>
      </c>
      <c r="E28" s="74">
        <v>10000000</v>
      </c>
      <c r="F28" s="74">
        <v>0</v>
      </c>
      <c r="G28" s="141">
        <v>10000000</v>
      </c>
      <c r="H28" s="74">
        <v>0</v>
      </c>
      <c r="I28" s="142" t="s">
        <v>1460</v>
      </c>
      <c r="J28" s="74">
        <v>2.2999999999999998</v>
      </c>
      <c r="K28" s="74">
        <v>2.2999999999999998</v>
      </c>
      <c r="L28" s="75"/>
      <c r="M28" s="5"/>
      <c r="N28" s="85">
        <f>+N27+E62</f>
        <v>806056296.58000004</v>
      </c>
    </row>
    <row r="29" spans="1:14" ht="24">
      <c r="A29" s="8">
        <v>21</v>
      </c>
      <c r="B29" s="140" t="s">
        <v>1486</v>
      </c>
      <c r="C29" s="76" t="s">
        <v>56</v>
      </c>
      <c r="D29" s="74">
        <v>5000000</v>
      </c>
      <c r="E29" s="74">
        <v>5000000</v>
      </c>
      <c r="F29" s="74">
        <v>0</v>
      </c>
      <c r="G29" s="141">
        <v>5000000</v>
      </c>
      <c r="H29" s="74">
        <v>0</v>
      </c>
      <c r="I29" s="142" t="s">
        <v>1460</v>
      </c>
      <c r="J29" s="74">
        <v>2.2999999999999998</v>
      </c>
      <c r="K29" s="74">
        <v>2.2999999999999998</v>
      </c>
      <c r="L29" s="75"/>
      <c r="M29" s="5"/>
    </row>
    <row r="30" spans="1:14" ht="24">
      <c r="A30" s="8">
        <v>22</v>
      </c>
      <c r="B30" s="140" t="s">
        <v>1487</v>
      </c>
      <c r="C30" s="76" t="s">
        <v>56</v>
      </c>
      <c r="D30" s="74">
        <v>10000000</v>
      </c>
      <c r="E30" s="74">
        <v>9266944.3300000001</v>
      </c>
      <c r="F30" s="74">
        <v>0</v>
      </c>
      <c r="G30" s="141">
        <v>9433134.9100000001</v>
      </c>
      <c r="H30" s="74">
        <f>D30-G30</f>
        <v>566865.08999999985</v>
      </c>
      <c r="I30" s="142" t="s">
        <v>1472</v>
      </c>
      <c r="J30" s="74">
        <v>10000</v>
      </c>
      <c r="K30" s="74">
        <v>10000</v>
      </c>
      <c r="L30" s="75"/>
      <c r="M30" s="5"/>
    </row>
    <row r="31" spans="1:14" ht="24">
      <c r="A31" s="8">
        <v>23</v>
      </c>
      <c r="B31" s="140" t="s">
        <v>1488</v>
      </c>
      <c r="C31" s="76" t="s">
        <v>1469</v>
      </c>
      <c r="D31" s="74">
        <v>10000000</v>
      </c>
      <c r="E31" s="74">
        <v>10000000</v>
      </c>
      <c r="F31" s="74">
        <v>0</v>
      </c>
      <c r="G31" s="141">
        <v>10000000</v>
      </c>
      <c r="H31" s="74">
        <v>0</v>
      </c>
      <c r="I31" s="142"/>
      <c r="J31" s="74"/>
      <c r="K31" s="74"/>
      <c r="L31" s="75"/>
      <c r="M31" s="5"/>
    </row>
    <row r="32" spans="1:14" ht="24">
      <c r="A32" s="8">
        <v>24</v>
      </c>
      <c r="B32" s="140" t="s">
        <v>1489</v>
      </c>
      <c r="C32" s="76" t="s">
        <v>61</v>
      </c>
      <c r="D32" s="74">
        <v>15000000</v>
      </c>
      <c r="E32" s="74">
        <v>15000000</v>
      </c>
      <c r="F32" s="74">
        <v>0</v>
      </c>
      <c r="G32" s="141">
        <v>15000000</v>
      </c>
      <c r="H32" s="74">
        <v>0</v>
      </c>
      <c r="I32" s="142" t="s">
        <v>1460</v>
      </c>
      <c r="J32" s="74">
        <v>1.4</v>
      </c>
      <c r="K32" s="74">
        <v>1.4</v>
      </c>
      <c r="L32" s="75"/>
      <c r="M32" s="5"/>
    </row>
    <row r="33" spans="1:13" ht="24">
      <c r="A33" s="8">
        <v>25</v>
      </c>
      <c r="B33" s="140" t="s">
        <v>1490</v>
      </c>
      <c r="C33" s="76" t="s">
        <v>61</v>
      </c>
      <c r="D33" s="74">
        <v>5000000</v>
      </c>
      <c r="E33" s="74">
        <v>5000000</v>
      </c>
      <c r="F33" s="74">
        <v>0</v>
      </c>
      <c r="G33" s="141">
        <v>5000000</v>
      </c>
      <c r="H33" s="74">
        <v>0</v>
      </c>
      <c r="I33" s="142" t="s">
        <v>1460</v>
      </c>
      <c r="J33" s="74">
        <v>3.67</v>
      </c>
      <c r="K33" s="74">
        <v>3.67</v>
      </c>
      <c r="L33" s="75"/>
      <c r="M33" s="5"/>
    </row>
    <row r="34" spans="1:13" ht="24">
      <c r="A34" s="8">
        <v>26</v>
      </c>
      <c r="B34" s="140" t="s">
        <v>1491</v>
      </c>
      <c r="C34" s="76" t="s">
        <v>1469</v>
      </c>
      <c r="D34" s="74">
        <v>5500000</v>
      </c>
      <c r="E34" s="74">
        <v>5500000</v>
      </c>
      <c r="F34" s="74">
        <v>0</v>
      </c>
      <c r="G34" s="141">
        <v>5500000</v>
      </c>
      <c r="H34" s="74">
        <v>0</v>
      </c>
      <c r="I34" s="142" t="s">
        <v>1460</v>
      </c>
      <c r="J34" s="74">
        <v>2.7</v>
      </c>
      <c r="K34" s="74">
        <v>2.7</v>
      </c>
      <c r="L34" s="75"/>
      <c r="M34" s="5"/>
    </row>
    <row r="35" spans="1:13" ht="24">
      <c r="A35" s="8">
        <v>27</v>
      </c>
      <c r="B35" s="140" t="s">
        <v>1492</v>
      </c>
      <c r="C35" s="76" t="s">
        <v>16</v>
      </c>
      <c r="D35" s="74">
        <v>9500000</v>
      </c>
      <c r="E35" s="74">
        <v>9500000</v>
      </c>
      <c r="F35" s="74">
        <v>0</v>
      </c>
      <c r="G35" s="141">
        <v>9500000</v>
      </c>
      <c r="H35" s="74">
        <v>0</v>
      </c>
      <c r="I35" s="142" t="s">
        <v>1460</v>
      </c>
      <c r="J35" s="74">
        <v>14</v>
      </c>
      <c r="K35" s="74">
        <v>14</v>
      </c>
      <c r="L35" s="75"/>
      <c r="M35" s="5"/>
    </row>
    <row r="36" spans="1:13" ht="24">
      <c r="A36" s="8">
        <v>28</v>
      </c>
      <c r="B36" s="140" t="s">
        <v>1493</v>
      </c>
      <c r="C36" s="76" t="s">
        <v>16</v>
      </c>
      <c r="D36" s="74">
        <v>2500000</v>
      </c>
      <c r="E36" s="74">
        <v>1384644.65</v>
      </c>
      <c r="F36" s="74">
        <v>0</v>
      </c>
      <c r="G36" s="141">
        <v>1384644.65</v>
      </c>
      <c r="H36" s="74">
        <f>D36-E36</f>
        <v>1115355.3500000001</v>
      </c>
      <c r="I36" s="142"/>
      <c r="J36" s="74">
        <v>0</v>
      </c>
      <c r="K36" s="74">
        <v>0</v>
      </c>
      <c r="L36" s="75"/>
      <c r="M36" s="5"/>
    </row>
    <row r="37" spans="1:13" ht="24">
      <c r="A37" s="8">
        <v>29</v>
      </c>
      <c r="B37" s="140" t="s">
        <v>1494</v>
      </c>
      <c r="C37" s="76" t="s">
        <v>66</v>
      </c>
      <c r="D37" s="74">
        <v>5000000</v>
      </c>
      <c r="E37" s="74">
        <v>5000000</v>
      </c>
      <c r="F37" s="74">
        <v>0</v>
      </c>
      <c r="G37" s="141">
        <v>5000000</v>
      </c>
      <c r="H37" s="74">
        <v>0</v>
      </c>
      <c r="I37" s="142" t="s">
        <v>1495</v>
      </c>
      <c r="J37" s="74">
        <v>90</v>
      </c>
      <c r="K37" s="74">
        <v>90</v>
      </c>
      <c r="L37" s="75"/>
      <c r="M37" s="5"/>
    </row>
    <row r="38" spans="1:13" ht="14.5">
      <c r="A38" s="969" t="s">
        <v>516</v>
      </c>
      <c r="B38" s="970"/>
      <c r="C38" s="971"/>
      <c r="D38" s="144">
        <f>SUM(D9:D37)</f>
        <v>305000000</v>
      </c>
      <c r="E38" s="144">
        <f>SUM(E9:E37)</f>
        <v>303151588.98000002</v>
      </c>
      <c r="F38" s="144"/>
      <c r="G38" s="144">
        <f>SUM(G9:G37)</f>
        <v>303317779.55999994</v>
      </c>
      <c r="H38" s="144">
        <f>SUM(H9:H37)</f>
        <v>1682220.44</v>
      </c>
      <c r="I38" s="969"/>
      <c r="J38" s="970"/>
      <c r="K38" s="970"/>
      <c r="L38" s="971"/>
      <c r="M38" s="5"/>
    </row>
    <row r="39" spans="1:13" ht="14.5">
      <c r="A39" s="968" t="s">
        <v>1496</v>
      </c>
      <c r="B39" s="968"/>
      <c r="C39" s="968"/>
      <c r="D39" s="968"/>
      <c r="E39" s="968"/>
      <c r="F39" s="968"/>
      <c r="G39" s="968"/>
      <c r="H39" s="968"/>
      <c r="I39" s="968"/>
      <c r="J39" s="968"/>
      <c r="K39" s="968"/>
      <c r="L39" s="968"/>
      <c r="M39" s="5"/>
    </row>
    <row r="40" spans="1:13" ht="24">
      <c r="A40" s="8">
        <v>1</v>
      </c>
      <c r="B40" s="140" t="s">
        <v>1497</v>
      </c>
      <c r="C40" s="76" t="s">
        <v>61</v>
      </c>
      <c r="D40" s="74">
        <v>25474411.960000001</v>
      </c>
      <c r="E40" s="74">
        <v>5624306.9800000004</v>
      </c>
      <c r="F40" s="74">
        <v>23096289.969999999</v>
      </c>
      <c r="G40" s="141">
        <v>24836908.219999999</v>
      </c>
      <c r="H40" s="74">
        <f>D40-G40</f>
        <v>637503.74000000209</v>
      </c>
      <c r="I40" s="142" t="s">
        <v>1460</v>
      </c>
      <c r="J40" s="74">
        <v>7.12</v>
      </c>
      <c r="K40" s="74">
        <v>7.12</v>
      </c>
      <c r="L40" s="75" t="s">
        <v>2700</v>
      </c>
      <c r="M40" s="5"/>
    </row>
    <row r="41" spans="1:13" ht="14.5">
      <c r="A41" s="8">
        <v>2</v>
      </c>
      <c r="B41" s="140" t="s">
        <v>1498</v>
      </c>
      <c r="C41" s="76" t="s">
        <v>56</v>
      </c>
      <c r="D41" s="74">
        <v>3654086.98</v>
      </c>
      <c r="E41" s="74">
        <v>259028.26</v>
      </c>
      <c r="F41" s="74">
        <v>836007.07</v>
      </c>
      <c r="G41" s="141">
        <v>3083771.95</v>
      </c>
      <c r="H41" s="74">
        <f t="shared" ref="H41:H61" si="0">D41-G41</f>
        <v>570315.0299999998</v>
      </c>
      <c r="I41" s="142" t="s">
        <v>1472</v>
      </c>
      <c r="J41" s="74">
        <v>10000</v>
      </c>
      <c r="K41" s="74">
        <v>10000</v>
      </c>
      <c r="L41" s="75" t="s">
        <v>2701</v>
      </c>
      <c r="M41" s="5"/>
    </row>
    <row r="42" spans="1:13" ht="14.5">
      <c r="A42" s="8">
        <v>3</v>
      </c>
      <c r="B42" s="140" t="s">
        <v>2722</v>
      </c>
      <c r="C42" s="76" t="s">
        <v>31</v>
      </c>
      <c r="D42" s="74">
        <v>4000000</v>
      </c>
      <c r="E42" s="74">
        <v>0</v>
      </c>
      <c r="F42" s="74"/>
      <c r="G42" s="141">
        <v>520000</v>
      </c>
      <c r="H42" s="74">
        <f t="shared" si="0"/>
        <v>3480000</v>
      </c>
      <c r="I42" s="142" t="s">
        <v>1472</v>
      </c>
      <c r="J42" s="74">
        <v>10000</v>
      </c>
      <c r="K42" s="74">
        <v>0</v>
      </c>
      <c r="L42" s="75" t="s">
        <v>2702</v>
      </c>
      <c r="M42" s="5"/>
    </row>
    <row r="43" spans="1:13" ht="24">
      <c r="A43" s="8">
        <v>4</v>
      </c>
      <c r="B43" s="140" t="s">
        <v>1499</v>
      </c>
      <c r="C43" s="76" t="s">
        <v>28</v>
      </c>
      <c r="D43" s="74">
        <v>3000000</v>
      </c>
      <c r="E43" s="74">
        <v>0</v>
      </c>
      <c r="F43" s="74"/>
      <c r="G43" s="141">
        <v>1465317.77</v>
      </c>
      <c r="H43" s="74">
        <v>1534685.23</v>
      </c>
      <c r="I43" s="142" t="s">
        <v>1460</v>
      </c>
      <c r="J43" s="74">
        <v>2.7</v>
      </c>
      <c r="K43" s="74">
        <v>0</v>
      </c>
      <c r="L43" s="75" t="s">
        <v>2702</v>
      </c>
      <c r="M43" s="5"/>
    </row>
    <row r="44" spans="1:13" ht="14.5">
      <c r="A44" s="8">
        <v>5</v>
      </c>
      <c r="B44" s="140" t="s">
        <v>1500</v>
      </c>
      <c r="C44" s="76" t="s">
        <v>56</v>
      </c>
      <c r="D44" s="74">
        <v>417392.21</v>
      </c>
      <c r="E44" s="74">
        <v>0</v>
      </c>
      <c r="F44" s="74"/>
      <c r="G44" s="141">
        <v>54260.99</v>
      </c>
      <c r="H44" s="74">
        <f t="shared" si="0"/>
        <v>363131.22000000003</v>
      </c>
      <c r="I44" s="74">
        <v>0</v>
      </c>
      <c r="J44" s="74">
        <v>0</v>
      </c>
      <c r="K44" s="74">
        <v>0</v>
      </c>
      <c r="L44" s="75" t="s">
        <v>2703</v>
      </c>
      <c r="M44" s="5"/>
    </row>
    <row r="45" spans="1:13" ht="24" customHeight="1">
      <c r="A45" s="8">
        <v>6</v>
      </c>
      <c r="B45" s="140" t="s">
        <v>1501</v>
      </c>
      <c r="C45" s="76" t="s">
        <v>1502</v>
      </c>
      <c r="D45" s="74">
        <v>2120000</v>
      </c>
      <c r="E45" s="74">
        <v>0</v>
      </c>
      <c r="F45" s="74"/>
      <c r="G45" s="141">
        <v>275600</v>
      </c>
      <c r="H45" s="74">
        <f>D45-G45</f>
        <v>1844400</v>
      </c>
      <c r="I45" s="74">
        <v>0</v>
      </c>
      <c r="J45" s="74">
        <v>0</v>
      </c>
      <c r="K45" s="74">
        <v>0</v>
      </c>
      <c r="L45" s="75" t="s">
        <v>2702</v>
      </c>
      <c r="M45" s="5"/>
    </row>
    <row r="46" spans="1:13" ht="14.5">
      <c r="A46" s="8">
        <v>7</v>
      </c>
      <c r="B46" s="140" t="s">
        <v>1503</v>
      </c>
      <c r="C46" s="76" t="s">
        <v>1469</v>
      </c>
      <c r="D46" s="74">
        <v>787136</v>
      </c>
      <c r="E46" s="74">
        <v>0</v>
      </c>
      <c r="F46" s="74"/>
      <c r="G46" s="141">
        <v>787136</v>
      </c>
      <c r="H46" s="74">
        <f t="shared" si="0"/>
        <v>0</v>
      </c>
      <c r="I46" s="74">
        <v>0</v>
      </c>
      <c r="J46" s="74">
        <v>0</v>
      </c>
      <c r="K46" s="74">
        <v>0</v>
      </c>
      <c r="L46" s="75" t="s">
        <v>2704</v>
      </c>
      <c r="M46" s="5"/>
    </row>
    <row r="47" spans="1:13" ht="24">
      <c r="A47" s="8">
        <v>8</v>
      </c>
      <c r="B47" s="140" t="s">
        <v>1504</v>
      </c>
      <c r="C47" s="76" t="s">
        <v>23</v>
      </c>
      <c r="D47" s="74">
        <v>3197566.26</v>
      </c>
      <c r="E47" s="74">
        <v>0</v>
      </c>
      <c r="F47" s="74"/>
      <c r="G47" s="141">
        <v>415683.62</v>
      </c>
      <c r="H47" s="74">
        <f t="shared" si="0"/>
        <v>2781882.6399999997</v>
      </c>
      <c r="I47" s="74">
        <v>0</v>
      </c>
      <c r="J47" s="74">
        <v>0</v>
      </c>
      <c r="K47" s="74">
        <v>0</v>
      </c>
      <c r="L47" s="75" t="s">
        <v>2705</v>
      </c>
      <c r="M47" s="5"/>
    </row>
    <row r="48" spans="1:13" ht="24">
      <c r="A48" s="8">
        <v>9</v>
      </c>
      <c r="B48" s="140" t="s">
        <v>1505</v>
      </c>
      <c r="C48" s="76" t="s">
        <v>1478</v>
      </c>
      <c r="D48" s="74">
        <v>3901207.42</v>
      </c>
      <c r="E48" s="74">
        <v>0</v>
      </c>
      <c r="F48" s="74"/>
      <c r="G48" s="141">
        <v>857828.8</v>
      </c>
      <c r="H48" s="74">
        <f t="shared" si="0"/>
        <v>3043378.62</v>
      </c>
      <c r="I48" s="142" t="s">
        <v>1479</v>
      </c>
      <c r="J48" s="143">
        <v>10000</v>
      </c>
      <c r="K48" s="74">
        <v>10000</v>
      </c>
      <c r="L48" s="75" t="s">
        <v>2706</v>
      </c>
      <c r="M48" s="5"/>
    </row>
    <row r="49" spans="1:13" ht="14.5">
      <c r="A49" s="8">
        <v>10</v>
      </c>
      <c r="B49" s="140" t="s">
        <v>1506</v>
      </c>
      <c r="C49" s="76" t="s">
        <v>1478</v>
      </c>
      <c r="D49" s="74">
        <v>5352108.1500000004</v>
      </c>
      <c r="E49" s="74">
        <v>0</v>
      </c>
      <c r="F49" s="74"/>
      <c r="G49" s="141">
        <v>1995567.58</v>
      </c>
      <c r="H49" s="74">
        <f t="shared" si="0"/>
        <v>3356540.5700000003</v>
      </c>
      <c r="I49" s="142" t="s">
        <v>1460</v>
      </c>
      <c r="J49" s="74">
        <v>195</v>
      </c>
      <c r="K49" s="74">
        <v>0</v>
      </c>
      <c r="L49" s="75" t="s">
        <v>2707</v>
      </c>
      <c r="M49" s="5"/>
    </row>
    <row r="50" spans="1:13" ht="14.5">
      <c r="A50" s="8">
        <v>11</v>
      </c>
      <c r="B50" s="140" t="s">
        <v>1507</v>
      </c>
      <c r="C50" s="76" t="s">
        <v>1478</v>
      </c>
      <c r="D50" s="74">
        <v>4720833.8499999996</v>
      </c>
      <c r="E50" s="74">
        <v>0</v>
      </c>
      <c r="F50" s="74"/>
      <c r="G50" s="141">
        <v>2094181.21</v>
      </c>
      <c r="H50" s="74">
        <f t="shared" si="0"/>
        <v>2626652.6399999997</v>
      </c>
      <c r="I50" s="142" t="s">
        <v>1460</v>
      </c>
      <c r="J50" s="74">
        <v>172</v>
      </c>
      <c r="K50" s="74">
        <v>0</v>
      </c>
      <c r="L50" s="75" t="s">
        <v>2707</v>
      </c>
      <c r="M50" s="5"/>
    </row>
    <row r="51" spans="1:13" ht="60.5">
      <c r="A51" s="8">
        <v>12</v>
      </c>
      <c r="B51" s="140" t="s">
        <v>1508</v>
      </c>
      <c r="C51" s="76" t="s">
        <v>431</v>
      </c>
      <c r="D51" s="74">
        <v>3510000</v>
      </c>
      <c r="E51" s="74">
        <v>0</v>
      </c>
      <c r="F51" s="74">
        <v>558004.57999999996</v>
      </c>
      <c r="G51" s="141">
        <v>3453989.24</v>
      </c>
      <c r="H51" s="74">
        <f>D51-G51</f>
        <v>56010.759999999776</v>
      </c>
      <c r="I51" s="142" t="s">
        <v>1460</v>
      </c>
      <c r="J51" s="74">
        <v>2.23</v>
      </c>
      <c r="K51" s="74">
        <v>2.2799999999999998</v>
      </c>
      <c r="L51" s="205" t="s">
        <v>2708</v>
      </c>
      <c r="M51" s="5"/>
    </row>
    <row r="52" spans="1:13" ht="24.5">
      <c r="A52" s="8">
        <v>13</v>
      </c>
      <c r="B52" s="140" t="s">
        <v>1509</v>
      </c>
      <c r="C52" s="76" t="s">
        <v>1510</v>
      </c>
      <c r="D52" s="74">
        <v>23322145.43</v>
      </c>
      <c r="E52" s="74">
        <v>0</v>
      </c>
      <c r="F52" s="74">
        <v>9533928.4399999995</v>
      </c>
      <c r="G52" s="141">
        <v>22015984.489999998</v>
      </c>
      <c r="H52" s="74">
        <f t="shared" si="0"/>
        <v>1306160.9400000013</v>
      </c>
      <c r="I52" s="142" t="s">
        <v>1460</v>
      </c>
      <c r="J52" s="74">
        <v>135</v>
      </c>
      <c r="K52" s="74">
        <v>0</v>
      </c>
      <c r="L52" s="205" t="s">
        <v>2709</v>
      </c>
      <c r="M52" s="5"/>
    </row>
    <row r="53" spans="1:13" ht="24.5">
      <c r="A53" s="8">
        <v>14</v>
      </c>
      <c r="B53" s="140" t="s">
        <v>1511</v>
      </c>
      <c r="C53" s="76" t="s">
        <v>56</v>
      </c>
      <c r="D53" s="74">
        <v>31120435</v>
      </c>
      <c r="E53" s="74">
        <v>0</v>
      </c>
      <c r="F53" s="74">
        <v>8646239.2599999998</v>
      </c>
      <c r="G53" s="141">
        <v>23222678.640000001</v>
      </c>
      <c r="H53" s="74">
        <f t="shared" si="0"/>
        <v>7897756.3599999994</v>
      </c>
      <c r="I53" s="142" t="s">
        <v>1460</v>
      </c>
      <c r="J53" s="74">
        <v>55</v>
      </c>
      <c r="K53" s="74">
        <v>20</v>
      </c>
      <c r="L53" s="205" t="s">
        <v>2710</v>
      </c>
      <c r="M53" s="5"/>
    </row>
    <row r="54" spans="1:13" ht="26.15" customHeight="1">
      <c r="A54" s="8">
        <v>15</v>
      </c>
      <c r="B54" s="140" t="s">
        <v>1512</v>
      </c>
      <c r="C54" s="76" t="s">
        <v>2713</v>
      </c>
      <c r="D54" s="74">
        <v>7439782.5</v>
      </c>
      <c r="E54" s="74">
        <v>0</v>
      </c>
      <c r="F54" s="74"/>
      <c r="G54" s="141">
        <v>6513255.9699999997</v>
      </c>
      <c r="H54" s="74">
        <f t="shared" si="0"/>
        <v>926526.53000000026</v>
      </c>
      <c r="I54" s="142" t="s">
        <v>1460</v>
      </c>
      <c r="J54" s="74">
        <v>130</v>
      </c>
      <c r="K54" s="74">
        <v>0</v>
      </c>
      <c r="L54" s="205" t="s">
        <v>2711</v>
      </c>
      <c r="M54" s="5"/>
    </row>
    <row r="55" spans="1:13" ht="24.5">
      <c r="A55" s="8">
        <v>16</v>
      </c>
      <c r="B55" s="140" t="s">
        <v>1513</v>
      </c>
      <c r="C55" s="76" t="s">
        <v>2712</v>
      </c>
      <c r="D55" s="74">
        <v>7392558.8499999996</v>
      </c>
      <c r="E55" s="74">
        <v>0</v>
      </c>
      <c r="F55" s="74"/>
      <c r="G55" s="141">
        <v>961032.66</v>
      </c>
      <c r="H55" s="74">
        <f t="shared" si="0"/>
        <v>6431526.1899999995</v>
      </c>
      <c r="I55" s="142" t="s">
        <v>1460</v>
      </c>
      <c r="J55" s="74">
        <v>90</v>
      </c>
      <c r="K55" s="74">
        <v>0</v>
      </c>
      <c r="L55" s="205" t="s">
        <v>2714</v>
      </c>
      <c r="M55" s="5"/>
    </row>
    <row r="56" spans="1:13" ht="24.5">
      <c r="A56" s="8">
        <v>17</v>
      </c>
      <c r="B56" s="140" t="s">
        <v>1514</v>
      </c>
      <c r="C56" s="76" t="s">
        <v>20</v>
      </c>
      <c r="D56" s="74">
        <v>7986113.7400000002</v>
      </c>
      <c r="E56" s="74">
        <v>0</v>
      </c>
      <c r="F56" s="74">
        <v>1735864.83</v>
      </c>
      <c r="G56" s="141">
        <v>7756001.9299999997</v>
      </c>
      <c r="H56" s="74">
        <f t="shared" si="0"/>
        <v>230111.81000000052</v>
      </c>
      <c r="I56" s="142" t="s">
        <v>1460</v>
      </c>
      <c r="J56" s="74">
        <v>118</v>
      </c>
      <c r="K56" s="74">
        <v>0</v>
      </c>
      <c r="L56" s="205" t="s">
        <v>2715</v>
      </c>
      <c r="M56" s="5"/>
    </row>
    <row r="57" spans="1:13" ht="24.5">
      <c r="A57" s="8">
        <v>18</v>
      </c>
      <c r="B57" s="140" t="s">
        <v>1515</v>
      </c>
      <c r="C57" s="76" t="s">
        <v>2716</v>
      </c>
      <c r="D57" s="74">
        <v>5162905</v>
      </c>
      <c r="E57" s="74">
        <v>0</v>
      </c>
      <c r="F57" s="74"/>
      <c r="G57" s="141">
        <v>2065792.28</v>
      </c>
      <c r="H57" s="74">
        <f t="shared" si="0"/>
        <v>3097112.7199999997</v>
      </c>
      <c r="I57" s="142" t="s">
        <v>1460</v>
      </c>
      <c r="J57" s="74">
        <v>128</v>
      </c>
      <c r="K57" s="74">
        <v>0</v>
      </c>
      <c r="L57" s="205" t="s">
        <v>2717</v>
      </c>
      <c r="M57" s="5"/>
    </row>
    <row r="58" spans="1:13" ht="24.5">
      <c r="A58" s="8">
        <v>19</v>
      </c>
      <c r="B58" s="140" t="s">
        <v>1516</v>
      </c>
      <c r="C58" s="76" t="s">
        <v>66</v>
      </c>
      <c r="D58" s="74">
        <v>3000000</v>
      </c>
      <c r="E58" s="74">
        <v>0</v>
      </c>
      <c r="F58" s="74"/>
      <c r="G58" s="141">
        <v>2688344.07</v>
      </c>
      <c r="H58" s="74">
        <f t="shared" si="0"/>
        <v>311655.93000000017</v>
      </c>
      <c r="I58" s="74">
        <v>0</v>
      </c>
      <c r="J58" s="74">
        <v>0</v>
      </c>
      <c r="K58" s="74">
        <v>0</v>
      </c>
      <c r="L58" s="205" t="s">
        <v>2719</v>
      </c>
      <c r="M58" s="5"/>
    </row>
    <row r="59" spans="1:13" ht="24.5">
      <c r="A59" s="8">
        <v>20</v>
      </c>
      <c r="B59" s="140" t="s">
        <v>1517</v>
      </c>
      <c r="C59" s="76" t="s">
        <v>66</v>
      </c>
      <c r="D59" s="74">
        <v>2000000</v>
      </c>
      <c r="E59" s="74">
        <v>0</v>
      </c>
      <c r="F59" s="74"/>
      <c r="G59" s="141">
        <v>727832.45</v>
      </c>
      <c r="H59" s="74">
        <f t="shared" si="0"/>
        <v>1272167.55</v>
      </c>
      <c r="I59" s="74">
        <v>0</v>
      </c>
      <c r="J59" s="74">
        <v>0</v>
      </c>
      <c r="K59" s="74">
        <v>0</v>
      </c>
      <c r="L59" s="205" t="s">
        <v>2718</v>
      </c>
      <c r="M59" s="5"/>
    </row>
    <row r="60" spans="1:13" ht="24.5">
      <c r="A60" s="8">
        <v>21</v>
      </c>
      <c r="B60" s="140" t="s">
        <v>1518</v>
      </c>
      <c r="C60" s="76" t="s">
        <v>1469</v>
      </c>
      <c r="D60" s="74">
        <v>1500000</v>
      </c>
      <c r="E60" s="74">
        <v>0</v>
      </c>
      <c r="F60" s="74"/>
      <c r="G60" s="141">
        <v>195000</v>
      </c>
      <c r="H60" s="74">
        <f t="shared" si="0"/>
        <v>1305000</v>
      </c>
      <c r="I60" s="74">
        <v>0</v>
      </c>
      <c r="J60" s="74">
        <v>0</v>
      </c>
      <c r="K60" s="74">
        <v>0</v>
      </c>
      <c r="L60" s="205" t="s">
        <v>2718</v>
      </c>
      <c r="M60" s="5"/>
    </row>
    <row r="61" spans="1:13" ht="14.5">
      <c r="A61" s="8">
        <v>22</v>
      </c>
      <c r="B61" s="140" t="s">
        <v>2720</v>
      </c>
      <c r="C61" s="76" t="s">
        <v>1469</v>
      </c>
      <c r="D61" s="74">
        <v>941316.65</v>
      </c>
      <c r="E61" s="74"/>
      <c r="F61" s="74"/>
      <c r="G61" s="141">
        <v>941316.65</v>
      </c>
      <c r="H61" s="74">
        <f t="shared" si="0"/>
        <v>0</v>
      </c>
      <c r="I61" s="74">
        <v>0</v>
      </c>
      <c r="J61" s="74">
        <v>0</v>
      </c>
      <c r="K61" s="74">
        <v>0</v>
      </c>
      <c r="L61" s="205" t="s">
        <v>2721</v>
      </c>
      <c r="M61" s="5"/>
    </row>
    <row r="62" spans="1:13" ht="14.5">
      <c r="A62" s="969" t="s">
        <v>516</v>
      </c>
      <c r="B62" s="970"/>
      <c r="C62" s="971"/>
      <c r="D62" s="144">
        <f>SUM(D40:D61)</f>
        <v>150000000</v>
      </c>
      <c r="E62" s="144">
        <f t="shared" ref="E62:H62" si="1">SUM(E40:E61)</f>
        <v>5883335.2400000002</v>
      </c>
      <c r="F62" s="144">
        <f t="shared" si="1"/>
        <v>44406334.149999991</v>
      </c>
      <c r="G62" s="144">
        <f t="shared" si="1"/>
        <v>106927484.52</v>
      </c>
      <c r="H62" s="144">
        <f t="shared" si="1"/>
        <v>43072518.480000004</v>
      </c>
      <c r="I62" s="969"/>
      <c r="J62" s="970"/>
      <c r="K62" s="970"/>
      <c r="L62" s="971"/>
      <c r="M62" s="5"/>
    </row>
    <row r="63" spans="1:13" ht="14.5">
      <c r="A63" s="968" t="s">
        <v>1519</v>
      </c>
      <c r="B63" s="968"/>
      <c r="C63" s="968"/>
      <c r="D63" s="968"/>
      <c r="E63" s="968"/>
      <c r="F63" s="968"/>
      <c r="G63" s="968"/>
      <c r="H63" s="968"/>
      <c r="I63" s="968"/>
      <c r="J63" s="968"/>
      <c r="K63" s="968"/>
      <c r="L63" s="968"/>
      <c r="M63" s="5"/>
    </row>
    <row r="64" spans="1:13" ht="14.5">
      <c r="A64" s="8">
        <v>1</v>
      </c>
      <c r="B64" s="140" t="s">
        <v>1520</v>
      </c>
      <c r="C64" s="76" t="s">
        <v>1521</v>
      </c>
      <c r="D64" s="74">
        <v>60000000</v>
      </c>
      <c r="E64" s="74">
        <v>0</v>
      </c>
      <c r="F64" s="74"/>
      <c r="G64" s="141">
        <v>55245223.189999998</v>
      </c>
      <c r="H64" s="74">
        <f>D64-G64</f>
        <v>4754776.8100000024</v>
      </c>
      <c r="I64" s="142" t="s">
        <v>1460</v>
      </c>
      <c r="J64" s="74">
        <v>63</v>
      </c>
      <c r="K64" s="74">
        <v>0</v>
      </c>
      <c r="L64" s="75" t="s">
        <v>2707</v>
      </c>
      <c r="M64" s="5"/>
    </row>
    <row r="65" spans="1:14" ht="14.5">
      <c r="A65" s="8">
        <v>2</v>
      </c>
      <c r="B65" s="140" t="s">
        <v>1522</v>
      </c>
      <c r="C65" s="76" t="s">
        <v>1523</v>
      </c>
      <c r="D65" s="74">
        <v>40000000</v>
      </c>
      <c r="E65" s="74">
        <v>0</v>
      </c>
      <c r="F65" s="74"/>
      <c r="G65" s="141">
        <v>29538029.620000001</v>
      </c>
      <c r="H65" s="74">
        <f t="shared" ref="H65:H68" si="2">D65-G65</f>
        <v>10461970.379999999</v>
      </c>
      <c r="I65" s="142" t="s">
        <v>1460</v>
      </c>
      <c r="J65" s="74">
        <v>230</v>
      </c>
      <c r="K65" s="74">
        <v>0</v>
      </c>
      <c r="L65" s="75" t="s">
        <v>2723</v>
      </c>
      <c r="M65" s="5"/>
    </row>
    <row r="66" spans="1:14" ht="14.5">
      <c r="A66" s="8">
        <v>3</v>
      </c>
      <c r="B66" s="140" t="s">
        <v>1524</v>
      </c>
      <c r="C66" s="76" t="s">
        <v>1525</v>
      </c>
      <c r="D66" s="74">
        <v>130000000</v>
      </c>
      <c r="E66" s="74">
        <v>0</v>
      </c>
      <c r="F66" s="74"/>
      <c r="G66" s="141">
        <v>121471574.06999999</v>
      </c>
      <c r="H66" s="74">
        <f t="shared" si="2"/>
        <v>8528425.9300000072</v>
      </c>
      <c r="I66" s="142" t="s">
        <v>1460</v>
      </c>
      <c r="J66" s="74">
        <v>853</v>
      </c>
      <c r="K66" s="74">
        <v>0</v>
      </c>
      <c r="L66" s="75" t="s">
        <v>2723</v>
      </c>
      <c r="M66" s="5"/>
    </row>
    <row r="67" spans="1:14" ht="14.5">
      <c r="A67" s="8">
        <v>4</v>
      </c>
      <c r="B67" s="140" t="s">
        <v>1526</v>
      </c>
      <c r="C67" s="76" t="s">
        <v>56</v>
      </c>
      <c r="D67" s="74">
        <v>20000000</v>
      </c>
      <c r="E67" s="74">
        <v>0</v>
      </c>
      <c r="F67" s="74"/>
      <c r="G67" s="74">
        <v>4202187.41</v>
      </c>
      <c r="H67" s="74">
        <f t="shared" si="2"/>
        <v>15797812.59</v>
      </c>
      <c r="I67" s="142" t="s">
        <v>1460</v>
      </c>
      <c r="J67" s="74">
        <v>55</v>
      </c>
      <c r="K67" s="74">
        <v>0</v>
      </c>
      <c r="L67" s="75" t="s">
        <v>2724</v>
      </c>
      <c r="M67" s="5"/>
    </row>
    <row r="68" spans="1:14" ht="14.5">
      <c r="A68" s="8">
        <v>5</v>
      </c>
      <c r="B68" s="140" t="s">
        <v>1527</v>
      </c>
      <c r="C68" s="76" t="s">
        <v>56</v>
      </c>
      <c r="D68" s="74">
        <v>20000000</v>
      </c>
      <c r="E68" s="74">
        <v>0</v>
      </c>
      <c r="F68" s="74"/>
      <c r="G68" s="74">
        <v>0</v>
      </c>
      <c r="H68" s="74">
        <f t="shared" si="2"/>
        <v>20000000</v>
      </c>
      <c r="I68" s="142" t="s">
        <v>1460</v>
      </c>
      <c r="J68" s="74">
        <v>74</v>
      </c>
      <c r="K68" s="74">
        <v>0</v>
      </c>
      <c r="L68" s="75" t="s">
        <v>2725</v>
      </c>
      <c r="M68" s="5"/>
      <c r="N68" s="84"/>
    </row>
    <row r="69" spans="1:14" ht="24">
      <c r="A69" s="8">
        <v>6</v>
      </c>
      <c r="B69" s="140" t="s">
        <v>1528</v>
      </c>
      <c r="C69" s="76" t="s">
        <v>20</v>
      </c>
      <c r="D69" s="74">
        <v>19000000</v>
      </c>
      <c r="E69" s="74">
        <v>0</v>
      </c>
      <c r="F69" s="74"/>
      <c r="G69" s="74">
        <v>0</v>
      </c>
      <c r="H69" s="74">
        <f>D69-G69</f>
        <v>19000000</v>
      </c>
      <c r="I69" s="142" t="s">
        <v>1460</v>
      </c>
      <c r="J69" s="74">
        <v>51</v>
      </c>
      <c r="K69" s="74">
        <v>0</v>
      </c>
      <c r="L69" s="75" t="s">
        <v>2723</v>
      </c>
      <c r="M69" s="5"/>
    </row>
    <row r="70" spans="1:14" ht="14.5">
      <c r="A70" s="8">
        <v>7</v>
      </c>
      <c r="B70" s="140" t="s">
        <v>1529</v>
      </c>
      <c r="C70" s="76" t="s">
        <v>20</v>
      </c>
      <c r="D70" s="74">
        <v>11000000</v>
      </c>
      <c r="E70" s="74">
        <v>0</v>
      </c>
      <c r="F70" s="74"/>
      <c r="G70" s="74">
        <v>10443325.58</v>
      </c>
      <c r="H70" s="74">
        <f t="shared" ref="H70:H73" si="3">D70-G70</f>
        <v>556674.41999999993</v>
      </c>
      <c r="I70" s="142" t="s">
        <v>1460</v>
      </c>
      <c r="J70" s="74">
        <v>118</v>
      </c>
      <c r="K70" s="74">
        <v>0</v>
      </c>
      <c r="L70" s="75" t="s">
        <v>2723</v>
      </c>
      <c r="M70" s="5"/>
      <c r="N70" s="84"/>
    </row>
    <row r="71" spans="1:14" ht="14.5">
      <c r="A71" s="8">
        <v>8</v>
      </c>
      <c r="B71" s="140" t="s">
        <v>1530</v>
      </c>
      <c r="C71" s="145">
        <v>0</v>
      </c>
      <c r="D71" s="74">
        <v>10000000</v>
      </c>
      <c r="E71" s="74">
        <v>0</v>
      </c>
      <c r="F71" s="74"/>
      <c r="G71" s="74">
        <v>0</v>
      </c>
      <c r="H71" s="74">
        <f t="shared" si="3"/>
        <v>10000000</v>
      </c>
      <c r="I71" s="74">
        <v>0</v>
      </c>
      <c r="J71" s="74">
        <v>0</v>
      </c>
      <c r="K71" s="74">
        <v>0</v>
      </c>
      <c r="L71" s="75"/>
      <c r="M71" s="5"/>
    </row>
    <row r="72" spans="1:14" ht="24">
      <c r="A72" s="8">
        <v>9</v>
      </c>
      <c r="B72" s="140" t="s">
        <v>1531</v>
      </c>
      <c r="C72" s="145">
        <v>0</v>
      </c>
      <c r="D72" s="74">
        <v>1500000</v>
      </c>
      <c r="E72" s="74">
        <v>0</v>
      </c>
      <c r="F72" s="74"/>
      <c r="G72" s="74">
        <v>0</v>
      </c>
      <c r="H72" s="74">
        <f t="shared" si="3"/>
        <v>1500000</v>
      </c>
      <c r="I72" s="74">
        <v>0</v>
      </c>
      <c r="J72" s="74">
        <v>0</v>
      </c>
      <c r="K72" s="74">
        <v>0</v>
      </c>
      <c r="L72" s="75"/>
      <c r="M72" s="5"/>
      <c r="N72" s="84"/>
    </row>
    <row r="73" spans="1:14" ht="14.5">
      <c r="A73" s="8">
        <v>10</v>
      </c>
      <c r="B73" s="140" t="s">
        <v>1532</v>
      </c>
      <c r="C73" s="145">
        <v>0</v>
      </c>
      <c r="D73" s="74">
        <v>12500000</v>
      </c>
      <c r="E73" s="74">
        <v>0</v>
      </c>
      <c r="F73" s="74"/>
      <c r="G73" s="74">
        <v>0</v>
      </c>
      <c r="H73" s="74">
        <f t="shared" si="3"/>
        <v>12500000</v>
      </c>
      <c r="I73" s="74">
        <v>0</v>
      </c>
      <c r="J73" s="74">
        <v>0</v>
      </c>
      <c r="K73" s="74">
        <v>0</v>
      </c>
      <c r="L73" s="75"/>
      <c r="M73" s="5"/>
      <c r="N73" s="85"/>
    </row>
    <row r="74" spans="1:14" ht="14.5">
      <c r="A74" s="969" t="s">
        <v>516</v>
      </c>
      <c r="B74" s="970"/>
      <c r="C74" s="971"/>
      <c r="D74" s="144">
        <f>SUM(D64:D73)</f>
        <v>324000000</v>
      </c>
      <c r="E74" s="144">
        <f>SUM(E64:E73)</f>
        <v>0</v>
      </c>
      <c r="F74" s="144"/>
      <c r="G74" s="144">
        <f>SUM(G64:G73)</f>
        <v>220900339.87</v>
      </c>
      <c r="H74" s="144">
        <f>SUM(H64:H73)</f>
        <v>103099660.13000001</v>
      </c>
      <c r="I74" s="969"/>
      <c r="J74" s="970"/>
      <c r="K74" s="970"/>
      <c r="L74" s="971"/>
      <c r="M74" s="5"/>
      <c r="N74" s="85"/>
    </row>
    <row r="75" spans="1:14" ht="14.5">
      <c r="A75" s="968" t="s">
        <v>1533</v>
      </c>
      <c r="B75" s="968"/>
      <c r="C75" s="968"/>
      <c r="D75" s="968"/>
      <c r="E75" s="968"/>
      <c r="F75" s="968"/>
      <c r="G75" s="968"/>
      <c r="H75" s="968"/>
      <c r="I75" s="968"/>
      <c r="J75" s="968"/>
      <c r="K75" s="968"/>
      <c r="L75" s="968"/>
      <c r="M75" s="5"/>
    </row>
    <row r="76" spans="1:14" ht="24">
      <c r="A76" s="8">
        <v>1</v>
      </c>
      <c r="B76" s="140" t="s">
        <v>2726</v>
      </c>
      <c r="C76" s="76" t="s">
        <v>1534</v>
      </c>
      <c r="D76" s="74">
        <v>30000000</v>
      </c>
      <c r="E76" s="74">
        <v>0</v>
      </c>
      <c r="F76" s="74"/>
      <c r="G76" s="74">
        <v>8594066.3399999999</v>
      </c>
      <c r="H76" s="74">
        <f>D76-G76</f>
        <v>21405933.66</v>
      </c>
      <c r="I76" s="142"/>
      <c r="J76" s="74"/>
      <c r="K76" s="74"/>
      <c r="L76" s="75" t="s">
        <v>2727</v>
      </c>
      <c r="M76" s="5"/>
    </row>
    <row r="77" spans="1:14" ht="14.5">
      <c r="A77" s="8">
        <v>2</v>
      </c>
      <c r="B77" s="140" t="s">
        <v>1535</v>
      </c>
      <c r="C77" s="76" t="s">
        <v>20</v>
      </c>
      <c r="D77" s="74">
        <v>30000000</v>
      </c>
      <c r="E77" s="74">
        <v>0</v>
      </c>
      <c r="F77" s="74"/>
      <c r="G77" s="74">
        <v>17453132.73</v>
      </c>
      <c r="H77" s="74">
        <f t="shared" ref="H77:H80" si="4">D77-G77</f>
        <v>12546867.27</v>
      </c>
      <c r="I77" s="142"/>
      <c r="J77" s="74"/>
      <c r="K77" s="74"/>
      <c r="L77" s="75" t="s">
        <v>2723</v>
      </c>
      <c r="M77" s="5"/>
    </row>
    <row r="78" spans="1:14" ht="14.5">
      <c r="A78" s="8">
        <v>3</v>
      </c>
      <c r="B78" s="140" t="s">
        <v>1536</v>
      </c>
      <c r="C78" s="76" t="s">
        <v>1537</v>
      </c>
      <c r="D78" s="74">
        <v>30000000</v>
      </c>
      <c r="E78" s="74">
        <v>0</v>
      </c>
      <c r="F78" s="74"/>
      <c r="G78" s="74">
        <v>6900000</v>
      </c>
      <c r="H78" s="74">
        <f t="shared" si="4"/>
        <v>23100000</v>
      </c>
      <c r="I78" s="142"/>
      <c r="J78" s="74"/>
      <c r="K78" s="74"/>
      <c r="L78" s="75" t="s">
        <v>2728</v>
      </c>
      <c r="M78" s="5"/>
    </row>
    <row r="79" spans="1:14" ht="24">
      <c r="A79" s="8">
        <v>4</v>
      </c>
      <c r="B79" s="140" t="s">
        <v>1538</v>
      </c>
      <c r="C79" s="76" t="s">
        <v>1539</v>
      </c>
      <c r="D79" s="74">
        <v>30000000</v>
      </c>
      <c r="E79" s="74">
        <v>0</v>
      </c>
      <c r="F79" s="74"/>
      <c r="G79" s="74">
        <v>7493982.5599999996</v>
      </c>
      <c r="H79" s="74">
        <f t="shared" si="4"/>
        <v>22506017.440000001</v>
      </c>
      <c r="I79" s="142"/>
      <c r="J79" s="74"/>
      <c r="K79" s="74"/>
      <c r="L79" s="75" t="s">
        <v>2723</v>
      </c>
      <c r="M79" s="5"/>
    </row>
    <row r="80" spans="1:14" ht="14.5">
      <c r="A80" s="8">
        <f>+A79+1</f>
        <v>5</v>
      </c>
      <c r="B80" s="140" t="s">
        <v>1540</v>
      </c>
      <c r="C80" s="76" t="s">
        <v>431</v>
      </c>
      <c r="D80" s="74">
        <v>25000000</v>
      </c>
      <c r="E80" s="74">
        <v>0</v>
      </c>
      <c r="F80" s="74"/>
      <c r="G80" s="74">
        <v>13752664.939999999</v>
      </c>
      <c r="H80" s="74">
        <f t="shared" si="4"/>
        <v>11247335.060000001</v>
      </c>
      <c r="I80" s="74"/>
      <c r="J80" s="74"/>
      <c r="K80" s="74"/>
      <c r="L80" s="75" t="s">
        <v>2723</v>
      </c>
      <c r="M80" s="5"/>
    </row>
    <row r="81" spans="1:13" ht="14.5">
      <c r="A81" s="8">
        <f>+A80+1</f>
        <v>6</v>
      </c>
      <c r="B81" s="140" t="s">
        <v>1541</v>
      </c>
      <c r="C81" s="76" t="s">
        <v>431</v>
      </c>
      <c r="D81" s="74">
        <v>10000000</v>
      </c>
      <c r="E81" s="74">
        <v>0</v>
      </c>
      <c r="F81" s="74"/>
      <c r="G81" s="74">
        <v>2300000</v>
      </c>
      <c r="H81" s="74">
        <f>D81-G81</f>
        <v>7700000</v>
      </c>
      <c r="I81" s="74"/>
      <c r="J81" s="74"/>
      <c r="K81" s="74"/>
      <c r="L81" s="75" t="s">
        <v>2729</v>
      </c>
      <c r="M81" s="5"/>
    </row>
    <row r="82" spans="1:13" ht="14.5">
      <c r="A82" s="8">
        <f t="shared" ref="A82:A91" si="5">+A81+1</f>
        <v>7</v>
      </c>
      <c r="B82" s="140" t="s">
        <v>1542</v>
      </c>
      <c r="C82" s="76" t="s">
        <v>1502</v>
      </c>
      <c r="D82" s="74">
        <v>18000000</v>
      </c>
      <c r="E82" s="74">
        <v>0</v>
      </c>
      <c r="F82" s="74"/>
      <c r="G82" s="74">
        <v>4140000</v>
      </c>
      <c r="H82" s="74">
        <f t="shared" ref="H82:H91" si="6">D82-G82</f>
        <v>13860000</v>
      </c>
      <c r="I82" s="74"/>
      <c r="J82" s="74"/>
      <c r="K82" s="74"/>
      <c r="L82" s="75" t="s">
        <v>2723</v>
      </c>
      <c r="M82" s="5"/>
    </row>
    <row r="83" spans="1:13" ht="14.5">
      <c r="A83" s="8">
        <f t="shared" si="5"/>
        <v>8</v>
      </c>
      <c r="B83" s="140" t="s">
        <v>1543</v>
      </c>
      <c r="C83" s="76" t="s">
        <v>23</v>
      </c>
      <c r="D83" s="74">
        <v>20000000</v>
      </c>
      <c r="E83" s="74">
        <v>0</v>
      </c>
      <c r="F83" s="74"/>
      <c r="G83" s="74">
        <v>4600000</v>
      </c>
      <c r="H83" s="74">
        <f t="shared" si="6"/>
        <v>15400000</v>
      </c>
      <c r="I83" s="74"/>
      <c r="J83" s="74"/>
      <c r="K83" s="74"/>
      <c r="L83" s="75" t="s">
        <v>2705</v>
      </c>
      <c r="M83" s="5"/>
    </row>
    <row r="84" spans="1:13" ht="14.5">
      <c r="A84" s="8">
        <f t="shared" si="5"/>
        <v>9</v>
      </c>
      <c r="B84" s="140" t="s">
        <v>1544</v>
      </c>
      <c r="C84" s="76" t="s">
        <v>66</v>
      </c>
      <c r="D84" s="74">
        <v>10000000</v>
      </c>
      <c r="E84" s="74">
        <v>0</v>
      </c>
      <c r="F84" s="74"/>
      <c r="G84" s="74">
        <v>2300000</v>
      </c>
      <c r="H84" s="74">
        <f t="shared" si="6"/>
        <v>7700000</v>
      </c>
      <c r="I84" s="142"/>
      <c r="J84" s="143"/>
      <c r="K84" s="74"/>
      <c r="L84" s="75" t="s">
        <v>2723</v>
      </c>
      <c r="M84" s="5"/>
    </row>
    <row r="85" spans="1:13" ht="14.5">
      <c r="A85" s="8">
        <f t="shared" si="5"/>
        <v>10</v>
      </c>
      <c r="B85" s="140" t="s">
        <v>1545</v>
      </c>
      <c r="C85" s="76" t="s">
        <v>66</v>
      </c>
      <c r="D85" s="74">
        <v>10000000</v>
      </c>
      <c r="E85" s="74">
        <v>0</v>
      </c>
      <c r="F85" s="74"/>
      <c r="G85" s="74">
        <v>2300000</v>
      </c>
      <c r="H85" s="74">
        <f t="shared" si="6"/>
        <v>7700000</v>
      </c>
      <c r="I85" s="142"/>
      <c r="J85" s="74"/>
      <c r="K85" s="74"/>
      <c r="L85" s="75" t="s">
        <v>2723</v>
      </c>
      <c r="M85" s="5"/>
    </row>
    <row r="86" spans="1:13" ht="14.5">
      <c r="A86" s="8">
        <f t="shared" si="5"/>
        <v>11</v>
      </c>
      <c r="B86" s="140" t="s">
        <v>1546</v>
      </c>
      <c r="C86" s="76" t="s">
        <v>1523</v>
      </c>
      <c r="D86" s="74">
        <v>10000000</v>
      </c>
      <c r="E86" s="74">
        <v>0</v>
      </c>
      <c r="F86" s="74"/>
      <c r="G86" s="74">
        <v>2300000</v>
      </c>
      <c r="H86" s="74">
        <f t="shared" si="6"/>
        <v>7700000</v>
      </c>
      <c r="I86" s="142"/>
      <c r="J86" s="74"/>
      <c r="K86" s="74"/>
      <c r="L86" s="75" t="s">
        <v>2723</v>
      </c>
      <c r="M86" s="5"/>
    </row>
    <row r="87" spans="1:13" ht="14.5">
      <c r="A87" s="8">
        <f t="shared" si="5"/>
        <v>12</v>
      </c>
      <c r="B87" s="140" t="s">
        <v>1547</v>
      </c>
      <c r="C87" s="76" t="s">
        <v>431</v>
      </c>
      <c r="D87" s="74">
        <v>10000000</v>
      </c>
      <c r="E87" s="74">
        <v>0</v>
      </c>
      <c r="F87" s="74"/>
      <c r="G87" s="74">
        <v>3634980.085</v>
      </c>
      <c r="H87" s="74">
        <f t="shared" si="6"/>
        <v>6365019.915</v>
      </c>
      <c r="I87" s="142"/>
      <c r="J87" s="74"/>
      <c r="K87" s="74"/>
      <c r="L87" s="75" t="s">
        <v>2723</v>
      </c>
      <c r="M87" s="5"/>
    </row>
    <row r="88" spans="1:13" ht="14.5">
      <c r="A88" s="8">
        <f t="shared" si="5"/>
        <v>13</v>
      </c>
      <c r="B88" s="140" t="s">
        <v>1548</v>
      </c>
      <c r="C88" s="76"/>
      <c r="D88" s="74">
        <v>20000000</v>
      </c>
      <c r="E88" s="74">
        <v>0</v>
      </c>
      <c r="F88" s="74"/>
      <c r="G88" s="74">
        <v>0</v>
      </c>
      <c r="H88" s="74">
        <f t="shared" si="6"/>
        <v>20000000</v>
      </c>
      <c r="I88" s="142"/>
      <c r="J88" s="74"/>
      <c r="K88" s="74"/>
      <c r="L88" s="75"/>
      <c r="M88" s="5"/>
    </row>
    <row r="89" spans="1:13" ht="36">
      <c r="A89" s="8">
        <f t="shared" si="5"/>
        <v>14</v>
      </c>
      <c r="B89" s="140" t="s">
        <v>1549</v>
      </c>
      <c r="C89" s="76" t="s">
        <v>20</v>
      </c>
      <c r="D89" s="74">
        <v>5000000</v>
      </c>
      <c r="E89" s="74">
        <v>0</v>
      </c>
      <c r="F89" s="74"/>
      <c r="G89" s="74">
        <v>1150000</v>
      </c>
      <c r="H89" s="74">
        <f t="shared" si="6"/>
        <v>3850000</v>
      </c>
      <c r="I89" s="142"/>
      <c r="J89" s="74"/>
      <c r="K89" s="74"/>
      <c r="L89" s="75" t="s">
        <v>2730</v>
      </c>
      <c r="M89" s="5"/>
    </row>
    <row r="90" spans="1:13" ht="24">
      <c r="A90" s="8">
        <f t="shared" si="5"/>
        <v>15</v>
      </c>
      <c r="B90" s="140" t="s">
        <v>1550</v>
      </c>
      <c r="C90" s="76" t="s">
        <v>61</v>
      </c>
      <c r="D90" s="74">
        <v>17000000</v>
      </c>
      <c r="E90" s="74">
        <v>0</v>
      </c>
      <c r="F90" s="74"/>
      <c r="G90" s="74">
        <v>9942760.7100000009</v>
      </c>
      <c r="H90" s="74">
        <f t="shared" si="6"/>
        <v>7057239.2899999991</v>
      </c>
      <c r="I90" s="142"/>
      <c r="J90" s="74"/>
      <c r="K90" s="74"/>
      <c r="L90" s="75" t="s">
        <v>2731</v>
      </c>
      <c r="M90" s="5"/>
    </row>
    <row r="91" spans="1:13" ht="24">
      <c r="A91" s="8">
        <f t="shared" si="5"/>
        <v>16</v>
      </c>
      <c r="B91" s="140" t="s">
        <v>1551</v>
      </c>
      <c r="C91" s="76"/>
      <c r="D91" s="74">
        <v>25000000</v>
      </c>
      <c r="E91" s="74">
        <v>0</v>
      </c>
      <c r="F91" s="74"/>
      <c r="G91" s="74">
        <v>0</v>
      </c>
      <c r="H91" s="74">
        <f t="shared" si="6"/>
        <v>25000000</v>
      </c>
      <c r="I91" s="142"/>
      <c r="J91" s="74"/>
      <c r="K91" s="74"/>
      <c r="L91" s="75"/>
      <c r="M91" s="5"/>
    </row>
    <row r="92" spans="1:13" ht="14.5">
      <c r="A92" s="969" t="s">
        <v>516</v>
      </c>
      <c r="B92" s="970"/>
      <c r="C92" s="971"/>
      <c r="D92" s="144">
        <f>SUM(D76:D91)</f>
        <v>300000000</v>
      </c>
      <c r="E92" s="144">
        <f t="shared" ref="E92:H92" si="7">SUM(E76:E91)</f>
        <v>0</v>
      </c>
      <c r="F92" s="144"/>
      <c r="G92" s="144">
        <f t="shared" si="7"/>
        <v>86861587.36499998</v>
      </c>
      <c r="H92" s="144">
        <f t="shared" si="7"/>
        <v>213138412.63499999</v>
      </c>
      <c r="I92" s="969"/>
      <c r="J92" s="970"/>
      <c r="K92" s="970"/>
      <c r="L92" s="971"/>
      <c r="M92" s="5"/>
    </row>
    <row r="93" spans="1:13" ht="14.5">
      <c r="A93" s="968" t="s">
        <v>2732</v>
      </c>
      <c r="B93" s="968"/>
      <c r="C93" s="968"/>
      <c r="D93" s="968"/>
      <c r="E93" s="968"/>
      <c r="F93" s="968"/>
      <c r="G93" s="968"/>
      <c r="H93" s="968"/>
      <c r="I93" s="968"/>
      <c r="J93" s="968"/>
      <c r="K93" s="968"/>
      <c r="L93" s="968"/>
      <c r="M93" s="5"/>
    </row>
    <row r="94" spans="1:13" ht="14.5">
      <c r="A94" s="8">
        <v>1</v>
      </c>
      <c r="B94" s="140" t="s">
        <v>2733</v>
      </c>
      <c r="C94" s="76" t="s">
        <v>1521</v>
      </c>
      <c r="D94" s="74">
        <v>80000000</v>
      </c>
      <c r="E94" s="74"/>
      <c r="F94" s="74"/>
      <c r="G94" s="74">
        <v>35196974.75</v>
      </c>
      <c r="H94" s="74">
        <f>+D94-G94</f>
        <v>44803025.25</v>
      </c>
      <c r="I94" s="142" t="s">
        <v>2734</v>
      </c>
      <c r="J94" s="74">
        <v>63</v>
      </c>
      <c r="K94" s="74"/>
      <c r="L94" s="75" t="s">
        <v>2707</v>
      </c>
      <c r="M94" s="5"/>
    </row>
    <row r="95" spans="1:13" ht="14.5">
      <c r="A95" s="8">
        <f>+A94+1</f>
        <v>2</v>
      </c>
      <c r="B95" s="140" t="s">
        <v>1522</v>
      </c>
      <c r="C95" s="76" t="s">
        <v>1523</v>
      </c>
      <c r="D95" s="74">
        <v>45000000</v>
      </c>
      <c r="E95" s="74"/>
      <c r="F95" s="74"/>
      <c r="G95" s="74">
        <v>27034657.609999999</v>
      </c>
      <c r="H95" s="74">
        <f t="shared" ref="H95:H99" si="8">+D95-G95</f>
        <v>17965342.390000001</v>
      </c>
      <c r="I95" s="142" t="s">
        <v>2734</v>
      </c>
      <c r="J95" s="74">
        <v>230</v>
      </c>
      <c r="K95" s="74"/>
      <c r="L95" s="75" t="s">
        <v>2735</v>
      </c>
      <c r="M95" s="5"/>
    </row>
    <row r="96" spans="1:13" ht="14.5">
      <c r="A96" s="8">
        <f t="shared" ref="A96:A99" si="9">+A95+1</f>
        <v>3</v>
      </c>
      <c r="B96" s="140" t="s">
        <v>1524</v>
      </c>
      <c r="C96" s="76"/>
      <c r="D96" s="74">
        <v>140000000</v>
      </c>
      <c r="E96" s="74"/>
      <c r="F96" s="74"/>
      <c r="G96" s="74">
        <v>32200000</v>
      </c>
      <c r="H96" s="74">
        <f t="shared" si="8"/>
        <v>107800000</v>
      </c>
      <c r="I96" s="142" t="s">
        <v>1460</v>
      </c>
      <c r="J96" s="74">
        <v>853</v>
      </c>
      <c r="K96" s="74"/>
      <c r="L96" s="75" t="s">
        <v>2723</v>
      </c>
      <c r="M96" s="5"/>
    </row>
    <row r="97" spans="1:13" ht="14.5">
      <c r="A97" s="8">
        <f t="shared" si="9"/>
        <v>4</v>
      </c>
      <c r="B97" s="140" t="s">
        <v>1526</v>
      </c>
      <c r="C97" s="76" t="s">
        <v>56</v>
      </c>
      <c r="D97" s="74">
        <v>24000000</v>
      </c>
      <c r="E97" s="74"/>
      <c r="F97" s="74"/>
      <c r="G97" s="74">
        <v>0</v>
      </c>
      <c r="H97" s="74">
        <f t="shared" si="8"/>
        <v>24000000</v>
      </c>
      <c r="I97" s="142" t="s">
        <v>1460</v>
      </c>
      <c r="J97" s="74">
        <v>55</v>
      </c>
      <c r="K97" s="74"/>
      <c r="L97" s="75" t="s">
        <v>2723</v>
      </c>
      <c r="M97" s="5"/>
    </row>
    <row r="98" spans="1:13" ht="14.5">
      <c r="A98" s="8">
        <f t="shared" si="9"/>
        <v>5</v>
      </c>
      <c r="B98" s="140" t="s">
        <v>2736</v>
      </c>
      <c r="C98" s="76" t="s">
        <v>2737</v>
      </c>
      <c r="D98" s="74">
        <v>20000000</v>
      </c>
      <c r="E98" s="74"/>
      <c r="F98" s="74"/>
      <c r="G98" s="74">
        <v>5150977.16</v>
      </c>
      <c r="H98" s="74">
        <f t="shared" si="8"/>
        <v>14849022.84</v>
      </c>
      <c r="I98" s="142" t="s">
        <v>1460</v>
      </c>
      <c r="J98" s="74">
        <v>118</v>
      </c>
      <c r="K98" s="74"/>
      <c r="L98" s="75" t="s">
        <v>2723</v>
      </c>
      <c r="M98" s="5"/>
    </row>
    <row r="99" spans="1:13" ht="14.5">
      <c r="A99" s="8">
        <f t="shared" si="9"/>
        <v>6</v>
      </c>
      <c r="B99" s="140" t="s">
        <v>1532</v>
      </c>
      <c r="C99" s="76"/>
      <c r="D99" s="74">
        <v>15000000</v>
      </c>
      <c r="E99" s="74"/>
      <c r="F99" s="74"/>
      <c r="G99" s="74">
        <v>0</v>
      </c>
      <c r="H99" s="74">
        <f t="shared" si="8"/>
        <v>15000000</v>
      </c>
      <c r="I99" s="142" t="s">
        <v>1460</v>
      </c>
      <c r="J99" s="74"/>
      <c r="K99" s="74"/>
      <c r="L99" s="75"/>
      <c r="M99" s="5"/>
    </row>
    <row r="100" spans="1:13" ht="14.5">
      <c r="A100" s="969"/>
      <c r="B100" s="970"/>
      <c r="C100" s="971"/>
      <c r="D100" s="144">
        <f>+SUM(D94:D99)</f>
        <v>324000000</v>
      </c>
      <c r="E100" s="144">
        <f t="shared" ref="E100:H100" si="10">+SUM(E94:E99)</f>
        <v>0</v>
      </c>
      <c r="F100" s="144">
        <f t="shared" si="10"/>
        <v>0</v>
      </c>
      <c r="G100" s="144">
        <f t="shared" si="10"/>
        <v>99582609.519999996</v>
      </c>
      <c r="H100" s="144">
        <f t="shared" si="10"/>
        <v>224417390.47999999</v>
      </c>
      <c r="I100" s="969"/>
      <c r="J100" s="970"/>
      <c r="K100" s="970"/>
      <c r="L100" s="971"/>
      <c r="M100" s="5"/>
    </row>
    <row r="101" spans="1:13" ht="14.5">
      <c r="A101" s="146"/>
      <c r="B101" s="5"/>
      <c r="C101" s="5"/>
      <c r="D101" s="5"/>
      <c r="E101" s="5"/>
      <c r="F101" s="5"/>
      <c r="G101" s="5"/>
      <c r="H101" s="5"/>
      <c r="I101" s="5"/>
      <c r="J101" s="5"/>
      <c r="K101" s="5"/>
      <c r="L101" s="5"/>
      <c r="M101" s="5"/>
    </row>
    <row r="102" spans="1:13" ht="14.5">
      <c r="A102" s="965" t="s">
        <v>516</v>
      </c>
      <c r="B102" s="966"/>
      <c r="C102" s="967"/>
      <c r="D102" s="147">
        <f>D92+D74+D62+D38+D100</f>
        <v>1403000000</v>
      </c>
      <c r="E102" s="147">
        <f>E92+E74+E62+E38+E100</f>
        <v>309034924.22000003</v>
      </c>
      <c r="F102" s="147">
        <f t="shared" ref="F102:H102" si="11">F92+F74+F62+F38+F100</f>
        <v>44406334.149999991</v>
      </c>
      <c r="G102" s="147">
        <f t="shared" si="11"/>
        <v>817589800.83499992</v>
      </c>
      <c r="H102" s="147">
        <f t="shared" si="11"/>
        <v>585410202.16499996</v>
      </c>
      <c r="I102" s="965"/>
      <c r="J102" s="966"/>
      <c r="K102" s="966"/>
      <c r="L102" s="967"/>
      <c r="M102" s="5"/>
    </row>
    <row r="103" spans="1:13" ht="14.5">
      <c r="A103" s="146"/>
      <c r="B103" s="5"/>
      <c r="C103" s="5"/>
      <c r="D103" s="5"/>
      <c r="E103" s="5"/>
      <c r="F103" s="5"/>
      <c r="G103" s="5"/>
      <c r="H103" s="5"/>
      <c r="I103" s="5"/>
      <c r="J103" s="5"/>
      <c r="K103" s="5"/>
      <c r="L103" s="5"/>
      <c r="M103" s="5"/>
    </row>
    <row r="104" spans="1:13" ht="14.5">
      <c r="A104" s="146"/>
      <c r="B104" s="5"/>
      <c r="C104" s="5"/>
      <c r="D104" s="5"/>
      <c r="E104" s="5"/>
      <c r="F104" s="5"/>
      <c r="G104" s="5"/>
      <c r="H104" s="5"/>
      <c r="I104" s="5"/>
      <c r="J104" s="5"/>
      <c r="K104" s="5"/>
      <c r="L104" s="5"/>
      <c r="M104" s="5"/>
    </row>
    <row r="105" spans="1:13" ht="14.5">
      <c r="A105" s="146"/>
      <c r="B105" s="5"/>
      <c r="C105" s="5"/>
      <c r="D105" s="5"/>
      <c r="E105" s="5"/>
      <c r="F105" s="5"/>
      <c r="G105" s="5"/>
      <c r="H105" s="5"/>
      <c r="I105" s="5"/>
      <c r="J105" s="5"/>
      <c r="K105" s="5"/>
      <c r="L105" s="5"/>
      <c r="M105" s="5"/>
    </row>
    <row r="106" spans="1:13" ht="14.5">
      <c r="A106" s="146"/>
      <c r="B106" s="5"/>
      <c r="C106" s="5"/>
      <c r="D106" s="5"/>
      <c r="E106" s="5"/>
      <c r="F106" s="5"/>
      <c r="G106" s="5"/>
      <c r="H106" s="5"/>
      <c r="I106" s="5"/>
      <c r="J106" s="5"/>
      <c r="K106" s="5"/>
      <c r="L106" s="5"/>
      <c r="M106" s="5"/>
    </row>
    <row r="107" spans="1:13" ht="14.5">
      <c r="A107" s="146"/>
      <c r="B107" s="5"/>
      <c r="C107" s="5"/>
      <c r="D107" s="5"/>
      <c r="E107" s="5"/>
      <c r="F107" s="5"/>
      <c r="G107" s="5"/>
      <c r="H107" s="5"/>
      <c r="I107" s="5"/>
      <c r="J107" s="5"/>
      <c r="K107" s="5"/>
      <c r="L107" s="5"/>
      <c r="M107" s="5"/>
    </row>
    <row r="108" spans="1:13" ht="14.5">
      <c r="A108" s="146"/>
      <c r="B108" s="5"/>
      <c r="C108" s="5"/>
      <c r="D108" s="5"/>
      <c r="E108" s="5"/>
      <c r="F108" s="5"/>
      <c r="G108" s="5"/>
      <c r="H108" s="5"/>
      <c r="I108" s="5"/>
      <c r="J108" s="5"/>
      <c r="K108" s="5"/>
      <c r="L108" s="5"/>
      <c r="M108" s="5"/>
    </row>
    <row r="109" spans="1:13" ht="14.5">
      <c r="A109" s="146"/>
      <c r="B109" s="5"/>
      <c r="C109" s="5"/>
      <c r="D109" s="5"/>
      <c r="E109" s="5"/>
      <c r="F109" s="5"/>
      <c r="G109" s="5"/>
      <c r="H109" s="5"/>
      <c r="I109" s="5"/>
      <c r="J109" s="5"/>
      <c r="K109" s="5"/>
      <c r="L109" s="5"/>
      <c r="M109" s="5"/>
    </row>
    <row r="110" spans="1:13" ht="14.5">
      <c r="A110" s="146"/>
      <c r="B110" s="5"/>
      <c r="C110" s="5"/>
      <c r="D110" s="5"/>
      <c r="E110" s="5"/>
      <c r="F110" s="5"/>
      <c r="G110" s="5"/>
      <c r="H110" s="5"/>
      <c r="I110" s="5"/>
      <c r="J110" s="5"/>
      <c r="K110" s="5"/>
      <c r="L110" s="5"/>
      <c r="M110" s="5"/>
    </row>
    <row r="111" spans="1:13" ht="14.5">
      <c r="A111" s="146"/>
      <c r="B111" s="5"/>
      <c r="C111" s="5"/>
      <c r="D111" s="5"/>
      <c r="E111" s="5"/>
      <c r="F111" s="5"/>
      <c r="G111" s="5"/>
      <c r="H111" s="5"/>
      <c r="I111" s="5"/>
      <c r="J111" s="5"/>
      <c r="K111" s="5"/>
      <c r="L111" s="5"/>
      <c r="M111" s="5"/>
    </row>
    <row r="112" spans="1:13" ht="14.5">
      <c r="A112" s="146"/>
      <c r="B112" s="5"/>
      <c r="C112" s="5"/>
      <c r="D112" s="5"/>
      <c r="E112" s="5"/>
      <c r="F112" s="5"/>
      <c r="G112" s="5"/>
      <c r="H112" s="5"/>
      <c r="I112" s="5"/>
      <c r="J112" s="5"/>
      <c r="K112" s="5"/>
      <c r="L112" s="5"/>
      <c r="M112" s="5"/>
    </row>
    <row r="113" spans="1:13" ht="14.5">
      <c r="A113" s="146"/>
      <c r="B113" s="5"/>
      <c r="C113" s="5"/>
      <c r="D113" s="5"/>
      <c r="E113" s="5"/>
      <c r="F113" s="5"/>
      <c r="G113" s="5"/>
      <c r="H113" s="5"/>
      <c r="I113" s="5"/>
      <c r="J113" s="5"/>
      <c r="K113" s="5"/>
      <c r="L113" s="5"/>
      <c r="M113" s="5"/>
    </row>
    <row r="114" spans="1:13" ht="14.5">
      <c r="A114" s="146"/>
      <c r="B114" s="5"/>
      <c r="C114" s="5"/>
      <c r="D114" s="5"/>
      <c r="E114" s="5"/>
      <c r="F114" s="5"/>
      <c r="G114" s="5"/>
      <c r="H114" s="5"/>
      <c r="I114" s="5"/>
      <c r="J114" s="5"/>
      <c r="K114" s="5"/>
      <c r="L114" s="5"/>
      <c r="M114" s="5"/>
    </row>
    <row r="115" spans="1:13" ht="14.5">
      <c r="A115" s="146"/>
      <c r="B115" s="5"/>
      <c r="C115" s="5"/>
      <c r="D115" s="5"/>
      <c r="E115" s="5"/>
      <c r="F115" s="5"/>
      <c r="G115" s="5"/>
      <c r="H115" s="5"/>
      <c r="I115" s="5"/>
      <c r="J115" s="5"/>
      <c r="K115" s="5"/>
      <c r="L115" s="5"/>
      <c r="M115" s="5"/>
    </row>
    <row r="116" spans="1:13" ht="14.5">
      <c r="A116" s="146"/>
      <c r="B116" s="5"/>
      <c r="C116" s="5"/>
      <c r="D116" s="5"/>
      <c r="E116" s="5"/>
      <c r="F116" s="5"/>
      <c r="G116" s="5"/>
      <c r="H116" s="5"/>
      <c r="I116" s="5"/>
      <c r="J116" s="5"/>
      <c r="K116" s="5"/>
      <c r="L116" s="5"/>
      <c r="M116" s="5"/>
    </row>
    <row r="117" spans="1:13" ht="14.5">
      <c r="A117" s="146"/>
      <c r="B117" s="5"/>
      <c r="C117" s="5"/>
      <c r="D117" s="5"/>
      <c r="E117" s="5"/>
      <c r="F117" s="5"/>
      <c r="G117" s="5"/>
      <c r="H117" s="5"/>
      <c r="I117" s="5"/>
      <c r="J117" s="5"/>
      <c r="K117" s="5"/>
      <c r="L117" s="5"/>
      <c r="M117" s="5"/>
    </row>
    <row r="118" spans="1:13" ht="14.5">
      <c r="A118" s="146"/>
      <c r="B118" s="5"/>
      <c r="C118" s="5"/>
      <c r="D118" s="5"/>
      <c r="E118" s="5"/>
      <c r="F118" s="5"/>
      <c r="G118" s="5"/>
      <c r="H118" s="5"/>
      <c r="I118" s="5"/>
      <c r="J118" s="5"/>
      <c r="K118" s="5"/>
      <c r="L118" s="5"/>
      <c r="M118" s="5"/>
    </row>
    <row r="119" spans="1:13" ht="14.5">
      <c r="A119" s="146"/>
      <c r="B119" s="5"/>
      <c r="C119" s="5"/>
      <c r="D119" s="5"/>
      <c r="E119" s="5"/>
      <c r="F119" s="5"/>
      <c r="G119" s="5"/>
      <c r="H119" s="5"/>
      <c r="I119" s="5"/>
      <c r="J119" s="5"/>
      <c r="K119" s="5"/>
      <c r="L119" s="5"/>
      <c r="M119" s="5"/>
    </row>
    <row r="120" spans="1:13" ht="14.5">
      <c r="A120" s="146"/>
      <c r="B120" s="5"/>
      <c r="C120" s="5"/>
      <c r="D120" s="5"/>
      <c r="E120" s="5"/>
      <c r="F120" s="5"/>
      <c r="G120" s="5"/>
      <c r="H120" s="5"/>
      <c r="I120" s="5"/>
      <c r="J120" s="5"/>
      <c r="K120" s="5"/>
      <c r="L120" s="5"/>
      <c r="M120" s="5"/>
    </row>
    <row r="121" spans="1:13" ht="14.5">
      <c r="A121" s="146"/>
      <c r="B121" s="5"/>
      <c r="C121" s="5"/>
      <c r="D121" s="5"/>
      <c r="E121" s="5"/>
      <c r="F121" s="5"/>
      <c r="G121" s="5"/>
      <c r="H121" s="5"/>
      <c r="I121" s="5"/>
      <c r="J121" s="5"/>
      <c r="K121" s="5"/>
      <c r="L121" s="5"/>
      <c r="M121" s="5"/>
    </row>
    <row r="122" spans="1:13" ht="14.5">
      <c r="A122" s="146"/>
      <c r="B122" s="5"/>
      <c r="C122" s="5"/>
      <c r="D122" s="5"/>
      <c r="E122" s="5"/>
      <c r="F122" s="5"/>
      <c r="G122" s="5"/>
      <c r="H122" s="5"/>
      <c r="I122" s="5"/>
      <c r="J122" s="5"/>
      <c r="K122" s="5"/>
      <c r="L122" s="5"/>
      <c r="M122" s="5"/>
    </row>
    <row r="123" spans="1:13" ht="14.5">
      <c r="A123" s="146"/>
      <c r="B123" s="5"/>
      <c r="C123" s="5"/>
      <c r="D123" s="5"/>
      <c r="E123" s="5"/>
      <c r="F123" s="5"/>
      <c r="G123" s="5"/>
      <c r="H123" s="5"/>
      <c r="I123" s="5"/>
      <c r="J123" s="5"/>
      <c r="K123" s="5"/>
      <c r="L123" s="5"/>
      <c r="M123" s="5"/>
    </row>
    <row r="124" spans="1:13" ht="14.5">
      <c r="A124" s="146"/>
      <c r="B124" s="5"/>
      <c r="C124" s="5"/>
      <c r="D124" s="5"/>
      <c r="E124" s="5"/>
      <c r="F124" s="5"/>
      <c r="G124" s="5"/>
      <c r="H124" s="5"/>
      <c r="I124" s="5"/>
      <c r="J124" s="5"/>
      <c r="K124" s="5"/>
      <c r="L124" s="5"/>
      <c r="M124" s="5"/>
    </row>
    <row r="125" spans="1:13" ht="14.5">
      <c r="A125" s="146"/>
      <c r="B125" s="5"/>
      <c r="C125" s="5"/>
      <c r="D125" s="5"/>
      <c r="E125" s="5"/>
      <c r="F125" s="5"/>
      <c r="G125" s="5"/>
      <c r="H125" s="5"/>
      <c r="I125" s="5"/>
      <c r="J125" s="5"/>
      <c r="K125" s="5"/>
      <c r="L125" s="5"/>
      <c r="M125" s="5"/>
    </row>
    <row r="126" spans="1:13" ht="14.5">
      <c r="A126" s="146"/>
      <c r="B126" s="5"/>
      <c r="C126" s="5"/>
      <c r="D126" s="5"/>
      <c r="E126" s="5"/>
      <c r="F126" s="5"/>
      <c r="G126" s="5"/>
      <c r="H126" s="5"/>
      <c r="I126" s="5"/>
      <c r="J126" s="5"/>
      <c r="K126" s="5"/>
      <c r="L126" s="5"/>
      <c r="M126" s="5"/>
    </row>
    <row r="127" spans="1:13" ht="14.5">
      <c r="A127" s="146"/>
      <c r="B127" s="5"/>
      <c r="C127" s="5"/>
      <c r="D127" s="5"/>
      <c r="E127" s="5"/>
      <c r="F127" s="5"/>
      <c r="G127" s="5"/>
      <c r="H127" s="5"/>
      <c r="I127" s="5"/>
      <c r="J127" s="5"/>
      <c r="K127" s="5"/>
      <c r="L127" s="5"/>
      <c r="M127" s="5"/>
    </row>
    <row r="128" spans="1:13" ht="14.5">
      <c r="A128" s="146"/>
      <c r="B128" s="5"/>
      <c r="C128" s="5"/>
      <c r="D128" s="5"/>
      <c r="E128" s="5"/>
      <c r="F128" s="5"/>
      <c r="G128" s="5"/>
      <c r="H128" s="5"/>
      <c r="I128" s="5"/>
      <c r="J128" s="5"/>
      <c r="K128" s="5"/>
      <c r="L128" s="5"/>
      <c r="M128" s="5"/>
    </row>
    <row r="129" spans="1:13" ht="14.5">
      <c r="A129" s="146"/>
      <c r="B129" s="5"/>
      <c r="C129" s="5"/>
      <c r="D129" s="5"/>
      <c r="E129" s="5"/>
      <c r="F129" s="5"/>
      <c r="G129" s="5"/>
      <c r="H129" s="5"/>
      <c r="I129" s="5"/>
      <c r="J129" s="5"/>
      <c r="K129" s="5"/>
      <c r="L129" s="5"/>
      <c r="M129" s="5"/>
    </row>
    <row r="130" spans="1:13" ht="14.5">
      <c r="A130" s="146"/>
      <c r="B130" s="5"/>
      <c r="C130" s="5"/>
      <c r="D130" s="5"/>
      <c r="E130" s="5"/>
      <c r="F130" s="5"/>
      <c r="G130" s="5"/>
      <c r="H130" s="5"/>
      <c r="I130" s="5"/>
      <c r="J130" s="5"/>
      <c r="K130" s="5"/>
      <c r="L130" s="5"/>
      <c r="M130" s="5"/>
    </row>
    <row r="131" spans="1:13" ht="14.5">
      <c r="A131" s="146"/>
      <c r="B131" s="5"/>
      <c r="C131" s="5"/>
      <c r="D131" s="5"/>
      <c r="E131" s="5"/>
      <c r="F131" s="5"/>
      <c r="G131" s="5"/>
      <c r="H131" s="5"/>
      <c r="I131" s="5"/>
      <c r="J131" s="5"/>
      <c r="K131" s="5"/>
      <c r="L131" s="5"/>
      <c r="M131" s="5"/>
    </row>
    <row r="132" spans="1:13" ht="14.5">
      <c r="A132" s="146"/>
      <c r="B132" s="5"/>
      <c r="C132" s="5"/>
      <c r="D132" s="5"/>
      <c r="E132" s="5"/>
      <c r="F132" s="5"/>
      <c r="G132" s="5"/>
      <c r="H132" s="5"/>
      <c r="I132" s="5"/>
      <c r="J132" s="5"/>
      <c r="K132" s="5"/>
      <c r="L132" s="5"/>
      <c r="M132" s="5"/>
    </row>
    <row r="133" spans="1:13" ht="14.5">
      <c r="A133" s="146"/>
      <c r="B133" s="5"/>
      <c r="C133" s="5"/>
      <c r="D133" s="5"/>
      <c r="E133" s="5"/>
      <c r="F133" s="5"/>
      <c r="G133" s="5"/>
      <c r="H133" s="5"/>
      <c r="I133" s="5"/>
      <c r="J133" s="5"/>
      <c r="K133" s="5"/>
      <c r="L133" s="5"/>
      <c r="M133" s="5"/>
    </row>
    <row r="134" spans="1:13" ht="14.5">
      <c r="A134" s="146"/>
      <c r="B134" s="5"/>
      <c r="C134" s="5"/>
      <c r="D134" s="5"/>
      <c r="E134" s="5"/>
      <c r="F134" s="5"/>
      <c r="G134" s="5"/>
      <c r="H134" s="5"/>
      <c r="I134" s="5"/>
      <c r="J134" s="5"/>
      <c r="K134" s="5"/>
      <c r="L134" s="5"/>
      <c r="M134" s="5"/>
    </row>
    <row r="135" spans="1:13" ht="14.5">
      <c r="A135" s="146"/>
      <c r="B135" s="5"/>
      <c r="C135" s="5"/>
      <c r="D135" s="5"/>
      <c r="E135" s="5"/>
      <c r="F135" s="5"/>
      <c r="G135" s="5"/>
      <c r="H135" s="5"/>
      <c r="I135" s="5"/>
      <c r="J135" s="5"/>
      <c r="K135" s="5"/>
      <c r="L135" s="5"/>
      <c r="M135" s="5"/>
    </row>
    <row r="136" spans="1:13" ht="14.5">
      <c r="A136" s="146"/>
      <c r="B136" s="5"/>
      <c r="C136" s="5"/>
      <c r="D136" s="5"/>
      <c r="E136" s="5"/>
      <c r="F136" s="5"/>
      <c r="G136" s="5"/>
      <c r="H136" s="5"/>
      <c r="I136" s="5"/>
      <c r="J136" s="5"/>
      <c r="K136" s="5"/>
      <c r="L136" s="5"/>
      <c r="M136" s="5"/>
    </row>
    <row r="137" spans="1:13" ht="14.5">
      <c r="A137" s="146"/>
      <c r="B137" s="5"/>
      <c r="C137" s="5"/>
      <c r="D137" s="5"/>
      <c r="E137" s="5"/>
      <c r="F137" s="5"/>
      <c r="G137" s="5"/>
      <c r="H137" s="5"/>
      <c r="I137" s="5"/>
      <c r="J137" s="5"/>
      <c r="K137" s="5"/>
      <c r="L137" s="5"/>
      <c r="M137" s="5"/>
    </row>
    <row r="138" spans="1:13" ht="14.5">
      <c r="A138" s="146"/>
      <c r="B138" s="5"/>
      <c r="C138" s="5"/>
      <c r="D138" s="5"/>
      <c r="E138" s="5"/>
      <c r="F138" s="5"/>
      <c r="G138" s="5"/>
      <c r="H138" s="5"/>
      <c r="I138" s="5"/>
      <c r="J138" s="5"/>
      <c r="K138" s="5"/>
      <c r="L138" s="5"/>
      <c r="M138" s="5"/>
    </row>
    <row r="139" spans="1:13" ht="14.5">
      <c r="A139" s="146"/>
      <c r="B139" s="5"/>
      <c r="C139" s="5"/>
      <c r="D139" s="5"/>
      <c r="E139" s="5"/>
      <c r="F139" s="5"/>
      <c r="G139" s="5"/>
      <c r="H139" s="5"/>
      <c r="I139" s="5"/>
      <c r="J139" s="5"/>
      <c r="K139" s="5"/>
      <c r="L139" s="5"/>
      <c r="M139" s="5"/>
    </row>
    <row r="140" spans="1:13" ht="14.5">
      <c r="A140" s="146"/>
      <c r="B140" s="5"/>
      <c r="C140" s="5"/>
      <c r="D140" s="5"/>
      <c r="E140" s="5"/>
      <c r="F140" s="5"/>
      <c r="G140" s="5"/>
      <c r="H140" s="5"/>
      <c r="I140" s="5"/>
      <c r="J140" s="5"/>
      <c r="K140" s="5"/>
      <c r="L140" s="5"/>
      <c r="M140" s="5"/>
    </row>
    <row r="141" spans="1:13" ht="14.5">
      <c r="A141" s="146"/>
      <c r="B141" s="5"/>
      <c r="C141" s="5"/>
      <c r="D141" s="5"/>
      <c r="E141" s="5"/>
      <c r="F141" s="5"/>
      <c r="G141" s="5"/>
      <c r="H141" s="5"/>
      <c r="I141" s="5"/>
      <c r="J141" s="5"/>
      <c r="K141" s="5"/>
      <c r="L141" s="5"/>
      <c r="M141" s="5"/>
    </row>
    <row r="142" spans="1:13" ht="14.5">
      <c r="A142" s="146"/>
      <c r="B142" s="5"/>
      <c r="C142" s="5"/>
      <c r="D142" s="5"/>
      <c r="E142" s="5"/>
      <c r="F142" s="5"/>
      <c r="G142" s="5"/>
      <c r="H142" s="5"/>
      <c r="I142" s="5"/>
      <c r="J142" s="5"/>
      <c r="K142" s="5"/>
      <c r="L142" s="5"/>
      <c r="M142" s="5"/>
    </row>
    <row r="143" spans="1:13" ht="14.5">
      <c r="A143" s="146"/>
      <c r="B143" s="5"/>
      <c r="C143" s="5"/>
      <c r="D143" s="5"/>
      <c r="E143" s="5"/>
      <c r="F143" s="5"/>
      <c r="G143" s="5"/>
      <c r="H143" s="5"/>
      <c r="I143" s="5"/>
      <c r="J143" s="5"/>
      <c r="K143" s="5"/>
      <c r="L143" s="5"/>
      <c r="M143" s="5"/>
    </row>
    <row r="144" spans="1:13" ht="14.5">
      <c r="A144" s="146"/>
      <c r="B144" s="5"/>
      <c r="C144" s="5"/>
      <c r="D144" s="5"/>
      <c r="E144" s="5"/>
      <c r="F144" s="5"/>
      <c r="G144" s="5"/>
      <c r="H144" s="5"/>
      <c r="I144" s="5"/>
      <c r="J144" s="5"/>
      <c r="K144" s="5"/>
      <c r="L144" s="5"/>
      <c r="M144" s="5"/>
    </row>
    <row r="145" spans="1:13" ht="14.5">
      <c r="A145" s="146"/>
      <c r="B145" s="5"/>
      <c r="C145" s="5"/>
      <c r="D145" s="5"/>
      <c r="E145" s="5"/>
      <c r="F145" s="5"/>
      <c r="G145" s="5"/>
      <c r="H145" s="5"/>
      <c r="I145" s="5"/>
      <c r="J145" s="5"/>
      <c r="K145" s="5"/>
      <c r="L145" s="5"/>
      <c r="M145" s="5"/>
    </row>
    <row r="146" spans="1:13" ht="14.5">
      <c r="A146" s="146"/>
      <c r="B146" s="5"/>
      <c r="C146" s="5"/>
      <c r="D146" s="5"/>
      <c r="E146" s="5"/>
      <c r="F146" s="5"/>
      <c r="G146" s="5"/>
      <c r="H146" s="5"/>
      <c r="I146" s="5"/>
      <c r="J146" s="5"/>
      <c r="K146" s="5"/>
      <c r="L146" s="5"/>
      <c r="M146" s="5"/>
    </row>
    <row r="147" spans="1:13" ht="14.5">
      <c r="A147" s="146"/>
      <c r="B147" s="5"/>
      <c r="C147" s="5"/>
      <c r="D147" s="5"/>
      <c r="E147" s="5"/>
      <c r="F147" s="5"/>
      <c r="G147" s="5"/>
      <c r="H147" s="5"/>
      <c r="I147" s="5"/>
      <c r="J147" s="5"/>
      <c r="K147" s="5"/>
      <c r="L147" s="5"/>
      <c r="M147" s="5"/>
    </row>
    <row r="148" spans="1:13" ht="14.5">
      <c r="A148" s="146"/>
      <c r="B148" s="5"/>
      <c r="C148" s="5"/>
      <c r="D148" s="5"/>
      <c r="E148" s="5"/>
      <c r="F148" s="5"/>
      <c r="G148" s="5"/>
      <c r="H148" s="5"/>
      <c r="I148" s="5"/>
      <c r="J148" s="5"/>
      <c r="K148" s="5"/>
      <c r="L148" s="5"/>
      <c r="M148" s="5"/>
    </row>
    <row r="149" spans="1:13" ht="14.5">
      <c r="A149" s="146"/>
      <c r="B149" s="5"/>
      <c r="C149" s="5"/>
      <c r="D149" s="5"/>
      <c r="E149" s="5"/>
      <c r="F149" s="5"/>
      <c r="G149" s="5"/>
      <c r="H149" s="5"/>
      <c r="I149" s="5"/>
      <c r="J149" s="5"/>
      <c r="K149" s="5"/>
      <c r="L149" s="5"/>
      <c r="M149" s="5"/>
    </row>
    <row r="150" spans="1:13" ht="14.5">
      <c r="A150" s="146"/>
      <c r="B150" s="5"/>
      <c r="C150" s="5"/>
      <c r="D150" s="5"/>
      <c r="E150" s="5"/>
      <c r="F150" s="5"/>
      <c r="G150" s="5"/>
      <c r="H150" s="5"/>
      <c r="I150" s="5"/>
      <c r="J150" s="5"/>
      <c r="K150" s="5"/>
      <c r="L150" s="5"/>
      <c r="M150" s="5"/>
    </row>
    <row r="151" spans="1:13" ht="14.5">
      <c r="A151" s="146"/>
      <c r="B151" s="5"/>
      <c r="C151" s="5"/>
      <c r="D151" s="5"/>
      <c r="E151" s="5"/>
      <c r="F151" s="5"/>
      <c r="G151" s="5"/>
      <c r="H151" s="5"/>
      <c r="I151" s="5"/>
      <c r="J151" s="5"/>
      <c r="K151" s="5"/>
      <c r="L151" s="5"/>
      <c r="M151" s="5"/>
    </row>
    <row r="152" spans="1:13" ht="14.5">
      <c r="A152" s="146"/>
      <c r="B152" s="5"/>
      <c r="C152" s="5"/>
      <c r="D152" s="5"/>
      <c r="E152" s="5"/>
      <c r="F152" s="5"/>
      <c r="G152" s="5"/>
      <c r="H152" s="5"/>
      <c r="I152" s="5"/>
      <c r="J152" s="5"/>
      <c r="K152" s="5"/>
      <c r="L152" s="5"/>
      <c r="M152" s="5"/>
    </row>
    <row r="153" spans="1:13" ht="14.5">
      <c r="A153" s="146"/>
      <c r="B153" s="5"/>
      <c r="C153" s="5"/>
      <c r="D153" s="5"/>
      <c r="E153" s="5"/>
      <c r="F153" s="5"/>
      <c r="G153" s="5"/>
      <c r="H153" s="5"/>
      <c r="I153" s="5"/>
      <c r="J153" s="5"/>
      <c r="K153" s="5"/>
      <c r="L153" s="5"/>
      <c r="M153" s="5"/>
    </row>
    <row r="154" spans="1:13" ht="14.5">
      <c r="A154" s="146"/>
      <c r="B154" s="5"/>
      <c r="C154" s="5"/>
      <c r="D154" s="5"/>
      <c r="E154" s="5"/>
      <c r="F154" s="5"/>
      <c r="G154" s="5"/>
      <c r="H154" s="5"/>
      <c r="I154" s="5"/>
      <c r="J154" s="5"/>
      <c r="K154" s="5"/>
      <c r="L154" s="5"/>
      <c r="M154" s="5"/>
    </row>
    <row r="155" spans="1:13" ht="14.5">
      <c r="A155" s="146"/>
      <c r="B155" s="5"/>
      <c r="C155" s="5"/>
      <c r="D155" s="5"/>
      <c r="E155" s="5"/>
      <c r="F155" s="5"/>
      <c r="G155" s="5"/>
      <c r="H155" s="5"/>
      <c r="I155" s="5"/>
      <c r="J155" s="5"/>
      <c r="K155" s="5"/>
      <c r="L155" s="5"/>
      <c r="M155" s="5"/>
    </row>
    <row r="156" spans="1:13" ht="14.5">
      <c r="A156" s="146"/>
      <c r="B156" s="5"/>
      <c r="C156" s="5"/>
      <c r="D156" s="5"/>
      <c r="E156" s="5"/>
      <c r="F156" s="5"/>
      <c r="G156" s="5"/>
      <c r="H156" s="5"/>
      <c r="I156" s="5"/>
      <c r="J156" s="5"/>
      <c r="K156" s="5"/>
      <c r="L156" s="5"/>
      <c r="M156" s="5"/>
    </row>
    <row r="157" spans="1:13" ht="14.5">
      <c r="A157" s="146"/>
      <c r="B157" s="5"/>
      <c r="C157" s="5"/>
      <c r="D157" s="5"/>
      <c r="E157" s="5"/>
      <c r="F157" s="5"/>
      <c r="G157" s="5"/>
      <c r="H157" s="5"/>
      <c r="I157" s="5"/>
      <c r="J157" s="5"/>
      <c r="K157" s="5"/>
      <c r="L157" s="5"/>
      <c r="M157" s="5"/>
    </row>
    <row r="158" spans="1:13" ht="14.5">
      <c r="A158" s="146"/>
      <c r="B158" s="5"/>
      <c r="C158" s="5"/>
      <c r="D158" s="5"/>
      <c r="E158" s="5"/>
      <c r="F158" s="5"/>
      <c r="G158" s="5"/>
      <c r="H158" s="5"/>
      <c r="I158" s="5"/>
      <c r="J158" s="5"/>
      <c r="K158" s="5"/>
      <c r="L158" s="5"/>
      <c r="M158" s="5"/>
    </row>
    <row r="159" spans="1:13" ht="14.5">
      <c r="A159" s="146"/>
      <c r="B159" s="5"/>
      <c r="C159" s="5"/>
      <c r="D159" s="5"/>
      <c r="E159" s="5"/>
      <c r="F159" s="5"/>
      <c r="G159" s="5"/>
      <c r="H159" s="5"/>
      <c r="I159" s="5"/>
      <c r="J159" s="5"/>
      <c r="K159" s="5"/>
      <c r="L159" s="5"/>
      <c r="M159" s="5"/>
    </row>
    <row r="160" spans="1:13" ht="14.5">
      <c r="A160" s="146"/>
      <c r="B160" s="5"/>
      <c r="C160" s="5"/>
      <c r="D160" s="5"/>
      <c r="E160" s="5"/>
      <c r="F160" s="5"/>
      <c r="G160" s="5"/>
      <c r="H160" s="5"/>
      <c r="I160" s="5"/>
      <c r="J160" s="5"/>
      <c r="K160" s="5"/>
      <c r="L160" s="5"/>
      <c r="M160" s="5"/>
    </row>
    <row r="161" spans="1:13" ht="14.5">
      <c r="A161" s="146"/>
      <c r="B161" s="5"/>
      <c r="C161" s="5"/>
      <c r="D161" s="5"/>
      <c r="E161" s="5"/>
      <c r="F161" s="5"/>
      <c r="G161" s="5"/>
      <c r="H161" s="5"/>
      <c r="I161" s="5"/>
      <c r="J161" s="5"/>
      <c r="K161" s="5"/>
      <c r="L161" s="5"/>
      <c r="M161" s="5"/>
    </row>
    <row r="162" spans="1:13" ht="14.5">
      <c r="A162" s="146"/>
      <c r="B162" s="5"/>
      <c r="C162" s="5"/>
      <c r="D162" s="5"/>
      <c r="E162" s="5"/>
      <c r="F162" s="5"/>
      <c r="G162" s="5"/>
      <c r="H162" s="5"/>
      <c r="I162" s="5"/>
      <c r="J162" s="5"/>
      <c r="K162" s="5"/>
      <c r="L162" s="5"/>
      <c r="M162" s="5"/>
    </row>
    <row r="163" spans="1:13" ht="14.5">
      <c r="A163" s="146"/>
      <c r="B163" s="5"/>
      <c r="C163" s="5"/>
      <c r="D163" s="5"/>
      <c r="E163" s="5"/>
      <c r="F163" s="5"/>
      <c r="G163" s="5"/>
      <c r="H163" s="5"/>
      <c r="I163" s="5"/>
      <c r="J163" s="5"/>
      <c r="K163" s="5"/>
      <c r="L163" s="5"/>
      <c r="M163" s="5"/>
    </row>
    <row r="164" spans="1:13" ht="14.5">
      <c r="A164" s="146"/>
      <c r="B164" s="5"/>
      <c r="C164" s="5"/>
      <c r="D164" s="5"/>
      <c r="E164" s="5"/>
      <c r="F164" s="5"/>
      <c r="G164" s="5"/>
      <c r="H164" s="5"/>
      <c r="I164" s="5"/>
      <c r="J164" s="5"/>
      <c r="K164" s="5"/>
      <c r="L164" s="5"/>
      <c r="M164" s="5"/>
    </row>
    <row r="165" spans="1:13" ht="14.5">
      <c r="A165" s="146"/>
      <c r="B165" s="5"/>
      <c r="C165" s="5"/>
      <c r="D165" s="5"/>
      <c r="E165" s="5"/>
      <c r="F165" s="5"/>
      <c r="G165" s="5"/>
      <c r="H165" s="5"/>
      <c r="I165" s="5"/>
      <c r="J165" s="5"/>
      <c r="K165" s="5"/>
      <c r="L165" s="5"/>
      <c r="M165" s="5"/>
    </row>
    <row r="166" spans="1:13" ht="14.5">
      <c r="A166" s="146"/>
      <c r="B166" s="5"/>
      <c r="C166" s="5"/>
      <c r="D166" s="5"/>
      <c r="E166" s="5"/>
      <c r="F166" s="5"/>
      <c r="G166" s="5"/>
      <c r="H166" s="5"/>
      <c r="I166" s="5"/>
      <c r="J166" s="5"/>
      <c r="K166" s="5"/>
      <c r="L166" s="5"/>
      <c r="M166" s="5"/>
    </row>
    <row r="167" spans="1:13" ht="14.5">
      <c r="A167" s="146"/>
      <c r="B167" s="5"/>
      <c r="C167" s="5"/>
      <c r="D167" s="5"/>
      <c r="E167" s="5"/>
      <c r="F167" s="5"/>
      <c r="G167" s="5"/>
      <c r="H167" s="5"/>
      <c r="I167" s="5"/>
      <c r="J167" s="5"/>
      <c r="K167" s="5"/>
      <c r="L167" s="5"/>
      <c r="M167" s="5"/>
    </row>
    <row r="168" spans="1:13" ht="14.5">
      <c r="A168" s="146"/>
      <c r="B168" s="5"/>
      <c r="C168" s="5"/>
      <c r="D168" s="5"/>
      <c r="E168" s="5"/>
      <c r="F168" s="5"/>
      <c r="G168" s="5"/>
      <c r="H168" s="5"/>
      <c r="I168" s="5"/>
      <c r="J168" s="5"/>
      <c r="K168" s="5"/>
      <c r="L168" s="5"/>
      <c r="M168" s="5"/>
    </row>
    <row r="169" spans="1:13" ht="14.5">
      <c r="A169" s="146"/>
      <c r="B169" s="5"/>
      <c r="C169" s="5"/>
      <c r="D169" s="5"/>
      <c r="E169" s="5"/>
      <c r="F169" s="5"/>
      <c r="G169" s="5"/>
      <c r="H169" s="5"/>
      <c r="I169" s="5"/>
      <c r="J169" s="5"/>
      <c r="K169" s="5"/>
      <c r="L169" s="5"/>
      <c r="M169" s="5"/>
    </row>
    <row r="170" spans="1:13" ht="14.5">
      <c r="A170" s="146"/>
      <c r="B170" s="5"/>
      <c r="C170" s="5"/>
      <c r="D170" s="5"/>
      <c r="E170" s="5"/>
      <c r="F170" s="5"/>
      <c r="G170" s="5"/>
      <c r="H170" s="5"/>
      <c r="I170" s="5"/>
      <c r="J170" s="5"/>
      <c r="K170" s="5"/>
      <c r="L170" s="5"/>
      <c r="M170" s="5"/>
    </row>
    <row r="171" spans="1:13" ht="14.5">
      <c r="A171" s="146"/>
      <c r="B171" s="5"/>
      <c r="C171" s="5"/>
      <c r="D171" s="5"/>
      <c r="E171" s="5"/>
      <c r="F171" s="5"/>
      <c r="G171" s="5"/>
      <c r="H171" s="5"/>
      <c r="I171" s="5"/>
      <c r="J171" s="5"/>
      <c r="K171" s="5"/>
      <c r="L171" s="5"/>
      <c r="M171" s="5"/>
    </row>
    <row r="172" spans="1:13" ht="14.5">
      <c r="A172" s="146"/>
      <c r="B172" s="5"/>
      <c r="C172" s="5"/>
      <c r="D172" s="5"/>
      <c r="E172" s="5"/>
      <c r="F172" s="5"/>
      <c r="G172" s="5"/>
      <c r="H172" s="5"/>
      <c r="I172" s="5"/>
      <c r="J172" s="5"/>
      <c r="K172" s="5"/>
      <c r="L172" s="5"/>
      <c r="M172" s="5"/>
    </row>
    <row r="173" spans="1:13" ht="14.5">
      <c r="A173" s="146"/>
      <c r="B173" s="5"/>
      <c r="C173" s="5"/>
      <c r="D173" s="5"/>
      <c r="E173" s="5"/>
      <c r="F173" s="5"/>
      <c r="G173" s="5"/>
      <c r="H173" s="5"/>
      <c r="I173" s="5"/>
      <c r="J173" s="5"/>
      <c r="K173" s="5"/>
      <c r="L173" s="5"/>
      <c r="M173" s="5"/>
    </row>
    <row r="174" spans="1:13" ht="14.5">
      <c r="A174" s="146"/>
      <c r="B174" s="5"/>
      <c r="C174" s="5"/>
      <c r="D174" s="5"/>
      <c r="E174" s="5"/>
      <c r="F174" s="5"/>
      <c r="G174" s="5"/>
      <c r="H174" s="5"/>
      <c r="I174" s="5"/>
      <c r="J174" s="5"/>
      <c r="K174" s="5"/>
      <c r="L174" s="5"/>
      <c r="M174" s="5"/>
    </row>
    <row r="175" spans="1:13" ht="14.5">
      <c r="A175" s="146"/>
      <c r="B175" s="5"/>
      <c r="C175" s="5"/>
      <c r="D175" s="5"/>
      <c r="E175" s="5"/>
      <c r="F175" s="5"/>
      <c r="G175" s="5"/>
      <c r="H175" s="5"/>
      <c r="I175" s="5"/>
      <c r="J175" s="5"/>
      <c r="K175" s="5"/>
      <c r="L175" s="5"/>
      <c r="M175" s="5"/>
    </row>
    <row r="176" spans="1:13" ht="14.5">
      <c r="A176" s="146"/>
      <c r="B176" s="5"/>
      <c r="C176" s="5"/>
      <c r="D176" s="5"/>
      <c r="E176" s="5"/>
      <c r="F176" s="5"/>
      <c r="G176" s="5"/>
      <c r="H176" s="5"/>
      <c r="I176" s="5"/>
      <c r="J176" s="5"/>
      <c r="K176" s="5"/>
      <c r="L176" s="5"/>
      <c r="M176" s="5"/>
    </row>
    <row r="177" spans="1:13" ht="14.5">
      <c r="A177" s="146"/>
      <c r="B177" s="5"/>
      <c r="C177" s="5"/>
      <c r="D177" s="5"/>
      <c r="E177" s="5"/>
      <c r="F177" s="5"/>
      <c r="G177" s="5"/>
      <c r="H177" s="5"/>
      <c r="I177" s="5"/>
      <c r="J177" s="5"/>
      <c r="K177" s="5"/>
      <c r="L177" s="5"/>
      <c r="M177" s="5"/>
    </row>
    <row r="178" spans="1:13" ht="14.5">
      <c r="A178" s="146"/>
      <c r="B178" s="5"/>
      <c r="C178" s="5"/>
      <c r="D178" s="5"/>
      <c r="E178" s="5"/>
      <c r="F178" s="5"/>
      <c r="G178" s="5"/>
      <c r="H178" s="5"/>
      <c r="I178" s="5"/>
      <c r="J178" s="5"/>
      <c r="K178" s="5"/>
      <c r="L178" s="5"/>
      <c r="M178" s="5"/>
    </row>
    <row r="179" spans="1:13" ht="14.5">
      <c r="A179" s="146"/>
      <c r="B179" s="5"/>
      <c r="C179" s="5"/>
      <c r="D179" s="5"/>
      <c r="E179" s="5"/>
      <c r="F179" s="5"/>
      <c r="G179" s="5"/>
      <c r="H179" s="5"/>
      <c r="I179" s="5"/>
      <c r="J179" s="5"/>
      <c r="K179" s="5"/>
      <c r="L179" s="5"/>
      <c r="M179" s="5"/>
    </row>
    <row r="180" spans="1:13" ht="14.5">
      <c r="A180" s="146"/>
      <c r="B180" s="5"/>
      <c r="C180" s="5"/>
      <c r="D180" s="5"/>
      <c r="E180" s="5"/>
      <c r="F180" s="5"/>
      <c r="G180" s="5"/>
      <c r="H180" s="5"/>
      <c r="I180" s="5"/>
      <c r="J180" s="5"/>
      <c r="K180" s="5"/>
      <c r="L180" s="5"/>
      <c r="M180" s="5"/>
    </row>
    <row r="181" spans="1:13" ht="14.5">
      <c r="A181" s="146"/>
      <c r="B181" s="5"/>
      <c r="C181" s="5"/>
      <c r="D181" s="5"/>
      <c r="E181" s="5"/>
      <c r="F181" s="5"/>
      <c r="G181" s="5"/>
      <c r="H181" s="5"/>
      <c r="I181" s="5"/>
      <c r="J181" s="5"/>
      <c r="K181" s="5"/>
      <c r="L181" s="5"/>
      <c r="M181" s="5"/>
    </row>
    <row r="182" spans="1:13" ht="14.5">
      <c r="A182" s="146"/>
      <c r="B182" s="5"/>
      <c r="C182" s="5"/>
      <c r="D182" s="5"/>
      <c r="E182" s="5"/>
      <c r="F182" s="5"/>
      <c r="G182" s="5"/>
      <c r="H182" s="5"/>
      <c r="I182" s="5"/>
      <c r="J182" s="5"/>
      <c r="K182" s="5"/>
      <c r="L182" s="5"/>
      <c r="M182" s="5"/>
    </row>
    <row r="183" spans="1:13" ht="14.5">
      <c r="A183" s="146"/>
      <c r="B183" s="5"/>
      <c r="C183" s="5"/>
      <c r="D183" s="5"/>
      <c r="E183" s="5"/>
      <c r="F183" s="5"/>
      <c r="G183" s="5"/>
      <c r="H183" s="5"/>
      <c r="I183" s="5"/>
      <c r="J183" s="5"/>
      <c r="K183" s="5"/>
      <c r="L183" s="5"/>
      <c r="M183" s="5"/>
    </row>
    <row r="184" spans="1:13" ht="14.5">
      <c r="A184" s="146"/>
      <c r="B184" s="5"/>
      <c r="C184" s="5"/>
      <c r="D184" s="5"/>
      <c r="E184" s="5"/>
      <c r="F184" s="5"/>
      <c r="G184" s="5"/>
      <c r="H184" s="5"/>
      <c r="I184" s="5"/>
      <c r="J184" s="5"/>
      <c r="K184" s="5"/>
      <c r="L184" s="5"/>
      <c r="M184" s="5"/>
    </row>
    <row r="185" spans="1:13" ht="14.5">
      <c r="A185" s="146"/>
      <c r="B185" s="5"/>
      <c r="C185" s="5"/>
      <c r="D185" s="5"/>
      <c r="E185" s="5"/>
      <c r="F185" s="5"/>
      <c r="G185" s="5"/>
      <c r="H185" s="5"/>
      <c r="I185" s="5"/>
      <c r="J185" s="5"/>
      <c r="K185" s="5"/>
      <c r="L185" s="5"/>
      <c r="M185" s="5"/>
    </row>
    <row r="186" spans="1:13" ht="14.5">
      <c r="A186" s="146"/>
      <c r="B186" s="5"/>
      <c r="C186" s="5"/>
      <c r="D186" s="5"/>
      <c r="E186" s="5"/>
      <c r="F186" s="5"/>
      <c r="G186" s="5"/>
      <c r="H186" s="5"/>
      <c r="I186" s="5"/>
      <c r="J186" s="5"/>
      <c r="K186" s="5"/>
      <c r="L186" s="5"/>
      <c r="M186" s="5"/>
    </row>
    <row r="187" spans="1:13" ht="14.5">
      <c r="A187" s="146"/>
      <c r="B187" s="5"/>
      <c r="C187" s="5"/>
      <c r="D187" s="5"/>
      <c r="E187" s="5"/>
      <c r="F187" s="5"/>
      <c r="G187" s="5"/>
      <c r="H187" s="5"/>
      <c r="I187" s="5"/>
      <c r="J187" s="5"/>
      <c r="K187" s="5"/>
      <c r="L187" s="5"/>
      <c r="M187" s="5"/>
    </row>
    <row r="188" spans="1:13" ht="14.5">
      <c r="A188" s="146"/>
      <c r="B188" s="5"/>
      <c r="C188" s="5"/>
      <c r="D188" s="5"/>
      <c r="E188" s="5"/>
      <c r="F188" s="5"/>
      <c r="G188" s="5"/>
      <c r="H188" s="5"/>
      <c r="I188" s="5"/>
      <c r="J188" s="5"/>
      <c r="K188" s="5"/>
      <c r="L188" s="5"/>
      <c r="M188" s="5"/>
    </row>
    <row r="189" spans="1:13" ht="14.5">
      <c r="A189" s="146"/>
      <c r="B189" s="5"/>
      <c r="C189" s="5"/>
      <c r="D189" s="5"/>
      <c r="E189" s="5"/>
      <c r="F189" s="5"/>
      <c r="G189" s="5"/>
      <c r="H189" s="5"/>
      <c r="I189" s="5"/>
      <c r="J189" s="5"/>
      <c r="K189" s="5"/>
      <c r="L189" s="5"/>
      <c r="M189" s="5"/>
    </row>
    <row r="190" spans="1:13" ht="14.5">
      <c r="A190" s="146"/>
      <c r="B190" s="5"/>
      <c r="C190" s="5"/>
      <c r="D190" s="5"/>
      <c r="E190" s="5"/>
      <c r="F190" s="5"/>
      <c r="G190" s="5"/>
      <c r="H190" s="5"/>
      <c r="I190" s="5"/>
      <c r="J190" s="5"/>
      <c r="K190" s="5"/>
      <c r="L190" s="5"/>
      <c r="M190" s="5"/>
    </row>
    <row r="191" spans="1:13" ht="14.5">
      <c r="A191" s="146"/>
      <c r="B191" s="5"/>
      <c r="C191" s="5"/>
      <c r="D191" s="5"/>
      <c r="E191" s="5"/>
      <c r="F191" s="5"/>
      <c r="G191" s="5"/>
      <c r="H191" s="5"/>
      <c r="I191" s="5"/>
      <c r="J191" s="5"/>
      <c r="K191" s="5"/>
      <c r="L191" s="5"/>
      <c r="M191" s="5"/>
    </row>
    <row r="192" spans="1:13" ht="14.5">
      <c r="A192" s="146"/>
      <c r="B192" s="5"/>
      <c r="C192" s="5"/>
      <c r="D192" s="5"/>
      <c r="E192" s="5"/>
      <c r="F192" s="5"/>
      <c r="G192" s="5"/>
      <c r="H192" s="5"/>
      <c r="I192" s="5"/>
      <c r="J192" s="5"/>
      <c r="K192" s="5"/>
      <c r="L192" s="5"/>
      <c r="M192" s="5"/>
    </row>
    <row r="193" spans="1:13" ht="14.5">
      <c r="A193" s="146"/>
      <c r="B193" s="5"/>
      <c r="C193" s="5"/>
      <c r="D193" s="5"/>
      <c r="E193" s="5"/>
      <c r="F193" s="5"/>
      <c r="G193" s="5"/>
      <c r="H193" s="5"/>
      <c r="I193" s="5"/>
      <c r="J193" s="5"/>
      <c r="K193" s="5"/>
      <c r="L193" s="5"/>
      <c r="M193" s="5"/>
    </row>
    <row r="194" spans="1:13" ht="14.5">
      <c r="A194" s="146"/>
      <c r="B194" s="5"/>
      <c r="C194" s="5"/>
      <c r="D194" s="5"/>
      <c r="E194" s="5"/>
      <c r="F194" s="5"/>
      <c r="G194" s="5"/>
      <c r="H194" s="5"/>
      <c r="I194" s="5"/>
      <c r="J194" s="5"/>
      <c r="K194" s="5"/>
      <c r="L194" s="5"/>
      <c r="M194" s="5"/>
    </row>
    <row r="195" spans="1:13" ht="14.5">
      <c r="A195" s="146"/>
      <c r="B195" s="5"/>
      <c r="C195" s="5"/>
      <c r="D195" s="5"/>
      <c r="E195" s="5"/>
      <c r="F195" s="5"/>
      <c r="G195" s="5"/>
      <c r="H195" s="5"/>
      <c r="I195" s="5"/>
      <c r="J195" s="5"/>
      <c r="K195" s="5"/>
      <c r="L195" s="5"/>
      <c r="M195" s="5"/>
    </row>
    <row r="196" spans="1:13" ht="14.5">
      <c r="A196" s="146"/>
      <c r="B196" s="5"/>
      <c r="C196" s="5"/>
      <c r="D196" s="5"/>
      <c r="E196" s="5"/>
      <c r="F196" s="5"/>
      <c r="G196" s="5"/>
      <c r="H196" s="5"/>
      <c r="I196" s="5"/>
      <c r="J196" s="5"/>
      <c r="K196" s="5"/>
      <c r="L196" s="5"/>
      <c r="M196" s="5"/>
    </row>
    <row r="197" spans="1:13" ht="14.5">
      <c r="A197" s="146"/>
      <c r="B197" s="5"/>
      <c r="C197" s="5"/>
      <c r="D197" s="5"/>
      <c r="E197" s="5"/>
      <c r="F197" s="5"/>
      <c r="G197" s="5"/>
      <c r="H197" s="5"/>
      <c r="I197" s="5"/>
      <c r="J197" s="5"/>
      <c r="K197" s="5"/>
      <c r="L197" s="5"/>
      <c r="M197" s="5"/>
    </row>
    <row r="198" spans="1:13" ht="14.5">
      <c r="A198" s="146"/>
      <c r="B198" s="5"/>
      <c r="C198" s="5"/>
      <c r="D198" s="5"/>
      <c r="E198" s="5"/>
      <c r="F198" s="5"/>
      <c r="G198" s="5"/>
      <c r="H198" s="5"/>
      <c r="I198" s="5"/>
      <c r="J198" s="5"/>
      <c r="K198" s="5"/>
      <c r="L198" s="5"/>
      <c r="M198" s="5"/>
    </row>
    <row r="199" spans="1:13" ht="14.5">
      <c r="A199" s="146"/>
      <c r="B199" s="5"/>
      <c r="C199" s="5"/>
      <c r="D199" s="5"/>
      <c r="E199" s="5"/>
      <c r="F199" s="5"/>
      <c r="G199" s="5"/>
      <c r="H199" s="5"/>
      <c r="I199" s="5"/>
      <c r="J199" s="5"/>
      <c r="K199" s="5"/>
      <c r="L199" s="5"/>
      <c r="M199" s="5"/>
    </row>
    <row r="200" spans="1:13" ht="14.5">
      <c r="A200" s="146"/>
      <c r="B200" s="5"/>
      <c r="C200" s="5"/>
      <c r="D200" s="5"/>
      <c r="E200" s="5"/>
      <c r="F200" s="5"/>
      <c r="G200" s="5"/>
      <c r="H200" s="5"/>
      <c r="I200" s="5"/>
      <c r="J200" s="5"/>
      <c r="K200" s="5"/>
      <c r="L200" s="5"/>
      <c r="M200" s="5"/>
    </row>
    <row r="201" spans="1:13" ht="14.5">
      <c r="A201" s="146"/>
      <c r="B201" s="5"/>
      <c r="C201" s="5"/>
      <c r="D201" s="5"/>
      <c r="E201" s="5"/>
      <c r="F201" s="5"/>
      <c r="G201" s="5"/>
      <c r="H201" s="5"/>
      <c r="I201" s="5"/>
      <c r="J201" s="5"/>
      <c r="K201" s="5"/>
      <c r="L201" s="5"/>
      <c r="M201" s="5"/>
    </row>
    <row r="202" spans="1:13" ht="14.5">
      <c r="A202" s="146"/>
      <c r="B202" s="5"/>
      <c r="C202" s="5"/>
      <c r="D202" s="5"/>
      <c r="E202" s="5"/>
      <c r="F202" s="5"/>
      <c r="G202" s="5"/>
      <c r="H202" s="5"/>
      <c r="I202" s="5"/>
      <c r="J202" s="5"/>
      <c r="K202" s="5"/>
      <c r="L202" s="5"/>
      <c r="M202" s="5"/>
    </row>
    <row r="203" spans="1:13" ht="14.5">
      <c r="A203" s="146"/>
      <c r="B203" s="5"/>
      <c r="C203" s="5"/>
      <c r="D203" s="5"/>
      <c r="E203" s="5"/>
      <c r="F203" s="5"/>
      <c r="G203" s="5"/>
      <c r="H203" s="5"/>
      <c r="I203" s="5"/>
      <c r="J203" s="5"/>
      <c r="K203" s="5"/>
      <c r="L203" s="5"/>
      <c r="M203" s="5"/>
    </row>
    <row r="204" spans="1:13" ht="14.5">
      <c r="A204" s="146"/>
      <c r="B204" s="5"/>
      <c r="C204" s="5"/>
      <c r="D204" s="5"/>
      <c r="E204" s="5"/>
      <c r="F204" s="5"/>
      <c r="G204" s="5"/>
      <c r="H204" s="5"/>
      <c r="I204" s="5"/>
      <c r="J204" s="5"/>
      <c r="K204" s="5"/>
      <c r="L204" s="5"/>
      <c r="M204" s="5"/>
    </row>
    <row r="205" spans="1:13" ht="14.5">
      <c r="A205" s="146"/>
      <c r="B205" s="5"/>
      <c r="C205" s="5"/>
      <c r="D205" s="5"/>
      <c r="E205" s="5"/>
      <c r="F205" s="5"/>
      <c r="G205" s="5"/>
      <c r="H205" s="5"/>
      <c r="I205" s="5"/>
      <c r="J205" s="5"/>
      <c r="K205" s="5"/>
      <c r="L205" s="5"/>
      <c r="M205" s="5"/>
    </row>
    <row r="206" spans="1:13" ht="14.5">
      <c r="A206" s="146"/>
      <c r="B206" s="5"/>
      <c r="C206" s="5"/>
      <c r="D206" s="5"/>
      <c r="E206" s="5"/>
      <c r="F206" s="5"/>
      <c r="G206" s="5"/>
      <c r="H206" s="5"/>
      <c r="I206" s="5"/>
      <c r="J206" s="5"/>
      <c r="K206" s="5"/>
      <c r="L206" s="5"/>
      <c r="M206" s="5"/>
    </row>
    <row r="207" spans="1:13" ht="14.5">
      <c r="A207" s="146"/>
      <c r="B207" s="5"/>
      <c r="C207" s="5"/>
      <c r="D207" s="5"/>
      <c r="E207" s="5"/>
      <c r="F207" s="5"/>
      <c r="G207" s="5"/>
      <c r="H207" s="5"/>
      <c r="I207" s="5"/>
      <c r="J207" s="5"/>
      <c r="K207" s="5"/>
      <c r="L207" s="5"/>
      <c r="M207" s="5"/>
    </row>
    <row r="208" spans="1:13" ht="14.5">
      <c r="A208" s="146"/>
      <c r="B208" s="5"/>
      <c r="C208" s="5"/>
      <c r="D208" s="5"/>
      <c r="E208" s="5"/>
      <c r="F208" s="5"/>
      <c r="G208" s="5"/>
      <c r="H208" s="5"/>
      <c r="I208" s="5"/>
      <c r="J208" s="5"/>
      <c r="K208" s="5"/>
      <c r="L208" s="5"/>
      <c r="M208" s="5"/>
    </row>
    <row r="209" spans="1:13" ht="14.5">
      <c r="A209" s="146"/>
      <c r="B209" s="5"/>
      <c r="C209" s="5"/>
      <c r="D209" s="5"/>
      <c r="E209" s="5"/>
      <c r="F209" s="5"/>
      <c r="G209" s="5"/>
      <c r="H209" s="5"/>
      <c r="I209" s="5"/>
      <c r="J209" s="5"/>
      <c r="K209" s="5"/>
      <c r="L209" s="5"/>
      <c r="M209" s="5"/>
    </row>
    <row r="210" spans="1:13" ht="14.5">
      <c r="A210" s="146"/>
      <c r="B210" s="5"/>
      <c r="C210" s="5"/>
      <c r="D210" s="5"/>
      <c r="E210" s="5"/>
      <c r="F210" s="5"/>
      <c r="G210" s="5"/>
      <c r="H210" s="5"/>
      <c r="I210" s="5"/>
      <c r="J210" s="5"/>
      <c r="K210" s="5"/>
      <c r="L210" s="5"/>
      <c r="M210" s="5"/>
    </row>
    <row r="211" spans="1:13" ht="14.5">
      <c r="A211" s="146"/>
      <c r="B211" s="5"/>
      <c r="C211" s="5"/>
      <c r="D211" s="5"/>
      <c r="E211" s="5"/>
      <c r="F211" s="5"/>
      <c r="G211" s="5"/>
      <c r="H211" s="5"/>
      <c r="I211" s="5"/>
      <c r="J211" s="5"/>
      <c r="K211" s="5"/>
      <c r="L211" s="5"/>
      <c r="M211" s="5"/>
    </row>
    <row r="212" spans="1:13" ht="14.5">
      <c r="A212" s="146"/>
      <c r="B212" s="5"/>
      <c r="C212" s="5"/>
      <c r="D212" s="5"/>
      <c r="E212" s="5"/>
      <c r="F212" s="5"/>
      <c r="G212" s="5"/>
      <c r="H212" s="5"/>
      <c r="I212" s="5"/>
      <c r="J212" s="5"/>
      <c r="K212" s="5"/>
      <c r="L212" s="5"/>
      <c r="M212" s="5"/>
    </row>
    <row r="213" spans="1:13" ht="14.5">
      <c r="A213" s="146"/>
      <c r="B213" s="5"/>
      <c r="C213" s="5"/>
      <c r="D213" s="5"/>
      <c r="E213" s="5"/>
      <c r="F213" s="5"/>
      <c r="G213" s="5"/>
      <c r="H213" s="5"/>
      <c r="I213" s="5"/>
      <c r="J213" s="5"/>
      <c r="K213" s="5"/>
      <c r="L213" s="5"/>
      <c r="M213" s="5"/>
    </row>
    <row r="214" spans="1:13" ht="14.5">
      <c r="A214" s="146"/>
      <c r="B214" s="5"/>
      <c r="C214" s="5"/>
      <c r="D214" s="5"/>
      <c r="E214" s="5"/>
      <c r="F214" s="5"/>
      <c r="G214" s="5"/>
      <c r="H214" s="5"/>
      <c r="I214" s="5"/>
      <c r="J214" s="5"/>
      <c r="K214" s="5"/>
      <c r="L214" s="5"/>
      <c r="M214" s="5"/>
    </row>
    <row r="215" spans="1:13" ht="14.5">
      <c r="A215" s="146"/>
      <c r="B215" s="5"/>
      <c r="C215" s="5"/>
      <c r="D215" s="5"/>
      <c r="E215" s="5"/>
      <c r="F215" s="5"/>
      <c r="G215" s="5"/>
      <c r="H215" s="5"/>
      <c r="I215" s="5"/>
      <c r="J215" s="5"/>
      <c r="K215" s="5"/>
      <c r="L215" s="5"/>
      <c r="M215" s="5"/>
    </row>
    <row r="216" spans="1:13" ht="14.5">
      <c r="A216" s="146"/>
      <c r="B216" s="5"/>
      <c r="C216" s="5"/>
      <c r="D216" s="5"/>
      <c r="E216" s="5"/>
      <c r="F216" s="5"/>
      <c r="G216" s="5"/>
      <c r="H216" s="5"/>
      <c r="I216" s="5"/>
      <c r="J216" s="5"/>
      <c r="K216" s="5"/>
      <c r="L216" s="5"/>
      <c r="M216" s="5"/>
    </row>
    <row r="217" spans="1:13" ht="14.5">
      <c r="A217" s="146"/>
      <c r="B217" s="5"/>
      <c r="C217" s="5"/>
      <c r="D217" s="5"/>
      <c r="E217" s="5"/>
      <c r="F217" s="5"/>
      <c r="G217" s="5"/>
      <c r="H217" s="5"/>
      <c r="I217" s="5"/>
      <c r="J217" s="5"/>
      <c r="K217" s="5"/>
      <c r="L217" s="5"/>
      <c r="M217" s="5"/>
    </row>
    <row r="218" spans="1:13" ht="14.5">
      <c r="A218" s="146"/>
      <c r="B218" s="5"/>
      <c r="C218" s="5"/>
      <c r="D218" s="5"/>
      <c r="E218" s="5"/>
      <c r="F218" s="5"/>
      <c r="G218" s="5"/>
      <c r="H218" s="5"/>
      <c r="I218" s="5"/>
      <c r="J218" s="5"/>
      <c r="K218" s="5"/>
      <c r="L218" s="5"/>
      <c r="M218" s="5"/>
    </row>
    <row r="219" spans="1:13" ht="14.5">
      <c r="A219" s="146"/>
      <c r="B219" s="5"/>
      <c r="C219" s="5"/>
      <c r="D219" s="5"/>
      <c r="E219" s="5"/>
      <c r="F219" s="5"/>
      <c r="G219" s="5"/>
      <c r="H219" s="5"/>
      <c r="I219" s="5"/>
      <c r="J219" s="5"/>
      <c r="K219" s="5"/>
      <c r="L219" s="5"/>
      <c r="M219" s="5"/>
    </row>
    <row r="220" spans="1:13" ht="14.5">
      <c r="A220" s="146"/>
      <c r="B220" s="5"/>
      <c r="C220" s="5"/>
      <c r="D220" s="5"/>
      <c r="E220" s="5"/>
      <c r="F220" s="5"/>
      <c r="G220" s="5"/>
      <c r="H220" s="5"/>
      <c r="I220" s="5"/>
      <c r="J220" s="5"/>
      <c r="K220" s="5"/>
      <c r="L220" s="5"/>
      <c r="M220" s="5"/>
    </row>
    <row r="221" spans="1:13" ht="14.5">
      <c r="A221" s="146"/>
      <c r="B221" s="5"/>
      <c r="C221" s="5"/>
      <c r="D221" s="5"/>
      <c r="E221" s="5"/>
      <c r="F221" s="5"/>
      <c r="G221" s="5"/>
      <c r="H221" s="5"/>
      <c r="I221" s="5"/>
      <c r="J221" s="5"/>
      <c r="K221" s="5"/>
      <c r="L221" s="5"/>
      <c r="M221" s="5"/>
    </row>
    <row r="222" spans="1:13" ht="14.5">
      <c r="A222" s="146"/>
      <c r="B222" s="5"/>
      <c r="C222" s="5"/>
      <c r="D222" s="5"/>
      <c r="E222" s="5"/>
      <c r="F222" s="5"/>
      <c r="G222" s="5"/>
      <c r="H222" s="5"/>
      <c r="I222" s="5"/>
      <c r="J222" s="5"/>
      <c r="K222" s="5"/>
      <c r="L222" s="5"/>
      <c r="M222" s="5"/>
    </row>
    <row r="223" spans="1:13" ht="14.5">
      <c r="A223" s="146"/>
      <c r="B223" s="5"/>
      <c r="C223" s="5"/>
      <c r="D223" s="5"/>
      <c r="E223" s="5"/>
      <c r="F223" s="5"/>
      <c r="G223" s="5"/>
      <c r="H223" s="5"/>
      <c r="I223" s="5"/>
      <c r="J223" s="5"/>
      <c r="K223" s="5"/>
      <c r="L223" s="5"/>
      <c r="M223" s="5"/>
    </row>
    <row r="224" spans="1:13" ht="14.5">
      <c r="A224" s="146"/>
      <c r="B224" s="5"/>
      <c r="C224" s="5"/>
      <c r="D224" s="5"/>
      <c r="E224" s="5"/>
      <c r="F224" s="5"/>
      <c r="G224" s="5"/>
      <c r="H224" s="5"/>
      <c r="I224" s="5"/>
      <c r="J224" s="5"/>
      <c r="K224" s="5"/>
      <c r="L224" s="5"/>
      <c r="M224" s="5"/>
    </row>
    <row r="225" spans="1:13" ht="14.5">
      <c r="A225" s="146"/>
      <c r="B225" s="5"/>
      <c r="C225" s="5"/>
      <c r="D225" s="5"/>
      <c r="E225" s="5"/>
      <c r="F225" s="5"/>
      <c r="G225" s="5"/>
      <c r="H225" s="5"/>
      <c r="I225" s="5"/>
      <c r="J225" s="5"/>
      <c r="K225" s="5"/>
      <c r="L225" s="5"/>
      <c r="M225" s="5"/>
    </row>
    <row r="226" spans="1:13" ht="14.5">
      <c r="A226" s="146"/>
      <c r="B226" s="5"/>
      <c r="C226" s="5"/>
      <c r="D226" s="5"/>
      <c r="E226" s="5"/>
      <c r="F226" s="5"/>
      <c r="G226" s="5"/>
      <c r="H226" s="5"/>
      <c r="I226" s="5"/>
      <c r="J226" s="5"/>
      <c r="K226" s="5"/>
      <c r="L226" s="5"/>
      <c r="M226" s="5"/>
    </row>
    <row r="227" spans="1:13" ht="14.5">
      <c r="A227" s="146"/>
      <c r="B227" s="5"/>
      <c r="C227" s="5"/>
      <c r="D227" s="5"/>
      <c r="E227" s="5"/>
      <c r="F227" s="5"/>
      <c r="G227" s="5"/>
      <c r="H227" s="5"/>
      <c r="I227" s="5"/>
      <c r="J227" s="5"/>
      <c r="K227" s="5"/>
      <c r="L227" s="5"/>
      <c r="M227" s="5"/>
    </row>
    <row r="228" spans="1:13" ht="14.5">
      <c r="A228" s="146"/>
      <c r="B228" s="5"/>
      <c r="C228" s="5"/>
      <c r="D228" s="5"/>
      <c r="E228" s="5"/>
      <c r="F228" s="5"/>
      <c r="G228" s="5"/>
      <c r="H228" s="5"/>
      <c r="I228" s="5"/>
      <c r="J228" s="5"/>
      <c r="K228" s="5"/>
      <c r="L228" s="5"/>
      <c r="M228" s="5"/>
    </row>
    <row r="229" spans="1:13" ht="14.5">
      <c r="A229" s="146"/>
      <c r="B229" s="5"/>
      <c r="C229" s="5"/>
      <c r="D229" s="5"/>
      <c r="E229" s="5"/>
      <c r="F229" s="5"/>
      <c r="G229" s="5"/>
      <c r="H229" s="5"/>
      <c r="I229" s="5"/>
      <c r="J229" s="5"/>
      <c r="K229" s="5"/>
      <c r="L229" s="5"/>
      <c r="M229" s="5"/>
    </row>
    <row r="230" spans="1:13" ht="14.5">
      <c r="A230" s="146"/>
      <c r="B230" s="5"/>
      <c r="C230" s="5"/>
      <c r="D230" s="5"/>
      <c r="E230" s="5"/>
      <c r="F230" s="5"/>
      <c r="G230" s="5"/>
      <c r="H230" s="5"/>
      <c r="I230" s="5"/>
      <c r="J230" s="5"/>
      <c r="K230" s="5"/>
      <c r="L230" s="5"/>
      <c r="M230" s="5"/>
    </row>
    <row r="231" spans="1:13" ht="14.5">
      <c r="A231" s="146"/>
      <c r="B231" s="5"/>
      <c r="C231" s="5"/>
      <c r="D231" s="5"/>
      <c r="E231" s="5"/>
      <c r="F231" s="5"/>
      <c r="G231" s="5"/>
      <c r="H231" s="5"/>
      <c r="I231" s="5"/>
      <c r="J231" s="5"/>
      <c r="K231" s="5"/>
      <c r="L231" s="5"/>
      <c r="M231" s="5"/>
    </row>
    <row r="232" spans="1:13" ht="14.5">
      <c r="A232" s="146"/>
      <c r="B232" s="5"/>
      <c r="C232" s="5"/>
      <c r="D232" s="5"/>
      <c r="E232" s="5"/>
      <c r="F232" s="5"/>
      <c r="G232" s="5"/>
      <c r="H232" s="5"/>
      <c r="I232" s="5"/>
      <c r="J232" s="5"/>
      <c r="K232" s="5"/>
      <c r="L232" s="5"/>
      <c r="M232" s="5"/>
    </row>
    <row r="233" spans="1:13" ht="14.5">
      <c r="A233" s="146"/>
      <c r="B233" s="5"/>
      <c r="C233" s="5"/>
      <c r="D233" s="5"/>
      <c r="E233" s="5"/>
      <c r="F233" s="5"/>
      <c r="G233" s="5"/>
      <c r="H233" s="5"/>
      <c r="I233" s="5"/>
      <c r="J233" s="5"/>
      <c r="K233" s="5"/>
      <c r="L233" s="5"/>
      <c r="M233" s="5"/>
    </row>
    <row r="234" spans="1:13" ht="14.5">
      <c r="A234" s="146"/>
      <c r="B234" s="5"/>
      <c r="C234" s="5"/>
      <c r="D234" s="5"/>
      <c r="E234" s="5"/>
      <c r="F234" s="5"/>
      <c r="G234" s="5"/>
      <c r="H234" s="5"/>
      <c r="I234" s="5"/>
      <c r="J234" s="5"/>
      <c r="K234" s="5"/>
      <c r="L234" s="5"/>
      <c r="M234" s="5"/>
    </row>
    <row r="235" spans="1:13" ht="14.5">
      <c r="A235" s="146"/>
      <c r="B235" s="5"/>
      <c r="C235" s="5"/>
      <c r="D235" s="5"/>
      <c r="E235" s="5"/>
      <c r="F235" s="5"/>
      <c r="G235" s="5"/>
      <c r="H235" s="5"/>
      <c r="I235" s="5"/>
      <c r="J235" s="5"/>
      <c r="K235" s="5"/>
      <c r="L235" s="5"/>
      <c r="M235" s="5"/>
    </row>
    <row r="236" spans="1:13" ht="14.5">
      <c r="A236" s="146"/>
      <c r="B236" s="5"/>
      <c r="C236" s="5"/>
      <c r="D236" s="5"/>
      <c r="E236" s="5"/>
      <c r="F236" s="5"/>
      <c r="G236" s="5"/>
      <c r="H236" s="5"/>
      <c r="I236" s="5"/>
      <c r="J236" s="5"/>
      <c r="K236" s="5"/>
      <c r="L236" s="5"/>
      <c r="M236" s="5"/>
    </row>
    <row r="237" spans="1:13" ht="14.5">
      <c r="A237" s="146"/>
      <c r="B237" s="5"/>
      <c r="C237" s="5"/>
      <c r="D237" s="5"/>
      <c r="E237" s="5"/>
      <c r="F237" s="5"/>
      <c r="G237" s="5"/>
      <c r="H237" s="5"/>
      <c r="I237" s="5"/>
      <c r="J237" s="5"/>
      <c r="K237" s="5"/>
      <c r="L237" s="5"/>
      <c r="M237" s="5"/>
    </row>
    <row r="238" spans="1:13" ht="14.5">
      <c r="A238" s="146"/>
      <c r="B238" s="5"/>
      <c r="C238" s="5"/>
      <c r="D238" s="5"/>
      <c r="E238" s="5"/>
      <c r="F238" s="5"/>
      <c r="G238" s="5"/>
      <c r="H238" s="5"/>
      <c r="I238" s="5"/>
      <c r="J238" s="5"/>
      <c r="K238" s="5"/>
      <c r="L238" s="5"/>
      <c r="M238" s="5"/>
    </row>
    <row r="239" spans="1:13" ht="14.5">
      <c r="A239" s="146"/>
      <c r="B239" s="5"/>
      <c r="C239" s="5"/>
      <c r="D239" s="5"/>
      <c r="E239" s="5"/>
      <c r="F239" s="5"/>
      <c r="G239" s="5"/>
      <c r="H239" s="5"/>
      <c r="I239" s="5"/>
      <c r="J239" s="5"/>
      <c r="K239" s="5"/>
      <c r="L239" s="5"/>
      <c r="M239" s="5"/>
    </row>
    <row r="240" spans="1:13" ht="14.5">
      <c r="A240" s="146"/>
      <c r="B240" s="5"/>
      <c r="C240" s="5"/>
      <c r="D240" s="5"/>
      <c r="E240" s="5"/>
      <c r="F240" s="5"/>
      <c r="G240" s="5"/>
      <c r="H240" s="5"/>
      <c r="I240" s="5"/>
      <c r="J240" s="5"/>
      <c r="K240" s="5"/>
      <c r="L240" s="5"/>
      <c r="M240" s="5"/>
    </row>
    <row r="241" spans="1:13" ht="14.5">
      <c r="A241" s="146"/>
      <c r="B241" s="5"/>
      <c r="C241" s="5"/>
      <c r="D241" s="5"/>
      <c r="E241" s="5"/>
      <c r="F241" s="5"/>
      <c r="G241" s="5"/>
      <c r="H241" s="5"/>
      <c r="I241" s="5"/>
      <c r="J241" s="5"/>
      <c r="K241" s="5"/>
      <c r="L241" s="5"/>
      <c r="M241" s="5"/>
    </row>
    <row r="242" spans="1:13" ht="14.5">
      <c r="A242" s="146"/>
      <c r="B242" s="5"/>
      <c r="C242" s="5"/>
      <c r="D242" s="5"/>
      <c r="E242" s="5"/>
      <c r="F242" s="5"/>
      <c r="G242" s="5"/>
      <c r="H242" s="5"/>
      <c r="I242" s="5"/>
      <c r="J242" s="5"/>
      <c r="K242" s="5"/>
      <c r="L242" s="5"/>
      <c r="M242" s="5"/>
    </row>
    <row r="243" spans="1:13" ht="14.5">
      <c r="A243" s="146"/>
      <c r="B243" s="5"/>
      <c r="C243" s="5"/>
      <c r="D243" s="5"/>
      <c r="E243" s="5"/>
      <c r="F243" s="5"/>
      <c r="G243" s="5"/>
      <c r="H243" s="5"/>
      <c r="I243" s="5"/>
      <c r="J243" s="5"/>
      <c r="K243" s="5"/>
      <c r="L243" s="5"/>
      <c r="M243" s="5"/>
    </row>
    <row r="244" spans="1:13" ht="14.5">
      <c r="A244" s="146"/>
      <c r="B244" s="5"/>
      <c r="C244" s="5"/>
      <c r="D244" s="5"/>
      <c r="E244" s="5"/>
      <c r="F244" s="5"/>
      <c r="G244" s="5"/>
      <c r="H244" s="5"/>
      <c r="I244" s="5"/>
      <c r="J244" s="5"/>
      <c r="K244" s="5"/>
      <c r="L244" s="5"/>
      <c r="M244" s="5"/>
    </row>
    <row r="245" spans="1:13" ht="14.5">
      <c r="A245" s="146"/>
      <c r="B245" s="5"/>
      <c r="C245" s="5"/>
      <c r="D245" s="5"/>
      <c r="E245" s="5"/>
      <c r="F245" s="5"/>
      <c r="G245" s="5"/>
      <c r="H245" s="5"/>
      <c r="I245" s="5"/>
      <c r="J245" s="5"/>
      <c r="K245" s="5"/>
      <c r="L245" s="5"/>
      <c r="M245" s="5"/>
    </row>
    <row r="246" spans="1:13" ht="14.5">
      <c r="A246" s="146"/>
      <c r="B246" s="5"/>
      <c r="C246" s="5"/>
      <c r="D246" s="5"/>
      <c r="E246" s="5"/>
      <c r="F246" s="5"/>
      <c r="G246" s="5"/>
      <c r="H246" s="5"/>
      <c r="I246" s="5"/>
      <c r="J246" s="5"/>
      <c r="K246" s="5"/>
      <c r="L246" s="5"/>
      <c r="M246" s="5"/>
    </row>
    <row r="247" spans="1:13" ht="14.5">
      <c r="A247" s="146"/>
      <c r="B247" s="5"/>
      <c r="C247" s="5"/>
      <c r="D247" s="5"/>
      <c r="E247" s="5"/>
      <c r="F247" s="5"/>
      <c r="G247" s="5"/>
      <c r="H247" s="5"/>
      <c r="I247" s="5"/>
      <c r="J247" s="5"/>
      <c r="K247" s="5"/>
      <c r="L247" s="5"/>
      <c r="M247" s="5"/>
    </row>
    <row r="248" spans="1:13" ht="14.5">
      <c r="A248" s="146"/>
      <c r="B248" s="5"/>
      <c r="C248" s="5"/>
      <c r="D248" s="5"/>
      <c r="E248" s="5"/>
      <c r="F248" s="5"/>
      <c r="G248" s="5"/>
      <c r="H248" s="5"/>
      <c r="I248" s="5"/>
      <c r="J248" s="5"/>
      <c r="K248" s="5"/>
      <c r="L248" s="5"/>
      <c r="M248" s="5"/>
    </row>
    <row r="249" spans="1:13" ht="14.5">
      <c r="A249" s="146"/>
      <c r="B249" s="5"/>
      <c r="C249" s="5"/>
      <c r="D249" s="5"/>
      <c r="E249" s="5"/>
      <c r="F249" s="5"/>
      <c r="G249" s="5"/>
      <c r="H249" s="5"/>
      <c r="I249" s="5"/>
      <c r="J249" s="5"/>
      <c r="K249" s="5"/>
      <c r="L249" s="5"/>
      <c r="M249" s="5"/>
    </row>
    <row r="250" spans="1:13" ht="14.5">
      <c r="A250" s="146"/>
      <c r="B250" s="5"/>
      <c r="C250" s="5"/>
      <c r="D250" s="5"/>
      <c r="E250" s="5"/>
      <c r="F250" s="5"/>
      <c r="G250" s="5"/>
      <c r="H250" s="5"/>
      <c r="I250" s="5"/>
      <c r="J250" s="5"/>
      <c r="K250" s="5"/>
      <c r="L250" s="5"/>
      <c r="M250" s="5"/>
    </row>
    <row r="251" spans="1:13" ht="14.5">
      <c r="A251" s="146"/>
      <c r="B251" s="5"/>
      <c r="C251" s="5"/>
      <c r="D251" s="5"/>
      <c r="E251" s="5"/>
      <c r="F251" s="5"/>
      <c r="G251" s="5"/>
      <c r="H251" s="5"/>
      <c r="I251" s="5"/>
      <c r="J251" s="5"/>
      <c r="K251" s="5"/>
      <c r="L251" s="5"/>
      <c r="M251" s="5"/>
    </row>
    <row r="252" spans="1:13" ht="14.5">
      <c r="A252" s="146"/>
      <c r="B252" s="5"/>
      <c r="C252" s="5"/>
      <c r="D252" s="5"/>
      <c r="E252" s="5"/>
      <c r="F252" s="5"/>
      <c r="G252" s="5"/>
      <c r="H252" s="5"/>
      <c r="I252" s="5"/>
      <c r="J252" s="5"/>
      <c r="K252" s="5"/>
      <c r="L252" s="5"/>
      <c r="M252" s="5"/>
    </row>
    <row r="253" spans="1:13" ht="14.5">
      <c r="A253" s="146"/>
      <c r="B253" s="5"/>
      <c r="C253" s="5"/>
      <c r="D253" s="5"/>
      <c r="E253" s="5"/>
      <c r="F253" s="5"/>
      <c r="G253" s="5"/>
      <c r="H253" s="5"/>
      <c r="I253" s="5"/>
      <c r="J253" s="5"/>
      <c r="K253" s="5"/>
      <c r="L253" s="5"/>
      <c r="M253" s="5"/>
    </row>
    <row r="254" spans="1:13" ht="14.5">
      <c r="A254" s="146"/>
      <c r="B254" s="5"/>
      <c r="C254" s="5"/>
      <c r="D254" s="5"/>
      <c r="E254" s="5"/>
      <c r="F254" s="5"/>
      <c r="G254" s="5"/>
      <c r="H254" s="5"/>
      <c r="I254" s="5"/>
      <c r="J254" s="5"/>
      <c r="K254" s="5"/>
      <c r="L254" s="5"/>
      <c r="M254" s="5"/>
    </row>
    <row r="255" spans="1:13" ht="14.5">
      <c r="A255" s="146"/>
      <c r="B255" s="5"/>
      <c r="C255" s="5"/>
      <c r="D255" s="5"/>
      <c r="E255" s="5"/>
      <c r="F255" s="5"/>
      <c r="G255" s="5"/>
      <c r="H255" s="5"/>
      <c r="I255" s="5"/>
      <c r="J255" s="5"/>
      <c r="K255" s="5"/>
      <c r="L255" s="5"/>
      <c r="M255" s="5"/>
    </row>
    <row r="256" spans="1:13" ht="14.5">
      <c r="A256" s="146"/>
      <c r="B256" s="5"/>
      <c r="C256" s="5"/>
      <c r="D256" s="5"/>
      <c r="E256" s="5"/>
      <c r="F256" s="5"/>
      <c r="G256" s="5"/>
      <c r="H256" s="5"/>
      <c r="I256" s="5"/>
      <c r="J256" s="5"/>
      <c r="K256" s="5"/>
      <c r="L256" s="5"/>
      <c r="M256" s="5"/>
    </row>
    <row r="257" spans="1:13" ht="14.5">
      <c r="A257" s="146"/>
      <c r="B257" s="5"/>
      <c r="C257" s="5"/>
      <c r="D257" s="5"/>
      <c r="E257" s="5"/>
      <c r="F257" s="5"/>
      <c r="G257" s="5"/>
      <c r="H257" s="5"/>
      <c r="I257" s="5"/>
      <c r="J257" s="5"/>
      <c r="K257" s="5"/>
      <c r="L257" s="5"/>
      <c r="M257" s="5"/>
    </row>
    <row r="258" spans="1:13" ht="14.5">
      <c r="A258" s="146"/>
      <c r="B258" s="5"/>
      <c r="C258" s="5"/>
      <c r="D258" s="5"/>
      <c r="E258" s="5"/>
      <c r="F258" s="5"/>
      <c r="G258" s="5"/>
      <c r="H258" s="5"/>
      <c r="I258" s="5"/>
      <c r="J258" s="5"/>
      <c r="K258" s="5"/>
      <c r="L258" s="5"/>
      <c r="M258" s="5"/>
    </row>
    <row r="259" spans="1:13" ht="14.5">
      <c r="A259" s="146"/>
      <c r="B259" s="5"/>
      <c r="C259" s="5"/>
      <c r="D259" s="5"/>
      <c r="E259" s="5"/>
      <c r="F259" s="5"/>
      <c r="G259" s="5"/>
      <c r="H259" s="5"/>
      <c r="I259" s="5"/>
      <c r="J259" s="5"/>
      <c r="K259" s="5"/>
      <c r="L259" s="5"/>
      <c r="M259" s="5"/>
    </row>
    <row r="260" spans="1:13" ht="14.5">
      <c r="A260" s="146"/>
      <c r="B260" s="5"/>
      <c r="C260" s="5"/>
      <c r="D260" s="5"/>
      <c r="E260" s="5"/>
      <c r="F260" s="5"/>
      <c r="G260" s="5"/>
      <c r="H260" s="5"/>
      <c r="I260" s="5"/>
      <c r="J260" s="5"/>
      <c r="K260" s="5"/>
      <c r="L260" s="5"/>
      <c r="M260" s="5"/>
    </row>
    <row r="261" spans="1:13" ht="14.5">
      <c r="A261" s="146"/>
      <c r="B261" s="5"/>
      <c r="C261" s="5"/>
      <c r="D261" s="5"/>
      <c r="E261" s="5"/>
      <c r="F261" s="5"/>
      <c r="G261" s="5"/>
      <c r="H261" s="5"/>
      <c r="I261" s="5"/>
      <c r="J261" s="5"/>
      <c r="K261" s="5"/>
      <c r="L261" s="5"/>
      <c r="M261" s="5"/>
    </row>
    <row r="262" spans="1:13" ht="14.5">
      <c r="A262" s="146"/>
      <c r="B262" s="5"/>
      <c r="C262" s="5"/>
      <c r="D262" s="5"/>
      <c r="E262" s="5"/>
      <c r="F262" s="5"/>
      <c r="G262" s="5"/>
      <c r="H262" s="5"/>
      <c r="I262" s="5"/>
      <c r="J262" s="5"/>
      <c r="K262" s="5"/>
      <c r="L262" s="5"/>
      <c r="M262" s="5"/>
    </row>
    <row r="263" spans="1:13" ht="14.5">
      <c r="A263" s="146"/>
      <c r="B263" s="5"/>
      <c r="C263" s="5"/>
      <c r="D263" s="5"/>
      <c r="E263" s="5"/>
      <c r="F263" s="5"/>
      <c r="G263" s="5"/>
      <c r="H263" s="5"/>
      <c r="I263" s="5"/>
      <c r="J263" s="5"/>
      <c r="K263" s="5"/>
      <c r="L263" s="5"/>
      <c r="M263" s="5"/>
    </row>
    <row r="264" spans="1:13" ht="14.5">
      <c r="A264" s="146"/>
      <c r="B264" s="5"/>
      <c r="C264" s="5"/>
      <c r="D264" s="5"/>
      <c r="E264" s="5"/>
      <c r="F264" s="5"/>
      <c r="G264" s="5"/>
      <c r="H264" s="5"/>
      <c r="I264" s="5"/>
      <c r="J264" s="5"/>
      <c r="K264" s="5"/>
      <c r="L264" s="5"/>
      <c r="M264" s="5"/>
    </row>
    <row r="265" spans="1:13" ht="14.5">
      <c r="A265" s="146"/>
      <c r="B265" s="5"/>
      <c r="C265" s="5"/>
      <c r="D265" s="5"/>
      <c r="E265" s="5"/>
      <c r="F265" s="5"/>
      <c r="G265" s="5"/>
      <c r="H265" s="5"/>
      <c r="I265" s="5"/>
      <c r="J265" s="5"/>
      <c r="K265" s="5"/>
      <c r="L265" s="5"/>
      <c r="M265" s="5"/>
    </row>
    <row r="266" spans="1:13" ht="14.5">
      <c r="A266" s="146"/>
      <c r="B266" s="5"/>
      <c r="C266" s="5"/>
      <c r="D266" s="5"/>
      <c r="E266" s="5"/>
      <c r="F266" s="5"/>
      <c r="G266" s="5"/>
      <c r="H266" s="5"/>
      <c r="I266" s="5"/>
      <c r="J266" s="5"/>
      <c r="K266" s="5"/>
      <c r="L266" s="5"/>
      <c r="M266" s="5"/>
    </row>
    <row r="267" spans="1:13" ht="14.5">
      <c r="A267" s="146"/>
      <c r="B267" s="5"/>
      <c r="C267" s="5"/>
      <c r="D267" s="5"/>
      <c r="E267" s="5"/>
      <c r="F267" s="5"/>
      <c r="G267" s="5"/>
      <c r="H267" s="5"/>
      <c r="I267" s="5"/>
      <c r="J267" s="5"/>
      <c r="K267" s="5"/>
      <c r="L267" s="5"/>
      <c r="M267" s="5"/>
    </row>
    <row r="268" spans="1:13" ht="14.5">
      <c r="A268" s="146"/>
      <c r="B268" s="5"/>
      <c r="C268" s="5"/>
      <c r="D268" s="5"/>
      <c r="E268" s="5"/>
      <c r="F268" s="5"/>
      <c r="G268" s="5"/>
      <c r="H268" s="5"/>
      <c r="I268" s="5"/>
      <c r="J268" s="5"/>
      <c r="K268" s="5"/>
      <c r="L268" s="5"/>
      <c r="M268" s="5"/>
    </row>
    <row r="269" spans="1:13" ht="14.5">
      <c r="A269" s="146"/>
      <c r="B269" s="5"/>
      <c r="C269" s="5"/>
      <c r="D269" s="5"/>
      <c r="E269" s="5"/>
      <c r="F269" s="5"/>
      <c r="G269" s="5"/>
      <c r="H269" s="5"/>
      <c r="I269" s="5"/>
      <c r="J269" s="5"/>
      <c r="K269" s="5"/>
      <c r="L269" s="5"/>
      <c r="M269" s="5"/>
    </row>
    <row r="270" spans="1:13" ht="14.5">
      <c r="A270" s="146"/>
      <c r="B270" s="5"/>
      <c r="C270" s="5"/>
      <c r="D270" s="5"/>
      <c r="E270" s="5"/>
      <c r="F270" s="5"/>
      <c r="G270" s="5"/>
      <c r="H270" s="5"/>
      <c r="I270" s="5"/>
      <c r="J270" s="5"/>
      <c r="K270" s="5"/>
      <c r="L270" s="5"/>
      <c r="M270" s="5"/>
    </row>
    <row r="271" spans="1:13" ht="14.5">
      <c r="A271" s="146"/>
      <c r="B271" s="5"/>
      <c r="C271" s="5"/>
      <c r="D271" s="5"/>
      <c r="E271" s="5"/>
      <c r="F271" s="5"/>
      <c r="G271" s="5"/>
      <c r="H271" s="5"/>
      <c r="I271" s="5"/>
      <c r="J271" s="5"/>
      <c r="K271" s="5"/>
      <c r="L271" s="5"/>
      <c r="M271" s="5"/>
    </row>
    <row r="272" spans="1:13" ht="14.5">
      <c r="A272" s="146"/>
      <c r="B272" s="5"/>
      <c r="C272" s="5"/>
      <c r="D272" s="5"/>
      <c r="E272" s="5"/>
      <c r="F272" s="5"/>
      <c r="G272" s="5"/>
      <c r="H272" s="5"/>
      <c r="I272" s="5"/>
      <c r="J272" s="5"/>
      <c r="K272" s="5"/>
      <c r="L272" s="5"/>
      <c r="M272" s="5"/>
    </row>
    <row r="273" spans="1:13" ht="14.5">
      <c r="A273" s="146"/>
      <c r="B273" s="5"/>
      <c r="C273" s="5"/>
      <c r="D273" s="5"/>
      <c r="E273" s="5"/>
      <c r="F273" s="5"/>
      <c r="G273" s="5"/>
      <c r="H273" s="5"/>
      <c r="I273" s="5"/>
      <c r="J273" s="5"/>
      <c r="K273" s="5"/>
      <c r="L273" s="5"/>
      <c r="M273" s="5"/>
    </row>
    <row r="274" spans="1:13" ht="14.5">
      <c r="A274" s="146"/>
      <c r="B274" s="5"/>
      <c r="C274" s="5"/>
      <c r="D274" s="5"/>
      <c r="E274" s="5"/>
      <c r="F274" s="5"/>
      <c r="G274" s="5"/>
      <c r="H274" s="5"/>
      <c r="I274" s="5"/>
      <c r="J274" s="5"/>
      <c r="K274" s="5"/>
      <c r="L274" s="5"/>
      <c r="M274" s="5"/>
    </row>
    <row r="275" spans="1:13" ht="14.5">
      <c r="A275" s="146"/>
      <c r="B275" s="5"/>
      <c r="C275" s="5"/>
      <c r="D275" s="5"/>
      <c r="E275" s="5"/>
      <c r="F275" s="5"/>
      <c r="G275" s="5"/>
      <c r="H275" s="5"/>
      <c r="I275" s="5"/>
      <c r="J275" s="5"/>
      <c r="K275" s="5"/>
      <c r="L275" s="5"/>
      <c r="M275" s="5"/>
    </row>
    <row r="276" spans="1:13" ht="14.5">
      <c r="A276" s="146"/>
      <c r="B276" s="5"/>
      <c r="C276" s="5"/>
      <c r="D276" s="5"/>
      <c r="E276" s="5"/>
      <c r="F276" s="5"/>
      <c r="G276" s="5"/>
      <c r="H276" s="5"/>
      <c r="I276" s="5"/>
      <c r="J276" s="5"/>
      <c r="K276" s="5"/>
      <c r="L276" s="5"/>
      <c r="M276" s="5"/>
    </row>
    <row r="277" spans="1:13" ht="14.5">
      <c r="A277" s="146"/>
      <c r="B277" s="5"/>
      <c r="C277" s="5"/>
      <c r="D277" s="5"/>
      <c r="E277" s="5"/>
      <c r="F277" s="5"/>
      <c r="G277" s="5"/>
      <c r="H277" s="5"/>
      <c r="I277" s="5"/>
      <c r="J277" s="5"/>
      <c r="K277" s="5"/>
      <c r="L277" s="5"/>
      <c r="M277" s="5"/>
    </row>
    <row r="278" spans="1:13" ht="14.5">
      <c r="A278" s="146"/>
      <c r="B278" s="5"/>
      <c r="C278" s="5"/>
      <c r="D278" s="5"/>
      <c r="E278" s="5"/>
      <c r="F278" s="5"/>
      <c r="G278" s="5"/>
      <c r="H278" s="5"/>
      <c r="I278" s="5"/>
      <c r="J278" s="5"/>
      <c r="K278" s="5"/>
      <c r="L278" s="5"/>
      <c r="M278" s="5"/>
    </row>
    <row r="279" spans="1:13" ht="14.5">
      <c r="A279" s="146"/>
      <c r="B279" s="5"/>
      <c r="C279" s="5"/>
      <c r="D279" s="5"/>
      <c r="E279" s="5"/>
      <c r="F279" s="5"/>
      <c r="G279" s="5"/>
      <c r="H279" s="5"/>
      <c r="I279" s="5"/>
      <c r="J279" s="5"/>
      <c r="K279" s="5"/>
      <c r="L279" s="5"/>
      <c r="M279" s="5"/>
    </row>
    <row r="280" spans="1:13" ht="14.5">
      <c r="A280" s="146"/>
      <c r="B280" s="5"/>
      <c r="C280" s="5"/>
      <c r="D280" s="5"/>
      <c r="E280" s="5"/>
      <c r="F280" s="5"/>
      <c r="G280" s="5"/>
      <c r="H280" s="5"/>
      <c r="I280" s="5"/>
      <c r="J280" s="5"/>
      <c r="K280" s="5"/>
      <c r="L280" s="5"/>
      <c r="M280" s="5"/>
    </row>
    <row r="281" spans="1:13" ht="14.5">
      <c r="A281" s="146"/>
      <c r="B281" s="5"/>
      <c r="C281" s="5"/>
      <c r="D281" s="5"/>
      <c r="E281" s="5"/>
      <c r="F281" s="5"/>
      <c r="G281" s="5"/>
      <c r="H281" s="5"/>
      <c r="I281" s="5"/>
      <c r="J281" s="5"/>
      <c r="K281" s="5"/>
      <c r="L281" s="5"/>
      <c r="M281" s="5"/>
    </row>
    <row r="282" spans="1:13" ht="14.5">
      <c r="A282" s="146"/>
      <c r="B282" s="5"/>
      <c r="C282" s="5"/>
      <c r="D282" s="5"/>
      <c r="E282" s="5"/>
      <c r="F282" s="5"/>
      <c r="G282" s="5"/>
      <c r="H282" s="5"/>
      <c r="I282" s="5"/>
      <c r="J282" s="5"/>
      <c r="K282" s="5"/>
      <c r="L282" s="5"/>
      <c r="M282" s="5"/>
    </row>
    <row r="283" spans="1:13" ht="14.5">
      <c r="A283" s="146"/>
      <c r="B283" s="5"/>
      <c r="C283" s="5"/>
      <c r="D283" s="5"/>
      <c r="E283" s="5"/>
      <c r="F283" s="5"/>
      <c r="G283" s="5"/>
      <c r="H283" s="5"/>
      <c r="I283" s="5"/>
      <c r="J283" s="5"/>
      <c r="K283" s="5"/>
      <c r="L283" s="5"/>
      <c r="M283" s="5"/>
    </row>
    <row r="284" spans="1:13" ht="14.5">
      <c r="A284" s="146"/>
      <c r="B284" s="5"/>
      <c r="C284" s="5"/>
      <c r="D284" s="5"/>
      <c r="E284" s="5"/>
      <c r="F284" s="5"/>
      <c r="G284" s="5"/>
      <c r="H284" s="5"/>
      <c r="I284" s="5"/>
      <c r="J284" s="5"/>
      <c r="K284" s="5"/>
      <c r="L284" s="5"/>
      <c r="M284" s="5"/>
    </row>
    <row r="285" spans="1:13" ht="14.5">
      <c r="A285" s="146"/>
      <c r="B285" s="5"/>
      <c r="C285" s="5"/>
      <c r="D285" s="5"/>
      <c r="E285" s="5"/>
      <c r="F285" s="5"/>
      <c r="G285" s="5"/>
      <c r="H285" s="5"/>
      <c r="I285" s="5"/>
      <c r="J285" s="5"/>
      <c r="K285" s="5"/>
      <c r="L285" s="5"/>
      <c r="M285" s="5"/>
    </row>
    <row r="286" spans="1:13" ht="14.5">
      <c r="A286" s="146"/>
      <c r="B286" s="5"/>
      <c r="C286" s="5"/>
      <c r="D286" s="5"/>
      <c r="E286" s="5"/>
      <c r="F286" s="5"/>
      <c r="G286" s="5"/>
      <c r="H286" s="5"/>
      <c r="I286" s="5"/>
      <c r="J286" s="5"/>
      <c r="K286" s="5"/>
      <c r="L286" s="5"/>
      <c r="M286" s="5"/>
    </row>
    <row r="287" spans="1:13" ht="14.5">
      <c r="A287" s="146"/>
      <c r="B287" s="5"/>
      <c r="C287" s="5"/>
      <c r="D287" s="5"/>
      <c r="E287" s="5"/>
      <c r="F287" s="5"/>
      <c r="G287" s="5"/>
      <c r="H287" s="5"/>
      <c r="I287" s="5"/>
      <c r="J287" s="5"/>
      <c r="K287" s="5"/>
      <c r="L287" s="5"/>
      <c r="M287" s="5"/>
    </row>
    <row r="288" spans="1:13" ht="14.5">
      <c r="A288" s="146"/>
      <c r="B288" s="5"/>
      <c r="C288" s="5"/>
      <c r="D288" s="5"/>
      <c r="E288" s="5"/>
      <c r="F288" s="5"/>
      <c r="G288" s="5"/>
      <c r="H288" s="5"/>
      <c r="I288" s="5"/>
      <c r="J288" s="5"/>
      <c r="K288" s="5"/>
      <c r="L288" s="5"/>
      <c r="M288" s="5"/>
    </row>
    <row r="289" spans="1:13" ht="14.5">
      <c r="A289" s="146"/>
      <c r="B289" s="5"/>
      <c r="C289" s="5"/>
      <c r="D289" s="5"/>
      <c r="E289" s="5"/>
      <c r="F289" s="5"/>
      <c r="G289" s="5"/>
      <c r="H289" s="5"/>
      <c r="I289" s="5"/>
      <c r="J289" s="5"/>
      <c r="K289" s="5"/>
      <c r="L289" s="5"/>
      <c r="M289" s="5"/>
    </row>
    <row r="290" spans="1:13" ht="14.5">
      <c r="A290" s="146"/>
      <c r="B290" s="5"/>
      <c r="C290" s="5"/>
      <c r="D290" s="5"/>
      <c r="E290" s="5"/>
      <c r="F290" s="5"/>
      <c r="G290" s="5"/>
      <c r="H290" s="5"/>
      <c r="I290" s="5"/>
      <c r="J290" s="5"/>
      <c r="K290" s="5"/>
      <c r="L290" s="5"/>
      <c r="M290" s="5"/>
    </row>
    <row r="291" spans="1:13" ht="14.5">
      <c r="A291" s="146"/>
      <c r="B291" s="5"/>
      <c r="C291" s="5"/>
      <c r="D291" s="5"/>
      <c r="E291" s="5"/>
      <c r="F291" s="5"/>
      <c r="G291" s="5"/>
      <c r="H291" s="5"/>
      <c r="I291" s="5"/>
      <c r="J291" s="5"/>
      <c r="K291" s="5"/>
      <c r="L291" s="5"/>
      <c r="M291" s="5"/>
    </row>
    <row r="292" spans="1:13" ht="14.5">
      <c r="A292" s="146"/>
      <c r="B292" s="5"/>
      <c r="C292" s="5"/>
      <c r="D292" s="5"/>
      <c r="E292" s="5"/>
      <c r="F292" s="5"/>
      <c r="G292" s="5"/>
      <c r="H292" s="5"/>
      <c r="I292" s="5"/>
      <c r="J292" s="5"/>
      <c r="K292" s="5"/>
      <c r="L292" s="5"/>
      <c r="M292" s="5"/>
    </row>
    <row r="293" spans="1:13" ht="14.5">
      <c r="A293" s="146"/>
      <c r="B293" s="5"/>
      <c r="C293" s="5"/>
      <c r="D293" s="5"/>
      <c r="E293" s="5"/>
      <c r="F293" s="5"/>
      <c r="G293" s="5"/>
      <c r="H293" s="5"/>
      <c r="I293" s="5"/>
      <c r="J293" s="5"/>
      <c r="K293" s="5"/>
      <c r="L293" s="5"/>
      <c r="M293" s="5"/>
    </row>
    <row r="294" spans="1:13" ht="14.5">
      <c r="A294" s="146"/>
      <c r="B294" s="5"/>
      <c r="C294" s="5"/>
      <c r="D294" s="5"/>
      <c r="E294" s="5"/>
      <c r="F294" s="5"/>
      <c r="G294" s="5"/>
      <c r="H294" s="5"/>
      <c r="I294" s="5"/>
      <c r="J294" s="5"/>
      <c r="K294" s="5"/>
      <c r="L294" s="5"/>
      <c r="M294" s="5"/>
    </row>
    <row r="295" spans="1:13" ht="14.5">
      <c r="A295" s="146"/>
      <c r="B295" s="5"/>
      <c r="C295" s="5"/>
      <c r="D295" s="5"/>
      <c r="E295" s="5"/>
      <c r="F295" s="5"/>
      <c r="G295" s="5"/>
      <c r="H295" s="5"/>
      <c r="I295" s="5"/>
      <c r="J295" s="5"/>
      <c r="K295" s="5"/>
      <c r="L295" s="5"/>
      <c r="M295" s="5"/>
    </row>
    <row r="296" spans="1:13" ht="14.5">
      <c r="A296" s="146"/>
      <c r="B296" s="5"/>
      <c r="C296" s="5"/>
      <c r="D296" s="5"/>
      <c r="E296" s="5"/>
      <c r="F296" s="5"/>
      <c r="G296" s="5"/>
      <c r="H296" s="5"/>
      <c r="I296" s="5"/>
      <c r="J296" s="5"/>
      <c r="K296" s="5"/>
      <c r="L296" s="5"/>
      <c r="M296" s="5"/>
    </row>
    <row r="297" spans="1:13" ht="14.5">
      <c r="A297" s="146"/>
      <c r="B297" s="5"/>
      <c r="C297" s="5"/>
      <c r="D297" s="5"/>
      <c r="E297" s="5"/>
      <c r="F297" s="5"/>
      <c r="G297" s="5"/>
      <c r="H297" s="5"/>
      <c r="I297" s="5"/>
      <c r="J297" s="5"/>
      <c r="K297" s="5"/>
      <c r="L297" s="5"/>
      <c r="M297" s="5"/>
    </row>
    <row r="298" spans="1:13" ht="14.5">
      <c r="A298" s="146"/>
      <c r="B298" s="5"/>
      <c r="C298" s="5"/>
      <c r="D298" s="5"/>
      <c r="E298" s="5"/>
      <c r="F298" s="5"/>
      <c r="G298" s="5"/>
      <c r="H298" s="5"/>
      <c r="I298" s="5"/>
      <c r="J298" s="5"/>
      <c r="K298" s="5"/>
      <c r="L298" s="5"/>
      <c r="M298" s="5"/>
    </row>
    <row r="299" spans="1:13" ht="14.5">
      <c r="A299" s="146"/>
      <c r="B299" s="5"/>
      <c r="C299" s="5"/>
      <c r="D299" s="5"/>
      <c r="E299" s="5"/>
      <c r="F299" s="5"/>
      <c r="G299" s="5"/>
      <c r="H299" s="5"/>
      <c r="I299" s="5"/>
      <c r="J299" s="5"/>
      <c r="K299" s="5"/>
      <c r="L299" s="5"/>
      <c r="M299" s="5"/>
    </row>
    <row r="300" spans="1:13" ht="14.5">
      <c r="A300" s="146"/>
      <c r="B300" s="5"/>
      <c r="C300" s="5"/>
      <c r="D300" s="5"/>
      <c r="E300" s="5"/>
      <c r="F300" s="5"/>
      <c r="G300" s="5"/>
      <c r="H300" s="5"/>
      <c r="I300" s="5"/>
      <c r="J300" s="5"/>
      <c r="K300" s="5"/>
      <c r="L300" s="5"/>
      <c r="M300" s="5"/>
    </row>
    <row r="301" spans="1:13" ht="14.5">
      <c r="A301" s="146"/>
      <c r="B301" s="5"/>
      <c r="C301" s="5"/>
      <c r="D301" s="5"/>
      <c r="E301" s="5"/>
      <c r="F301" s="5"/>
      <c r="G301" s="5"/>
      <c r="H301" s="5"/>
      <c r="I301" s="5"/>
      <c r="J301" s="5"/>
      <c r="K301" s="5"/>
      <c r="L301" s="5"/>
      <c r="M301" s="5"/>
    </row>
    <row r="302" spans="1:13" ht="14.5">
      <c r="A302" s="146"/>
      <c r="B302" s="5"/>
      <c r="C302" s="5"/>
      <c r="D302" s="5"/>
      <c r="E302" s="5"/>
      <c r="F302" s="5"/>
      <c r="G302" s="5"/>
      <c r="H302" s="5"/>
      <c r="I302" s="5"/>
      <c r="J302" s="5"/>
      <c r="K302" s="5"/>
      <c r="L302" s="5"/>
      <c r="M302" s="5"/>
    </row>
    <row r="303" spans="1:13" ht="14.5">
      <c r="A303" s="146"/>
      <c r="B303" s="5"/>
      <c r="C303" s="5"/>
      <c r="D303" s="5"/>
      <c r="E303" s="5"/>
      <c r="F303" s="5"/>
      <c r="G303" s="5"/>
      <c r="H303" s="5"/>
      <c r="I303" s="5"/>
      <c r="J303" s="5"/>
      <c r="K303" s="5"/>
      <c r="L303" s="5"/>
      <c r="M303" s="5"/>
    </row>
    <row r="304" spans="1:13" ht="14.5">
      <c r="A304" s="146"/>
      <c r="B304" s="5"/>
      <c r="C304" s="5"/>
      <c r="D304" s="5"/>
      <c r="E304" s="5"/>
      <c r="F304" s="5"/>
      <c r="G304" s="5"/>
      <c r="H304" s="5"/>
      <c r="I304" s="5"/>
      <c r="J304" s="5"/>
      <c r="K304" s="5"/>
      <c r="L304" s="5"/>
      <c r="M304" s="5"/>
    </row>
    <row r="305" spans="1:13" ht="14.5">
      <c r="A305" s="146"/>
      <c r="B305" s="5"/>
      <c r="C305" s="5"/>
      <c r="D305" s="5"/>
      <c r="E305" s="5"/>
      <c r="F305" s="5"/>
      <c r="G305" s="5"/>
      <c r="H305" s="5"/>
      <c r="I305" s="5"/>
      <c r="J305" s="5"/>
      <c r="K305" s="5"/>
      <c r="L305" s="5"/>
      <c r="M305" s="5"/>
    </row>
    <row r="306" spans="1:13" ht="14.5">
      <c r="A306" s="146"/>
      <c r="B306" s="5"/>
      <c r="C306" s="5"/>
      <c r="D306" s="5"/>
      <c r="E306" s="5"/>
      <c r="F306" s="5"/>
      <c r="G306" s="5"/>
      <c r="H306" s="5"/>
      <c r="I306" s="5"/>
      <c r="J306" s="5"/>
      <c r="K306" s="5"/>
      <c r="L306" s="5"/>
      <c r="M306" s="5"/>
    </row>
    <row r="307" spans="1:13" ht="14.5">
      <c r="A307" s="146"/>
      <c r="B307" s="5"/>
      <c r="C307" s="5"/>
      <c r="D307" s="5"/>
      <c r="E307" s="5"/>
      <c r="F307" s="5"/>
      <c r="G307" s="5"/>
      <c r="H307" s="5"/>
      <c r="I307" s="5"/>
      <c r="J307" s="5"/>
      <c r="K307" s="5"/>
      <c r="L307" s="5"/>
      <c r="M307" s="5"/>
    </row>
    <row r="308" spans="1:13" ht="14.5">
      <c r="A308" s="146"/>
      <c r="B308" s="5"/>
      <c r="C308" s="5"/>
      <c r="D308" s="5"/>
      <c r="E308" s="5"/>
      <c r="F308" s="5"/>
      <c r="G308" s="5"/>
      <c r="H308" s="5"/>
      <c r="I308" s="5"/>
      <c r="J308" s="5"/>
      <c r="K308" s="5"/>
      <c r="L308" s="5"/>
      <c r="M308" s="5"/>
    </row>
    <row r="309" spans="1:13" ht="14.5">
      <c r="A309" s="146"/>
      <c r="B309" s="5"/>
      <c r="C309" s="5"/>
      <c r="D309" s="5"/>
      <c r="E309" s="5"/>
      <c r="F309" s="5"/>
      <c r="G309" s="5"/>
      <c r="H309" s="5"/>
      <c r="I309" s="5"/>
      <c r="J309" s="5"/>
      <c r="K309" s="5"/>
      <c r="L309" s="5"/>
      <c r="M309" s="5"/>
    </row>
    <row r="310" spans="1:13" ht="14.5">
      <c r="A310" s="146"/>
      <c r="B310" s="5"/>
      <c r="C310" s="5"/>
      <c r="D310" s="5"/>
      <c r="E310" s="5"/>
      <c r="F310" s="5"/>
      <c r="G310" s="5"/>
      <c r="H310" s="5"/>
      <c r="I310" s="5"/>
      <c r="J310" s="5"/>
      <c r="K310" s="5"/>
      <c r="L310" s="5"/>
      <c r="M310" s="5"/>
    </row>
    <row r="311" spans="1:13" ht="14.5">
      <c r="A311" s="146"/>
      <c r="B311" s="5"/>
      <c r="C311" s="5"/>
      <c r="D311" s="5"/>
      <c r="E311" s="5"/>
      <c r="F311" s="5"/>
      <c r="G311" s="5"/>
      <c r="H311" s="5"/>
      <c r="I311" s="5"/>
      <c r="J311" s="5"/>
      <c r="K311" s="5"/>
      <c r="L311" s="5"/>
      <c r="M311" s="5"/>
    </row>
    <row r="312" spans="1:13" ht="14.5">
      <c r="A312" s="146"/>
      <c r="B312" s="5"/>
      <c r="C312" s="5"/>
      <c r="D312" s="5"/>
      <c r="E312" s="5"/>
      <c r="F312" s="5"/>
      <c r="G312" s="5"/>
      <c r="H312" s="5"/>
      <c r="I312" s="5"/>
      <c r="J312" s="5"/>
      <c r="K312" s="5"/>
      <c r="L312" s="5"/>
      <c r="M312" s="5"/>
    </row>
    <row r="313" spans="1:13" ht="14.5">
      <c r="A313" s="146"/>
      <c r="B313" s="5"/>
      <c r="C313" s="5"/>
      <c r="D313" s="5"/>
      <c r="E313" s="5"/>
      <c r="F313" s="5"/>
      <c r="G313" s="5"/>
      <c r="H313" s="5"/>
      <c r="I313" s="5"/>
      <c r="J313" s="5"/>
      <c r="K313" s="5"/>
      <c r="L313" s="5"/>
      <c r="M313" s="5"/>
    </row>
    <row r="314" spans="1:13" ht="14.5">
      <c r="A314" s="146"/>
      <c r="B314" s="5"/>
      <c r="C314" s="5"/>
      <c r="D314" s="5"/>
      <c r="E314" s="5"/>
      <c r="F314" s="5"/>
      <c r="G314" s="5"/>
      <c r="H314" s="5"/>
      <c r="I314" s="5"/>
      <c r="J314" s="5"/>
      <c r="K314" s="5"/>
      <c r="L314" s="5"/>
      <c r="M314" s="5"/>
    </row>
    <row r="315" spans="1:13" ht="14.5">
      <c r="A315" s="146"/>
      <c r="B315" s="5"/>
      <c r="C315" s="5"/>
      <c r="D315" s="5"/>
      <c r="E315" s="5"/>
      <c r="F315" s="5"/>
      <c r="G315" s="5"/>
      <c r="H315" s="5"/>
      <c r="I315" s="5"/>
      <c r="J315" s="5"/>
      <c r="K315" s="5"/>
      <c r="L315" s="5"/>
      <c r="M315" s="5"/>
    </row>
    <row r="316" spans="1:13" ht="14.5">
      <c r="A316" s="146"/>
      <c r="B316" s="5"/>
      <c r="C316" s="5"/>
      <c r="D316" s="5"/>
      <c r="E316" s="5"/>
      <c r="F316" s="5"/>
      <c r="G316" s="5"/>
      <c r="H316" s="5"/>
      <c r="I316" s="5"/>
      <c r="J316" s="5"/>
      <c r="K316" s="5"/>
      <c r="L316" s="5"/>
      <c r="M316" s="5"/>
    </row>
    <row r="317" spans="1:13" ht="14.5">
      <c r="A317" s="146"/>
      <c r="B317" s="5"/>
      <c r="C317" s="5"/>
      <c r="D317" s="5"/>
      <c r="E317" s="5"/>
      <c r="F317" s="5"/>
      <c r="G317" s="5"/>
      <c r="H317" s="5"/>
      <c r="I317" s="5"/>
      <c r="J317" s="5"/>
      <c r="K317" s="5"/>
      <c r="L317" s="5"/>
      <c r="M317" s="5"/>
    </row>
    <row r="318" spans="1:13" ht="14.5">
      <c r="A318" s="146"/>
      <c r="B318" s="5"/>
      <c r="C318" s="5"/>
      <c r="D318" s="5"/>
      <c r="E318" s="5"/>
      <c r="F318" s="5"/>
      <c r="G318" s="5"/>
      <c r="H318" s="5"/>
      <c r="I318" s="5"/>
      <c r="J318" s="5"/>
      <c r="K318" s="5"/>
      <c r="L318" s="5"/>
      <c r="M318" s="5"/>
    </row>
    <row r="319" spans="1:13" ht="14.5">
      <c r="A319" s="146"/>
      <c r="B319" s="5"/>
      <c r="C319" s="5"/>
      <c r="D319" s="5"/>
      <c r="E319" s="5"/>
      <c r="F319" s="5"/>
      <c r="G319" s="5"/>
      <c r="H319" s="5"/>
      <c r="I319" s="5"/>
      <c r="J319" s="5"/>
      <c r="K319" s="5"/>
      <c r="L319" s="5"/>
      <c r="M319" s="5"/>
    </row>
    <row r="320" spans="1:13" ht="14.5">
      <c r="A320" s="146"/>
      <c r="B320" s="5"/>
      <c r="C320" s="5"/>
      <c r="D320" s="5"/>
      <c r="E320" s="5"/>
      <c r="F320" s="5"/>
      <c r="G320" s="5"/>
      <c r="H320" s="5"/>
      <c r="I320" s="5"/>
      <c r="J320" s="5"/>
      <c r="K320" s="5"/>
      <c r="L320" s="5"/>
      <c r="M320" s="5"/>
    </row>
    <row r="321" spans="1:13" ht="14.5">
      <c r="A321" s="146"/>
      <c r="B321" s="5"/>
      <c r="C321" s="5"/>
      <c r="D321" s="5"/>
      <c r="E321" s="5"/>
      <c r="F321" s="5"/>
      <c r="G321" s="5"/>
      <c r="H321" s="5"/>
      <c r="I321" s="5"/>
      <c r="J321" s="5"/>
      <c r="K321" s="5"/>
      <c r="L321" s="5"/>
      <c r="M321" s="5"/>
    </row>
    <row r="322" spans="1:13" ht="14.5">
      <c r="A322" s="146"/>
      <c r="B322" s="5"/>
      <c r="C322" s="5"/>
      <c r="D322" s="5"/>
      <c r="E322" s="5"/>
      <c r="F322" s="5"/>
      <c r="G322" s="5"/>
      <c r="H322" s="5"/>
      <c r="I322" s="5"/>
      <c r="J322" s="5"/>
      <c r="K322" s="5"/>
      <c r="L322" s="5"/>
      <c r="M322" s="5"/>
    </row>
    <row r="323" spans="1:13" ht="14.5">
      <c r="A323" s="146"/>
      <c r="B323" s="5"/>
      <c r="C323" s="5"/>
      <c r="D323" s="5"/>
      <c r="E323" s="5"/>
      <c r="F323" s="5"/>
      <c r="G323" s="5"/>
      <c r="H323" s="5"/>
      <c r="I323" s="5"/>
      <c r="J323" s="5"/>
      <c r="K323" s="5"/>
      <c r="L323" s="5"/>
      <c r="M323" s="5"/>
    </row>
    <row r="324" spans="1:13" ht="14.5">
      <c r="A324" s="146"/>
      <c r="B324" s="5"/>
      <c r="C324" s="5"/>
      <c r="D324" s="5"/>
      <c r="E324" s="5"/>
      <c r="F324" s="5"/>
      <c r="G324" s="5"/>
      <c r="H324" s="5"/>
      <c r="I324" s="5"/>
      <c r="J324" s="5"/>
      <c r="K324" s="5"/>
      <c r="L324" s="5"/>
      <c r="M324" s="5"/>
    </row>
    <row r="325" spans="1:13" ht="14.5">
      <c r="A325" s="146"/>
      <c r="B325" s="5"/>
      <c r="C325" s="5"/>
      <c r="D325" s="5"/>
      <c r="E325" s="5"/>
      <c r="F325" s="5"/>
      <c r="G325" s="5"/>
      <c r="H325" s="5"/>
      <c r="I325" s="5"/>
      <c r="J325" s="5"/>
      <c r="K325" s="5"/>
      <c r="L325" s="5"/>
      <c r="M325" s="5"/>
    </row>
    <row r="326" spans="1:13" ht="14.5">
      <c r="A326" s="146"/>
      <c r="B326" s="5"/>
      <c r="C326" s="5"/>
      <c r="D326" s="5"/>
      <c r="E326" s="5"/>
      <c r="F326" s="5"/>
      <c r="G326" s="5"/>
      <c r="H326" s="5"/>
      <c r="I326" s="5"/>
      <c r="J326" s="5"/>
      <c r="K326" s="5"/>
      <c r="L326" s="5"/>
      <c r="M326" s="5"/>
    </row>
    <row r="327" spans="1:13" ht="14.5">
      <c r="A327" s="146"/>
      <c r="B327" s="5"/>
      <c r="C327" s="5"/>
      <c r="D327" s="5"/>
      <c r="E327" s="5"/>
      <c r="F327" s="5"/>
      <c r="G327" s="5"/>
      <c r="H327" s="5"/>
      <c r="I327" s="5"/>
      <c r="J327" s="5"/>
      <c r="K327" s="5"/>
      <c r="L327" s="5"/>
      <c r="M327" s="5"/>
    </row>
    <row r="328" spans="1:13" ht="14.5">
      <c r="A328" s="146"/>
      <c r="B328" s="5"/>
      <c r="C328" s="5"/>
      <c r="D328" s="5"/>
      <c r="E328" s="5"/>
      <c r="F328" s="5"/>
      <c r="G328" s="5"/>
      <c r="H328" s="5"/>
      <c r="I328" s="5"/>
      <c r="J328" s="5"/>
      <c r="K328" s="5"/>
      <c r="L328" s="5"/>
      <c r="M328" s="5"/>
    </row>
    <row r="329" spans="1:13" ht="14.5">
      <c r="A329" s="146"/>
      <c r="B329" s="5"/>
      <c r="C329" s="5"/>
      <c r="D329" s="5"/>
      <c r="E329" s="5"/>
      <c r="F329" s="5"/>
      <c r="G329" s="5"/>
      <c r="H329" s="5"/>
      <c r="I329" s="5"/>
      <c r="J329" s="5"/>
      <c r="K329" s="5"/>
      <c r="L329" s="5"/>
      <c r="M329" s="5"/>
    </row>
    <row r="330" spans="1:13" ht="14.5">
      <c r="A330" s="146"/>
      <c r="B330" s="5"/>
      <c r="C330" s="5"/>
      <c r="D330" s="5"/>
      <c r="E330" s="5"/>
      <c r="F330" s="5"/>
      <c r="G330" s="5"/>
      <c r="H330" s="5"/>
      <c r="I330" s="5"/>
      <c r="J330" s="5"/>
      <c r="K330" s="5"/>
      <c r="L330" s="5"/>
      <c r="M330" s="5"/>
    </row>
    <row r="331" spans="1:13" ht="14.5">
      <c r="A331" s="146"/>
      <c r="B331" s="5"/>
      <c r="C331" s="5"/>
      <c r="D331" s="5"/>
      <c r="E331" s="5"/>
      <c r="F331" s="5"/>
      <c r="G331" s="5"/>
      <c r="H331" s="5"/>
      <c r="I331" s="5"/>
      <c r="J331" s="5"/>
      <c r="K331" s="5"/>
      <c r="L331" s="5"/>
      <c r="M331" s="5"/>
    </row>
    <row r="332" spans="1:13" ht="14.5">
      <c r="A332" s="146"/>
      <c r="B332" s="5"/>
      <c r="C332" s="5"/>
      <c r="D332" s="5"/>
      <c r="E332" s="5"/>
      <c r="F332" s="5"/>
      <c r="G332" s="5"/>
      <c r="H332" s="5"/>
      <c r="I332" s="5"/>
      <c r="J332" s="5"/>
      <c r="K332" s="5"/>
      <c r="L332" s="5"/>
      <c r="M332" s="5"/>
    </row>
    <row r="333" spans="1:13" ht="14.5">
      <c r="A333" s="146"/>
      <c r="B333" s="5"/>
      <c r="C333" s="5"/>
      <c r="D333" s="5"/>
      <c r="E333" s="5"/>
      <c r="F333" s="5"/>
      <c r="G333" s="5"/>
      <c r="H333" s="5"/>
      <c r="I333" s="5"/>
      <c r="J333" s="5"/>
      <c r="K333" s="5"/>
      <c r="L333" s="5"/>
      <c r="M333" s="5"/>
    </row>
    <row r="334" spans="1:13" ht="14.5">
      <c r="A334" s="146"/>
      <c r="B334" s="5"/>
      <c r="C334" s="5"/>
      <c r="D334" s="5"/>
      <c r="E334" s="5"/>
      <c r="F334" s="5"/>
      <c r="G334" s="5"/>
      <c r="H334" s="5"/>
      <c r="I334" s="5"/>
      <c r="J334" s="5"/>
      <c r="K334" s="5"/>
      <c r="L334" s="5"/>
      <c r="M334" s="5"/>
    </row>
    <row r="335" spans="1:13" ht="14.5">
      <c r="A335" s="146"/>
      <c r="B335" s="5"/>
      <c r="C335" s="5"/>
      <c r="D335" s="5"/>
      <c r="E335" s="5"/>
      <c r="F335" s="5"/>
      <c r="G335" s="5"/>
      <c r="H335" s="5"/>
      <c r="I335" s="5"/>
      <c r="J335" s="5"/>
      <c r="K335" s="5"/>
      <c r="L335" s="5"/>
      <c r="M335" s="5"/>
    </row>
    <row r="336" spans="1:13" ht="14.5">
      <c r="A336" s="146"/>
      <c r="B336" s="5"/>
      <c r="C336" s="5"/>
      <c r="D336" s="5"/>
      <c r="E336" s="5"/>
      <c r="F336" s="5"/>
      <c r="G336" s="5"/>
      <c r="H336" s="5"/>
      <c r="I336" s="5"/>
      <c r="J336" s="5"/>
      <c r="K336" s="5"/>
      <c r="L336" s="5"/>
      <c r="M336" s="5"/>
    </row>
    <row r="337" spans="1:13" ht="14.5">
      <c r="A337" s="146"/>
      <c r="B337" s="5"/>
      <c r="C337" s="5"/>
      <c r="D337" s="5"/>
      <c r="E337" s="5"/>
      <c r="F337" s="5"/>
      <c r="G337" s="5"/>
      <c r="H337" s="5"/>
      <c r="I337" s="5"/>
      <c r="J337" s="5"/>
      <c r="K337" s="5"/>
      <c r="L337" s="5"/>
      <c r="M337" s="5"/>
    </row>
    <row r="338" spans="1:13" ht="14.5">
      <c r="A338" s="146"/>
      <c r="B338" s="5"/>
      <c r="C338" s="5"/>
      <c r="D338" s="5"/>
      <c r="E338" s="5"/>
      <c r="F338" s="5"/>
      <c r="G338" s="5"/>
      <c r="H338" s="5"/>
      <c r="I338" s="5"/>
      <c r="J338" s="5"/>
      <c r="K338" s="5"/>
      <c r="L338" s="5"/>
      <c r="M338" s="5"/>
    </row>
    <row r="339" spans="1:13" ht="14.5">
      <c r="A339" s="146"/>
      <c r="B339" s="5"/>
      <c r="C339" s="5"/>
      <c r="D339" s="5"/>
      <c r="E339" s="5"/>
      <c r="F339" s="5"/>
      <c r="G339" s="5"/>
      <c r="H339" s="5"/>
      <c r="I339" s="5"/>
      <c r="J339" s="5"/>
      <c r="K339" s="5"/>
      <c r="L339" s="5"/>
      <c r="M339" s="5"/>
    </row>
    <row r="340" spans="1:13" ht="14.5">
      <c r="A340" s="146"/>
      <c r="B340" s="5"/>
      <c r="C340" s="5"/>
      <c r="D340" s="5"/>
      <c r="E340" s="5"/>
      <c r="F340" s="5"/>
      <c r="G340" s="5"/>
      <c r="H340" s="5"/>
      <c r="I340" s="5"/>
      <c r="J340" s="5"/>
      <c r="K340" s="5"/>
      <c r="L340" s="5"/>
      <c r="M340" s="5"/>
    </row>
    <row r="341" spans="1:13" ht="14.5">
      <c r="A341" s="146"/>
      <c r="B341" s="5"/>
      <c r="C341" s="5"/>
      <c r="D341" s="5"/>
      <c r="E341" s="5"/>
      <c r="F341" s="5"/>
      <c r="G341" s="5"/>
      <c r="H341" s="5"/>
      <c r="I341" s="5"/>
      <c r="J341" s="5"/>
      <c r="K341" s="5"/>
      <c r="L341" s="5"/>
      <c r="M341" s="5"/>
    </row>
    <row r="342" spans="1:13" ht="14.5">
      <c r="A342" s="146"/>
      <c r="B342" s="5"/>
      <c r="C342" s="5"/>
      <c r="D342" s="5"/>
      <c r="E342" s="5"/>
      <c r="F342" s="5"/>
      <c r="G342" s="5"/>
      <c r="H342" s="5"/>
      <c r="I342" s="5"/>
      <c r="J342" s="5"/>
      <c r="K342" s="5"/>
      <c r="L342" s="5"/>
      <c r="M342" s="5"/>
    </row>
    <row r="343" spans="1:13" ht="14.5">
      <c r="A343" s="146"/>
      <c r="B343" s="5"/>
      <c r="C343" s="5"/>
      <c r="D343" s="5"/>
      <c r="E343" s="5"/>
      <c r="F343" s="5"/>
      <c r="G343" s="5"/>
      <c r="H343" s="5"/>
      <c r="I343" s="5"/>
      <c r="J343" s="5"/>
      <c r="K343" s="5"/>
      <c r="L343" s="5"/>
      <c r="M343" s="5"/>
    </row>
    <row r="344" spans="1:13" ht="14.5">
      <c r="A344" s="146"/>
      <c r="B344" s="5"/>
      <c r="C344" s="5"/>
      <c r="D344" s="5"/>
      <c r="E344" s="5"/>
      <c r="F344" s="5"/>
      <c r="G344" s="5"/>
      <c r="H344" s="5"/>
      <c r="I344" s="5"/>
      <c r="J344" s="5"/>
      <c r="K344" s="5"/>
      <c r="L344" s="5"/>
      <c r="M344" s="5"/>
    </row>
    <row r="345" spans="1:13" ht="14.5">
      <c r="A345" s="146"/>
      <c r="B345" s="5"/>
      <c r="C345" s="5"/>
      <c r="D345" s="5"/>
      <c r="E345" s="5"/>
      <c r="F345" s="5"/>
      <c r="G345" s="5"/>
      <c r="H345" s="5"/>
      <c r="I345" s="5"/>
      <c r="J345" s="5"/>
      <c r="K345" s="5"/>
      <c r="L345" s="5"/>
      <c r="M345" s="5"/>
    </row>
    <row r="346" spans="1:13" ht="14.5">
      <c r="A346" s="146"/>
      <c r="B346" s="5"/>
      <c r="C346" s="5"/>
      <c r="D346" s="5"/>
      <c r="E346" s="5"/>
      <c r="F346" s="5"/>
      <c r="G346" s="5"/>
      <c r="H346" s="5"/>
      <c r="I346" s="5"/>
      <c r="J346" s="5"/>
      <c r="K346" s="5"/>
      <c r="L346" s="5"/>
      <c r="M346" s="5"/>
    </row>
    <row r="347" spans="1:13" ht="14.5">
      <c r="A347" s="146"/>
      <c r="B347" s="5"/>
      <c r="C347" s="5"/>
      <c r="D347" s="5"/>
      <c r="E347" s="5"/>
      <c r="F347" s="5"/>
      <c r="G347" s="5"/>
      <c r="H347" s="5"/>
      <c r="I347" s="5"/>
      <c r="J347" s="5"/>
      <c r="K347" s="5"/>
      <c r="L347" s="5"/>
      <c r="M347" s="5"/>
    </row>
    <row r="348" spans="1:13" ht="14.5">
      <c r="A348" s="146"/>
      <c r="B348" s="5"/>
      <c r="C348" s="5"/>
      <c r="D348" s="5"/>
      <c r="E348" s="5"/>
      <c r="F348" s="5"/>
      <c r="G348" s="5"/>
      <c r="H348" s="5"/>
      <c r="I348" s="5"/>
      <c r="J348" s="5"/>
      <c r="K348" s="5"/>
      <c r="L348" s="5"/>
      <c r="M348" s="5"/>
    </row>
    <row r="349" spans="1:13" ht="14.5">
      <c r="A349" s="146"/>
      <c r="B349" s="5"/>
      <c r="C349" s="5"/>
      <c r="D349" s="5"/>
      <c r="E349" s="5"/>
      <c r="F349" s="5"/>
      <c r="G349" s="5"/>
      <c r="H349" s="5"/>
      <c r="I349" s="5"/>
      <c r="J349" s="5"/>
      <c r="K349" s="5"/>
      <c r="L349" s="5"/>
      <c r="M349" s="5"/>
    </row>
    <row r="350" spans="1:13" ht="14.5">
      <c r="A350" s="146"/>
      <c r="B350" s="5"/>
      <c r="C350" s="5"/>
      <c r="D350" s="5"/>
      <c r="E350" s="5"/>
      <c r="F350" s="5"/>
      <c r="G350" s="5"/>
      <c r="H350" s="5"/>
      <c r="I350" s="5"/>
      <c r="J350" s="5"/>
      <c r="K350" s="5"/>
      <c r="L350" s="5"/>
      <c r="M350" s="5"/>
    </row>
    <row r="351" spans="1:13" ht="14.5">
      <c r="A351" s="146"/>
      <c r="B351" s="5"/>
      <c r="C351" s="5"/>
      <c r="D351" s="5"/>
      <c r="E351" s="5"/>
      <c r="F351" s="5"/>
      <c r="G351" s="5"/>
      <c r="H351" s="5"/>
      <c r="I351" s="5"/>
      <c r="J351" s="5"/>
      <c r="K351" s="5"/>
      <c r="L351" s="5"/>
      <c r="M351" s="5"/>
    </row>
    <row r="352" spans="1:13" ht="14.5">
      <c r="A352" s="146"/>
      <c r="B352" s="5"/>
      <c r="C352" s="5"/>
      <c r="D352" s="5"/>
      <c r="E352" s="5"/>
      <c r="F352" s="5"/>
      <c r="G352" s="5"/>
      <c r="H352" s="5"/>
      <c r="I352" s="5"/>
      <c r="J352" s="5"/>
      <c r="K352" s="5"/>
      <c r="L352" s="5"/>
      <c r="M352" s="5"/>
    </row>
    <row r="353" spans="1:13" ht="14.5">
      <c r="A353" s="146"/>
      <c r="B353" s="5"/>
      <c r="C353" s="5"/>
      <c r="D353" s="5"/>
      <c r="E353" s="5"/>
      <c r="F353" s="5"/>
      <c r="G353" s="5"/>
      <c r="H353" s="5"/>
      <c r="I353" s="5"/>
      <c r="J353" s="5"/>
      <c r="K353" s="5"/>
      <c r="L353" s="5"/>
      <c r="M353" s="5"/>
    </row>
    <row r="354" spans="1:13" ht="14.5">
      <c r="A354" s="146"/>
      <c r="B354" s="5"/>
      <c r="C354" s="5"/>
      <c r="D354" s="5"/>
      <c r="E354" s="5"/>
      <c r="F354" s="5"/>
      <c r="G354" s="5"/>
      <c r="H354" s="5"/>
      <c r="I354" s="5"/>
      <c r="J354" s="5"/>
      <c r="K354" s="5"/>
      <c r="L354" s="5"/>
      <c r="M354" s="5"/>
    </row>
    <row r="355" spans="1:13" ht="14.5">
      <c r="A355" s="146"/>
      <c r="B355" s="5"/>
      <c r="C355" s="5"/>
      <c r="D355" s="5"/>
      <c r="E355" s="5"/>
      <c r="F355" s="5"/>
      <c r="G355" s="5"/>
      <c r="H355" s="5"/>
      <c r="I355" s="5"/>
      <c r="J355" s="5"/>
      <c r="K355" s="5"/>
      <c r="L355" s="5"/>
      <c r="M355" s="5"/>
    </row>
    <row r="356" spans="1:13" ht="14.5">
      <c r="A356" s="146"/>
      <c r="B356" s="5"/>
      <c r="C356" s="5"/>
      <c r="D356" s="5"/>
      <c r="E356" s="5"/>
      <c r="F356" s="5"/>
      <c r="G356" s="5"/>
      <c r="H356" s="5"/>
      <c r="I356" s="5"/>
      <c r="J356" s="5"/>
      <c r="K356" s="5"/>
      <c r="L356" s="5"/>
      <c r="M356" s="5"/>
    </row>
    <row r="357" spans="1:13" ht="14.5">
      <c r="A357" s="146"/>
      <c r="B357" s="5"/>
      <c r="C357" s="5"/>
      <c r="D357" s="5"/>
      <c r="E357" s="5"/>
      <c r="F357" s="5"/>
      <c r="G357" s="5"/>
      <c r="H357" s="5"/>
      <c r="I357" s="5"/>
      <c r="J357" s="5"/>
      <c r="K357" s="5"/>
      <c r="L357" s="5"/>
      <c r="M357" s="5"/>
    </row>
    <row r="358" spans="1:13" ht="14.5">
      <c r="A358" s="146"/>
      <c r="B358" s="5"/>
      <c r="C358" s="5"/>
      <c r="D358" s="5"/>
      <c r="E358" s="5"/>
      <c r="F358" s="5"/>
      <c r="G358" s="5"/>
      <c r="H358" s="5"/>
      <c r="I358" s="5"/>
      <c r="J358" s="5"/>
      <c r="K358" s="5"/>
      <c r="L358" s="5"/>
      <c r="M358" s="5"/>
    </row>
    <row r="359" spans="1:13" ht="14.5">
      <c r="A359" s="146"/>
      <c r="B359" s="5"/>
      <c r="C359" s="5"/>
      <c r="D359" s="5"/>
      <c r="E359" s="5"/>
      <c r="F359" s="5"/>
      <c r="G359" s="5"/>
      <c r="H359" s="5"/>
      <c r="I359" s="5"/>
      <c r="J359" s="5"/>
      <c r="K359" s="5"/>
      <c r="L359" s="5"/>
      <c r="M359" s="5"/>
    </row>
    <row r="360" spans="1:13" ht="14.5">
      <c r="A360" s="146"/>
      <c r="B360" s="5"/>
      <c r="C360" s="5"/>
      <c r="D360" s="5"/>
      <c r="E360" s="5"/>
      <c r="F360" s="5"/>
      <c r="G360" s="5"/>
      <c r="H360" s="5"/>
      <c r="I360" s="5"/>
      <c r="J360" s="5"/>
      <c r="K360" s="5"/>
      <c r="L360" s="5"/>
      <c r="M360" s="5"/>
    </row>
    <row r="361" spans="1:13" ht="14.5">
      <c r="A361" s="146"/>
      <c r="B361" s="5"/>
      <c r="C361" s="5"/>
      <c r="D361" s="5"/>
      <c r="E361" s="5"/>
      <c r="F361" s="5"/>
      <c r="G361" s="5"/>
      <c r="H361" s="5"/>
      <c r="I361" s="5"/>
      <c r="J361" s="5"/>
      <c r="K361" s="5"/>
      <c r="L361" s="5"/>
      <c r="M361" s="5"/>
    </row>
    <row r="362" spans="1:13" ht="14.5">
      <c r="A362" s="146"/>
      <c r="B362" s="5"/>
      <c r="C362" s="5"/>
      <c r="D362" s="5"/>
      <c r="E362" s="5"/>
      <c r="F362" s="5"/>
      <c r="G362" s="5"/>
      <c r="H362" s="5"/>
      <c r="I362" s="5"/>
      <c r="J362" s="5"/>
      <c r="K362" s="5"/>
      <c r="L362" s="5"/>
      <c r="M362" s="5"/>
    </row>
    <row r="363" spans="1:13" ht="14.5">
      <c r="A363" s="146"/>
      <c r="B363" s="5"/>
      <c r="C363" s="5"/>
      <c r="D363" s="5"/>
      <c r="E363" s="5"/>
      <c r="F363" s="5"/>
      <c r="G363" s="5"/>
      <c r="H363" s="5"/>
      <c r="I363" s="5"/>
      <c r="J363" s="5"/>
      <c r="K363" s="5"/>
      <c r="L363" s="5"/>
      <c r="M363" s="5"/>
    </row>
    <row r="364" spans="1:13" ht="14.5">
      <c r="A364" s="146"/>
      <c r="B364" s="5"/>
      <c r="C364" s="5"/>
      <c r="D364" s="5"/>
      <c r="E364" s="5"/>
      <c r="F364" s="5"/>
      <c r="G364" s="5"/>
      <c r="H364" s="5"/>
      <c r="I364" s="5"/>
      <c r="J364" s="5"/>
      <c r="K364" s="5"/>
      <c r="L364" s="5"/>
      <c r="M364" s="5"/>
    </row>
    <row r="365" spans="1:13" ht="14.5">
      <c r="A365" s="146"/>
      <c r="B365" s="5"/>
      <c r="C365" s="5"/>
      <c r="D365" s="5"/>
      <c r="E365" s="5"/>
      <c r="F365" s="5"/>
      <c r="G365" s="5"/>
      <c r="H365" s="5"/>
      <c r="I365" s="5"/>
      <c r="J365" s="5"/>
      <c r="K365" s="5"/>
      <c r="L365" s="5"/>
      <c r="M365" s="5"/>
    </row>
    <row r="366" spans="1:13" ht="14.5">
      <c r="A366" s="146"/>
      <c r="B366" s="5"/>
      <c r="C366" s="5"/>
      <c r="D366" s="5"/>
      <c r="E366" s="5"/>
      <c r="F366" s="5"/>
      <c r="G366" s="5"/>
      <c r="H366" s="5"/>
      <c r="I366" s="5"/>
      <c r="J366" s="5"/>
      <c r="K366" s="5"/>
      <c r="L366" s="5"/>
      <c r="M366" s="5"/>
    </row>
    <row r="367" spans="1:13" ht="14.5">
      <c r="A367" s="146"/>
      <c r="B367" s="5"/>
      <c r="C367" s="5"/>
      <c r="D367" s="5"/>
      <c r="E367" s="5"/>
      <c r="F367" s="5"/>
      <c r="G367" s="5"/>
      <c r="H367" s="5"/>
      <c r="I367" s="5"/>
      <c r="J367" s="5"/>
      <c r="K367" s="5"/>
      <c r="L367" s="5"/>
      <c r="M367" s="5"/>
    </row>
    <row r="368" spans="1:13" ht="14.5">
      <c r="A368" s="146"/>
      <c r="B368" s="5"/>
      <c r="C368" s="5"/>
      <c r="D368" s="5"/>
      <c r="E368" s="5"/>
      <c r="F368" s="5"/>
      <c r="G368" s="5"/>
      <c r="H368" s="5"/>
      <c r="I368" s="5"/>
      <c r="J368" s="5"/>
      <c r="K368" s="5"/>
      <c r="L368" s="5"/>
      <c r="M368" s="5"/>
    </row>
    <row r="369" spans="1:13" ht="14.5">
      <c r="A369" s="146"/>
      <c r="B369" s="5"/>
      <c r="C369" s="5"/>
      <c r="D369" s="5"/>
      <c r="E369" s="5"/>
      <c r="F369" s="5"/>
      <c r="G369" s="5"/>
      <c r="H369" s="5"/>
      <c r="I369" s="5"/>
      <c r="J369" s="5"/>
      <c r="K369" s="5"/>
      <c r="L369" s="5"/>
      <c r="M369" s="5"/>
    </row>
    <row r="370" spans="1:13" ht="14.5">
      <c r="A370" s="146"/>
      <c r="B370" s="5"/>
      <c r="C370" s="5"/>
      <c r="D370" s="5"/>
      <c r="E370" s="5"/>
      <c r="F370" s="5"/>
      <c r="G370" s="5"/>
      <c r="H370" s="5"/>
      <c r="I370" s="5"/>
      <c r="J370" s="5"/>
      <c r="K370" s="5"/>
      <c r="L370" s="5"/>
      <c r="M370" s="5"/>
    </row>
    <row r="371" spans="1:13" ht="14.5">
      <c r="A371" s="146"/>
      <c r="B371" s="5"/>
      <c r="C371" s="5"/>
      <c r="D371" s="5"/>
      <c r="E371" s="5"/>
      <c r="F371" s="5"/>
      <c r="G371" s="5"/>
      <c r="H371" s="5"/>
      <c r="I371" s="5"/>
      <c r="J371" s="5"/>
      <c r="K371" s="5"/>
      <c r="L371" s="5"/>
      <c r="M371" s="5"/>
    </row>
    <row r="372" spans="1:13" ht="14.5">
      <c r="A372" s="146"/>
      <c r="B372" s="5"/>
      <c r="C372" s="5"/>
      <c r="D372" s="5"/>
      <c r="E372" s="5"/>
      <c r="F372" s="5"/>
      <c r="G372" s="5"/>
      <c r="H372" s="5"/>
      <c r="I372" s="5"/>
      <c r="J372" s="5"/>
      <c r="K372" s="5"/>
      <c r="L372" s="5"/>
      <c r="M372" s="5"/>
    </row>
    <row r="373" spans="1:13" ht="14.5">
      <c r="A373" s="146"/>
      <c r="B373" s="5"/>
      <c r="C373" s="5"/>
      <c r="D373" s="5"/>
      <c r="E373" s="5"/>
      <c r="F373" s="5"/>
      <c r="G373" s="5"/>
      <c r="H373" s="5"/>
      <c r="I373" s="5"/>
      <c r="J373" s="5"/>
      <c r="K373" s="5"/>
      <c r="L373" s="5"/>
      <c r="M373" s="5"/>
    </row>
    <row r="374" spans="1:13" ht="14.5">
      <c r="A374" s="146"/>
      <c r="B374" s="5"/>
      <c r="C374" s="5"/>
      <c r="D374" s="5"/>
      <c r="E374" s="5"/>
      <c r="F374" s="5"/>
      <c r="G374" s="5"/>
      <c r="H374" s="5"/>
      <c r="I374" s="5"/>
      <c r="J374" s="5"/>
      <c r="K374" s="5"/>
      <c r="L374" s="5"/>
      <c r="M374" s="5"/>
    </row>
    <row r="375" spans="1:13" ht="14.5">
      <c r="A375" s="146"/>
      <c r="B375" s="5"/>
      <c r="C375" s="5"/>
      <c r="D375" s="5"/>
      <c r="E375" s="5"/>
      <c r="F375" s="5"/>
      <c r="G375" s="5"/>
      <c r="H375" s="5"/>
      <c r="I375" s="5"/>
      <c r="J375" s="5"/>
      <c r="K375" s="5"/>
      <c r="L375" s="5"/>
      <c r="M375" s="5"/>
    </row>
    <row r="376" spans="1:13" ht="14.5">
      <c r="A376" s="146"/>
      <c r="B376" s="5"/>
      <c r="C376" s="5"/>
      <c r="D376" s="5"/>
      <c r="E376" s="5"/>
      <c r="F376" s="5"/>
      <c r="G376" s="5"/>
      <c r="H376" s="5"/>
      <c r="I376" s="5"/>
      <c r="J376" s="5"/>
      <c r="K376" s="5"/>
      <c r="L376" s="5"/>
      <c r="M376" s="5"/>
    </row>
    <row r="377" spans="1:13" ht="14.5">
      <c r="A377" s="146"/>
      <c r="B377" s="5"/>
      <c r="C377" s="5"/>
      <c r="D377" s="5"/>
      <c r="E377" s="5"/>
      <c r="F377" s="5"/>
      <c r="G377" s="5"/>
      <c r="H377" s="5"/>
      <c r="I377" s="5"/>
      <c r="J377" s="5"/>
      <c r="K377" s="5"/>
      <c r="L377" s="5"/>
      <c r="M377" s="5"/>
    </row>
    <row r="378" spans="1:13" ht="14.5">
      <c r="A378" s="146"/>
      <c r="B378" s="5"/>
      <c r="C378" s="5"/>
      <c r="D378" s="5"/>
      <c r="E378" s="5"/>
      <c r="F378" s="5"/>
      <c r="G378" s="5"/>
      <c r="H378" s="5"/>
      <c r="I378" s="5"/>
      <c r="J378" s="5"/>
      <c r="K378" s="5"/>
      <c r="L378" s="5"/>
      <c r="M378" s="5"/>
    </row>
    <row r="379" spans="1:13" ht="14.5">
      <c r="A379" s="146"/>
      <c r="B379" s="5"/>
      <c r="C379" s="5"/>
      <c r="D379" s="5"/>
      <c r="E379" s="5"/>
      <c r="F379" s="5"/>
      <c r="G379" s="5"/>
      <c r="H379" s="5"/>
      <c r="I379" s="5"/>
      <c r="J379" s="5"/>
      <c r="K379" s="5"/>
      <c r="L379" s="5"/>
      <c r="M379" s="5"/>
    </row>
    <row r="380" spans="1:13" ht="14.5">
      <c r="A380" s="146"/>
      <c r="B380" s="5"/>
      <c r="C380" s="5"/>
      <c r="D380" s="5"/>
      <c r="E380" s="5"/>
      <c r="F380" s="5"/>
      <c r="G380" s="5"/>
      <c r="H380" s="5"/>
      <c r="I380" s="5"/>
      <c r="J380" s="5"/>
      <c r="K380" s="5"/>
      <c r="L380" s="5"/>
      <c r="M380" s="5"/>
    </row>
    <row r="381" spans="1:13" ht="14.5">
      <c r="A381" s="146"/>
      <c r="B381" s="5"/>
      <c r="C381" s="5"/>
      <c r="D381" s="5"/>
      <c r="E381" s="5"/>
      <c r="F381" s="5"/>
      <c r="G381" s="5"/>
      <c r="H381" s="5"/>
      <c r="I381" s="5"/>
      <c r="J381" s="5"/>
      <c r="K381" s="5"/>
      <c r="L381" s="5"/>
      <c r="M381" s="5"/>
    </row>
    <row r="382" spans="1:13" ht="14.5">
      <c r="A382" s="146"/>
      <c r="B382" s="5"/>
      <c r="C382" s="5"/>
      <c r="D382" s="5"/>
      <c r="E382" s="5"/>
      <c r="F382" s="5"/>
      <c r="G382" s="5"/>
      <c r="H382" s="5"/>
      <c r="I382" s="5"/>
      <c r="J382" s="5"/>
      <c r="K382" s="5"/>
      <c r="L382" s="5"/>
      <c r="M382" s="5"/>
    </row>
    <row r="383" spans="1:13" ht="14.5">
      <c r="A383" s="146"/>
      <c r="B383" s="5"/>
      <c r="C383" s="5"/>
      <c r="D383" s="5"/>
      <c r="E383" s="5"/>
      <c r="F383" s="5"/>
      <c r="G383" s="5"/>
      <c r="H383" s="5"/>
      <c r="I383" s="5"/>
      <c r="J383" s="5"/>
      <c r="K383" s="5"/>
      <c r="L383" s="5"/>
      <c r="M383" s="5"/>
    </row>
    <row r="384" spans="1:13" ht="14.5">
      <c r="A384" s="146"/>
      <c r="B384" s="5"/>
      <c r="C384" s="5"/>
      <c r="D384" s="5"/>
      <c r="E384" s="5"/>
      <c r="F384" s="5"/>
      <c r="G384" s="5"/>
      <c r="H384" s="5"/>
      <c r="I384" s="5"/>
      <c r="J384" s="5"/>
      <c r="K384" s="5"/>
      <c r="L384" s="5"/>
      <c r="M384" s="5"/>
    </row>
    <row r="385" spans="1:13" ht="14.5">
      <c r="A385" s="146"/>
      <c r="B385" s="5"/>
      <c r="C385" s="5"/>
      <c r="D385" s="5"/>
      <c r="E385" s="5"/>
      <c r="F385" s="5"/>
      <c r="G385" s="5"/>
      <c r="H385" s="5"/>
      <c r="I385" s="5"/>
      <c r="J385" s="5"/>
      <c r="K385" s="5"/>
      <c r="L385" s="5"/>
      <c r="M385" s="5"/>
    </row>
    <row r="386" spans="1:13" ht="14.5">
      <c r="A386" s="146"/>
      <c r="B386" s="5"/>
      <c r="C386" s="5"/>
      <c r="D386" s="5"/>
      <c r="E386" s="5"/>
      <c r="F386" s="5"/>
      <c r="G386" s="5"/>
      <c r="H386" s="5"/>
      <c r="I386" s="5"/>
      <c r="J386" s="5"/>
      <c r="K386" s="5"/>
      <c r="L386" s="5"/>
      <c r="M386" s="5"/>
    </row>
    <row r="387" spans="1:13" ht="14.5">
      <c r="A387" s="146"/>
      <c r="B387" s="5"/>
      <c r="C387" s="5"/>
      <c r="D387" s="5"/>
      <c r="E387" s="5"/>
      <c r="F387" s="5"/>
      <c r="G387" s="5"/>
      <c r="H387" s="5"/>
      <c r="I387" s="5"/>
      <c r="J387" s="5"/>
      <c r="K387" s="5"/>
      <c r="L387" s="5"/>
      <c r="M387" s="5"/>
    </row>
    <row r="388" spans="1:13" ht="14.5">
      <c r="A388" s="146"/>
      <c r="B388" s="5"/>
      <c r="C388" s="5"/>
      <c r="D388" s="5"/>
      <c r="E388" s="5"/>
      <c r="F388" s="5"/>
      <c r="G388" s="5"/>
      <c r="H388" s="5"/>
      <c r="I388" s="5"/>
      <c r="J388" s="5"/>
      <c r="K388" s="5"/>
      <c r="L388" s="5"/>
      <c r="M388" s="5"/>
    </row>
    <row r="389" spans="1:13" ht="14.5">
      <c r="A389" s="146"/>
      <c r="B389" s="5"/>
      <c r="C389" s="5"/>
      <c r="D389" s="5"/>
      <c r="E389" s="5"/>
      <c r="F389" s="5"/>
      <c r="G389" s="5"/>
      <c r="H389" s="5"/>
      <c r="I389" s="5"/>
      <c r="J389" s="5"/>
      <c r="K389" s="5"/>
      <c r="L389" s="5"/>
      <c r="M389" s="5"/>
    </row>
    <row r="390" spans="1:13" ht="14.5">
      <c r="A390" s="146"/>
      <c r="B390" s="5"/>
      <c r="C390" s="5"/>
      <c r="D390" s="5"/>
      <c r="E390" s="5"/>
      <c r="F390" s="5"/>
      <c r="G390" s="5"/>
      <c r="H390" s="5"/>
      <c r="I390" s="5"/>
      <c r="J390" s="5"/>
      <c r="K390" s="5"/>
      <c r="L390" s="5"/>
      <c r="M390" s="5"/>
    </row>
    <row r="391" spans="1:13" ht="14.5">
      <c r="A391" s="146"/>
      <c r="B391" s="5"/>
      <c r="C391" s="5"/>
      <c r="D391" s="5"/>
      <c r="E391" s="5"/>
      <c r="F391" s="5"/>
      <c r="G391" s="5"/>
      <c r="H391" s="5"/>
      <c r="I391" s="5"/>
      <c r="J391" s="5"/>
      <c r="K391" s="5"/>
      <c r="L391" s="5"/>
      <c r="M391" s="5"/>
    </row>
    <row r="392" spans="1:13" ht="14.5">
      <c r="A392" s="146"/>
      <c r="B392" s="5"/>
      <c r="C392" s="5"/>
      <c r="D392" s="5"/>
      <c r="E392" s="5"/>
      <c r="F392" s="5"/>
      <c r="G392" s="5"/>
      <c r="H392" s="5"/>
      <c r="I392" s="5"/>
      <c r="J392" s="5"/>
      <c r="K392" s="5"/>
      <c r="L392" s="5"/>
      <c r="M392" s="5"/>
    </row>
    <row r="393" spans="1:13" ht="14.5">
      <c r="A393" s="146"/>
      <c r="B393" s="5"/>
      <c r="C393" s="5"/>
      <c r="D393" s="5"/>
      <c r="E393" s="5"/>
      <c r="F393" s="5"/>
      <c r="G393" s="5"/>
      <c r="H393" s="5"/>
      <c r="I393" s="5"/>
      <c r="J393" s="5"/>
      <c r="K393" s="5"/>
      <c r="L393" s="5"/>
      <c r="M393" s="5"/>
    </row>
    <row r="394" spans="1:13" ht="14.5">
      <c r="A394" s="146"/>
      <c r="B394" s="5"/>
      <c r="C394" s="5"/>
      <c r="D394" s="5"/>
      <c r="E394" s="5"/>
      <c r="F394" s="5"/>
      <c r="G394" s="5"/>
      <c r="H394" s="5"/>
      <c r="I394" s="5"/>
      <c r="J394" s="5"/>
      <c r="K394" s="5"/>
      <c r="L394" s="5"/>
      <c r="M394" s="5"/>
    </row>
    <row r="395" spans="1:13" ht="14.5">
      <c r="A395" s="146"/>
      <c r="B395" s="5"/>
      <c r="C395" s="5"/>
      <c r="D395" s="5"/>
      <c r="E395" s="5"/>
      <c r="F395" s="5"/>
      <c r="G395" s="5"/>
      <c r="H395" s="5"/>
      <c r="I395" s="5"/>
      <c r="J395" s="5"/>
      <c r="K395" s="5"/>
      <c r="L395" s="5"/>
      <c r="M395" s="5"/>
    </row>
    <row r="396" spans="1:13" ht="14.5">
      <c r="A396" s="146"/>
      <c r="B396" s="5"/>
      <c r="C396" s="5"/>
      <c r="D396" s="5"/>
      <c r="E396" s="5"/>
      <c r="F396" s="5"/>
      <c r="G396" s="5"/>
      <c r="H396" s="5"/>
      <c r="I396" s="5"/>
      <c r="J396" s="5"/>
      <c r="K396" s="5"/>
      <c r="L396" s="5"/>
      <c r="M396" s="5"/>
    </row>
    <row r="397" spans="1:13" ht="14.5">
      <c r="A397" s="146"/>
      <c r="B397" s="5"/>
      <c r="C397" s="5"/>
      <c r="D397" s="5"/>
      <c r="E397" s="5"/>
      <c r="F397" s="5"/>
      <c r="G397" s="5"/>
      <c r="H397" s="5"/>
      <c r="I397" s="5"/>
      <c r="J397" s="5"/>
      <c r="K397" s="5"/>
      <c r="L397" s="5"/>
      <c r="M397" s="5"/>
    </row>
    <row r="398" spans="1:13" ht="14.5">
      <c r="A398" s="146"/>
      <c r="B398" s="5"/>
      <c r="C398" s="5"/>
      <c r="D398" s="5"/>
      <c r="E398" s="5"/>
      <c r="F398" s="5"/>
      <c r="G398" s="5"/>
      <c r="H398" s="5"/>
      <c r="I398" s="5"/>
      <c r="J398" s="5"/>
      <c r="K398" s="5"/>
      <c r="L398" s="5"/>
      <c r="M398" s="5"/>
    </row>
    <row r="399" spans="1:13" ht="14.5">
      <c r="A399" s="146"/>
      <c r="B399" s="5"/>
      <c r="C399" s="5"/>
      <c r="D399" s="5"/>
      <c r="E399" s="5"/>
      <c r="F399" s="5"/>
      <c r="G399" s="5"/>
      <c r="H399" s="5"/>
      <c r="I399" s="5"/>
      <c r="J399" s="5"/>
      <c r="K399" s="5"/>
      <c r="L399" s="5"/>
      <c r="M399" s="5"/>
    </row>
    <row r="400" spans="1:13" ht="14.5">
      <c r="A400" s="146"/>
      <c r="B400" s="5"/>
      <c r="C400" s="5"/>
      <c r="D400" s="5"/>
      <c r="E400" s="5"/>
      <c r="F400" s="5"/>
      <c r="G400" s="5"/>
      <c r="H400" s="5"/>
      <c r="I400" s="5"/>
      <c r="J400" s="5"/>
      <c r="K400" s="5"/>
      <c r="L400" s="5"/>
      <c r="M400" s="5"/>
    </row>
    <row r="401" spans="1:13" ht="14.5">
      <c r="A401" s="146"/>
      <c r="B401" s="5"/>
      <c r="C401" s="5"/>
      <c r="D401" s="5"/>
      <c r="E401" s="5"/>
      <c r="F401" s="5"/>
      <c r="G401" s="5"/>
      <c r="H401" s="5"/>
      <c r="I401" s="5"/>
      <c r="J401" s="5"/>
      <c r="K401" s="5"/>
      <c r="L401" s="5"/>
      <c r="M401" s="5"/>
    </row>
    <row r="402" spans="1:13" ht="14.5">
      <c r="A402" s="146"/>
      <c r="B402" s="5"/>
      <c r="C402" s="5"/>
      <c r="D402" s="5"/>
      <c r="E402" s="5"/>
      <c r="F402" s="5"/>
      <c r="G402" s="5"/>
      <c r="H402" s="5"/>
      <c r="I402" s="5"/>
      <c r="J402" s="5"/>
      <c r="K402" s="5"/>
      <c r="L402" s="5"/>
      <c r="M402" s="5"/>
    </row>
    <row r="403" spans="1:13" ht="14.5">
      <c r="A403" s="146"/>
      <c r="B403" s="5"/>
      <c r="C403" s="5"/>
      <c r="D403" s="5"/>
      <c r="E403" s="5"/>
      <c r="F403" s="5"/>
      <c r="G403" s="5"/>
      <c r="H403" s="5"/>
      <c r="I403" s="5"/>
      <c r="J403" s="5"/>
      <c r="K403" s="5"/>
      <c r="L403" s="5"/>
      <c r="M403" s="5"/>
    </row>
    <row r="404" spans="1:13" ht="14.5">
      <c r="A404" s="146"/>
      <c r="B404" s="5"/>
      <c r="C404" s="5"/>
      <c r="D404" s="5"/>
      <c r="E404" s="5"/>
      <c r="F404" s="5"/>
      <c r="G404" s="5"/>
      <c r="H404" s="5"/>
      <c r="I404" s="5"/>
      <c r="J404" s="5"/>
      <c r="K404" s="5"/>
      <c r="L404" s="5"/>
      <c r="M404" s="5"/>
    </row>
    <row r="405" spans="1:13" ht="14.5">
      <c r="A405" s="146"/>
      <c r="B405" s="5"/>
      <c r="C405" s="5"/>
      <c r="D405" s="5"/>
      <c r="E405" s="5"/>
      <c r="F405" s="5"/>
      <c r="G405" s="5"/>
      <c r="H405" s="5"/>
      <c r="I405" s="5"/>
      <c r="J405" s="5"/>
      <c r="K405" s="5"/>
      <c r="L405" s="5"/>
      <c r="M405" s="5"/>
    </row>
    <row r="406" spans="1:13" ht="14.5">
      <c r="A406" s="146"/>
      <c r="B406" s="5"/>
      <c r="C406" s="5"/>
      <c r="D406" s="5"/>
      <c r="E406" s="5"/>
      <c r="F406" s="5"/>
      <c r="G406" s="5"/>
      <c r="H406" s="5"/>
      <c r="I406" s="5"/>
      <c r="J406" s="5"/>
      <c r="K406" s="5"/>
      <c r="L406" s="5"/>
      <c r="M406" s="5"/>
    </row>
    <row r="407" spans="1:13" ht="14.5">
      <c r="A407" s="146"/>
      <c r="B407" s="5"/>
      <c r="C407" s="5"/>
      <c r="D407" s="5"/>
      <c r="E407" s="5"/>
      <c r="F407" s="5"/>
      <c r="G407" s="5"/>
      <c r="H407" s="5"/>
      <c r="I407" s="5"/>
      <c r="J407" s="5"/>
      <c r="K407" s="5"/>
      <c r="L407" s="5"/>
      <c r="M407" s="5"/>
    </row>
    <row r="408" spans="1:13" ht="14.5">
      <c r="A408" s="146"/>
      <c r="B408" s="5"/>
      <c r="C408" s="5"/>
      <c r="D408" s="5"/>
      <c r="E408" s="5"/>
      <c r="F408" s="5"/>
      <c r="G408" s="5"/>
      <c r="H408" s="5"/>
      <c r="I408" s="5"/>
      <c r="J408" s="5"/>
      <c r="K408" s="5"/>
      <c r="L408" s="5"/>
      <c r="M408" s="5"/>
    </row>
    <row r="409" spans="1:13" ht="14.5">
      <c r="A409" s="146"/>
      <c r="B409" s="5"/>
      <c r="C409" s="5"/>
      <c r="D409" s="5"/>
      <c r="E409" s="5"/>
      <c r="F409" s="5"/>
      <c r="G409" s="5"/>
      <c r="H409" s="5"/>
      <c r="I409" s="5"/>
      <c r="J409" s="5"/>
      <c r="K409" s="5"/>
      <c r="L409" s="5"/>
      <c r="M409" s="5"/>
    </row>
    <row r="410" spans="1:13" ht="14.5">
      <c r="A410" s="146"/>
      <c r="B410" s="5"/>
      <c r="C410" s="5"/>
      <c r="D410" s="5"/>
      <c r="E410" s="5"/>
      <c r="F410" s="5"/>
      <c r="G410" s="5"/>
      <c r="H410" s="5"/>
      <c r="I410" s="5"/>
      <c r="J410" s="5"/>
      <c r="K410" s="5"/>
      <c r="L410" s="5"/>
      <c r="M410" s="5"/>
    </row>
    <row r="411" spans="1:13" ht="14.5">
      <c r="A411" s="146"/>
      <c r="B411" s="5"/>
      <c r="C411" s="5"/>
      <c r="D411" s="5"/>
      <c r="E411" s="5"/>
      <c r="F411" s="5"/>
      <c r="G411" s="5"/>
      <c r="H411" s="5"/>
      <c r="I411" s="5"/>
      <c r="J411" s="5"/>
      <c r="K411" s="5"/>
      <c r="L411" s="5"/>
      <c r="M411" s="5"/>
    </row>
    <row r="412" spans="1:13" ht="14.5">
      <c r="A412" s="146"/>
      <c r="B412" s="5"/>
      <c r="C412" s="5"/>
      <c r="D412" s="5"/>
      <c r="E412" s="5"/>
      <c r="F412" s="5"/>
      <c r="G412" s="5"/>
      <c r="H412" s="5"/>
      <c r="I412" s="5"/>
      <c r="J412" s="5"/>
      <c r="K412" s="5"/>
      <c r="L412" s="5"/>
      <c r="M412" s="5"/>
    </row>
    <row r="413" spans="1:13" ht="14.5">
      <c r="A413" s="146"/>
      <c r="B413" s="5"/>
      <c r="C413" s="5"/>
      <c r="D413" s="5"/>
      <c r="E413" s="5"/>
      <c r="F413" s="5"/>
      <c r="G413" s="5"/>
      <c r="H413" s="5"/>
      <c r="I413" s="5"/>
      <c r="J413" s="5"/>
      <c r="K413" s="5"/>
      <c r="L413" s="5"/>
      <c r="M413" s="5"/>
    </row>
    <row r="414" spans="1:13" ht="14.5">
      <c r="A414" s="146"/>
      <c r="B414" s="5"/>
      <c r="C414" s="5"/>
      <c r="D414" s="5"/>
      <c r="E414" s="5"/>
      <c r="F414" s="5"/>
      <c r="G414" s="5"/>
      <c r="H414" s="5"/>
      <c r="I414" s="5"/>
      <c r="J414" s="5"/>
      <c r="K414" s="5"/>
      <c r="L414" s="5"/>
      <c r="M414" s="5"/>
    </row>
    <row r="415" spans="1:13" ht="14.5">
      <c r="A415" s="146"/>
      <c r="B415" s="5"/>
      <c r="C415" s="5"/>
      <c r="D415" s="5"/>
      <c r="E415" s="5"/>
      <c r="F415" s="5"/>
      <c r="G415" s="5"/>
      <c r="H415" s="5"/>
      <c r="I415" s="5"/>
      <c r="J415" s="5"/>
      <c r="K415" s="5"/>
      <c r="L415" s="5"/>
      <c r="M415" s="5"/>
    </row>
    <row r="416" spans="1:13" ht="14.5">
      <c r="A416" s="146"/>
      <c r="B416" s="5"/>
      <c r="C416" s="5"/>
      <c r="D416" s="5"/>
      <c r="E416" s="5"/>
      <c r="F416" s="5"/>
      <c r="G416" s="5"/>
      <c r="H416" s="5"/>
      <c r="I416" s="5"/>
      <c r="J416" s="5"/>
      <c r="K416" s="5"/>
      <c r="L416" s="5"/>
      <c r="M416" s="5"/>
    </row>
    <row r="417" spans="1:13" ht="14.5">
      <c r="A417" s="146"/>
      <c r="B417" s="5"/>
      <c r="C417" s="5"/>
      <c r="D417" s="5"/>
      <c r="E417" s="5"/>
      <c r="F417" s="5"/>
      <c r="G417" s="5"/>
      <c r="H417" s="5"/>
      <c r="I417" s="5"/>
      <c r="J417" s="5"/>
      <c r="K417" s="5"/>
      <c r="L417" s="5"/>
      <c r="M417" s="5"/>
    </row>
    <row r="418" spans="1:13" ht="14.5">
      <c r="A418" s="146"/>
      <c r="B418" s="5"/>
      <c r="C418" s="5"/>
      <c r="D418" s="5"/>
      <c r="E418" s="5"/>
      <c r="F418" s="5"/>
      <c r="G418" s="5"/>
      <c r="H418" s="5"/>
      <c r="I418" s="5"/>
      <c r="J418" s="5"/>
      <c r="K418" s="5"/>
      <c r="L418" s="5"/>
      <c r="M418" s="5"/>
    </row>
    <row r="419" spans="1:13" ht="14.5">
      <c r="A419" s="146"/>
      <c r="B419" s="5"/>
      <c r="C419" s="5"/>
      <c r="D419" s="5"/>
      <c r="E419" s="5"/>
      <c r="F419" s="5"/>
      <c r="G419" s="5"/>
      <c r="H419" s="5"/>
      <c r="I419" s="5"/>
      <c r="J419" s="5"/>
      <c r="K419" s="5"/>
      <c r="L419" s="5"/>
      <c r="M419" s="5"/>
    </row>
    <row r="420" spans="1:13" ht="14.5">
      <c r="A420" s="146"/>
      <c r="B420" s="5"/>
      <c r="C420" s="5"/>
      <c r="D420" s="5"/>
      <c r="E420" s="5"/>
      <c r="F420" s="5"/>
      <c r="G420" s="5"/>
      <c r="H420" s="5"/>
      <c r="I420" s="5"/>
      <c r="J420" s="5"/>
      <c r="K420" s="5"/>
      <c r="L420" s="5"/>
      <c r="M420" s="5"/>
    </row>
    <row r="421" spans="1:13" ht="14.5">
      <c r="A421" s="146"/>
      <c r="B421" s="5"/>
      <c r="C421" s="5"/>
      <c r="D421" s="5"/>
      <c r="E421" s="5"/>
      <c r="F421" s="5"/>
      <c r="G421" s="5"/>
      <c r="H421" s="5"/>
      <c r="I421" s="5"/>
      <c r="J421" s="5"/>
      <c r="K421" s="5"/>
      <c r="L421" s="5"/>
      <c r="M421" s="5"/>
    </row>
    <row r="422" spans="1:13" ht="14.5">
      <c r="A422" s="146"/>
      <c r="B422" s="5"/>
      <c r="C422" s="5"/>
      <c r="D422" s="5"/>
      <c r="E422" s="5"/>
      <c r="F422" s="5"/>
      <c r="G422" s="5"/>
      <c r="H422" s="5"/>
      <c r="I422" s="5"/>
      <c r="J422" s="5"/>
      <c r="K422" s="5"/>
      <c r="L422" s="5"/>
      <c r="M422" s="5"/>
    </row>
    <row r="423" spans="1:13" ht="14.5">
      <c r="A423" s="146"/>
      <c r="B423" s="5"/>
      <c r="C423" s="5"/>
      <c r="D423" s="5"/>
      <c r="E423" s="5"/>
      <c r="F423" s="5"/>
      <c r="G423" s="5"/>
      <c r="H423" s="5"/>
      <c r="I423" s="5"/>
      <c r="J423" s="5"/>
      <c r="K423" s="5"/>
      <c r="L423" s="5"/>
      <c r="M423" s="5"/>
    </row>
    <row r="424" spans="1:13" ht="14.5">
      <c r="A424" s="146"/>
      <c r="B424" s="5"/>
      <c r="C424" s="5"/>
      <c r="D424" s="5"/>
      <c r="E424" s="5"/>
      <c r="F424" s="5"/>
      <c r="G424" s="5"/>
      <c r="H424" s="5"/>
      <c r="I424" s="5"/>
      <c r="J424" s="5"/>
      <c r="K424" s="5"/>
      <c r="L424" s="5"/>
      <c r="M424" s="5"/>
    </row>
    <row r="425" spans="1:13" ht="14.5">
      <c r="A425" s="146"/>
      <c r="B425" s="5"/>
      <c r="C425" s="5"/>
      <c r="D425" s="5"/>
      <c r="E425" s="5"/>
      <c r="F425" s="5"/>
      <c r="G425" s="5"/>
      <c r="H425" s="5"/>
      <c r="I425" s="5"/>
      <c r="J425" s="5"/>
      <c r="K425" s="5"/>
      <c r="L425" s="5"/>
      <c r="M425" s="5"/>
    </row>
    <row r="426" spans="1:13" ht="14.5">
      <c r="A426" s="146"/>
      <c r="B426" s="5"/>
      <c r="C426" s="5"/>
      <c r="D426" s="5"/>
      <c r="E426" s="5"/>
      <c r="F426" s="5"/>
      <c r="G426" s="5"/>
      <c r="H426" s="5"/>
      <c r="I426" s="5"/>
      <c r="J426" s="5"/>
      <c r="K426" s="5"/>
      <c r="L426" s="5"/>
      <c r="M426" s="5"/>
    </row>
    <row r="427" spans="1:13" ht="14.5">
      <c r="A427" s="146"/>
      <c r="B427" s="5"/>
      <c r="C427" s="5"/>
      <c r="D427" s="5"/>
      <c r="E427" s="5"/>
      <c r="F427" s="5"/>
      <c r="G427" s="5"/>
      <c r="H427" s="5"/>
      <c r="I427" s="5"/>
      <c r="J427" s="5"/>
      <c r="K427" s="5"/>
      <c r="L427" s="5"/>
      <c r="M427" s="5"/>
    </row>
    <row r="428" spans="1:13" ht="14.5">
      <c r="A428" s="146"/>
      <c r="B428" s="5"/>
      <c r="C428" s="5"/>
      <c r="D428" s="5"/>
      <c r="E428" s="5"/>
      <c r="F428" s="5"/>
      <c r="G428" s="5"/>
      <c r="H428" s="5"/>
      <c r="I428" s="5"/>
      <c r="J428" s="5"/>
      <c r="K428" s="5"/>
      <c r="L428" s="5"/>
      <c r="M428" s="5"/>
    </row>
    <row r="429" spans="1:13" ht="14.5">
      <c r="A429" s="146"/>
      <c r="B429" s="5"/>
      <c r="C429" s="5"/>
      <c r="D429" s="5"/>
      <c r="E429" s="5"/>
      <c r="F429" s="5"/>
      <c r="G429" s="5"/>
      <c r="H429" s="5"/>
      <c r="I429" s="5"/>
      <c r="J429" s="5"/>
      <c r="K429" s="5"/>
      <c r="L429" s="5"/>
      <c r="M429" s="5"/>
    </row>
    <row r="430" spans="1:13" ht="14.5">
      <c r="A430" s="146"/>
      <c r="B430" s="5"/>
      <c r="C430" s="5"/>
      <c r="D430" s="5"/>
      <c r="E430" s="5"/>
      <c r="F430" s="5"/>
      <c r="G430" s="5"/>
      <c r="H430" s="5"/>
      <c r="I430" s="5"/>
      <c r="J430" s="5"/>
      <c r="K430" s="5"/>
      <c r="L430" s="5"/>
      <c r="M430" s="5"/>
    </row>
    <row r="431" spans="1:13" ht="14.5">
      <c r="A431" s="146"/>
      <c r="B431" s="5"/>
      <c r="C431" s="5"/>
      <c r="D431" s="5"/>
      <c r="E431" s="5"/>
      <c r="F431" s="5"/>
      <c r="G431" s="5"/>
      <c r="H431" s="5"/>
      <c r="I431" s="5"/>
      <c r="J431" s="5"/>
      <c r="K431" s="5"/>
      <c r="L431" s="5"/>
      <c r="M431" s="5"/>
    </row>
    <row r="432" spans="1:13" ht="14.5">
      <c r="A432" s="146"/>
      <c r="B432" s="5"/>
      <c r="C432" s="5"/>
      <c r="D432" s="5"/>
      <c r="E432" s="5"/>
      <c r="F432" s="5"/>
      <c r="G432" s="5"/>
      <c r="H432" s="5"/>
      <c r="I432" s="5"/>
      <c r="J432" s="5"/>
      <c r="K432" s="5"/>
      <c r="L432" s="5"/>
      <c r="M432" s="5"/>
    </row>
    <row r="433" spans="1:13" ht="14.5">
      <c r="A433" s="146"/>
      <c r="B433" s="5"/>
      <c r="C433" s="5"/>
      <c r="D433" s="5"/>
      <c r="E433" s="5"/>
      <c r="F433" s="5"/>
      <c r="G433" s="5"/>
      <c r="H433" s="5"/>
      <c r="I433" s="5"/>
      <c r="J433" s="5"/>
      <c r="K433" s="5"/>
      <c r="L433" s="5"/>
      <c r="M433" s="5"/>
    </row>
    <row r="434" spans="1:13" ht="14.5">
      <c r="A434" s="146"/>
      <c r="B434" s="5"/>
      <c r="C434" s="5"/>
      <c r="D434" s="5"/>
      <c r="E434" s="5"/>
      <c r="F434" s="5"/>
      <c r="G434" s="5"/>
      <c r="H434" s="5"/>
      <c r="I434" s="5"/>
      <c r="J434" s="5"/>
      <c r="K434" s="5"/>
      <c r="L434" s="5"/>
      <c r="M434" s="5"/>
    </row>
    <row r="435" spans="1:13" ht="14.5">
      <c r="A435" s="146"/>
      <c r="B435" s="5"/>
      <c r="C435" s="5"/>
      <c r="D435" s="5"/>
      <c r="E435" s="5"/>
      <c r="F435" s="5"/>
      <c r="G435" s="5"/>
      <c r="H435" s="5"/>
      <c r="I435" s="5"/>
      <c r="J435" s="5"/>
      <c r="K435" s="5"/>
      <c r="L435" s="5"/>
      <c r="M435" s="5"/>
    </row>
    <row r="436" spans="1:13" ht="14.5">
      <c r="A436" s="146"/>
      <c r="B436" s="5"/>
      <c r="C436" s="5"/>
      <c r="D436" s="5"/>
      <c r="E436" s="5"/>
      <c r="F436" s="5"/>
      <c r="G436" s="5"/>
      <c r="H436" s="5"/>
      <c r="I436" s="5"/>
      <c r="J436" s="5"/>
      <c r="K436" s="5"/>
      <c r="L436" s="5"/>
      <c r="M436" s="5"/>
    </row>
    <row r="437" spans="1:13" ht="14.5">
      <c r="A437" s="146"/>
      <c r="B437" s="5"/>
      <c r="C437" s="5"/>
      <c r="D437" s="5"/>
      <c r="E437" s="5"/>
      <c r="F437" s="5"/>
      <c r="G437" s="5"/>
      <c r="H437" s="5"/>
      <c r="I437" s="5"/>
      <c r="J437" s="5"/>
      <c r="K437" s="5"/>
      <c r="L437" s="5"/>
      <c r="M437" s="5"/>
    </row>
    <row r="438" spans="1:13" ht="14.5">
      <c r="A438" s="146"/>
      <c r="B438" s="5"/>
      <c r="C438" s="5"/>
      <c r="D438" s="5"/>
      <c r="E438" s="5"/>
      <c r="F438" s="5"/>
      <c r="G438" s="5"/>
      <c r="H438" s="5"/>
      <c r="I438" s="5"/>
      <c r="J438" s="5"/>
      <c r="K438" s="5"/>
      <c r="L438" s="5"/>
      <c r="M438" s="5"/>
    </row>
    <row r="439" spans="1:13" ht="14.5">
      <c r="A439" s="146"/>
      <c r="B439" s="5"/>
      <c r="C439" s="5"/>
      <c r="D439" s="5"/>
      <c r="E439" s="5"/>
      <c r="F439" s="5"/>
      <c r="G439" s="5"/>
      <c r="H439" s="5"/>
      <c r="I439" s="5"/>
      <c r="J439" s="5"/>
      <c r="K439" s="5"/>
      <c r="L439" s="5"/>
      <c r="M439" s="5"/>
    </row>
    <row r="440" spans="1:13" ht="14.5">
      <c r="A440" s="146"/>
      <c r="B440" s="5"/>
      <c r="C440" s="5"/>
      <c r="D440" s="5"/>
      <c r="E440" s="5"/>
      <c r="F440" s="5"/>
      <c r="G440" s="5"/>
      <c r="H440" s="5"/>
      <c r="I440" s="5"/>
      <c r="J440" s="5"/>
      <c r="K440" s="5"/>
      <c r="L440" s="5"/>
      <c r="M440" s="5"/>
    </row>
    <row r="441" spans="1:13" ht="14.5">
      <c r="A441" s="146"/>
      <c r="B441" s="5"/>
      <c r="C441" s="5"/>
      <c r="D441" s="5"/>
      <c r="E441" s="5"/>
      <c r="F441" s="5"/>
      <c r="G441" s="5"/>
      <c r="H441" s="5"/>
      <c r="I441" s="5"/>
      <c r="J441" s="5"/>
      <c r="K441" s="5"/>
      <c r="L441" s="5"/>
      <c r="M441" s="5"/>
    </row>
    <row r="442" spans="1:13" ht="14.5">
      <c r="A442" s="146"/>
      <c r="B442" s="5"/>
      <c r="C442" s="5"/>
      <c r="D442" s="5"/>
      <c r="E442" s="5"/>
      <c r="F442" s="5"/>
      <c r="G442" s="5"/>
      <c r="H442" s="5"/>
      <c r="I442" s="5"/>
      <c r="J442" s="5"/>
      <c r="K442" s="5"/>
      <c r="L442" s="5"/>
      <c r="M442" s="5"/>
    </row>
    <row r="443" spans="1:13" ht="14.5">
      <c r="A443" s="146"/>
      <c r="B443" s="5"/>
      <c r="C443" s="5"/>
      <c r="D443" s="5"/>
      <c r="E443" s="5"/>
      <c r="F443" s="5"/>
      <c r="G443" s="5"/>
      <c r="H443" s="5"/>
      <c r="I443" s="5"/>
      <c r="J443" s="5"/>
      <c r="K443" s="5"/>
      <c r="L443" s="5"/>
      <c r="M443" s="5"/>
    </row>
    <row r="444" spans="1:13" ht="14.5">
      <c r="A444" s="146"/>
      <c r="B444" s="5"/>
      <c r="C444" s="5"/>
      <c r="D444" s="5"/>
      <c r="E444" s="5"/>
      <c r="F444" s="5"/>
      <c r="G444" s="5"/>
      <c r="H444" s="5"/>
      <c r="I444" s="5"/>
      <c r="J444" s="5"/>
      <c r="K444" s="5"/>
      <c r="L444" s="5"/>
      <c r="M444" s="5"/>
    </row>
    <row r="445" spans="1:13" ht="14.5">
      <c r="A445" s="146"/>
      <c r="B445" s="5"/>
      <c r="C445" s="5"/>
      <c r="D445" s="5"/>
      <c r="E445" s="5"/>
      <c r="F445" s="5"/>
      <c r="G445" s="5"/>
      <c r="H445" s="5"/>
      <c r="I445" s="5"/>
      <c r="J445" s="5"/>
      <c r="K445" s="5"/>
      <c r="L445" s="5"/>
      <c r="M445" s="5"/>
    </row>
    <row r="446" spans="1:13" ht="14.5">
      <c r="A446" s="146"/>
      <c r="B446" s="5"/>
      <c r="C446" s="5"/>
      <c r="D446" s="5"/>
      <c r="E446" s="5"/>
      <c r="F446" s="5"/>
      <c r="G446" s="5"/>
      <c r="H446" s="5"/>
      <c r="I446" s="5"/>
      <c r="J446" s="5"/>
      <c r="K446" s="5"/>
      <c r="L446" s="5"/>
      <c r="M446" s="5"/>
    </row>
    <row r="447" spans="1:13" ht="14.5">
      <c r="A447" s="146"/>
      <c r="B447" s="5"/>
      <c r="C447" s="5"/>
      <c r="D447" s="5"/>
      <c r="E447" s="5"/>
      <c r="F447" s="5"/>
      <c r="G447" s="5"/>
      <c r="H447" s="5"/>
      <c r="I447" s="5"/>
      <c r="J447" s="5"/>
      <c r="K447" s="5"/>
      <c r="L447" s="5"/>
      <c r="M447" s="5"/>
    </row>
    <row r="448" spans="1:13" ht="14.5">
      <c r="A448" s="146"/>
      <c r="B448" s="5"/>
      <c r="C448" s="5"/>
      <c r="D448" s="5"/>
      <c r="E448" s="5"/>
      <c r="F448" s="5"/>
      <c r="G448" s="5"/>
      <c r="H448" s="5"/>
      <c r="I448" s="5"/>
      <c r="J448" s="5"/>
      <c r="K448" s="5"/>
      <c r="L448" s="5"/>
      <c r="M448" s="5"/>
    </row>
    <row r="449" spans="1:13" ht="14.5">
      <c r="A449" s="146"/>
      <c r="B449" s="5"/>
      <c r="C449" s="5"/>
      <c r="D449" s="5"/>
      <c r="E449" s="5"/>
      <c r="F449" s="5"/>
      <c r="G449" s="5"/>
      <c r="H449" s="5"/>
      <c r="I449" s="5"/>
      <c r="J449" s="5"/>
      <c r="K449" s="5"/>
      <c r="L449" s="5"/>
      <c r="M449" s="5"/>
    </row>
    <row r="450" spans="1:13" ht="14.5">
      <c r="A450" s="146"/>
      <c r="B450" s="5"/>
      <c r="C450" s="5"/>
      <c r="D450" s="5"/>
      <c r="E450" s="5"/>
      <c r="F450" s="5"/>
      <c r="G450" s="5"/>
      <c r="H450" s="5"/>
      <c r="I450" s="5"/>
      <c r="J450" s="5"/>
      <c r="K450" s="5"/>
      <c r="L450" s="5"/>
      <c r="M450" s="5"/>
    </row>
    <row r="451" spans="1:13" ht="14.5">
      <c r="A451" s="146"/>
      <c r="B451" s="5"/>
      <c r="C451" s="5"/>
      <c r="D451" s="5"/>
      <c r="E451" s="5"/>
      <c r="F451" s="5"/>
      <c r="G451" s="5"/>
      <c r="H451" s="5"/>
      <c r="I451" s="5"/>
      <c r="J451" s="5"/>
      <c r="K451" s="5"/>
      <c r="L451" s="5"/>
      <c r="M451" s="5"/>
    </row>
    <row r="452" spans="1:13" ht="14.5">
      <c r="A452" s="146"/>
      <c r="B452" s="5"/>
      <c r="C452" s="5"/>
      <c r="D452" s="5"/>
      <c r="E452" s="5"/>
      <c r="F452" s="5"/>
      <c r="G452" s="5"/>
      <c r="H452" s="5"/>
      <c r="I452" s="5"/>
      <c r="J452" s="5"/>
      <c r="K452" s="5"/>
      <c r="L452" s="5"/>
      <c r="M452" s="5"/>
    </row>
    <row r="453" spans="1:13" ht="14.5">
      <c r="A453" s="146"/>
      <c r="B453" s="5"/>
      <c r="C453" s="5"/>
      <c r="D453" s="5"/>
      <c r="E453" s="5"/>
      <c r="F453" s="5"/>
      <c r="G453" s="5"/>
      <c r="H453" s="5"/>
      <c r="I453" s="5"/>
      <c r="J453" s="5"/>
      <c r="K453" s="5"/>
      <c r="L453" s="5"/>
      <c r="M453" s="5"/>
    </row>
    <row r="454" spans="1:13" ht="14.5">
      <c r="A454" s="146"/>
      <c r="B454" s="5"/>
      <c r="C454" s="5"/>
      <c r="D454" s="5"/>
      <c r="E454" s="5"/>
      <c r="F454" s="5"/>
      <c r="G454" s="5"/>
      <c r="H454" s="5"/>
      <c r="I454" s="5"/>
      <c r="J454" s="5"/>
      <c r="K454" s="5"/>
      <c r="L454" s="5"/>
      <c r="M454" s="5"/>
    </row>
    <row r="455" spans="1:13" ht="14.5">
      <c r="A455" s="146"/>
      <c r="B455" s="5"/>
      <c r="C455" s="5"/>
      <c r="D455" s="5"/>
      <c r="E455" s="5"/>
      <c r="F455" s="5"/>
      <c r="G455" s="5"/>
      <c r="H455" s="5"/>
      <c r="I455" s="5"/>
      <c r="J455" s="5"/>
      <c r="K455" s="5"/>
      <c r="L455" s="5"/>
      <c r="M455" s="5"/>
    </row>
    <row r="456" spans="1:13" ht="14.5">
      <c r="A456" s="146"/>
      <c r="B456" s="5"/>
      <c r="C456" s="5"/>
      <c r="D456" s="5"/>
      <c r="E456" s="5"/>
      <c r="F456" s="5"/>
      <c r="G456" s="5"/>
      <c r="H456" s="5"/>
      <c r="I456" s="5"/>
      <c r="J456" s="5"/>
      <c r="K456" s="5"/>
      <c r="L456" s="5"/>
      <c r="M456" s="5"/>
    </row>
    <row r="457" spans="1:13" ht="14.5">
      <c r="A457" s="146"/>
      <c r="B457" s="5"/>
      <c r="C457" s="5"/>
      <c r="D457" s="5"/>
      <c r="E457" s="5"/>
      <c r="F457" s="5"/>
      <c r="G457" s="5"/>
      <c r="H457" s="5"/>
      <c r="I457" s="5"/>
      <c r="J457" s="5"/>
      <c r="K457" s="5"/>
      <c r="L457" s="5"/>
      <c r="M457" s="5"/>
    </row>
    <row r="458" spans="1:13" ht="14.5">
      <c r="A458" s="146"/>
      <c r="B458" s="5"/>
      <c r="C458" s="5"/>
      <c r="D458" s="5"/>
      <c r="E458" s="5"/>
      <c r="F458" s="5"/>
      <c r="G458" s="5"/>
      <c r="H458" s="5"/>
      <c r="I458" s="5"/>
      <c r="J458" s="5"/>
      <c r="K458" s="5"/>
      <c r="L458" s="5"/>
      <c r="M458" s="5"/>
    </row>
    <row r="459" spans="1:13" ht="14.5">
      <c r="A459" s="146"/>
      <c r="B459" s="5"/>
      <c r="C459" s="5"/>
      <c r="D459" s="5"/>
      <c r="E459" s="5"/>
      <c r="F459" s="5"/>
      <c r="G459" s="5"/>
      <c r="H459" s="5"/>
      <c r="I459" s="5"/>
      <c r="J459" s="5"/>
      <c r="K459" s="5"/>
      <c r="L459" s="5"/>
      <c r="M459" s="5"/>
    </row>
    <row r="460" spans="1:13" ht="14.5">
      <c r="A460" s="146"/>
      <c r="B460" s="5"/>
      <c r="C460" s="5"/>
      <c r="D460" s="5"/>
      <c r="E460" s="5"/>
      <c r="F460" s="5"/>
      <c r="G460" s="5"/>
      <c r="H460" s="5"/>
      <c r="I460" s="5"/>
      <c r="J460" s="5"/>
      <c r="K460" s="5"/>
      <c r="L460" s="5"/>
      <c r="M460" s="5"/>
    </row>
    <row r="461" spans="1:13" ht="14.5">
      <c r="A461" s="146"/>
      <c r="B461" s="5"/>
      <c r="C461" s="5"/>
      <c r="D461" s="5"/>
      <c r="E461" s="5"/>
      <c r="F461" s="5"/>
      <c r="G461" s="5"/>
      <c r="H461" s="5"/>
      <c r="I461" s="5"/>
      <c r="J461" s="5"/>
      <c r="K461" s="5"/>
      <c r="L461" s="5"/>
      <c r="M461" s="5"/>
    </row>
    <row r="462" spans="1:13" ht="14.5">
      <c r="A462" s="146"/>
      <c r="B462" s="5"/>
      <c r="C462" s="5"/>
      <c r="D462" s="5"/>
      <c r="E462" s="5"/>
      <c r="F462" s="5"/>
      <c r="G462" s="5"/>
      <c r="H462" s="5"/>
      <c r="I462" s="5"/>
      <c r="J462" s="5"/>
      <c r="K462" s="5"/>
      <c r="L462" s="5"/>
      <c r="M462" s="5"/>
    </row>
    <row r="463" spans="1:13" ht="14.5">
      <c r="A463" s="146"/>
      <c r="B463" s="5"/>
      <c r="C463" s="5"/>
      <c r="D463" s="5"/>
      <c r="E463" s="5"/>
      <c r="F463" s="5"/>
      <c r="G463" s="5"/>
      <c r="H463" s="5"/>
      <c r="I463" s="5"/>
      <c r="J463" s="5"/>
      <c r="K463" s="5"/>
      <c r="L463" s="5"/>
      <c r="M463" s="5"/>
    </row>
    <row r="464" spans="1:13" ht="14.5">
      <c r="A464" s="146"/>
      <c r="B464" s="5"/>
      <c r="C464" s="5"/>
      <c r="D464" s="5"/>
      <c r="E464" s="5"/>
      <c r="F464" s="5"/>
      <c r="G464" s="5"/>
      <c r="H464" s="5"/>
      <c r="I464" s="5"/>
      <c r="J464" s="5"/>
      <c r="K464" s="5"/>
      <c r="L464" s="5"/>
      <c r="M464" s="5"/>
    </row>
    <row r="465" spans="1:13" ht="14.5">
      <c r="A465" s="146"/>
      <c r="B465" s="5"/>
      <c r="C465" s="5"/>
      <c r="D465" s="5"/>
      <c r="E465" s="5"/>
      <c r="F465" s="5"/>
      <c r="G465" s="5"/>
      <c r="H465" s="5"/>
      <c r="I465" s="5"/>
      <c r="J465" s="5"/>
      <c r="K465" s="5"/>
      <c r="L465" s="5"/>
      <c r="M465" s="5"/>
    </row>
    <row r="466" spans="1:13" ht="14.5">
      <c r="A466" s="146"/>
      <c r="B466" s="5"/>
      <c r="C466" s="5"/>
      <c r="D466" s="5"/>
      <c r="E466" s="5"/>
      <c r="F466" s="5"/>
      <c r="G466" s="5"/>
      <c r="H466" s="5"/>
      <c r="I466" s="5"/>
      <c r="J466" s="5"/>
      <c r="K466" s="5"/>
      <c r="L466" s="5"/>
      <c r="M466" s="5"/>
    </row>
    <row r="467" spans="1:13" ht="14.5">
      <c r="A467" s="146"/>
      <c r="B467" s="5"/>
      <c r="C467" s="5"/>
      <c r="D467" s="5"/>
      <c r="E467" s="5"/>
      <c r="F467" s="5"/>
      <c r="G467" s="5"/>
      <c r="H467" s="5"/>
      <c r="I467" s="5"/>
      <c r="J467" s="5"/>
      <c r="K467" s="5"/>
      <c r="L467" s="5"/>
      <c r="M467" s="5"/>
    </row>
    <row r="468" spans="1:13" ht="14.5">
      <c r="A468" s="146"/>
      <c r="B468" s="5"/>
      <c r="C468" s="5"/>
      <c r="D468" s="5"/>
      <c r="E468" s="5"/>
      <c r="F468" s="5"/>
      <c r="G468" s="5"/>
      <c r="H468" s="5"/>
      <c r="I468" s="5"/>
      <c r="J468" s="5"/>
      <c r="K468" s="5"/>
      <c r="L468" s="5"/>
      <c r="M468" s="5"/>
    </row>
    <row r="469" spans="1:13" ht="14.5">
      <c r="A469" s="146"/>
      <c r="B469" s="5"/>
      <c r="C469" s="5"/>
      <c r="D469" s="5"/>
      <c r="E469" s="5"/>
      <c r="F469" s="5"/>
      <c r="G469" s="5"/>
      <c r="H469" s="5"/>
      <c r="I469" s="5"/>
      <c r="J469" s="5"/>
      <c r="K469" s="5"/>
      <c r="L469" s="5"/>
      <c r="M469" s="5"/>
    </row>
    <row r="470" spans="1:13" ht="14.5">
      <c r="A470" s="146"/>
      <c r="B470" s="5"/>
      <c r="C470" s="5"/>
      <c r="D470" s="5"/>
      <c r="E470" s="5"/>
      <c r="F470" s="5"/>
      <c r="G470" s="5"/>
      <c r="H470" s="5"/>
      <c r="I470" s="5"/>
      <c r="J470" s="5"/>
      <c r="K470" s="5"/>
      <c r="L470" s="5"/>
      <c r="M470" s="5"/>
    </row>
    <row r="471" spans="1:13" ht="14.5">
      <c r="A471" s="146"/>
      <c r="B471" s="5"/>
      <c r="C471" s="5"/>
      <c r="D471" s="5"/>
      <c r="E471" s="5"/>
      <c r="F471" s="5"/>
      <c r="G471" s="5"/>
      <c r="H471" s="5"/>
      <c r="I471" s="5"/>
      <c r="J471" s="5"/>
      <c r="K471" s="5"/>
      <c r="L471" s="5"/>
      <c r="M471" s="5"/>
    </row>
    <row r="472" spans="1:13" ht="14.5">
      <c r="A472" s="146"/>
      <c r="B472" s="5"/>
      <c r="C472" s="5"/>
      <c r="D472" s="5"/>
      <c r="E472" s="5"/>
      <c r="F472" s="5"/>
      <c r="G472" s="5"/>
      <c r="H472" s="5"/>
      <c r="I472" s="5"/>
      <c r="J472" s="5"/>
      <c r="K472" s="5"/>
      <c r="L472" s="5"/>
      <c r="M472" s="5"/>
    </row>
    <row r="473" spans="1:13" ht="14.5">
      <c r="A473" s="146"/>
      <c r="B473" s="5"/>
      <c r="C473" s="5"/>
      <c r="D473" s="5"/>
      <c r="E473" s="5"/>
      <c r="F473" s="5"/>
      <c r="G473" s="5"/>
      <c r="H473" s="5"/>
      <c r="I473" s="5"/>
      <c r="J473" s="5"/>
      <c r="K473" s="5"/>
      <c r="L473" s="5"/>
      <c r="M473" s="5"/>
    </row>
    <row r="474" spans="1:13" ht="14.5">
      <c r="A474" s="146"/>
      <c r="B474" s="5"/>
      <c r="C474" s="5"/>
      <c r="D474" s="5"/>
      <c r="E474" s="5"/>
      <c r="F474" s="5"/>
      <c r="G474" s="5"/>
      <c r="H474" s="5"/>
      <c r="I474" s="5"/>
      <c r="J474" s="5"/>
      <c r="K474" s="5"/>
      <c r="L474" s="5"/>
      <c r="M474" s="5"/>
    </row>
    <row r="475" spans="1:13" ht="14.5">
      <c r="A475" s="146"/>
      <c r="B475" s="5"/>
      <c r="C475" s="5"/>
      <c r="D475" s="5"/>
      <c r="E475" s="5"/>
      <c r="F475" s="5"/>
      <c r="G475" s="5"/>
      <c r="H475" s="5"/>
      <c r="I475" s="5"/>
      <c r="J475" s="5"/>
      <c r="K475" s="5"/>
      <c r="L475" s="5"/>
      <c r="M475" s="5"/>
    </row>
    <row r="476" spans="1:13" ht="14.5">
      <c r="A476" s="146"/>
      <c r="B476" s="5"/>
      <c r="C476" s="5"/>
      <c r="D476" s="5"/>
      <c r="E476" s="5"/>
      <c r="F476" s="5"/>
      <c r="G476" s="5"/>
      <c r="H476" s="5"/>
      <c r="I476" s="5"/>
      <c r="J476" s="5"/>
      <c r="K476" s="5"/>
      <c r="L476" s="5"/>
      <c r="M476" s="5"/>
    </row>
    <row r="477" spans="1:13" ht="14.5">
      <c r="A477" s="146"/>
      <c r="B477" s="5"/>
      <c r="C477" s="5"/>
      <c r="D477" s="5"/>
      <c r="E477" s="5"/>
      <c r="F477" s="5"/>
      <c r="G477" s="5"/>
      <c r="H477" s="5"/>
      <c r="I477" s="5"/>
      <c r="J477" s="5"/>
      <c r="K477" s="5"/>
      <c r="L477" s="5"/>
      <c r="M477" s="5"/>
    </row>
    <row r="478" spans="1:13" ht="14.5">
      <c r="A478" s="146"/>
      <c r="B478" s="5"/>
      <c r="C478" s="5"/>
      <c r="D478" s="5"/>
      <c r="E478" s="5"/>
      <c r="F478" s="5"/>
      <c r="G478" s="5"/>
      <c r="H478" s="5"/>
      <c r="I478" s="5"/>
      <c r="J478" s="5"/>
      <c r="K478" s="5"/>
      <c r="L478" s="5"/>
      <c r="M478" s="5"/>
    </row>
    <row r="479" spans="1:13" ht="14.5">
      <c r="A479" s="146"/>
      <c r="B479" s="5"/>
      <c r="C479" s="5"/>
      <c r="D479" s="5"/>
      <c r="E479" s="5"/>
      <c r="F479" s="5"/>
      <c r="G479" s="5"/>
      <c r="H479" s="5"/>
      <c r="I479" s="5"/>
      <c r="J479" s="5"/>
      <c r="K479" s="5"/>
      <c r="L479" s="5"/>
      <c r="M479" s="5"/>
    </row>
    <row r="480" spans="1:13" ht="14.5">
      <c r="A480" s="146"/>
      <c r="B480" s="5"/>
      <c r="C480" s="5"/>
      <c r="D480" s="5"/>
      <c r="E480" s="5"/>
      <c r="F480" s="5"/>
      <c r="G480" s="5"/>
      <c r="H480" s="5"/>
      <c r="I480" s="5"/>
      <c r="J480" s="5"/>
      <c r="K480" s="5"/>
      <c r="L480" s="5"/>
      <c r="M480" s="5"/>
    </row>
    <row r="481" spans="1:13" ht="14.5">
      <c r="A481" s="146"/>
      <c r="B481" s="5"/>
      <c r="C481" s="5"/>
      <c r="D481" s="5"/>
      <c r="E481" s="5"/>
      <c r="F481" s="5"/>
      <c r="G481" s="5"/>
      <c r="H481" s="5"/>
      <c r="I481" s="5"/>
      <c r="J481" s="5"/>
      <c r="K481" s="5"/>
      <c r="L481" s="5"/>
      <c r="M481" s="5"/>
    </row>
    <row r="482" spans="1:13" ht="14.5">
      <c r="A482" s="146"/>
      <c r="B482" s="5"/>
      <c r="C482" s="5"/>
      <c r="D482" s="5"/>
      <c r="E482" s="5"/>
      <c r="F482" s="5"/>
      <c r="G482" s="5"/>
      <c r="H482" s="5"/>
      <c r="I482" s="5"/>
      <c r="J482" s="5"/>
      <c r="K482" s="5"/>
      <c r="L482" s="5"/>
      <c r="M482" s="5"/>
    </row>
    <row r="483" spans="1:13" ht="14.5">
      <c r="A483" s="146"/>
      <c r="B483" s="5"/>
      <c r="C483" s="5"/>
      <c r="D483" s="5"/>
      <c r="E483" s="5"/>
      <c r="F483" s="5"/>
      <c r="G483" s="5"/>
      <c r="H483" s="5"/>
      <c r="I483" s="5"/>
      <c r="J483" s="5"/>
      <c r="K483" s="5"/>
      <c r="L483" s="5"/>
      <c r="M483" s="5"/>
    </row>
    <row r="484" spans="1:13" ht="14.5">
      <c r="A484" s="146"/>
      <c r="B484" s="5"/>
      <c r="C484" s="5"/>
      <c r="D484" s="5"/>
      <c r="E484" s="5"/>
      <c r="F484" s="5"/>
      <c r="G484" s="5"/>
      <c r="H484" s="5"/>
      <c r="I484" s="5"/>
      <c r="J484" s="5"/>
      <c r="K484" s="5"/>
      <c r="L484" s="5"/>
      <c r="M484" s="5"/>
    </row>
    <row r="485" spans="1:13" ht="14.5">
      <c r="A485" s="146"/>
      <c r="B485" s="5"/>
      <c r="C485" s="5"/>
      <c r="D485" s="5"/>
      <c r="E485" s="5"/>
      <c r="F485" s="5"/>
      <c r="G485" s="5"/>
      <c r="H485" s="5"/>
      <c r="I485" s="5"/>
      <c r="J485" s="5"/>
      <c r="K485" s="5"/>
      <c r="L485" s="5"/>
      <c r="M485" s="5"/>
    </row>
    <row r="486" spans="1:13" ht="14.5">
      <c r="A486" s="146"/>
      <c r="B486" s="5"/>
      <c r="C486" s="5"/>
      <c r="D486" s="5"/>
      <c r="E486" s="5"/>
      <c r="F486" s="5"/>
      <c r="G486" s="5"/>
      <c r="H486" s="5"/>
      <c r="I486" s="5"/>
      <c r="J486" s="5"/>
      <c r="K486" s="5"/>
      <c r="L486" s="5"/>
      <c r="M486" s="5"/>
    </row>
    <row r="487" spans="1:13" ht="14.5">
      <c r="A487" s="146"/>
      <c r="B487" s="5"/>
      <c r="C487" s="5"/>
      <c r="D487" s="5"/>
      <c r="E487" s="5"/>
      <c r="F487" s="5"/>
      <c r="G487" s="5"/>
      <c r="H487" s="5"/>
      <c r="I487" s="5"/>
      <c r="J487" s="5"/>
      <c r="K487" s="5"/>
      <c r="L487" s="5"/>
      <c r="M487" s="5"/>
    </row>
    <row r="488" spans="1:13" ht="14.5">
      <c r="A488" s="146"/>
      <c r="B488" s="5"/>
      <c r="C488" s="5"/>
      <c r="D488" s="5"/>
      <c r="E488" s="5"/>
      <c r="F488" s="5"/>
      <c r="G488" s="5"/>
      <c r="H488" s="5"/>
      <c r="I488" s="5"/>
      <c r="J488" s="5"/>
      <c r="K488" s="5"/>
      <c r="L488" s="5"/>
      <c r="M488" s="5"/>
    </row>
    <row r="489" spans="1:13" ht="14.5">
      <c r="A489" s="146"/>
      <c r="B489" s="5"/>
      <c r="C489" s="5"/>
      <c r="D489" s="5"/>
      <c r="E489" s="5"/>
      <c r="F489" s="5"/>
      <c r="G489" s="5"/>
      <c r="H489" s="5"/>
      <c r="I489" s="5"/>
      <c r="J489" s="5"/>
      <c r="K489" s="5"/>
      <c r="L489" s="5"/>
      <c r="M489" s="5"/>
    </row>
    <row r="490" spans="1:13" ht="14.5">
      <c r="A490" s="146"/>
      <c r="B490" s="5"/>
      <c r="C490" s="5"/>
      <c r="D490" s="5"/>
      <c r="E490" s="5"/>
      <c r="F490" s="5"/>
      <c r="G490" s="5"/>
      <c r="H490" s="5"/>
      <c r="I490" s="5"/>
      <c r="J490" s="5"/>
      <c r="K490" s="5"/>
      <c r="L490" s="5"/>
      <c r="M490" s="5"/>
    </row>
    <row r="491" spans="1:13" ht="14.5">
      <c r="A491" s="146"/>
      <c r="B491" s="5"/>
      <c r="C491" s="5"/>
      <c r="D491" s="5"/>
      <c r="E491" s="5"/>
      <c r="F491" s="5"/>
      <c r="G491" s="5"/>
      <c r="H491" s="5"/>
      <c r="I491" s="5"/>
      <c r="J491" s="5"/>
      <c r="K491" s="5"/>
      <c r="L491" s="5"/>
      <c r="M491" s="5"/>
    </row>
    <row r="492" spans="1:13" ht="14.5">
      <c r="A492" s="146"/>
      <c r="B492" s="5"/>
      <c r="C492" s="5"/>
      <c r="D492" s="5"/>
      <c r="E492" s="5"/>
      <c r="F492" s="5"/>
      <c r="G492" s="5"/>
      <c r="H492" s="5"/>
      <c r="I492" s="5"/>
      <c r="J492" s="5"/>
      <c r="K492" s="5"/>
      <c r="L492" s="5"/>
      <c r="M492" s="5"/>
    </row>
    <row r="493" spans="1:13" ht="14.5">
      <c r="A493" s="146"/>
      <c r="B493" s="5"/>
      <c r="C493" s="5"/>
      <c r="D493" s="5"/>
      <c r="E493" s="5"/>
      <c r="F493" s="5"/>
      <c r="G493" s="5"/>
      <c r="H493" s="5"/>
      <c r="I493" s="5"/>
      <c r="J493" s="5"/>
      <c r="K493" s="5"/>
      <c r="L493" s="5"/>
      <c r="M493" s="5"/>
    </row>
    <row r="494" spans="1:13" ht="14.5">
      <c r="A494" s="146"/>
      <c r="B494" s="5"/>
      <c r="C494" s="5"/>
      <c r="D494" s="5"/>
      <c r="E494" s="5"/>
      <c r="F494" s="5"/>
      <c r="G494" s="5"/>
      <c r="H494" s="5"/>
      <c r="I494" s="5"/>
      <c r="J494" s="5"/>
      <c r="K494" s="5"/>
      <c r="L494" s="5"/>
      <c r="M494" s="5"/>
    </row>
    <row r="495" spans="1:13" ht="14.5">
      <c r="A495" s="146"/>
      <c r="B495" s="5"/>
      <c r="C495" s="5"/>
      <c r="D495" s="5"/>
      <c r="E495" s="5"/>
      <c r="F495" s="5"/>
      <c r="G495" s="5"/>
      <c r="H495" s="5"/>
      <c r="I495" s="5"/>
      <c r="J495" s="5"/>
      <c r="K495" s="5"/>
      <c r="L495" s="5"/>
      <c r="M495" s="5"/>
    </row>
    <row r="496" spans="1:13" ht="14.5">
      <c r="A496" s="146"/>
      <c r="B496" s="5"/>
      <c r="C496" s="5"/>
      <c r="D496" s="5"/>
      <c r="E496" s="5"/>
      <c r="F496" s="5"/>
      <c r="G496" s="5"/>
      <c r="H496" s="5"/>
      <c r="I496" s="5"/>
      <c r="J496" s="5"/>
      <c r="K496" s="5"/>
      <c r="L496" s="5"/>
      <c r="M496" s="5"/>
    </row>
    <row r="497" spans="1:13" ht="14.5">
      <c r="A497" s="146"/>
      <c r="B497" s="5"/>
      <c r="C497" s="5"/>
      <c r="D497" s="5"/>
      <c r="E497" s="5"/>
      <c r="F497" s="5"/>
      <c r="G497" s="5"/>
      <c r="H497" s="5"/>
      <c r="I497" s="5"/>
      <c r="J497" s="5"/>
      <c r="K497" s="5"/>
      <c r="L497" s="5"/>
      <c r="M497" s="5"/>
    </row>
    <row r="498" spans="1:13" ht="14.5">
      <c r="A498" s="146"/>
      <c r="B498" s="5"/>
      <c r="C498" s="5"/>
      <c r="D498" s="5"/>
      <c r="E498" s="5"/>
      <c r="F498" s="5"/>
      <c r="G498" s="5"/>
      <c r="H498" s="5"/>
      <c r="I498" s="5"/>
      <c r="J498" s="5"/>
      <c r="K498" s="5"/>
      <c r="L498" s="5"/>
      <c r="M498" s="5"/>
    </row>
    <row r="499" spans="1:13" ht="14.5">
      <c r="A499" s="146"/>
      <c r="B499" s="5"/>
      <c r="C499" s="5"/>
      <c r="D499" s="5"/>
      <c r="E499" s="5"/>
      <c r="F499" s="5"/>
      <c r="G499" s="5"/>
      <c r="H499" s="5"/>
      <c r="I499" s="5"/>
      <c r="J499" s="5"/>
      <c r="K499" s="5"/>
      <c r="L499" s="5"/>
      <c r="M499" s="5"/>
    </row>
    <row r="500" spans="1:13" ht="14.5">
      <c r="A500" s="146"/>
      <c r="B500" s="5"/>
      <c r="C500" s="5"/>
      <c r="D500" s="5"/>
      <c r="E500" s="5"/>
      <c r="F500" s="5"/>
      <c r="G500" s="5"/>
      <c r="H500" s="5"/>
      <c r="I500" s="5"/>
      <c r="J500" s="5"/>
      <c r="K500" s="5"/>
      <c r="L500" s="5"/>
      <c r="M500" s="5"/>
    </row>
    <row r="501" spans="1:13" ht="14.5">
      <c r="A501" s="146"/>
      <c r="B501" s="5"/>
      <c r="C501" s="5"/>
      <c r="D501" s="5"/>
      <c r="E501" s="5"/>
      <c r="F501" s="5"/>
      <c r="G501" s="5"/>
      <c r="H501" s="5"/>
      <c r="I501" s="5"/>
      <c r="J501" s="5"/>
      <c r="K501" s="5"/>
      <c r="L501" s="5"/>
      <c r="M501" s="5"/>
    </row>
    <row r="502" spans="1:13" ht="14.5">
      <c r="A502" s="146"/>
      <c r="B502" s="5"/>
      <c r="C502" s="5"/>
      <c r="D502" s="5"/>
      <c r="E502" s="5"/>
      <c r="F502" s="5"/>
      <c r="G502" s="5"/>
      <c r="H502" s="5"/>
      <c r="I502" s="5"/>
      <c r="J502" s="5"/>
      <c r="K502" s="5"/>
      <c r="L502" s="5"/>
      <c r="M502" s="5"/>
    </row>
    <row r="503" spans="1:13" ht="14.5">
      <c r="A503" s="146"/>
      <c r="B503" s="5"/>
      <c r="C503" s="5"/>
      <c r="D503" s="5"/>
      <c r="E503" s="5"/>
      <c r="F503" s="5"/>
      <c r="G503" s="5"/>
      <c r="H503" s="5"/>
      <c r="I503" s="5"/>
      <c r="J503" s="5"/>
      <c r="K503" s="5"/>
      <c r="L503" s="5"/>
      <c r="M503" s="5"/>
    </row>
    <row r="504" spans="1:13" ht="14.5">
      <c r="A504" s="146"/>
      <c r="B504" s="5"/>
      <c r="C504" s="5"/>
      <c r="D504" s="5"/>
      <c r="E504" s="5"/>
      <c r="F504" s="5"/>
      <c r="G504" s="5"/>
      <c r="H504" s="5"/>
      <c r="I504" s="5"/>
      <c r="J504" s="5"/>
      <c r="K504" s="5"/>
      <c r="L504" s="5"/>
      <c r="M504" s="5"/>
    </row>
    <row r="505" spans="1:13" ht="14.5">
      <c r="A505" s="146"/>
      <c r="B505" s="5"/>
      <c r="C505" s="5"/>
      <c r="D505" s="5"/>
      <c r="E505" s="5"/>
      <c r="F505" s="5"/>
      <c r="G505" s="5"/>
      <c r="H505" s="5"/>
      <c r="I505" s="5"/>
      <c r="J505" s="5"/>
      <c r="K505" s="5"/>
      <c r="L505" s="5"/>
      <c r="M505" s="5"/>
    </row>
    <row r="506" spans="1:13" ht="14.5">
      <c r="A506" s="146"/>
      <c r="B506" s="5"/>
      <c r="C506" s="5"/>
      <c r="D506" s="5"/>
      <c r="E506" s="5"/>
      <c r="F506" s="5"/>
      <c r="G506" s="5"/>
      <c r="H506" s="5"/>
      <c r="I506" s="5"/>
      <c r="J506" s="5"/>
      <c r="K506" s="5"/>
      <c r="L506" s="5"/>
      <c r="M506" s="5"/>
    </row>
    <row r="507" spans="1:13" ht="14.5">
      <c r="A507" s="146"/>
      <c r="B507" s="5"/>
      <c r="C507" s="5"/>
      <c r="D507" s="5"/>
      <c r="E507" s="5"/>
      <c r="F507" s="5"/>
      <c r="G507" s="5"/>
      <c r="H507" s="5"/>
      <c r="I507" s="5"/>
      <c r="J507" s="5"/>
      <c r="K507" s="5"/>
      <c r="L507" s="5"/>
      <c r="M507" s="5"/>
    </row>
    <row r="508" spans="1:13" ht="14.5">
      <c r="A508" s="146"/>
      <c r="B508" s="5"/>
      <c r="C508" s="5"/>
      <c r="D508" s="5"/>
      <c r="E508" s="5"/>
      <c r="F508" s="5"/>
      <c r="G508" s="5"/>
      <c r="H508" s="5"/>
      <c r="I508" s="5"/>
      <c r="J508" s="5"/>
      <c r="K508" s="5"/>
      <c r="L508" s="5"/>
      <c r="M508" s="5"/>
    </row>
    <row r="509" spans="1:13" ht="14.5">
      <c r="A509" s="146"/>
      <c r="B509" s="5"/>
      <c r="C509" s="5"/>
      <c r="D509" s="5"/>
      <c r="E509" s="5"/>
      <c r="F509" s="5"/>
      <c r="G509" s="5"/>
      <c r="H509" s="5"/>
      <c r="I509" s="5"/>
      <c r="J509" s="5"/>
      <c r="K509" s="5"/>
      <c r="L509" s="5"/>
      <c r="M509" s="5"/>
    </row>
    <row r="510" spans="1:13" ht="14.5">
      <c r="A510" s="146"/>
      <c r="B510" s="5"/>
      <c r="C510" s="5"/>
      <c r="D510" s="5"/>
      <c r="E510" s="5"/>
      <c r="F510" s="5"/>
      <c r="G510" s="5"/>
      <c r="H510" s="5"/>
      <c r="I510" s="5"/>
      <c r="J510" s="5"/>
      <c r="K510" s="5"/>
      <c r="L510" s="5"/>
      <c r="M510" s="5"/>
    </row>
    <row r="511" spans="1:13" ht="14.5">
      <c r="A511" s="146"/>
      <c r="B511" s="5"/>
      <c r="C511" s="5"/>
      <c r="D511" s="5"/>
      <c r="E511" s="5"/>
      <c r="F511" s="5"/>
      <c r="G511" s="5"/>
      <c r="H511" s="5"/>
      <c r="I511" s="5"/>
      <c r="J511" s="5"/>
      <c r="K511" s="5"/>
      <c r="L511" s="5"/>
      <c r="M511" s="5"/>
    </row>
    <row r="512" spans="1:13" ht="14.5">
      <c r="A512" s="146"/>
      <c r="B512" s="5"/>
      <c r="C512" s="5"/>
      <c r="D512" s="5"/>
      <c r="E512" s="5"/>
      <c r="F512" s="5"/>
      <c r="G512" s="5"/>
      <c r="H512" s="5"/>
      <c r="I512" s="5"/>
      <c r="J512" s="5"/>
      <c r="K512" s="5"/>
      <c r="L512" s="5"/>
      <c r="M512" s="5"/>
    </row>
    <row r="513" spans="1:13" ht="14.5">
      <c r="A513" s="146"/>
      <c r="B513" s="5"/>
      <c r="C513" s="5"/>
      <c r="D513" s="5"/>
      <c r="E513" s="5"/>
      <c r="F513" s="5"/>
      <c r="G513" s="5"/>
      <c r="H513" s="5"/>
      <c r="I513" s="5"/>
      <c r="J513" s="5"/>
      <c r="K513" s="5"/>
      <c r="L513" s="5"/>
      <c r="M513" s="5"/>
    </row>
    <row r="514" spans="1:13" ht="14.5">
      <c r="A514" s="146"/>
      <c r="B514" s="5"/>
      <c r="C514" s="5"/>
      <c r="D514" s="5"/>
      <c r="E514" s="5"/>
      <c r="F514" s="5"/>
      <c r="G514" s="5"/>
      <c r="H514" s="5"/>
      <c r="I514" s="5"/>
      <c r="J514" s="5"/>
      <c r="K514" s="5"/>
      <c r="L514" s="5"/>
      <c r="M514" s="5"/>
    </row>
    <row r="515" spans="1:13" ht="14.5">
      <c r="A515" s="146"/>
      <c r="B515" s="5"/>
      <c r="C515" s="5"/>
      <c r="D515" s="5"/>
      <c r="E515" s="5"/>
      <c r="F515" s="5"/>
      <c r="G515" s="5"/>
      <c r="H515" s="5"/>
      <c r="I515" s="5"/>
      <c r="J515" s="5"/>
      <c r="K515" s="5"/>
      <c r="L515" s="5"/>
      <c r="M515" s="5"/>
    </row>
    <row r="516" spans="1:13" ht="14.5">
      <c r="A516" s="146"/>
      <c r="B516" s="5"/>
      <c r="C516" s="5"/>
      <c r="D516" s="5"/>
      <c r="E516" s="5"/>
      <c r="F516" s="5"/>
      <c r="G516" s="5"/>
      <c r="H516" s="5"/>
      <c r="I516" s="5"/>
      <c r="J516" s="5"/>
      <c r="K516" s="5"/>
      <c r="L516" s="5"/>
      <c r="M516" s="5"/>
    </row>
    <row r="517" spans="1:13" ht="14.5">
      <c r="A517" s="146"/>
      <c r="B517" s="5"/>
      <c r="C517" s="5"/>
      <c r="D517" s="5"/>
      <c r="E517" s="5"/>
      <c r="F517" s="5"/>
      <c r="G517" s="5"/>
      <c r="H517" s="5"/>
      <c r="I517" s="5"/>
      <c r="J517" s="5"/>
      <c r="K517" s="5"/>
      <c r="L517" s="5"/>
      <c r="M517" s="5"/>
    </row>
    <row r="518" spans="1:13" ht="14.5">
      <c r="A518" s="146"/>
      <c r="B518" s="5"/>
      <c r="C518" s="5"/>
      <c r="D518" s="5"/>
      <c r="E518" s="5"/>
      <c r="F518" s="5"/>
      <c r="G518" s="5"/>
      <c r="H518" s="5"/>
      <c r="I518" s="5"/>
      <c r="J518" s="5"/>
      <c r="K518" s="5"/>
      <c r="L518" s="5"/>
      <c r="M518" s="5"/>
    </row>
    <row r="519" spans="1:13" ht="14.5">
      <c r="A519" s="146"/>
      <c r="B519" s="5"/>
      <c r="C519" s="5"/>
      <c r="D519" s="5"/>
      <c r="E519" s="5"/>
      <c r="F519" s="5"/>
      <c r="G519" s="5"/>
      <c r="H519" s="5"/>
      <c r="I519" s="5"/>
      <c r="J519" s="5"/>
      <c r="K519" s="5"/>
      <c r="L519" s="5"/>
      <c r="M519" s="5"/>
    </row>
    <row r="520" spans="1:13" ht="14.5">
      <c r="A520" s="146"/>
      <c r="B520" s="5"/>
      <c r="C520" s="5"/>
      <c r="D520" s="5"/>
      <c r="E520" s="5"/>
      <c r="F520" s="5"/>
      <c r="G520" s="5"/>
      <c r="H520" s="5"/>
      <c r="I520" s="5"/>
      <c r="J520" s="5"/>
      <c r="K520" s="5"/>
      <c r="L520" s="5"/>
      <c r="M520" s="5"/>
    </row>
    <row r="521" spans="1:13" ht="14.5">
      <c r="A521" s="146"/>
      <c r="B521" s="5"/>
      <c r="C521" s="5"/>
      <c r="D521" s="5"/>
      <c r="E521" s="5"/>
      <c r="F521" s="5"/>
      <c r="G521" s="5"/>
      <c r="H521" s="5"/>
      <c r="I521" s="5"/>
      <c r="J521" s="5"/>
      <c r="K521" s="5"/>
      <c r="L521" s="5"/>
      <c r="M521" s="5"/>
    </row>
    <row r="522" spans="1:13" ht="14.5">
      <c r="A522" s="146"/>
      <c r="B522" s="5"/>
      <c r="C522" s="5"/>
      <c r="D522" s="5"/>
      <c r="E522" s="5"/>
      <c r="F522" s="5"/>
      <c r="G522" s="5"/>
      <c r="H522" s="5"/>
      <c r="I522" s="5"/>
      <c r="J522" s="5"/>
      <c r="K522" s="5"/>
      <c r="L522" s="5"/>
      <c r="M522" s="5"/>
    </row>
    <row r="523" spans="1:13" ht="14.5">
      <c r="A523" s="146"/>
      <c r="B523" s="5"/>
      <c r="C523" s="5"/>
      <c r="D523" s="5"/>
      <c r="E523" s="5"/>
      <c r="F523" s="5"/>
      <c r="G523" s="5"/>
      <c r="H523" s="5"/>
      <c r="I523" s="5"/>
      <c r="J523" s="5"/>
      <c r="K523" s="5"/>
      <c r="L523" s="5"/>
      <c r="M523" s="5"/>
    </row>
    <row r="524" spans="1:13" ht="14.5">
      <c r="A524" s="146"/>
      <c r="B524" s="5"/>
      <c r="C524" s="5"/>
      <c r="D524" s="5"/>
      <c r="E524" s="5"/>
      <c r="F524" s="5"/>
      <c r="G524" s="5"/>
      <c r="H524" s="5"/>
      <c r="I524" s="5"/>
      <c r="J524" s="5"/>
      <c r="K524" s="5"/>
      <c r="L524" s="5"/>
      <c r="M524" s="5"/>
    </row>
    <row r="525" spans="1:13" ht="14.5">
      <c r="A525" s="146"/>
      <c r="B525" s="5"/>
      <c r="C525" s="5"/>
      <c r="D525" s="5"/>
      <c r="E525" s="5"/>
      <c r="F525" s="5"/>
      <c r="G525" s="5"/>
      <c r="H525" s="5"/>
      <c r="I525" s="5"/>
      <c r="J525" s="5"/>
      <c r="K525" s="5"/>
      <c r="L525" s="5"/>
      <c r="M525" s="5"/>
    </row>
    <row r="526" spans="1:13" ht="14.5">
      <c r="A526" s="146"/>
      <c r="B526" s="5"/>
      <c r="C526" s="5"/>
      <c r="D526" s="5"/>
      <c r="E526" s="5"/>
      <c r="F526" s="5"/>
      <c r="G526" s="5"/>
      <c r="H526" s="5"/>
      <c r="I526" s="5"/>
      <c r="J526" s="5"/>
      <c r="K526" s="5"/>
      <c r="L526" s="5"/>
      <c r="M526" s="5"/>
    </row>
    <row r="527" spans="1:13" ht="14.5">
      <c r="A527" s="146"/>
      <c r="B527" s="5"/>
      <c r="C527" s="5"/>
      <c r="D527" s="5"/>
      <c r="E527" s="5"/>
      <c r="F527" s="5"/>
      <c r="G527" s="5"/>
      <c r="H527" s="5"/>
      <c r="I527" s="5"/>
      <c r="J527" s="5"/>
      <c r="K527" s="5"/>
      <c r="L527" s="5"/>
      <c r="M527" s="5"/>
    </row>
    <row r="528" spans="1:13" ht="14.5">
      <c r="A528" s="146"/>
      <c r="B528" s="5"/>
      <c r="C528" s="5"/>
      <c r="D528" s="5"/>
      <c r="E528" s="5"/>
      <c r="F528" s="5"/>
      <c r="G528" s="5"/>
      <c r="H528" s="5"/>
      <c r="I528" s="5"/>
      <c r="J528" s="5"/>
      <c r="K528" s="5"/>
      <c r="L528" s="5"/>
      <c r="M528" s="5"/>
    </row>
    <row r="529" spans="1:13" ht="14.5">
      <c r="A529" s="146"/>
      <c r="B529" s="5"/>
      <c r="C529" s="5"/>
      <c r="D529" s="5"/>
      <c r="E529" s="5"/>
      <c r="F529" s="5"/>
      <c r="G529" s="5"/>
      <c r="H529" s="5"/>
      <c r="I529" s="5"/>
      <c r="J529" s="5"/>
      <c r="K529" s="5"/>
      <c r="L529" s="5"/>
      <c r="M529" s="5"/>
    </row>
    <row r="530" spans="1:13" ht="14.5">
      <c r="A530" s="146"/>
      <c r="B530" s="5"/>
      <c r="C530" s="5"/>
      <c r="D530" s="5"/>
      <c r="E530" s="5"/>
      <c r="F530" s="5"/>
      <c r="G530" s="5"/>
      <c r="H530" s="5"/>
      <c r="I530" s="5"/>
      <c r="J530" s="5"/>
      <c r="K530" s="5"/>
      <c r="L530" s="5"/>
      <c r="M530" s="5"/>
    </row>
    <row r="531" spans="1:13" ht="14.5">
      <c r="A531" s="146"/>
      <c r="B531" s="5"/>
      <c r="C531" s="5"/>
      <c r="D531" s="5"/>
      <c r="E531" s="5"/>
      <c r="F531" s="5"/>
      <c r="G531" s="5"/>
      <c r="H531" s="5"/>
      <c r="I531" s="5"/>
      <c r="J531" s="5"/>
      <c r="K531" s="5"/>
      <c r="L531" s="5"/>
      <c r="M531" s="5"/>
    </row>
    <row r="532" spans="1:13" ht="14.5">
      <c r="A532" s="146"/>
      <c r="B532" s="5"/>
      <c r="C532" s="5"/>
      <c r="D532" s="5"/>
      <c r="E532" s="5"/>
      <c r="F532" s="5"/>
      <c r="G532" s="5"/>
      <c r="H532" s="5"/>
      <c r="I532" s="5"/>
      <c r="J532" s="5"/>
      <c r="K532" s="5"/>
      <c r="L532" s="5"/>
      <c r="M532" s="5"/>
    </row>
    <row r="533" spans="1:13" ht="14.5">
      <c r="A533" s="146"/>
      <c r="B533" s="5"/>
      <c r="C533" s="5"/>
      <c r="D533" s="5"/>
      <c r="E533" s="5"/>
      <c r="F533" s="5"/>
      <c r="G533" s="5"/>
      <c r="H533" s="5"/>
      <c r="I533" s="5"/>
      <c r="J533" s="5"/>
      <c r="K533" s="5"/>
      <c r="L533" s="5"/>
      <c r="M533" s="5"/>
    </row>
    <row r="534" spans="1:13" ht="14.5">
      <c r="A534" s="146"/>
      <c r="B534" s="5"/>
      <c r="C534" s="5"/>
      <c r="D534" s="5"/>
      <c r="E534" s="5"/>
      <c r="F534" s="5"/>
      <c r="G534" s="5"/>
      <c r="H534" s="5"/>
      <c r="I534" s="5"/>
      <c r="J534" s="5"/>
      <c r="K534" s="5"/>
      <c r="L534" s="5"/>
      <c r="M534" s="5"/>
    </row>
    <row r="535" spans="1:13" ht="14.5">
      <c r="A535" s="146"/>
      <c r="B535" s="5"/>
      <c r="C535" s="5"/>
      <c r="D535" s="5"/>
      <c r="E535" s="5"/>
      <c r="F535" s="5"/>
      <c r="G535" s="5"/>
      <c r="H535" s="5"/>
      <c r="I535" s="5"/>
      <c r="J535" s="5"/>
      <c r="K535" s="5"/>
      <c r="L535" s="5"/>
      <c r="M535" s="5"/>
    </row>
    <row r="536" spans="1:13" ht="14.5">
      <c r="A536" s="146"/>
      <c r="B536" s="5"/>
      <c r="C536" s="5"/>
      <c r="D536" s="5"/>
      <c r="E536" s="5"/>
      <c r="F536" s="5"/>
      <c r="G536" s="5"/>
      <c r="H536" s="5"/>
      <c r="I536" s="5"/>
      <c r="J536" s="5"/>
      <c r="K536" s="5"/>
      <c r="L536" s="5"/>
      <c r="M536" s="5"/>
    </row>
    <row r="537" spans="1:13" ht="14.5">
      <c r="A537" s="146"/>
      <c r="B537" s="5"/>
      <c r="C537" s="5"/>
      <c r="D537" s="5"/>
      <c r="E537" s="5"/>
      <c r="F537" s="5"/>
      <c r="G537" s="5"/>
      <c r="H537" s="5"/>
      <c r="I537" s="5"/>
      <c r="J537" s="5"/>
      <c r="K537" s="5"/>
      <c r="L537" s="5"/>
      <c r="M537" s="5"/>
    </row>
    <row r="538" spans="1:13" ht="14.5">
      <c r="A538" s="146"/>
      <c r="B538" s="5"/>
      <c r="C538" s="5"/>
      <c r="D538" s="5"/>
      <c r="E538" s="5"/>
      <c r="F538" s="5"/>
      <c r="G538" s="5"/>
      <c r="H538" s="5"/>
      <c r="I538" s="5"/>
      <c r="J538" s="5"/>
      <c r="K538" s="5"/>
      <c r="L538" s="5"/>
      <c r="M538" s="5"/>
    </row>
    <row r="539" spans="1:13" ht="14.5">
      <c r="A539" s="146"/>
      <c r="B539" s="5"/>
      <c r="C539" s="5"/>
      <c r="D539" s="5"/>
      <c r="E539" s="5"/>
      <c r="F539" s="5"/>
      <c r="G539" s="5"/>
      <c r="H539" s="5"/>
      <c r="I539" s="5"/>
      <c r="J539" s="5"/>
      <c r="K539" s="5"/>
      <c r="L539" s="5"/>
      <c r="M539" s="5"/>
    </row>
    <row r="540" spans="1:13" ht="14.5">
      <c r="A540" s="146"/>
      <c r="B540" s="5"/>
      <c r="C540" s="5"/>
      <c r="D540" s="5"/>
      <c r="E540" s="5"/>
      <c r="F540" s="5"/>
      <c r="G540" s="5"/>
      <c r="H540" s="5"/>
      <c r="I540" s="5"/>
      <c r="J540" s="5"/>
      <c r="K540" s="5"/>
      <c r="L540" s="5"/>
      <c r="M540" s="5"/>
    </row>
    <row r="541" spans="1:13" ht="14.5">
      <c r="A541" s="146"/>
      <c r="B541" s="5"/>
      <c r="C541" s="5"/>
      <c r="D541" s="5"/>
      <c r="E541" s="5"/>
      <c r="F541" s="5"/>
      <c r="G541" s="5"/>
      <c r="H541" s="5"/>
      <c r="I541" s="5"/>
      <c r="J541" s="5"/>
      <c r="K541" s="5"/>
      <c r="L541" s="5"/>
      <c r="M541" s="5"/>
    </row>
    <row r="542" spans="1:13" ht="14.5">
      <c r="A542" s="146"/>
      <c r="B542" s="5"/>
      <c r="C542" s="5"/>
      <c r="D542" s="5"/>
      <c r="E542" s="5"/>
      <c r="F542" s="5"/>
      <c r="G542" s="5"/>
      <c r="H542" s="5"/>
      <c r="I542" s="5"/>
      <c r="J542" s="5"/>
      <c r="K542" s="5"/>
      <c r="L542" s="5"/>
      <c r="M542" s="5"/>
    </row>
    <row r="543" spans="1:13" ht="14.5">
      <c r="A543" s="146"/>
      <c r="B543" s="5"/>
      <c r="C543" s="5"/>
      <c r="D543" s="5"/>
      <c r="E543" s="5"/>
      <c r="F543" s="5"/>
      <c r="G543" s="5"/>
      <c r="H543" s="5"/>
      <c r="I543" s="5"/>
      <c r="J543" s="5"/>
      <c r="K543" s="5"/>
      <c r="L543" s="5"/>
      <c r="M543" s="5"/>
    </row>
    <row r="544" spans="1:13" ht="14.5">
      <c r="A544" s="146"/>
      <c r="B544" s="5"/>
      <c r="C544" s="5"/>
      <c r="D544" s="5"/>
      <c r="E544" s="5"/>
      <c r="F544" s="5"/>
      <c r="G544" s="5"/>
      <c r="H544" s="5"/>
      <c r="I544" s="5"/>
      <c r="J544" s="5"/>
      <c r="K544" s="5"/>
      <c r="L544" s="5"/>
      <c r="M544" s="5"/>
    </row>
    <row r="545" spans="1:13" ht="14.5">
      <c r="A545" s="146"/>
      <c r="B545" s="5"/>
      <c r="C545" s="5"/>
      <c r="D545" s="5"/>
      <c r="E545" s="5"/>
      <c r="F545" s="5"/>
      <c r="G545" s="5"/>
      <c r="H545" s="5"/>
      <c r="I545" s="5"/>
      <c r="J545" s="5"/>
      <c r="K545" s="5"/>
      <c r="L545" s="5"/>
      <c r="M545" s="5"/>
    </row>
    <row r="546" spans="1:13" ht="14.5">
      <c r="A546" s="146"/>
      <c r="B546" s="5"/>
      <c r="C546" s="5"/>
      <c r="D546" s="5"/>
      <c r="E546" s="5"/>
      <c r="F546" s="5"/>
      <c r="G546" s="5"/>
      <c r="H546" s="5"/>
      <c r="I546" s="5"/>
      <c r="J546" s="5"/>
      <c r="K546" s="5"/>
      <c r="L546" s="5"/>
      <c r="M546" s="5"/>
    </row>
    <row r="547" spans="1:13" ht="14.5">
      <c r="A547" s="146"/>
      <c r="B547" s="5"/>
      <c r="C547" s="5"/>
      <c r="D547" s="5"/>
      <c r="E547" s="5"/>
      <c r="F547" s="5"/>
      <c r="G547" s="5"/>
      <c r="H547" s="5"/>
      <c r="I547" s="5"/>
      <c r="J547" s="5"/>
      <c r="K547" s="5"/>
      <c r="L547" s="5"/>
      <c r="M547" s="5"/>
    </row>
    <row r="548" spans="1:13" ht="14.5">
      <c r="A548" s="146"/>
      <c r="B548" s="5"/>
      <c r="C548" s="5"/>
      <c r="D548" s="5"/>
      <c r="E548" s="5"/>
      <c r="F548" s="5"/>
      <c r="G548" s="5"/>
      <c r="H548" s="5"/>
      <c r="I548" s="5"/>
      <c r="J548" s="5"/>
      <c r="K548" s="5"/>
      <c r="L548" s="5"/>
      <c r="M548" s="5"/>
    </row>
    <row r="549" spans="1:13" ht="14.5">
      <c r="A549" s="146"/>
      <c r="B549" s="5"/>
      <c r="C549" s="5"/>
      <c r="D549" s="5"/>
      <c r="E549" s="5"/>
      <c r="F549" s="5"/>
      <c r="G549" s="5"/>
      <c r="H549" s="5"/>
      <c r="I549" s="5"/>
      <c r="J549" s="5"/>
      <c r="K549" s="5"/>
      <c r="L549" s="5"/>
      <c r="M549" s="5"/>
    </row>
    <row r="550" spans="1:13" ht="14.5">
      <c r="A550" s="146"/>
      <c r="B550" s="5"/>
      <c r="C550" s="5"/>
      <c r="D550" s="5"/>
      <c r="E550" s="5"/>
      <c r="F550" s="5"/>
      <c r="G550" s="5"/>
      <c r="H550" s="5"/>
      <c r="I550" s="5"/>
      <c r="J550" s="5"/>
      <c r="K550" s="5"/>
      <c r="L550" s="5"/>
      <c r="M550" s="5"/>
    </row>
    <row r="551" spans="1:13" ht="14.5">
      <c r="A551" s="146"/>
      <c r="B551" s="5"/>
      <c r="C551" s="5"/>
      <c r="D551" s="5"/>
      <c r="E551" s="5"/>
      <c r="F551" s="5"/>
      <c r="G551" s="5"/>
      <c r="H551" s="5"/>
      <c r="I551" s="5"/>
      <c r="J551" s="5"/>
      <c r="K551" s="5"/>
      <c r="L551" s="5"/>
      <c r="M551" s="5"/>
    </row>
    <row r="552" spans="1:13" ht="14.5">
      <c r="A552" s="146"/>
      <c r="B552" s="5"/>
      <c r="C552" s="5"/>
      <c r="D552" s="5"/>
      <c r="E552" s="5"/>
      <c r="F552" s="5"/>
      <c r="G552" s="5"/>
      <c r="H552" s="5"/>
      <c r="I552" s="5"/>
      <c r="J552" s="5"/>
      <c r="K552" s="5"/>
      <c r="L552" s="5"/>
      <c r="M552" s="5"/>
    </row>
    <row r="553" spans="1:13" ht="14.5">
      <c r="A553" s="146"/>
      <c r="B553" s="5"/>
      <c r="C553" s="5"/>
      <c r="D553" s="5"/>
      <c r="E553" s="5"/>
      <c r="F553" s="5"/>
      <c r="G553" s="5"/>
      <c r="H553" s="5"/>
      <c r="I553" s="5"/>
      <c r="J553" s="5"/>
      <c r="K553" s="5"/>
      <c r="L553" s="5"/>
      <c r="M553" s="5"/>
    </row>
    <row r="554" spans="1:13" ht="14.5">
      <c r="A554" s="146"/>
      <c r="B554" s="5"/>
      <c r="C554" s="5"/>
      <c r="D554" s="5"/>
      <c r="E554" s="5"/>
      <c r="F554" s="5"/>
      <c r="G554" s="5"/>
      <c r="H554" s="5"/>
      <c r="I554" s="5"/>
      <c r="J554" s="5"/>
      <c r="K554" s="5"/>
      <c r="L554" s="5"/>
      <c r="M554" s="5"/>
    </row>
    <row r="555" spans="1:13" ht="14.5">
      <c r="A555" s="146"/>
      <c r="B555" s="5"/>
      <c r="C555" s="5"/>
      <c r="D555" s="5"/>
      <c r="E555" s="5"/>
      <c r="F555" s="5"/>
      <c r="G555" s="5"/>
      <c r="H555" s="5"/>
      <c r="I555" s="5"/>
      <c r="J555" s="5"/>
      <c r="K555" s="5"/>
      <c r="L555" s="5"/>
      <c r="M555" s="5"/>
    </row>
    <row r="556" spans="1:13" ht="14.5">
      <c r="A556" s="146"/>
      <c r="B556" s="5"/>
      <c r="C556" s="5"/>
      <c r="D556" s="5"/>
      <c r="E556" s="5"/>
      <c r="F556" s="5"/>
      <c r="G556" s="5"/>
      <c r="H556" s="5"/>
      <c r="I556" s="5"/>
      <c r="J556" s="5"/>
      <c r="K556" s="5"/>
      <c r="L556" s="5"/>
      <c r="M556" s="5"/>
    </row>
    <row r="557" spans="1:13" ht="14.5">
      <c r="A557" s="146"/>
      <c r="B557" s="5"/>
      <c r="C557" s="5"/>
      <c r="D557" s="5"/>
      <c r="E557" s="5"/>
      <c r="F557" s="5"/>
      <c r="G557" s="5"/>
      <c r="H557" s="5"/>
      <c r="I557" s="5"/>
      <c r="J557" s="5"/>
      <c r="K557" s="5"/>
      <c r="L557" s="5"/>
      <c r="M557" s="5"/>
    </row>
    <row r="558" spans="1:13" ht="14.5">
      <c r="A558" s="146"/>
      <c r="B558" s="5"/>
      <c r="C558" s="5"/>
      <c r="D558" s="5"/>
      <c r="E558" s="5"/>
      <c r="F558" s="5"/>
      <c r="G558" s="5"/>
      <c r="H558" s="5"/>
      <c r="I558" s="5"/>
      <c r="J558" s="5"/>
      <c r="K558" s="5"/>
      <c r="L558" s="5"/>
      <c r="M558" s="5"/>
    </row>
    <row r="559" spans="1:13" ht="14.5">
      <c r="A559" s="146"/>
      <c r="B559" s="5"/>
      <c r="C559" s="5"/>
      <c r="D559" s="5"/>
      <c r="E559" s="5"/>
      <c r="F559" s="5"/>
      <c r="G559" s="5"/>
      <c r="H559" s="5"/>
      <c r="I559" s="5"/>
      <c r="J559" s="5"/>
      <c r="K559" s="5"/>
      <c r="L559" s="5"/>
      <c r="M559" s="5"/>
    </row>
    <row r="560" spans="1:13" ht="14.5">
      <c r="A560" s="146"/>
      <c r="B560" s="5"/>
      <c r="C560" s="5"/>
      <c r="D560" s="5"/>
      <c r="E560" s="5"/>
      <c r="F560" s="5"/>
      <c r="G560" s="5"/>
      <c r="H560" s="5"/>
      <c r="I560" s="5"/>
      <c r="J560" s="5"/>
      <c r="K560" s="5"/>
      <c r="L560" s="5"/>
      <c r="M560" s="5"/>
    </row>
    <row r="561" spans="1:13" ht="14.5">
      <c r="A561" s="146"/>
      <c r="B561" s="5"/>
      <c r="C561" s="5"/>
      <c r="D561" s="5"/>
      <c r="E561" s="5"/>
      <c r="F561" s="5"/>
      <c r="G561" s="5"/>
      <c r="H561" s="5"/>
      <c r="I561" s="5"/>
      <c r="J561" s="5"/>
      <c r="K561" s="5"/>
      <c r="L561" s="5"/>
      <c r="M561" s="5"/>
    </row>
    <row r="562" spans="1:13" ht="14.5">
      <c r="A562" s="146"/>
      <c r="B562" s="5"/>
      <c r="C562" s="5"/>
      <c r="D562" s="5"/>
      <c r="E562" s="5"/>
      <c r="F562" s="5"/>
      <c r="G562" s="5"/>
      <c r="H562" s="5"/>
      <c r="I562" s="5"/>
      <c r="J562" s="5"/>
      <c r="K562" s="5"/>
      <c r="L562" s="5"/>
      <c r="M562" s="5"/>
    </row>
    <row r="563" spans="1:13" ht="14.5">
      <c r="A563" s="146"/>
      <c r="B563" s="5"/>
      <c r="C563" s="5"/>
      <c r="D563" s="5"/>
      <c r="E563" s="5"/>
      <c r="F563" s="5"/>
      <c r="G563" s="5"/>
      <c r="H563" s="5"/>
      <c r="I563" s="5"/>
      <c r="J563" s="5"/>
      <c r="K563" s="5"/>
      <c r="L563" s="5"/>
      <c r="M563" s="5"/>
    </row>
    <row r="564" spans="1:13" ht="14.5">
      <c r="A564" s="146"/>
      <c r="B564" s="5"/>
      <c r="C564" s="5"/>
      <c r="D564" s="5"/>
      <c r="E564" s="5"/>
      <c r="F564" s="5"/>
      <c r="G564" s="5"/>
      <c r="H564" s="5"/>
      <c r="I564" s="5"/>
      <c r="J564" s="5"/>
      <c r="K564" s="5"/>
      <c r="L564" s="5"/>
      <c r="M564" s="5"/>
    </row>
    <row r="565" spans="1:13" ht="14.5">
      <c r="A565" s="146"/>
      <c r="B565" s="5"/>
      <c r="C565" s="5"/>
      <c r="D565" s="5"/>
      <c r="E565" s="5"/>
      <c r="F565" s="5"/>
      <c r="G565" s="5"/>
      <c r="H565" s="5"/>
      <c r="I565" s="5"/>
      <c r="J565" s="5"/>
      <c r="K565" s="5"/>
      <c r="L565" s="5"/>
      <c r="M565" s="5"/>
    </row>
    <row r="566" spans="1:13" ht="14.5">
      <c r="A566" s="146"/>
      <c r="B566" s="5"/>
      <c r="C566" s="5"/>
      <c r="D566" s="5"/>
      <c r="E566" s="5"/>
      <c r="F566" s="5"/>
      <c r="G566" s="5"/>
      <c r="H566" s="5"/>
      <c r="I566" s="5"/>
      <c r="J566" s="5"/>
      <c r="K566" s="5"/>
      <c r="L566" s="5"/>
      <c r="M566" s="5"/>
    </row>
    <row r="567" spans="1:13" ht="14.5">
      <c r="A567" s="146"/>
      <c r="B567" s="5"/>
      <c r="C567" s="5"/>
      <c r="D567" s="5"/>
      <c r="E567" s="5"/>
      <c r="F567" s="5"/>
      <c r="G567" s="5"/>
      <c r="H567" s="5"/>
      <c r="I567" s="5"/>
      <c r="J567" s="5"/>
      <c r="K567" s="5"/>
      <c r="L567" s="5"/>
      <c r="M567" s="5"/>
    </row>
    <row r="568" spans="1:13" ht="14.5">
      <c r="A568" s="146"/>
      <c r="B568" s="5"/>
      <c r="C568" s="5"/>
      <c r="D568" s="5"/>
      <c r="E568" s="5"/>
      <c r="F568" s="5"/>
      <c r="G568" s="5"/>
      <c r="H568" s="5"/>
      <c r="I568" s="5"/>
      <c r="J568" s="5"/>
      <c r="K568" s="5"/>
      <c r="L568" s="5"/>
      <c r="M568" s="5"/>
    </row>
    <row r="569" spans="1:13" ht="14.5">
      <c r="A569" s="146"/>
      <c r="B569" s="5"/>
      <c r="C569" s="5"/>
      <c r="D569" s="5"/>
      <c r="E569" s="5"/>
      <c r="F569" s="5"/>
      <c r="G569" s="5"/>
      <c r="H569" s="5"/>
      <c r="I569" s="5"/>
      <c r="J569" s="5"/>
      <c r="K569" s="5"/>
      <c r="L569" s="5"/>
      <c r="M569" s="5"/>
    </row>
    <row r="570" spans="1:13" ht="14.5">
      <c r="A570" s="146"/>
      <c r="B570" s="5"/>
      <c r="C570" s="5"/>
      <c r="D570" s="5"/>
      <c r="E570" s="5"/>
      <c r="F570" s="5"/>
      <c r="G570" s="5"/>
      <c r="H570" s="5"/>
      <c r="I570" s="5"/>
      <c r="J570" s="5"/>
      <c r="K570" s="5"/>
      <c r="L570" s="5"/>
      <c r="M570" s="5"/>
    </row>
    <row r="571" spans="1:13" ht="14.5">
      <c r="A571" s="146"/>
      <c r="B571" s="5"/>
      <c r="C571" s="5"/>
      <c r="D571" s="5"/>
      <c r="E571" s="5"/>
      <c r="F571" s="5"/>
      <c r="G571" s="5"/>
      <c r="H571" s="5"/>
      <c r="I571" s="5"/>
      <c r="J571" s="5"/>
      <c r="K571" s="5"/>
      <c r="L571" s="5"/>
      <c r="M571" s="5"/>
    </row>
    <row r="572" spans="1:13" ht="14.5">
      <c r="A572" s="146"/>
      <c r="B572" s="5"/>
      <c r="C572" s="5"/>
      <c r="D572" s="5"/>
      <c r="E572" s="5"/>
      <c r="F572" s="5"/>
      <c r="G572" s="5"/>
      <c r="H572" s="5"/>
      <c r="I572" s="5"/>
      <c r="J572" s="5"/>
      <c r="K572" s="5"/>
      <c r="L572" s="5"/>
      <c r="M572" s="5"/>
    </row>
    <row r="573" spans="1:13" ht="14.5">
      <c r="A573" s="146"/>
      <c r="B573" s="5"/>
      <c r="C573" s="5"/>
      <c r="D573" s="5"/>
      <c r="E573" s="5"/>
      <c r="F573" s="5"/>
      <c r="G573" s="5"/>
      <c r="H573" s="5"/>
      <c r="I573" s="5"/>
      <c r="J573" s="5"/>
      <c r="K573" s="5"/>
      <c r="L573" s="5"/>
      <c r="M573" s="5"/>
    </row>
    <row r="574" spans="1:13" ht="14.5">
      <c r="A574" s="146"/>
      <c r="B574" s="5"/>
      <c r="C574" s="5"/>
      <c r="D574" s="5"/>
      <c r="E574" s="5"/>
      <c r="F574" s="5"/>
      <c r="G574" s="5"/>
      <c r="H574" s="5"/>
      <c r="I574" s="5"/>
      <c r="J574" s="5"/>
      <c r="K574" s="5"/>
      <c r="L574" s="5"/>
      <c r="M574" s="5"/>
    </row>
    <row r="575" spans="1:13" ht="14.5">
      <c r="A575" s="146"/>
      <c r="B575" s="5"/>
      <c r="C575" s="5"/>
      <c r="D575" s="5"/>
      <c r="E575" s="5"/>
      <c r="F575" s="5"/>
      <c r="G575" s="5"/>
      <c r="H575" s="5"/>
      <c r="I575" s="5"/>
      <c r="J575" s="5"/>
      <c r="K575" s="5"/>
      <c r="L575" s="5"/>
      <c r="M575" s="5"/>
    </row>
    <row r="576" spans="1:13" ht="14.5">
      <c r="A576" s="146"/>
      <c r="B576" s="5"/>
      <c r="C576" s="5"/>
      <c r="D576" s="5"/>
      <c r="E576" s="5"/>
      <c r="F576" s="5"/>
      <c r="G576" s="5"/>
      <c r="H576" s="5"/>
      <c r="I576" s="5"/>
      <c r="J576" s="5"/>
      <c r="K576" s="5"/>
      <c r="L576" s="5"/>
      <c r="M576" s="5"/>
    </row>
    <row r="577" spans="1:13" ht="14.5">
      <c r="A577" s="146"/>
      <c r="B577" s="5"/>
      <c r="C577" s="5"/>
      <c r="D577" s="5"/>
      <c r="E577" s="5"/>
      <c r="F577" s="5"/>
      <c r="G577" s="5"/>
      <c r="H577" s="5"/>
      <c r="I577" s="5"/>
      <c r="J577" s="5"/>
      <c r="K577" s="5"/>
      <c r="L577" s="5"/>
      <c r="M577" s="5"/>
    </row>
    <row r="578" spans="1:13" ht="14.5">
      <c r="A578" s="146"/>
      <c r="B578" s="5"/>
      <c r="C578" s="5"/>
      <c r="D578" s="5"/>
      <c r="E578" s="5"/>
      <c r="F578" s="5"/>
      <c r="G578" s="5"/>
      <c r="H578" s="5"/>
      <c r="I578" s="5"/>
      <c r="J578" s="5"/>
      <c r="K578" s="5"/>
      <c r="L578" s="5"/>
      <c r="M578" s="5"/>
    </row>
    <row r="579" spans="1:13" ht="14.5">
      <c r="A579" s="146"/>
      <c r="B579" s="5"/>
      <c r="C579" s="5"/>
      <c r="D579" s="5"/>
      <c r="E579" s="5"/>
      <c r="F579" s="5"/>
      <c r="G579" s="5"/>
      <c r="H579" s="5"/>
      <c r="I579" s="5"/>
      <c r="J579" s="5"/>
      <c r="K579" s="5"/>
      <c r="L579" s="5"/>
      <c r="M579" s="5"/>
    </row>
    <row r="580" spans="1:13" ht="14.5">
      <c r="A580" s="146"/>
      <c r="B580" s="5"/>
      <c r="C580" s="5"/>
      <c r="D580" s="5"/>
      <c r="E580" s="5"/>
      <c r="F580" s="5"/>
      <c r="G580" s="5"/>
      <c r="H580" s="5"/>
      <c r="I580" s="5"/>
      <c r="J580" s="5"/>
      <c r="K580" s="5"/>
      <c r="L580" s="5"/>
      <c r="M580" s="5"/>
    </row>
    <row r="581" spans="1:13" ht="14.5">
      <c r="A581" s="146"/>
      <c r="B581" s="5"/>
      <c r="C581" s="5"/>
      <c r="D581" s="5"/>
      <c r="E581" s="5"/>
      <c r="F581" s="5"/>
      <c r="G581" s="5"/>
      <c r="H581" s="5"/>
      <c r="I581" s="5"/>
      <c r="J581" s="5"/>
      <c r="K581" s="5"/>
      <c r="L581" s="5"/>
      <c r="M581" s="5"/>
    </row>
    <row r="582" spans="1:13" ht="14.5">
      <c r="A582" s="146"/>
      <c r="B582" s="5"/>
      <c r="C582" s="5"/>
      <c r="D582" s="5"/>
      <c r="E582" s="5"/>
      <c r="F582" s="5"/>
      <c r="G582" s="5"/>
      <c r="H582" s="5"/>
      <c r="I582" s="5"/>
      <c r="J582" s="5"/>
      <c r="K582" s="5"/>
      <c r="L582" s="5"/>
      <c r="M582" s="5"/>
    </row>
    <row r="583" spans="1:13" ht="14.5">
      <c r="A583" s="146"/>
      <c r="B583" s="5"/>
      <c r="C583" s="5"/>
      <c r="D583" s="5"/>
      <c r="E583" s="5"/>
      <c r="F583" s="5"/>
      <c r="G583" s="5"/>
      <c r="H583" s="5"/>
      <c r="I583" s="5"/>
      <c r="J583" s="5"/>
      <c r="K583" s="5"/>
      <c r="L583" s="5"/>
      <c r="M583" s="5"/>
    </row>
    <row r="584" spans="1:13" ht="14.5">
      <c r="A584" s="146"/>
      <c r="B584" s="5"/>
      <c r="C584" s="5"/>
      <c r="D584" s="5"/>
      <c r="E584" s="5"/>
      <c r="F584" s="5"/>
      <c r="G584" s="5"/>
      <c r="H584" s="5"/>
      <c r="I584" s="5"/>
      <c r="J584" s="5"/>
      <c r="K584" s="5"/>
      <c r="L584" s="5"/>
      <c r="M584" s="5"/>
    </row>
    <row r="585" spans="1:13" ht="14.5">
      <c r="A585" s="146"/>
      <c r="B585" s="5"/>
      <c r="C585" s="5"/>
      <c r="D585" s="5"/>
      <c r="E585" s="5"/>
      <c r="F585" s="5"/>
      <c r="G585" s="5"/>
      <c r="H585" s="5"/>
      <c r="I585" s="5"/>
      <c r="J585" s="5"/>
      <c r="K585" s="5"/>
      <c r="L585" s="5"/>
      <c r="M585" s="5"/>
    </row>
    <row r="586" spans="1:13" ht="14.5">
      <c r="A586" s="146"/>
      <c r="B586" s="5"/>
      <c r="C586" s="5"/>
      <c r="D586" s="5"/>
      <c r="E586" s="5"/>
      <c r="F586" s="5"/>
      <c r="G586" s="5"/>
      <c r="H586" s="5"/>
      <c r="I586" s="5"/>
      <c r="J586" s="5"/>
      <c r="K586" s="5"/>
      <c r="L586" s="5"/>
      <c r="M586" s="5"/>
    </row>
    <row r="587" spans="1:13" ht="14.5">
      <c r="A587" s="146"/>
      <c r="B587" s="5"/>
      <c r="C587" s="5"/>
      <c r="D587" s="5"/>
      <c r="E587" s="5"/>
      <c r="F587" s="5"/>
      <c r="G587" s="5"/>
      <c r="H587" s="5"/>
      <c r="I587" s="5"/>
      <c r="J587" s="5"/>
      <c r="K587" s="5"/>
      <c r="L587" s="5"/>
      <c r="M587" s="5"/>
    </row>
    <row r="588" spans="1:13" ht="14.5">
      <c r="A588" s="146"/>
      <c r="B588" s="5"/>
      <c r="C588" s="5"/>
      <c r="D588" s="5"/>
      <c r="E588" s="5"/>
      <c r="F588" s="5"/>
      <c r="G588" s="5"/>
      <c r="H588" s="5"/>
      <c r="I588" s="5"/>
      <c r="J588" s="5"/>
      <c r="K588" s="5"/>
      <c r="L588" s="5"/>
      <c r="M588" s="5"/>
    </row>
    <row r="589" spans="1:13" ht="14.5">
      <c r="A589" s="146"/>
      <c r="B589" s="5"/>
      <c r="C589" s="5"/>
      <c r="D589" s="5"/>
      <c r="E589" s="5"/>
      <c r="F589" s="5"/>
      <c r="G589" s="5"/>
      <c r="H589" s="5"/>
      <c r="I589" s="5"/>
      <c r="J589" s="5"/>
      <c r="K589" s="5"/>
      <c r="L589" s="5"/>
      <c r="M589" s="5"/>
    </row>
    <row r="590" spans="1:13" ht="14.5">
      <c r="A590" s="146"/>
      <c r="B590" s="5"/>
      <c r="C590" s="5"/>
      <c r="D590" s="5"/>
      <c r="E590" s="5"/>
      <c r="F590" s="5"/>
      <c r="G590" s="5"/>
      <c r="H590" s="5"/>
      <c r="I590" s="5"/>
      <c r="J590" s="5"/>
      <c r="K590" s="5"/>
      <c r="L590" s="5"/>
      <c r="M590" s="5"/>
    </row>
    <row r="591" spans="1:13" ht="14.5">
      <c r="A591" s="146"/>
      <c r="B591" s="5"/>
      <c r="C591" s="5"/>
      <c r="D591" s="5"/>
      <c r="E591" s="5"/>
      <c r="F591" s="5"/>
      <c r="G591" s="5"/>
      <c r="H591" s="5"/>
      <c r="I591" s="5"/>
      <c r="J591" s="5"/>
      <c r="K591" s="5"/>
      <c r="L591" s="5"/>
      <c r="M591" s="5"/>
    </row>
    <row r="592" spans="1:13" ht="14.5">
      <c r="A592" s="146"/>
      <c r="B592" s="5"/>
      <c r="C592" s="5"/>
      <c r="D592" s="5"/>
      <c r="E592" s="5"/>
      <c r="F592" s="5"/>
      <c r="G592" s="5"/>
      <c r="H592" s="5"/>
      <c r="I592" s="5"/>
      <c r="J592" s="5"/>
      <c r="K592" s="5"/>
      <c r="L592" s="5"/>
      <c r="M592" s="5"/>
    </row>
    <row r="593" spans="1:13" ht="14.5">
      <c r="A593" s="146"/>
      <c r="B593" s="5"/>
      <c r="C593" s="5"/>
      <c r="D593" s="5"/>
      <c r="E593" s="5"/>
      <c r="F593" s="5"/>
      <c r="G593" s="5"/>
      <c r="H593" s="5"/>
      <c r="I593" s="5"/>
      <c r="J593" s="5"/>
      <c r="K593" s="5"/>
      <c r="L593" s="5"/>
      <c r="M593" s="5"/>
    </row>
    <row r="594" spans="1:13" ht="14.5">
      <c r="A594" s="146"/>
      <c r="B594" s="5"/>
      <c r="C594" s="5"/>
      <c r="D594" s="5"/>
      <c r="E594" s="5"/>
      <c r="F594" s="5"/>
      <c r="G594" s="5"/>
      <c r="H594" s="5"/>
      <c r="I594" s="5"/>
      <c r="J594" s="5"/>
      <c r="K594" s="5"/>
      <c r="L594" s="5"/>
      <c r="M594" s="5"/>
    </row>
    <row r="595" spans="1:13" ht="14.5">
      <c r="A595" s="146"/>
      <c r="B595" s="5"/>
      <c r="C595" s="5"/>
      <c r="D595" s="5"/>
      <c r="E595" s="5"/>
      <c r="F595" s="5"/>
      <c r="G595" s="5"/>
      <c r="H595" s="5"/>
      <c r="I595" s="5"/>
      <c r="J595" s="5"/>
      <c r="K595" s="5"/>
      <c r="L595" s="5"/>
      <c r="M595" s="5"/>
    </row>
    <row r="596" spans="1:13" ht="14.5">
      <c r="A596" s="146"/>
      <c r="B596" s="5"/>
      <c r="C596" s="5"/>
      <c r="D596" s="5"/>
      <c r="E596" s="5"/>
      <c r="F596" s="5"/>
      <c r="G596" s="5"/>
      <c r="H596" s="5"/>
      <c r="I596" s="5"/>
      <c r="J596" s="5"/>
      <c r="K596" s="5"/>
      <c r="L596" s="5"/>
      <c r="M596" s="5"/>
    </row>
    <row r="597" spans="1:13" ht="14.5">
      <c r="A597" s="146"/>
      <c r="B597" s="5"/>
      <c r="C597" s="5"/>
      <c r="D597" s="5"/>
      <c r="E597" s="5"/>
      <c r="F597" s="5"/>
      <c r="G597" s="5"/>
      <c r="H597" s="5"/>
      <c r="I597" s="5"/>
      <c r="J597" s="5"/>
      <c r="K597" s="5"/>
      <c r="L597" s="5"/>
      <c r="M597" s="5"/>
    </row>
    <row r="598" spans="1:13" ht="14.5">
      <c r="A598" s="146"/>
      <c r="B598" s="5"/>
      <c r="C598" s="5"/>
      <c r="D598" s="5"/>
      <c r="E598" s="5"/>
      <c r="F598" s="5"/>
      <c r="G598" s="5"/>
      <c r="H598" s="5"/>
      <c r="I598" s="5"/>
      <c r="J598" s="5"/>
      <c r="K598" s="5"/>
      <c r="L598" s="5"/>
      <c r="M598" s="5"/>
    </row>
    <row r="599" spans="1:13" ht="14.5">
      <c r="A599" s="146"/>
      <c r="B599" s="5"/>
      <c r="C599" s="5"/>
      <c r="D599" s="5"/>
      <c r="E599" s="5"/>
      <c r="F599" s="5"/>
      <c r="G599" s="5"/>
      <c r="H599" s="5"/>
      <c r="I599" s="5"/>
      <c r="J599" s="5"/>
      <c r="K599" s="5"/>
      <c r="L599" s="5"/>
      <c r="M599" s="5"/>
    </row>
    <row r="600" spans="1:13" ht="14.5">
      <c r="A600" s="146"/>
      <c r="B600" s="5"/>
      <c r="C600" s="5"/>
      <c r="D600" s="5"/>
      <c r="E600" s="5"/>
      <c r="F600" s="5"/>
      <c r="G600" s="5"/>
      <c r="H600" s="5"/>
      <c r="I600" s="5"/>
      <c r="J600" s="5"/>
      <c r="K600" s="5"/>
      <c r="L600" s="5"/>
      <c r="M600" s="5"/>
    </row>
    <row r="601" spans="1:13" ht="14.5">
      <c r="A601" s="146"/>
      <c r="B601" s="5"/>
      <c r="C601" s="5"/>
      <c r="D601" s="5"/>
      <c r="E601" s="5"/>
      <c r="F601" s="5"/>
      <c r="G601" s="5"/>
      <c r="H601" s="5"/>
      <c r="I601" s="5"/>
      <c r="J601" s="5"/>
      <c r="K601" s="5"/>
      <c r="L601" s="5"/>
      <c r="M601" s="5"/>
    </row>
    <row r="602" spans="1:13" ht="14.5">
      <c r="A602" s="146"/>
      <c r="B602" s="5"/>
      <c r="C602" s="5"/>
      <c r="D602" s="5"/>
      <c r="E602" s="5"/>
      <c r="F602" s="5"/>
      <c r="G602" s="5"/>
      <c r="H602" s="5"/>
      <c r="I602" s="5"/>
      <c r="J602" s="5"/>
      <c r="K602" s="5"/>
      <c r="L602" s="5"/>
      <c r="M602" s="5"/>
    </row>
    <row r="603" spans="1:13" ht="14.5">
      <c r="A603" s="146"/>
      <c r="B603" s="5"/>
      <c r="C603" s="5"/>
      <c r="D603" s="5"/>
      <c r="E603" s="5"/>
      <c r="F603" s="5"/>
      <c r="G603" s="5"/>
      <c r="H603" s="5"/>
      <c r="I603" s="5"/>
      <c r="J603" s="5"/>
      <c r="K603" s="5"/>
      <c r="L603" s="5"/>
      <c r="M603" s="5"/>
    </row>
    <row r="604" spans="1:13" ht="14.5">
      <c r="A604" s="146"/>
      <c r="B604" s="5"/>
      <c r="C604" s="5"/>
      <c r="D604" s="5"/>
      <c r="E604" s="5"/>
      <c r="F604" s="5"/>
      <c r="G604" s="5"/>
      <c r="H604" s="5"/>
      <c r="I604" s="5"/>
      <c r="J604" s="5"/>
      <c r="K604" s="5"/>
      <c r="L604" s="5"/>
      <c r="M604" s="5"/>
    </row>
    <row r="605" spans="1:13" ht="14.5">
      <c r="A605" s="146"/>
      <c r="B605" s="5"/>
      <c r="C605" s="5"/>
      <c r="D605" s="5"/>
      <c r="E605" s="5"/>
      <c r="F605" s="5"/>
      <c r="G605" s="5"/>
      <c r="H605" s="5"/>
      <c r="I605" s="5"/>
      <c r="J605" s="5"/>
      <c r="K605" s="5"/>
      <c r="L605" s="5"/>
      <c r="M605" s="5"/>
    </row>
    <row r="606" spans="1:13" ht="14.5">
      <c r="A606" s="146"/>
      <c r="B606" s="5"/>
      <c r="C606" s="5"/>
      <c r="D606" s="5"/>
      <c r="E606" s="5"/>
      <c r="F606" s="5"/>
      <c r="G606" s="5"/>
      <c r="H606" s="5"/>
      <c r="I606" s="5"/>
      <c r="J606" s="5"/>
      <c r="K606" s="5"/>
      <c r="L606" s="5"/>
      <c r="M606" s="5"/>
    </row>
    <row r="607" spans="1:13" ht="14.5">
      <c r="A607" s="146"/>
      <c r="B607" s="5"/>
      <c r="C607" s="5"/>
      <c r="D607" s="5"/>
      <c r="E607" s="5"/>
      <c r="F607" s="5"/>
      <c r="G607" s="5"/>
      <c r="H607" s="5"/>
      <c r="I607" s="5"/>
      <c r="J607" s="5"/>
      <c r="K607" s="5"/>
      <c r="L607" s="5"/>
      <c r="M607" s="5"/>
    </row>
    <row r="608" spans="1:13" ht="14.5">
      <c r="A608" s="146"/>
      <c r="B608" s="5"/>
      <c r="C608" s="5"/>
      <c r="D608" s="5"/>
      <c r="E608" s="5"/>
      <c r="F608" s="5"/>
      <c r="G608" s="5"/>
      <c r="H608" s="5"/>
      <c r="I608" s="5"/>
      <c r="J608" s="5"/>
      <c r="K608" s="5"/>
      <c r="L608" s="5"/>
      <c r="M608" s="5"/>
    </row>
    <row r="609" spans="2:13" ht="14.5">
      <c r="B609" s="5"/>
      <c r="C609" s="5"/>
      <c r="D609" s="5"/>
      <c r="E609" s="5"/>
      <c r="F609" s="5"/>
      <c r="G609" s="5"/>
      <c r="H609" s="5"/>
      <c r="I609" s="5"/>
      <c r="J609" s="5"/>
      <c r="K609" s="5"/>
      <c r="L609" s="5"/>
      <c r="M609" s="5"/>
    </row>
    <row r="610" spans="2:13" ht="14.5">
      <c r="B610" s="5"/>
      <c r="C610" s="5"/>
      <c r="D610" s="5"/>
      <c r="E610" s="5"/>
      <c r="F610" s="5"/>
      <c r="G610" s="5"/>
      <c r="H610" s="5"/>
      <c r="I610" s="5"/>
      <c r="J610" s="5"/>
      <c r="K610" s="5"/>
      <c r="L610" s="5"/>
      <c r="M610" s="5"/>
    </row>
  </sheetData>
  <mergeCells count="17">
    <mergeCell ref="A8:L8"/>
    <mergeCell ref="A38:C38"/>
    <mergeCell ref="I38:L38"/>
    <mergeCell ref="A39:L39"/>
    <mergeCell ref="A62:C62"/>
    <mergeCell ref="I62:L62"/>
    <mergeCell ref="A102:C102"/>
    <mergeCell ref="I102:L102"/>
    <mergeCell ref="A63:L63"/>
    <mergeCell ref="A74:C74"/>
    <mergeCell ref="I74:L74"/>
    <mergeCell ref="A75:L75"/>
    <mergeCell ref="A92:C92"/>
    <mergeCell ref="I92:L92"/>
    <mergeCell ref="A93:L93"/>
    <mergeCell ref="A100:C100"/>
    <mergeCell ref="I100:L100"/>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69F3B-3363-4370-8FFA-9F7CD57834E4}">
  <sheetPr>
    <tabColor rgb="FF92D050"/>
  </sheetPr>
  <dimension ref="A2:C63"/>
  <sheetViews>
    <sheetView showGridLines="0" workbookViewId="0">
      <selection activeCell="A12" sqref="A12"/>
    </sheetView>
  </sheetViews>
  <sheetFormatPr baseColWidth="10" defaultColWidth="8.5" defaultRowHeight="14"/>
  <cols>
    <col min="1" max="1" width="125.83203125" bestFit="1" customWidth="1"/>
    <col min="2" max="2" width="24.4140625" customWidth="1"/>
    <col min="3" max="3" width="20.83203125" bestFit="1" customWidth="1"/>
  </cols>
  <sheetData>
    <row r="2" spans="1:3" ht="15.5">
      <c r="A2" s="7" t="s">
        <v>10695</v>
      </c>
    </row>
    <row r="4" spans="1:3" ht="24">
      <c r="A4" s="213" t="s">
        <v>2744</v>
      </c>
      <c r="B4" s="214" t="s">
        <v>2745</v>
      </c>
      <c r="C4" s="214" t="s">
        <v>2746</v>
      </c>
    </row>
    <row r="5" spans="1:3">
      <c r="A5" s="148" t="s">
        <v>1524</v>
      </c>
      <c r="B5" s="210">
        <v>153671574.06999999</v>
      </c>
      <c r="C5" s="210">
        <v>80155048.980000004</v>
      </c>
    </row>
    <row r="6" spans="1:3">
      <c r="A6" s="208" t="s">
        <v>1522</v>
      </c>
      <c r="B6" s="209">
        <v>56572687.230000004</v>
      </c>
      <c r="C6" s="209">
        <v>17550000</v>
      </c>
    </row>
    <row r="7" spans="1:3">
      <c r="A7" s="148" t="s">
        <v>1514</v>
      </c>
      <c r="B7" s="210">
        <v>40803437.399999991</v>
      </c>
      <c r="C7" s="210">
        <v>16410804.970000001</v>
      </c>
    </row>
    <row r="8" spans="1:3">
      <c r="A8" s="208" t="s">
        <v>1509</v>
      </c>
      <c r="B8" s="209">
        <v>37015984.489999995</v>
      </c>
      <c r="C8" s="209">
        <v>31916581.48</v>
      </c>
    </row>
    <row r="9" spans="1:3">
      <c r="A9" s="148" t="s">
        <v>1461</v>
      </c>
      <c r="B9" s="210">
        <v>30000000</v>
      </c>
      <c r="C9" s="210">
        <v>30000000.000000004</v>
      </c>
    </row>
    <row r="10" spans="1:3">
      <c r="A10" s="208" t="s">
        <v>1470</v>
      </c>
      <c r="B10" s="209">
        <v>26871393.780000001</v>
      </c>
      <c r="C10" s="209">
        <v>26871394.09</v>
      </c>
    </row>
    <row r="11" spans="1:3">
      <c r="A11" s="148" t="s">
        <v>2657</v>
      </c>
      <c r="B11" s="210">
        <v>24836908.219999999</v>
      </c>
      <c r="C11" s="210">
        <v>24605352.489999998</v>
      </c>
    </row>
    <row r="12" spans="1:3">
      <c r="A12" s="208" t="s">
        <v>2661</v>
      </c>
      <c r="B12" s="209">
        <v>23222678.640000001</v>
      </c>
      <c r="C12" s="209">
        <v>23222678.640000001</v>
      </c>
    </row>
    <row r="13" spans="1:3">
      <c r="A13" s="148" t="s">
        <v>1476</v>
      </c>
      <c r="B13" s="210">
        <v>20000000</v>
      </c>
      <c r="C13" s="210">
        <v>20000000</v>
      </c>
    </row>
    <row r="14" spans="1:3">
      <c r="A14" s="208" t="s">
        <v>1471</v>
      </c>
      <c r="B14" s="209">
        <v>16128606.220000001</v>
      </c>
      <c r="C14" s="209">
        <v>16128606.220000003</v>
      </c>
    </row>
    <row r="15" spans="1:3">
      <c r="A15" s="148" t="s">
        <v>1489</v>
      </c>
      <c r="B15" s="210">
        <v>15000000</v>
      </c>
      <c r="C15" s="210">
        <v>15000000</v>
      </c>
    </row>
    <row r="16" spans="1:3">
      <c r="A16" s="208" t="s">
        <v>1484</v>
      </c>
      <c r="B16" s="209">
        <v>15000000</v>
      </c>
      <c r="C16" s="209">
        <v>14999999.999999998</v>
      </c>
    </row>
    <row r="17" spans="1:3">
      <c r="A17" s="148" t="s">
        <v>1540</v>
      </c>
      <c r="B17" s="210">
        <v>13752664.939999999</v>
      </c>
      <c r="C17" s="210">
        <v>5750000</v>
      </c>
    </row>
    <row r="18" spans="1:3">
      <c r="A18" s="208" t="s">
        <v>2738</v>
      </c>
      <c r="B18" s="209">
        <v>13000000</v>
      </c>
      <c r="C18" s="209">
        <v>13000000</v>
      </c>
    </row>
    <row r="19" spans="1:3">
      <c r="A19" s="148" t="s">
        <v>1463</v>
      </c>
      <c r="B19" s="210">
        <v>11000000</v>
      </c>
      <c r="C19" s="210">
        <v>11000000</v>
      </c>
    </row>
    <row r="20" spans="1:3">
      <c r="A20" s="208" t="s">
        <v>1473</v>
      </c>
      <c r="B20" s="209">
        <v>10000000</v>
      </c>
      <c r="C20" s="209">
        <v>10000000</v>
      </c>
    </row>
    <row r="21" spans="1:3">
      <c r="A21" s="148" t="s">
        <v>1475</v>
      </c>
      <c r="B21" s="210">
        <v>10000000</v>
      </c>
      <c r="C21" s="210">
        <v>10000000</v>
      </c>
    </row>
    <row r="22" spans="1:3">
      <c r="A22" s="208" t="s">
        <v>1474</v>
      </c>
      <c r="B22" s="209">
        <v>10000000</v>
      </c>
      <c r="C22" s="209">
        <v>10000000.000000002</v>
      </c>
    </row>
    <row r="23" spans="1:3">
      <c r="A23" s="148" t="s">
        <v>1465</v>
      </c>
      <c r="B23" s="210">
        <v>10000000</v>
      </c>
      <c r="C23" s="210">
        <v>10000000.000000002</v>
      </c>
    </row>
    <row r="24" spans="1:3">
      <c r="A24" s="208" t="s">
        <v>1488</v>
      </c>
      <c r="B24" s="209">
        <v>10000000</v>
      </c>
      <c r="C24" s="209">
        <v>20106864.23</v>
      </c>
    </row>
    <row r="25" spans="1:3">
      <c r="A25" s="148" t="s">
        <v>1477</v>
      </c>
      <c r="B25" s="210">
        <v>10000000</v>
      </c>
      <c r="C25" s="210">
        <v>9740014.4900000002</v>
      </c>
    </row>
    <row r="26" spans="1:3">
      <c r="A26" s="208" t="s">
        <v>1485</v>
      </c>
      <c r="B26" s="209">
        <v>10000000</v>
      </c>
      <c r="C26" s="209">
        <v>5000000</v>
      </c>
    </row>
    <row r="27" spans="1:3">
      <c r="A27" s="148" t="s">
        <v>2692</v>
      </c>
      <c r="B27" s="210">
        <v>9942760.7100000009</v>
      </c>
      <c r="C27" s="210">
        <v>5100000</v>
      </c>
    </row>
    <row r="28" spans="1:3">
      <c r="A28" s="208" t="s">
        <v>2664</v>
      </c>
      <c r="B28" s="209">
        <v>9559774.8399999999</v>
      </c>
      <c r="C28" s="209">
        <v>8226835.4299999997</v>
      </c>
    </row>
    <row r="29" spans="1:3">
      <c r="A29" s="148" t="s">
        <v>2739</v>
      </c>
      <c r="B29" s="210">
        <v>9500000</v>
      </c>
      <c r="C29" s="210">
        <v>9500000</v>
      </c>
    </row>
    <row r="30" spans="1:3">
      <c r="A30" s="208" t="s">
        <v>2741</v>
      </c>
      <c r="B30" s="209">
        <v>9433134.9100000001</v>
      </c>
      <c r="C30" s="209">
        <v>9433134.9100000001</v>
      </c>
    </row>
    <row r="31" spans="1:3">
      <c r="A31" s="148" t="s">
        <v>2687</v>
      </c>
      <c r="B31" s="210">
        <v>8594066.3399999999</v>
      </c>
      <c r="C31" s="210">
        <v>6900000</v>
      </c>
    </row>
    <row r="32" spans="1:3">
      <c r="A32" s="208" t="s">
        <v>2632</v>
      </c>
      <c r="B32" s="209">
        <v>7500000</v>
      </c>
      <c r="C32" s="209">
        <v>7500000</v>
      </c>
    </row>
    <row r="33" spans="1:3">
      <c r="A33" s="148" t="s">
        <v>2690</v>
      </c>
      <c r="B33" s="210">
        <v>6900000</v>
      </c>
      <c r="C33" s="210">
        <v>6900000</v>
      </c>
    </row>
    <row r="34" spans="1:3">
      <c r="A34" s="208" t="s">
        <v>1512</v>
      </c>
      <c r="B34" s="209">
        <v>6513255.9699999997</v>
      </c>
      <c r="C34" s="209">
        <v>10762614.68</v>
      </c>
    </row>
    <row r="35" spans="1:3">
      <c r="A35" s="148" t="s">
        <v>1483</v>
      </c>
      <c r="B35" s="210">
        <v>6000000</v>
      </c>
      <c r="C35" s="210">
        <v>5999999.9999999991</v>
      </c>
    </row>
    <row r="36" spans="1:3">
      <c r="A36" s="208" t="s">
        <v>1482</v>
      </c>
      <c r="B36" s="209">
        <v>6000000</v>
      </c>
      <c r="C36" s="209">
        <v>6000000</v>
      </c>
    </row>
    <row r="37" spans="1:3">
      <c r="A37" s="148" t="s">
        <v>2742</v>
      </c>
      <c r="B37" s="210">
        <v>6000000</v>
      </c>
      <c r="C37" s="210">
        <v>6000000</v>
      </c>
    </row>
    <row r="38" spans="1:3">
      <c r="A38" s="208" t="s">
        <v>2633</v>
      </c>
      <c r="B38" s="209">
        <v>5500000</v>
      </c>
      <c r="C38" s="209">
        <v>5500000</v>
      </c>
    </row>
    <row r="39" spans="1:3">
      <c r="A39" s="148" t="s">
        <v>2684</v>
      </c>
      <c r="B39" s="210">
        <v>5015683.62</v>
      </c>
      <c r="C39" s="210">
        <v>5015683.62</v>
      </c>
    </row>
    <row r="40" spans="1:3">
      <c r="A40" s="208" t="s">
        <v>1486</v>
      </c>
      <c r="B40" s="209">
        <v>5000000</v>
      </c>
      <c r="C40" s="209">
        <v>5000000</v>
      </c>
    </row>
    <row r="41" spans="1:3">
      <c r="A41" s="148" t="s">
        <v>2740</v>
      </c>
      <c r="B41" s="210">
        <v>5000000</v>
      </c>
      <c r="C41" s="210">
        <v>5000000.0000000009</v>
      </c>
    </row>
    <row r="42" spans="1:3">
      <c r="A42" s="208" t="s">
        <v>1490</v>
      </c>
      <c r="B42" s="209">
        <v>5000000</v>
      </c>
      <c r="C42" s="209">
        <v>5000000</v>
      </c>
    </row>
    <row r="43" spans="1:3">
      <c r="A43" s="148" t="s">
        <v>2631</v>
      </c>
      <c r="B43" s="210">
        <v>5000000</v>
      </c>
      <c r="C43" s="210">
        <v>5213008.16</v>
      </c>
    </row>
    <row r="44" spans="1:3">
      <c r="A44" s="208" t="s">
        <v>2683</v>
      </c>
      <c r="B44" s="209">
        <v>4415600</v>
      </c>
      <c r="C44" s="209">
        <v>4415600</v>
      </c>
    </row>
    <row r="45" spans="1:3">
      <c r="A45" s="148" t="s">
        <v>2682</v>
      </c>
      <c r="B45" s="210">
        <v>4202187.41</v>
      </c>
      <c r="C45" s="210">
        <v>4202187.41</v>
      </c>
    </row>
    <row r="46" spans="1:3">
      <c r="A46" s="208" t="s">
        <v>2668</v>
      </c>
      <c r="B46" s="209">
        <v>3634980.085</v>
      </c>
      <c r="C46" s="209">
        <v>2300000</v>
      </c>
    </row>
    <row r="47" spans="1:3">
      <c r="A47" s="148" t="s">
        <v>2667</v>
      </c>
      <c r="B47" s="210">
        <v>3453989.24</v>
      </c>
      <c r="C47" s="210">
        <v>3214285.31</v>
      </c>
    </row>
    <row r="48" spans="1:3">
      <c r="A48" s="208" t="s">
        <v>2666</v>
      </c>
      <c r="B48" s="209">
        <v>3083771.95</v>
      </c>
      <c r="C48" s="209">
        <v>3083771.95</v>
      </c>
    </row>
    <row r="49" spans="1:3">
      <c r="A49" s="148" t="s">
        <v>2677</v>
      </c>
      <c r="B49" s="210">
        <v>3027832.45</v>
      </c>
      <c r="C49" s="210">
        <v>2560000</v>
      </c>
    </row>
    <row r="50" spans="1:3">
      <c r="A50" s="208" t="s">
        <v>2686</v>
      </c>
      <c r="B50" s="209">
        <v>2820000</v>
      </c>
      <c r="C50" s="209">
        <v>2820000</v>
      </c>
    </row>
    <row r="51" spans="1:3">
      <c r="A51" s="148" t="s">
        <v>2678</v>
      </c>
      <c r="B51" s="210">
        <v>2495000</v>
      </c>
      <c r="C51" s="210">
        <v>2495000</v>
      </c>
    </row>
    <row r="52" spans="1:3">
      <c r="A52" s="208" t="s">
        <v>1541</v>
      </c>
      <c r="B52" s="209">
        <v>4988344.07</v>
      </c>
      <c r="C52" s="209">
        <v>2690000</v>
      </c>
    </row>
    <row r="53" spans="1:3">
      <c r="A53" s="148" t="s">
        <v>2659</v>
      </c>
      <c r="B53" s="210">
        <v>2094181.21</v>
      </c>
      <c r="C53" s="210">
        <v>1501348.98</v>
      </c>
    </row>
    <row r="54" spans="1:3">
      <c r="A54" s="208" t="s">
        <v>2660</v>
      </c>
      <c r="B54" s="209">
        <v>1995567.58</v>
      </c>
      <c r="C54" s="209">
        <v>1995567.58</v>
      </c>
    </row>
    <row r="55" spans="1:3">
      <c r="A55" s="148" t="s">
        <v>2680</v>
      </c>
      <c r="B55" s="210">
        <v>1465317.77</v>
      </c>
      <c r="C55" s="210">
        <v>390000</v>
      </c>
    </row>
    <row r="56" spans="1:3">
      <c r="A56" s="208" t="s">
        <v>2743</v>
      </c>
      <c r="B56" s="209">
        <v>1384644.65</v>
      </c>
      <c r="C56" s="209">
        <v>1384684.65</v>
      </c>
    </row>
    <row r="57" spans="1:3">
      <c r="A57" s="148" t="s">
        <v>2689</v>
      </c>
      <c r="B57" s="210">
        <v>1150000</v>
      </c>
      <c r="C57" s="210">
        <v>1150000</v>
      </c>
    </row>
    <row r="58" spans="1:3">
      <c r="A58" s="208" t="s">
        <v>2676</v>
      </c>
      <c r="B58" s="209">
        <v>961032.66</v>
      </c>
      <c r="C58" s="209">
        <v>961032.66</v>
      </c>
    </row>
    <row r="59" spans="1:3">
      <c r="A59" s="148" t="s">
        <v>2694</v>
      </c>
      <c r="B59" s="210">
        <v>941316.65</v>
      </c>
      <c r="C59" s="210">
        <v>941316.65</v>
      </c>
    </row>
    <row r="60" spans="1:3">
      <c r="A60" s="208" t="s">
        <v>2670</v>
      </c>
      <c r="B60" s="209">
        <v>857828.8</v>
      </c>
      <c r="C60" s="209">
        <v>857828.8</v>
      </c>
    </row>
    <row r="61" spans="1:3">
      <c r="A61" s="148" t="s">
        <v>2681</v>
      </c>
      <c r="B61" s="210">
        <v>787136</v>
      </c>
      <c r="C61" s="210">
        <v>787136</v>
      </c>
    </row>
    <row r="62" spans="1:3">
      <c r="A62" s="208" t="s">
        <v>2679</v>
      </c>
      <c r="B62" s="209">
        <v>54260.99</v>
      </c>
      <c r="C62" s="209">
        <v>54260.99</v>
      </c>
    </row>
    <row r="63" spans="1:3">
      <c r="A63" s="211"/>
      <c r="B63" s="212"/>
      <c r="C63" s="212"/>
    </row>
  </sheetData>
  <autoFilter ref="A4:C4" xr:uid="{00000000-0009-0000-0000-000020000000}">
    <sortState ref="A5:C63">
      <sortCondition descending="1" ref="B4"/>
    </sortState>
  </autoFilter>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0420B-1A1B-4645-A845-23CAA7FDB0AB}">
  <sheetPr>
    <tabColor rgb="FF92D050"/>
  </sheetPr>
  <dimension ref="A2:E493"/>
  <sheetViews>
    <sheetView topLeftCell="A461" zoomScale="80" zoomScaleNormal="80" workbookViewId="0"/>
  </sheetViews>
  <sheetFormatPr baseColWidth="10" defaultColWidth="11.5" defaultRowHeight="14"/>
  <cols>
    <col min="2" max="2" width="76.5" bestFit="1" customWidth="1"/>
    <col min="3" max="3" width="15.1640625" bestFit="1" customWidth="1"/>
    <col min="4" max="4" width="13.4140625" bestFit="1" customWidth="1"/>
    <col min="5" max="5" width="16.75" bestFit="1" customWidth="1"/>
  </cols>
  <sheetData>
    <row r="2" spans="1:5" ht="15.5">
      <c r="A2" s="7" t="s">
        <v>8128</v>
      </c>
    </row>
    <row r="4" spans="1:5">
      <c r="B4" s="137" t="s">
        <v>881</v>
      </c>
      <c r="C4" s="137" t="s">
        <v>1135</v>
      </c>
      <c r="D4" s="137" t="s">
        <v>1136</v>
      </c>
      <c r="E4" s="137" t="s">
        <v>8062</v>
      </c>
    </row>
    <row r="5" spans="1:5" ht="14.5">
      <c r="B5" s="533" t="s">
        <v>534</v>
      </c>
      <c r="C5" s="534">
        <v>1148645655</v>
      </c>
      <c r="D5" s="534"/>
      <c r="E5" s="534">
        <v>1148645655</v>
      </c>
    </row>
    <row r="6" spans="1:5" ht="14.5">
      <c r="B6" s="531" t="s">
        <v>69</v>
      </c>
      <c r="C6" s="532">
        <v>655807389</v>
      </c>
      <c r="D6" s="532"/>
      <c r="E6" s="532">
        <v>655807389</v>
      </c>
    </row>
    <row r="7" spans="1:5" ht="14.5">
      <c r="B7" s="533" t="s">
        <v>558</v>
      </c>
      <c r="C7" s="534">
        <v>512057520</v>
      </c>
      <c r="D7" s="534"/>
      <c r="E7" s="534">
        <v>512057520</v>
      </c>
    </row>
    <row r="8" spans="1:5" ht="14.5">
      <c r="B8" s="531" t="s">
        <v>539</v>
      </c>
      <c r="C8" s="532">
        <v>288553303</v>
      </c>
      <c r="D8" s="532"/>
      <c r="E8" s="532">
        <v>288553303</v>
      </c>
    </row>
    <row r="9" spans="1:5" ht="14.5">
      <c r="B9" s="533" t="s">
        <v>544</v>
      </c>
      <c r="C9" s="534">
        <v>242165676</v>
      </c>
      <c r="D9" s="534"/>
      <c r="E9" s="534">
        <v>242165676</v>
      </c>
    </row>
    <row r="10" spans="1:5" ht="14.5">
      <c r="B10" s="531" t="s">
        <v>553</v>
      </c>
      <c r="C10" s="532">
        <v>233003853</v>
      </c>
      <c r="D10" s="532"/>
      <c r="E10" s="532">
        <v>233003853</v>
      </c>
    </row>
    <row r="11" spans="1:5" ht="14.5">
      <c r="B11" s="533" t="s">
        <v>957</v>
      </c>
      <c r="C11" s="534">
        <v>231116296</v>
      </c>
      <c r="D11" s="534"/>
      <c r="E11" s="534">
        <v>231116296</v>
      </c>
    </row>
    <row r="12" spans="1:5" ht="14.5">
      <c r="B12" s="531" t="s">
        <v>2980</v>
      </c>
      <c r="C12" s="532">
        <v>194954327</v>
      </c>
      <c r="D12" s="532"/>
      <c r="E12" s="532">
        <v>194954327</v>
      </c>
    </row>
    <row r="13" spans="1:5" ht="14.5">
      <c r="B13" s="533" t="s">
        <v>578</v>
      </c>
      <c r="C13" s="534">
        <v>182328449</v>
      </c>
      <c r="D13" s="534"/>
      <c r="E13" s="534">
        <v>182328449</v>
      </c>
    </row>
    <row r="14" spans="1:5" ht="14.5">
      <c r="B14" s="531" t="s">
        <v>968</v>
      </c>
      <c r="C14" s="532">
        <v>164622255</v>
      </c>
      <c r="D14" s="532"/>
      <c r="E14" s="532">
        <v>164622255</v>
      </c>
    </row>
    <row r="15" spans="1:5" ht="14.5">
      <c r="B15" s="533" t="s">
        <v>2793</v>
      </c>
      <c r="C15" s="534">
        <v>131853287</v>
      </c>
      <c r="D15" s="534"/>
      <c r="E15" s="534">
        <v>131853287</v>
      </c>
    </row>
    <row r="16" spans="1:5" ht="14.5">
      <c r="B16" s="531" t="s">
        <v>562</v>
      </c>
      <c r="C16" s="532">
        <v>93597239</v>
      </c>
      <c r="D16" s="532"/>
      <c r="E16" s="532">
        <v>93597239</v>
      </c>
    </row>
    <row r="17" spans="2:5" ht="14.5">
      <c r="B17" s="533" t="s">
        <v>961</v>
      </c>
      <c r="C17" s="534">
        <v>89280765</v>
      </c>
      <c r="D17" s="534"/>
      <c r="E17" s="534">
        <v>89280765</v>
      </c>
    </row>
    <row r="18" spans="2:5" ht="14.5">
      <c r="B18" s="531" t="s">
        <v>651</v>
      </c>
      <c r="C18" s="532">
        <v>86241983</v>
      </c>
      <c r="D18" s="532"/>
      <c r="E18" s="532">
        <v>86241983</v>
      </c>
    </row>
    <row r="19" spans="2:5" ht="14.5">
      <c r="B19" s="533" t="s">
        <v>5411</v>
      </c>
      <c r="C19" s="534">
        <v>81536702</v>
      </c>
      <c r="D19" s="534"/>
      <c r="E19" s="534">
        <v>81536702</v>
      </c>
    </row>
    <row r="20" spans="2:5" ht="14.5">
      <c r="B20" s="531" t="s">
        <v>960</v>
      </c>
      <c r="C20" s="532">
        <v>80058049</v>
      </c>
      <c r="D20" s="532"/>
      <c r="E20" s="532">
        <v>80058049</v>
      </c>
    </row>
    <row r="21" spans="2:5" ht="14.5">
      <c r="B21" s="533" t="s">
        <v>68</v>
      </c>
      <c r="C21" s="534">
        <v>72234236</v>
      </c>
      <c r="D21" s="534"/>
      <c r="E21" s="534">
        <v>72234236</v>
      </c>
    </row>
    <row r="22" spans="2:5" ht="14.5">
      <c r="B22" s="531" t="s">
        <v>755</v>
      </c>
      <c r="C22" s="532"/>
      <c r="D22" s="532">
        <v>69520599</v>
      </c>
      <c r="E22" s="532">
        <v>69520599</v>
      </c>
    </row>
    <row r="23" spans="2:5" ht="14.5">
      <c r="B23" s="533" t="s">
        <v>74</v>
      </c>
      <c r="C23" s="534">
        <v>62198694</v>
      </c>
      <c r="D23" s="534"/>
      <c r="E23" s="534">
        <v>62198694</v>
      </c>
    </row>
    <row r="24" spans="2:5" ht="14.5">
      <c r="B24" s="531" t="s">
        <v>618</v>
      </c>
      <c r="C24" s="532">
        <v>60518060</v>
      </c>
      <c r="D24" s="532"/>
      <c r="E24" s="532">
        <v>60518060</v>
      </c>
    </row>
    <row r="25" spans="2:5" ht="14.5">
      <c r="B25" s="533" t="s">
        <v>190</v>
      </c>
      <c r="C25" s="534">
        <v>56084334</v>
      </c>
      <c r="D25" s="534"/>
      <c r="E25" s="534">
        <v>56084334</v>
      </c>
    </row>
    <row r="26" spans="2:5" ht="14.5">
      <c r="B26" s="531" t="s">
        <v>599</v>
      </c>
      <c r="C26" s="532">
        <v>54808561</v>
      </c>
      <c r="D26" s="532"/>
      <c r="E26" s="532">
        <v>54808561</v>
      </c>
    </row>
    <row r="27" spans="2:5" ht="14.5">
      <c r="B27" s="533" t="s">
        <v>622</v>
      </c>
      <c r="C27" s="534">
        <v>48209608</v>
      </c>
      <c r="D27" s="534"/>
      <c r="E27" s="534">
        <v>48209608</v>
      </c>
    </row>
    <row r="28" spans="2:5" ht="14.5">
      <c r="B28" s="531" t="s">
        <v>763</v>
      </c>
      <c r="C28" s="532"/>
      <c r="D28" s="532">
        <v>47289404</v>
      </c>
      <c r="E28" s="532">
        <v>47289404</v>
      </c>
    </row>
    <row r="29" spans="2:5" ht="14.5">
      <c r="B29" s="533" t="s">
        <v>607</v>
      </c>
      <c r="C29" s="534">
        <v>47176415</v>
      </c>
      <c r="D29" s="534"/>
      <c r="E29" s="534">
        <v>47176415</v>
      </c>
    </row>
    <row r="30" spans="2:5" ht="14.5">
      <c r="B30" s="531" t="s">
        <v>759</v>
      </c>
      <c r="C30" s="532"/>
      <c r="D30" s="532">
        <v>44899488</v>
      </c>
      <c r="E30" s="532">
        <v>44899488</v>
      </c>
    </row>
    <row r="31" spans="2:5" ht="14.5">
      <c r="B31" s="533" t="s">
        <v>973</v>
      </c>
      <c r="C31" s="534">
        <v>44865661</v>
      </c>
      <c r="D31" s="534"/>
      <c r="E31" s="534">
        <v>44865661</v>
      </c>
    </row>
    <row r="32" spans="2:5" ht="14.5">
      <c r="B32" s="531" t="s">
        <v>765</v>
      </c>
      <c r="C32" s="532"/>
      <c r="D32" s="532">
        <v>43758302</v>
      </c>
      <c r="E32" s="532">
        <v>43758302</v>
      </c>
    </row>
    <row r="33" spans="2:5" ht="14.5">
      <c r="B33" s="533" t="s">
        <v>662</v>
      </c>
      <c r="C33" s="534">
        <v>42109143</v>
      </c>
      <c r="D33" s="534"/>
      <c r="E33" s="534">
        <v>42109143</v>
      </c>
    </row>
    <row r="34" spans="2:5" ht="14.5">
      <c r="B34" s="531" t="s">
        <v>99</v>
      </c>
      <c r="C34" s="532">
        <v>40685227</v>
      </c>
      <c r="D34" s="532"/>
      <c r="E34" s="532">
        <v>40685227</v>
      </c>
    </row>
    <row r="35" spans="2:5" ht="14.5">
      <c r="B35" s="533" t="s">
        <v>87</v>
      </c>
      <c r="C35" s="534">
        <v>40665293</v>
      </c>
      <c r="D35" s="534"/>
      <c r="E35" s="534">
        <v>40665293</v>
      </c>
    </row>
    <row r="36" spans="2:5" ht="14.5">
      <c r="B36" s="531" t="s">
        <v>7936</v>
      </c>
      <c r="C36" s="532">
        <v>38139686</v>
      </c>
      <c r="D36" s="532"/>
      <c r="E36" s="532">
        <v>38139686</v>
      </c>
    </row>
    <row r="37" spans="2:5" ht="14.5">
      <c r="B37" s="533" t="s">
        <v>2773</v>
      </c>
      <c r="C37" s="534">
        <v>34724770</v>
      </c>
      <c r="D37" s="534"/>
      <c r="E37" s="534">
        <v>34724770</v>
      </c>
    </row>
    <row r="38" spans="2:5" ht="14.5">
      <c r="B38" s="531" t="s">
        <v>1847</v>
      </c>
      <c r="C38" s="532">
        <v>31029166</v>
      </c>
      <c r="D38" s="532"/>
      <c r="E38" s="532">
        <v>31029166</v>
      </c>
    </row>
    <row r="39" spans="2:5" ht="14.5">
      <c r="B39" s="533" t="s">
        <v>176</v>
      </c>
      <c r="C39" s="534">
        <v>30052112</v>
      </c>
      <c r="D39" s="534"/>
      <c r="E39" s="534">
        <v>30052112</v>
      </c>
    </row>
    <row r="40" spans="2:5" ht="14.5">
      <c r="B40" s="531" t="s">
        <v>130</v>
      </c>
      <c r="C40" s="532">
        <v>29845694</v>
      </c>
      <c r="D40" s="532"/>
      <c r="E40" s="532">
        <v>29845694</v>
      </c>
    </row>
    <row r="41" spans="2:5" ht="14.5">
      <c r="B41" s="533" t="s">
        <v>646</v>
      </c>
      <c r="C41" s="534">
        <v>29436887</v>
      </c>
      <c r="D41" s="534"/>
      <c r="E41" s="534">
        <v>29436887</v>
      </c>
    </row>
    <row r="42" spans="2:5" ht="14.5">
      <c r="B42" s="531" t="s">
        <v>141</v>
      </c>
      <c r="C42" s="532">
        <v>28220485</v>
      </c>
      <c r="D42" s="532"/>
      <c r="E42" s="532">
        <v>28220485</v>
      </c>
    </row>
    <row r="43" spans="2:5" ht="14.5">
      <c r="B43" s="533" t="s">
        <v>673</v>
      </c>
      <c r="C43" s="534">
        <v>28172699</v>
      </c>
      <c r="D43" s="534"/>
      <c r="E43" s="534">
        <v>28172699</v>
      </c>
    </row>
    <row r="44" spans="2:5" ht="14.5">
      <c r="B44" s="531" t="s">
        <v>2477</v>
      </c>
      <c r="C44" s="532">
        <v>27819297</v>
      </c>
      <c r="D44" s="532"/>
      <c r="E44" s="532">
        <v>27819297</v>
      </c>
    </row>
    <row r="45" spans="2:5" ht="14.5">
      <c r="B45" s="533" t="s">
        <v>659</v>
      </c>
      <c r="C45" s="534">
        <v>26165987</v>
      </c>
      <c r="D45" s="534"/>
      <c r="E45" s="534">
        <v>26165987</v>
      </c>
    </row>
    <row r="46" spans="2:5" ht="14.5">
      <c r="B46" s="531" t="s">
        <v>462</v>
      </c>
      <c r="C46" s="532">
        <v>25051140</v>
      </c>
      <c r="D46" s="532"/>
      <c r="E46" s="532">
        <v>25051140</v>
      </c>
    </row>
    <row r="47" spans="2:5" ht="14.5">
      <c r="B47" s="533" t="s">
        <v>188</v>
      </c>
      <c r="C47" s="534">
        <v>24807388</v>
      </c>
      <c r="D47" s="534"/>
      <c r="E47" s="534">
        <v>24807388</v>
      </c>
    </row>
    <row r="48" spans="2:5" ht="14.5">
      <c r="B48" s="531" t="s">
        <v>761</v>
      </c>
      <c r="C48" s="532"/>
      <c r="D48" s="532">
        <v>22925811</v>
      </c>
      <c r="E48" s="532">
        <v>22925811</v>
      </c>
    </row>
    <row r="49" spans="2:5" ht="14.5">
      <c r="B49" s="533" t="s">
        <v>676</v>
      </c>
      <c r="C49" s="534">
        <v>22038729</v>
      </c>
      <c r="D49" s="534"/>
      <c r="E49" s="534">
        <v>22038729</v>
      </c>
    </row>
    <row r="50" spans="2:5" ht="14.5">
      <c r="B50" s="531" t="s">
        <v>140</v>
      </c>
      <c r="C50" s="532">
        <v>21014618</v>
      </c>
      <c r="D50" s="532"/>
      <c r="E50" s="532">
        <v>21014618</v>
      </c>
    </row>
    <row r="51" spans="2:5" ht="14.5">
      <c r="B51" s="533" t="s">
        <v>7939</v>
      </c>
      <c r="C51" s="534">
        <v>17397065</v>
      </c>
      <c r="D51" s="534"/>
      <c r="E51" s="534">
        <v>17397065</v>
      </c>
    </row>
    <row r="52" spans="2:5" ht="14.5">
      <c r="B52" s="531" t="s">
        <v>967</v>
      </c>
      <c r="C52" s="532">
        <v>17081539</v>
      </c>
      <c r="D52" s="532"/>
      <c r="E52" s="532">
        <v>17081539</v>
      </c>
    </row>
    <row r="53" spans="2:5" ht="14.5">
      <c r="B53" s="533" t="s">
        <v>8059</v>
      </c>
      <c r="C53" s="534">
        <v>15958398</v>
      </c>
      <c r="D53" s="534"/>
      <c r="E53" s="534">
        <v>15958398</v>
      </c>
    </row>
    <row r="54" spans="2:5" ht="14.5">
      <c r="B54" s="531" t="s">
        <v>6968</v>
      </c>
      <c r="C54" s="532">
        <v>15304686</v>
      </c>
      <c r="D54" s="532"/>
      <c r="E54" s="532">
        <v>15304686</v>
      </c>
    </row>
    <row r="55" spans="2:5" ht="14.5">
      <c r="B55" s="533" t="s">
        <v>1251</v>
      </c>
      <c r="C55" s="534">
        <v>13754049</v>
      </c>
      <c r="D55" s="534"/>
      <c r="E55" s="534">
        <v>13754049</v>
      </c>
    </row>
    <row r="56" spans="2:5" ht="14.5">
      <c r="B56" s="531" t="s">
        <v>6970</v>
      </c>
      <c r="C56" s="532">
        <v>13483454</v>
      </c>
      <c r="D56" s="532"/>
      <c r="E56" s="532">
        <v>13483454</v>
      </c>
    </row>
    <row r="57" spans="2:5" ht="14.5">
      <c r="B57" s="533" t="s">
        <v>7209</v>
      </c>
      <c r="C57" s="534">
        <v>11243989</v>
      </c>
      <c r="D57" s="534"/>
      <c r="E57" s="534">
        <v>11243989</v>
      </c>
    </row>
    <row r="58" spans="2:5" ht="14.5">
      <c r="B58" s="531" t="s">
        <v>6971</v>
      </c>
      <c r="C58" s="532">
        <v>9457912</v>
      </c>
      <c r="D58" s="532"/>
      <c r="E58" s="532">
        <v>9457912</v>
      </c>
    </row>
    <row r="59" spans="2:5" ht="14.5">
      <c r="B59" s="533" t="s">
        <v>111</v>
      </c>
      <c r="C59" s="534">
        <v>8985407</v>
      </c>
      <c r="D59" s="534"/>
      <c r="E59" s="534">
        <v>8985407</v>
      </c>
    </row>
    <row r="60" spans="2:5" ht="14.5">
      <c r="B60" s="531" t="s">
        <v>701</v>
      </c>
      <c r="C60" s="532">
        <v>8930750</v>
      </c>
      <c r="D60" s="532"/>
      <c r="E60" s="532">
        <v>8930750</v>
      </c>
    </row>
    <row r="61" spans="2:5" ht="14.5">
      <c r="B61" s="533" t="s">
        <v>6973</v>
      </c>
      <c r="C61" s="534">
        <v>7864766</v>
      </c>
      <c r="D61" s="534"/>
      <c r="E61" s="534">
        <v>7864766</v>
      </c>
    </row>
    <row r="62" spans="2:5" ht="14.5">
      <c r="B62" s="531" t="s">
        <v>6974</v>
      </c>
      <c r="C62" s="532">
        <v>7490852</v>
      </c>
      <c r="D62" s="532"/>
      <c r="E62" s="532">
        <v>7490852</v>
      </c>
    </row>
    <row r="63" spans="2:5" ht="14.5">
      <c r="B63" s="533" t="s">
        <v>6972</v>
      </c>
      <c r="C63" s="534">
        <v>6889143</v>
      </c>
      <c r="D63" s="534"/>
      <c r="E63" s="534">
        <v>6889143</v>
      </c>
    </row>
    <row r="64" spans="2:5" ht="14.5">
      <c r="B64" s="531" t="s">
        <v>978</v>
      </c>
      <c r="C64" s="532">
        <v>5955071</v>
      </c>
      <c r="D64" s="532"/>
      <c r="E64" s="532">
        <v>5955071</v>
      </c>
    </row>
    <row r="65" spans="2:5" ht="14.5">
      <c r="B65" s="533" t="s">
        <v>7932</v>
      </c>
      <c r="C65" s="534"/>
      <c r="D65" s="534">
        <v>5859109</v>
      </c>
      <c r="E65" s="534">
        <v>5859109</v>
      </c>
    </row>
    <row r="66" spans="2:5" ht="14.5">
      <c r="B66" s="531" t="s">
        <v>6975</v>
      </c>
      <c r="C66" s="532">
        <v>4568926</v>
      </c>
      <c r="D66" s="532"/>
      <c r="E66" s="532">
        <v>4568926</v>
      </c>
    </row>
    <row r="67" spans="2:5" ht="14.5">
      <c r="B67" s="533" t="s">
        <v>75</v>
      </c>
      <c r="C67" s="534">
        <v>4506201</v>
      </c>
      <c r="D67" s="534"/>
      <c r="E67" s="534">
        <v>4506201</v>
      </c>
    </row>
    <row r="68" spans="2:5" ht="14.5">
      <c r="B68" s="531" t="s">
        <v>138</v>
      </c>
      <c r="C68" s="532">
        <v>4342134</v>
      </c>
      <c r="D68" s="532"/>
      <c r="E68" s="532">
        <v>4342134</v>
      </c>
    </row>
    <row r="69" spans="2:5" ht="14.5">
      <c r="B69" s="533" t="s">
        <v>5729</v>
      </c>
      <c r="C69" s="534">
        <v>3616713</v>
      </c>
      <c r="D69" s="534"/>
      <c r="E69" s="534">
        <v>3616713</v>
      </c>
    </row>
    <row r="70" spans="2:5" ht="14.5">
      <c r="B70" s="531" t="s">
        <v>990</v>
      </c>
      <c r="C70" s="532">
        <v>3275397</v>
      </c>
      <c r="D70" s="532"/>
      <c r="E70" s="532">
        <v>3275397</v>
      </c>
    </row>
    <row r="71" spans="2:5" ht="14.5">
      <c r="B71" s="533" t="s">
        <v>985</v>
      </c>
      <c r="C71" s="534">
        <v>3179721</v>
      </c>
      <c r="D71" s="534"/>
      <c r="E71" s="534">
        <v>3179721</v>
      </c>
    </row>
    <row r="72" spans="2:5" ht="14.5">
      <c r="B72" s="531" t="s">
        <v>6980</v>
      </c>
      <c r="C72" s="532">
        <v>2563974</v>
      </c>
      <c r="D72" s="532"/>
      <c r="E72" s="532">
        <v>2563974</v>
      </c>
    </row>
    <row r="73" spans="2:5" ht="14.5">
      <c r="B73" s="533" t="s">
        <v>692</v>
      </c>
      <c r="C73" s="534">
        <v>2393826</v>
      </c>
      <c r="D73" s="534"/>
      <c r="E73" s="534">
        <v>2393826</v>
      </c>
    </row>
    <row r="74" spans="2:5" ht="14.5">
      <c r="B74" s="531" t="s">
        <v>6979</v>
      </c>
      <c r="C74" s="532">
        <v>2343895</v>
      </c>
      <c r="D74" s="532"/>
      <c r="E74" s="532">
        <v>2343895</v>
      </c>
    </row>
    <row r="75" spans="2:5" ht="14.5">
      <c r="B75" s="533" t="s">
        <v>6984</v>
      </c>
      <c r="C75" s="534">
        <v>2067625</v>
      </c>
      <c r="D75" s="534"/>
      <c r="E75" s="534">
        <v>2067625</v>
      </c>
    </row>
    <row r="76" spans="2:5" ht="14.5">
      <c r="B76" s="531" t="s">
        <v>5707</v>
      </c>
      <c r="C76" s="532">
        <v>1939342</v>
      </c>
      <c r="D76" s="532"/>
      <c r="E76" s="532">
        <v>1939342</v>
      </c>
    </row>
    <row r="77" spans="2:5" ht="14.5">
      <c r="B77" s="533" t="s">
        <v>6981</v>
      </c>
      <c r="C77" s="534">
        <v>1879927</v>
      </c>
      <c r="D77" s="534"/>
      <c r="E77" s="534">
        <v>1879927</v>
      </c>
    </row>
    <row r="78" spans="2:5" ht="14.5">
      <c r="B78" s="531" t="s">
        <v>6988</v>
      </c>
      <c r="C78" s="532">
        <v>1387414</v>
      </c>
      <c r="D78" s="532"/>
      <c r="E78" s="532">
        <v>1387414</v>
      </c>
    </row>
    <row r="79" spans="2:5" ht="14.5">
      <c r="B79" s="533" t="s">
        <v>6985</v>
      </c>
      <c r="C79" s="534">
        <v>1330014</v>
      </c>
      <c r="D79" s="534"/>
      <c r="E79" s="534">
        <v>1330014</v>
      </c>
    </row>
    <row r="80" spans="2:5" ht="14.5">
      <c r="B80" s="531" t="s">
        <v>7945</v>
      </c>
      <c r="C80" s="532">
        <v>1216416</v>
      </c>
      <c r="D80" s="532"/>
      <c r="E80" s="532">
        <v>1216416</v>
      </c>
    </row>
    <row r="81" spans="2:5" ht="14.5">
      <c r="B81" s="533" t="s">
        <v>8063</v>
      </c>
      <c r="C81" s="534">
        <v>1166752</v>
      </c>
      <c r="D81" s="534"/>
      <c r="E81" s="534">
        <v>1166752</v>
      </c>
    </row>
    <row r="82" spans="2:5" ht="14.5">
      <c r="B82" s="531" t="s">
        <v>6987</v>
      </c>
      <c r="C82" s="532">
        <v>1109438</v>
      </c>
      <c r="D82" s="532"/>
      <c r="E82" s="532">
        <v>1109438</v>
      </c>
    </row>
    <row r="83" spans="2:5" ht="14.5">
      <c r="B83" s="533" t="s">
        <v>8054</v>
      </c>
      <c r="C83" s="534">
        <v>1061133</v>
      </c>
      <c r="D83" s="534"/>
      <c r="E83" s="534">
        <v>1061133</v>
      </c>
    </row>
    <row r="84" spans="2:5" ht="14.5">
      <c r="B84" s="531" t="s">
        <v>6991</v>
      </c>
      <c r="C84" s="532">
        <v>909913</v>
      </c>
      <c r="D84" s="532"/>
      <c r="E84" s="532">
        <v>909913</v>
      </c>
    </row>
    <row r="85" spans="2:5" ht="14.5">
      <c r="B85" s="533" t="s">
        <v>7970</v>
      </c>
      <c r="C85" s="534">
        <v>867442</v>
      </c>
      <c r="D85" s="534"/>
      <c r="E85" s="534">
        <v>867442</v>
      </c>
    </row>
    <row r="86" spans="2:5" ht="14.5">
      <c r="B86" s="531" t="s">
        <v>5745</v>
      </c>
      <c r="C86" s="532">
        <v>800000</v>
      </c>
      <c r="D86" s="532"/>
      <c r="E86" s="532">
        <v>800000</v>
      </c>
    </row>
    <row r="87" spans="2:5" ht="14.5">
      <c r="B87" s="533" t="s">
        <v>709</v>
      </c>
      <c r="C87" s="534">
        <v>762874</v>
      </c>
      <c r="D87" s="534"/>
      <c r="E87" s="534">
        <v>762874</v>
      </c>
    </row>
    <row r="88" spans="2:5" ht="14.5">
      <c r="B88" s="531" t="s">
        <v>8041</v>
      </c>
      <c r="C88" s="532">
        <v>720944</v>
      </c>
      <c r="D88" s="532"/>
      <c r="E88" s="532">
        <v>720944</v>
      </c>
    </row>
    <row r="89" spans="2:5" ht="14.5">
      <c r="B89" s="533" t="s">
        <v>714</v>
      </c>
      <c r="C89" s="534">
        <v>681409</v>
      </c>
      <c r="D89" s="534"/>
      <c r="E89" s="534">
        <v>681409</v>
      </c>
    </row>
    <row r="90" spans="2:5" ht="14.5">
      <c r="B90" s="531" t="s">
        <v>453</v>
      </c>
      <c r="C90" s="532">
        <v>622343</v>
      </c>
      <c r="D90" s="532"/>
      <c r="E90" s="532">
        <v>622343</v>
      </c>
    </row>
    <row r="91" spans="2:5" ht="14.5">
      <c r="B91" s="533" t="s">
        <v>25</v>
      </c>
      <c r="C91" s="534">
        <v>599859</v>
      </c>
      <c r="D91" s="534"/>
      <c r="E91" s="534">
        <v>599859</v>
      </c>
    </row>
    <row r="92" spans="2:5" ht="14.5">
      <c r="B92" s="531" t="s">
        <v>8067</v>
      </c>
      <c r="C92" s="532">
        <v>595908</v>
      </c>
      <c r="D92" s="532"/>
      <c r="E92" s="532">
        <v>595908</v>
      </c>
    </row>
    <row r="93" spans="2:5" ht="14.5">
      <c r="B93" s="533" t="s">
        <v>62</v>
      </c>
      <c r="C93" s="534">
        <v>579762</v>
      </c>
      <c r="D93" s="534"/>
      <c r="E93" s="534">
        <v>579762</v>
      </c>
    </row>
    <row r="94" spans="2:5" ht="14.5">
      <c r="B94" s="531" t="s">
        <v>55</v>
      </c>
      <c r="C94" s="532">
        <v>568914</v>
      </c>
      <c r="D94" s="532"/>
      <c r="E94" s="532">
        <v>568914</v>
      </c>
    </row>
    <row r="95" spans="2:5" ht="14.5">
      <c r="B95" s="533" t="s">
        <v>8055</v>
      </c>
      <c r="C95" s="534">
        <v>532560</v>
      </c>
      <c r="D95" s="534"/>
      <c r="E95" s="534">
        <v>532560</v>
      </c>
    </row>
    <row r="96" spans="2:5" ht="14.5">
      <c r="B96" s="531" t="s">
        <v>161</v>
      </c>
      <c r="C96" s="532">
        <v>505896</v>
      </c>
      <c r="D96" s="532"/>
      <c r="E96" s="532">
        <v>505896</v>
      </c>
    </row>
    <row r="97" spans="2:5" ht="14.5">
      <c r="B97" s="533" t="s">
        <v>6998</v>
      </c>
      <c r="C97" s="534">
        <v>464515</v>
      </c>
      <c r="D97" s="534"/>
      <c r="E97" s="534">
        <v>464515</v>
      </c>
    </row>
    <row r="98" spans="2:5" ht="14.5">
      <c r="B98" s="531" t="s">
        <v>50</v>
      </c>
      <c r="C98" s="532">
        <v>446034</v>
      </c>
      <c r="D98" s="532"/>
      <c r="E98" s="532">
        <v>446034</v>
      </c>
    </row>
    <row r="99" spans="2:5" ht="14.5">
      <c r="B99" s="533" t="s">
        <v>88</v>
      </c>
      <c r="C99" s="534">
        <v>421402</v>
      </c>
      <c r="D99" s="534"/>
      <c r="E99" s="534">
        <v>421402</v>
      </c>
    </row>
    <row r="100" spans="2:5" ht="14.5">
      <c r="B100" s="531" t="s">
        <v>8007</v>
      </c>
      <c r="C100" s="532">
        <v>415974</v>
      </c>
      <c r="D100" s="532"/>
      <c r="E100" s="532">
        <v>415974</v>
      </c>
    </row>
    <row r="101" spans="2:5" ht="14.5">
      <c r="B101" s="533" t="s">
        <v>149</v>
      </c>
      <c r="C101" s="534">
        <v>401000</v>
      </c>
      <c r="D101" s="534"/>
      <c r="E101" s="534">
        <v>401000</v>
      </c>
    </row>
    <row r="102" spans="2:5" ht="14.5">
      <c r="B102" s="531" t="s">
        <v>269</v>
      </c>
      <c r="C102" s="532">
        <v>399647</v>
      </c>
      <c r="D102" s="532"/>
      <c r="E102" s="532">
        <v>399647</v>
      </c>
    </row>
    <row r="103" spans="2:5" ht="14.5">
      <c r="B103" s="533" t="s">
        <v>988</v>
      </c>
      <c r="C103" s="534">
        <v>394391</v>
      </c>
      <c r="D103" s="534"/>
      <c r="E103" s="534">
        <v>394391</v>
      </c>
    </row>
    <row r="104" spans="2:5" ht="14.5">
      <c r="B104" s="531" t="s">
        <v>79</v>
      </c>
      <c r="C104" s="532">
        <v>383670</v>
      </c>
      <c r="D104" s="532"/>
      <c r="E104" s="532">
        <v>383670</v>
      </c>
    </row>
    <row r="105" spans="2:5" ht="14.5">
      <c r="B105" s="533" t="s">
        <v>446</v>
      </c>
      <c r="C105" s="534">
        <v>372787</v>
      </c>
      <c r="D105" s="534"/>
      <c r="E105" s="534">
        <v>372787</v>
      </c>
    </row>
    <row r="106" spans="2:5" ht="14.5">
      <c r="B106" s="531" t="s">
        <v>7008</v>
      </c>
      <c r="C106" s="532">
        <v>369349</v>
      </c>
      <c r="D106" s="532"/>
      <c r="E106" s="532">
        <v>369349</v>
      </c>
    </row>
    <row r="107" spans="2:5" ht="14.5">
      <c r="B107" s="533" t="s">
        <v>1898</v>
      </c>
      <c r="C107" s="534">
        <v>354832</v>
      </c>
      <c r="D107" s="534"/>
      <c r="E107" s="534">
        <v>354832</v>
      </c>
    </row>
    <row r="108" spans="2:5" ht="14.5">
      <c r="B108" s="531" t="s">
        <v>7941</v>
      </c>
      <c r="C108" s="532">
        <v>350631</v>
      </c>
      <c r="D108" s="532"/>
      <c r="E108" s="532">
        <v>350631</v>
      </c>
    </row>
    <row r="109" spans="2:5" ht="14.5">
      <c r="B109" s="533" t="s">
        <v>404</v>
      </c>
      <c r="C109" s="534">
        <v>344020</v>
      </c>
      <c r="D109" s="534"/>
      <c r="E109" s="534">
        <v>344020</v>
      </c>
    </row>
    <row r="110" spans="2:5" ht="14.5">
      <c r="B110" s="531" t="s">
        <v>7002</v>
      </c>
      <c r="C110" s="532">
        <v>341938</v>
      </c>
      <c r="D110" s="532"/>
      <c r="E110" s="532">
        <v>341938</v>
      </c>
    </row>
    <row r="111" spans="2:5" ht="14.5">
      <c r="B111" s="533" t="s">
        <v>7006</v>
      </c>
      <c r="C111" s="534">
        <v>330519</v>
      </c>
      <c r="D111" s="534"/>
      <c r="E111" s="534">
        <v>330519</v>
      </c>
    </row>
    <row r="112" spans="2:5" ht="14.5">
      <c r="B112" s="531" t="s">
        <v>1858</v>
      </c>
      <c r="C112" s="532">
        <v>326607</v>
      </c>
      <c r="D112" s="532"/>
      <c r="E112" s="532">
        <v>326607</v>
      </c>
    </row>
    <row r="113" spans="2:5" ht="14.5">
      <c r="B113" s="533" t="s">
        <v>7004</v>
      </c>
      <c r="C113" s="534">
        <v>312354</v>
      </c>
      <c r="D113" s="534"/>
      <c r="E113" s="534">
        <v>312354</v>
      </c>
    </row>
    <row r="114" spans="2:5" ht="14.5">
      <c r="B114" s="531" t="s">
        <v>7965</v>
      </c>
      <c r="C114" s="532">
        <v>311274</v>
      </c>
      <c r="D114" s="532"/>
      <c r="E114" s="532">
        <v>311274</v>
      </c>
    </row>
    <row r="115" spans="2:5" ht="14.5">
      <c r="B115" s="533" t="s">
        <v>8032</v>
      </c>
      <c r="C115" s="534">
        <v>300430</v>
      </c>
      <c r="D115" s="534"/>
      <c r="E115" s="534">
        <v>300430</v>
      </c>
    </row>
    <row r="116" spans="2:5" ht="14.5">
      <c r="B116" s="531" t="s">
        <v>8036</v>
      </c>
      <c r="C116" s="532">
        <v>283198</v>
      </c>
      <c r="D116" s="532"/>
      <c r="E116" s="532">
        <v>283198</v>
      </c>
    </row>
    <row r="117" spans="2:5" ht="14.5">
      <c r="B117" s="533" t="s">
        <v>5706</v>
      </c>
      <c r="C117" s="534">
        <v>272159</v>
      </c>
      <c r="D117" s="534"/>
      <c r="E117" s="534">
        <v>272159</v>
      </c>
    </row>
    <row r="118" spans="2:5" ht="14.5">
      <c r="B118" s="531" t="s">
        <v>8038</v>
      </c>
      <c r="C118" s="532">
        <v>270922</v>
      </c>
      <c r="D118" s="532"/>
      <c r="E118" s="532">
        <v>270922</v>
      </c>
    </row>
    <row r="119" spans="2:5" ht="14.5">
      <c r="B119" s="533" t="s">
        <v>7010</v>
      </c>
      <c r="C119" s="534">
        <v>255338</v>
      </c>
      <c r="D119" s="534"/>
      <c r="E119" s="534">
        <v>255338</v>
      </c>
    </row>
    <row r="120" spans="2:5" ht="14.5">
      <c r="B120" s="531" t="s">
        <v>7013</v>
      </c>
      <c r="C120" s="532">
        <v>241203</v>
      </c>
      <c r="D120" s="532"/>
      <c r="E120" s="532">
        <v>241203</v>
      </c>
    </row>
    <row r="121" spans="2:5" ht="14.5">
      <c r="B121" s="533" t="s">
        <v>392</v>
      </c>
      <c r="C121" s="534">
        <v>240304</v>
      </c>
      <c r="D121" s="534"/>
      <c r="E121" s="534">
        <v>240304</v>
      </c>
    </row>
    <row r="122" spans="2:5" ht="14.5">
      <c r="B122" s="531" t="s">
        <v>1279</v>
      </c>
      <c r="C122" s="532">
        <v>236978</v>
      </c>
      <c r="D122" s="532"/>
      <c r="E122" s="532">
        <v>236978</v>
      </c>
    </row>
    <row r="123" spans="2:5" ht="14.5">
      <c r="B123" s="533" t="s">
        <v>8044</v>
      </c>
      <c r="C123" s="534">
        <v>225066</v>
      </c>
      <c r="D123" s="534"/>
      <c r="E123" s="534">
        <v>225066</v>
      </c>
    </row>
    <row r="124" spans="2:5" ht="14.5">
      <c r="B124" s="531" t="s">
        <v>449</v>
      </c>
      <c r="C124" s="532">
        <v>202426</v>
      </c>
      <c r="D124" s="532"/>
      <c r="E124" s="532">
        <v>202426</v>
      </c>
    </row>
    <row r="125" spans="2:5" ht="14.5">
      <c r="B125" s="533" t="s">
        <v>5741</v>
      </c>
      <c r="C125" s="534">
        <v>193278</v>
      </c>
      <c r="D125" s="534"/>
      <c r="E125" s="534">
        <v>193278</v>
      </c>
    </row>
    <row r="126" spans="2:5" ht="14.5">
      <c r="B126" s="531" t="s">
        <v>7978</v>
      </c>
      <c r="C126" s="532">
        <v>192048</v>
      </c>
      <c r="D126" s="532"/>
      <c r="E126" s="532">
        <v>192048</v>
      </c>
    </row>
    <row r="127" spans="2:5" ht="14.5">
      <c r="B127" s="533" t="s">
        <v>8035</v>
      </c>
      <c r="C127" s="534">
        <v>182245</v>
      </c>
      <c r="D127" s="534"/>
      <c r="E127" s="534">
        <v>182245</v>
      </c>
    </row>
    <row r="128" spans="2:5" ht="14.5">
      <c r="B128" s="531" t="s">
        <v>1004</v>
      </c>
      <c r="C128" s="532">
        <v>175748</v>
      </c>
      <c r="D128" s="532"/>
      <c r="E128" s="532">
        <v>175748</v>
      </c>
    </row>
    <row r="129" spans="2:5" ht="14.5">
      <c r="B129" s="533" t="s">
        <v>1273</v>
      </c>
      <c r="C129" s="534">
        <v>175457</v>
      </c>
      <c r="D129" s="534"/>
      <c r="E129" s="534">
        <v>175457</v>
      </c>
    </row>
    <row r="130" spans="2:5" ht="14.5">
      <c r="B130" s="531" t="s">
        <v>240</v>
      </c>
      <c r="C130" s="532">
        <v>172956</v>
      </c>
      <c r="D130" s="532"/>
      <c r="E130" s="532">
        <v>172956</v>
      </c>
    </row>
    <row r="131" spans="2:5" ht="14.5">
      <c r="B131" s="533" t="s">
        <v>7014</v>
      </c>
      <c r="C131" s="534">
        <v>167186</v>
      </c>
      <c r="D131" s="534"/>
      <c r="E131" s="534">
        <v>167186</v>
      </c>
    </row>
    <row r="132" spans="2:5" ht="14.5">
      <c r="B132" s="531" t="s">
        <v>137</v>
      </c>
      <c r="C132" s="532">
        <v>167148</v>
      </c>
      <c r="D132" s="532"/>
      <c r="E132" s="532">
        <v>167148</v>
      </c>
    </row>
    <row r="133" spans="2:5" ht="14.5">
      <c r="B133" s="533" t="s">
        <v>7022</v>
      </c>
      <c r="C133" s="534">
        <v>165917</v>
      </c>
      <c r="D133" s="534"/>
      <c r="E133" s="534">
        <v>165917</v>
      </c>
    </row>
    <row r="134" spans="2:5" ht="14.5">
      <c r="B134" s="531" t="s">
        <v>8065</v>
      </c>
      <c r="C134" s="532">
        <v>159323</v>
      </c>
      <c r="D134" s="532"/>
      <c r="E134" s="532">
        <v>159323</v>
      </c>
    </row>
    <row r="135" spans="2:5" ht="14.5">
      <c r="B135" s="533" t="s">
        <v>248</v>
      </c>
      <c r="C135" s="534">
        <v>150074</v>
      </c>
      <c r="D135" s="534"/>
      <c r="E135" s="534">
        <v>150074</v>
      </c>
    </row>
    <row r="136" spans="2:5" ht="14.5">
      <c r="B136" s="531" t="s">
        <v>7969</v>
      </c>
      <c r="C136" s="532">
        <v>150061</v>
      </c>
      <c r="D136" s="532"/>
      <c r="E136" s="532">
        <v>150061</v>
      </c>
    </row>
    <row r="137" spans="2:5" ht="14.5">
      <c r="B137" s="533" t="s">
        <v>993</v>
      </c>
      <c r="C137" s="534">
        <v>149413</v>
      </c>
      <c r="D137" s="534"/>
      <c r="E137" s="534">
        <v>149413</v>
      </c>
    </row>
    <row r="138" spans="2:5" ht="14.5">
      <c r="B138" s="531" t="s">
        <v>7017</v>
      </c>
      <c r="C138" s="532">
        <v>146339</v>
      </c>
      <c r="D138" s="532"/>
      <c r="E138" s="532">
        <v>146339</v>
      </c>
    </row>
    <row r="139" spans="2:5" ht="14.5">
      <c r="B139" s="533" t="s">
        <v>8053</v>
      </c>
      <c r="C139" s="534">
        <v>126817</v>
      </c>
      <c r="D139" s="534"/>
      <c r="E139" s="534">
        <v>126817</v>
      </c>
    </row>
    <row r="140" spans="2:5" ht="14.5">
      <c r="B140" s="531" t="s">
        <v>1265</v>
      </c>
      <c r="C140" s="532">
        <v>126031</v>
      </c>
      <c r="D140" s="532"/>
      <c r="E140" s="532">
        <v>126031</v>
      </c>
    </row>
    <row r="141" spans="2:5" ht="14.5">
      <c r="B141" s="533" t="s">
        <v>6982</v>
      </c>
      <c r="C141" s="534">
        <v>125824</v>
      </c>
      <c r="D141" s="534"/>
      <c r="E141" s="534">
        <v>125824</v>
      </c>
    </row>
    <row r="142" spans="2:5" ht="14.5">
      <c r="B142" s="531" t="s">
        <v>7974</v>
      </c>
      <c r="C142" s="532">
        <v>123864</v>
      </c>
      <c r="D142" s="532"/>
      <c r="E142" s="532">
        <v>123864</v>
      </c>
    </row>
    <row r="143" spans="2:5" ht="14.5">
      <c r="B143" s="533" t="s">
        <v>7963</v>
      </c>
      <c r="C143" s="534">
        <v>122226</v>
      </c>
      <c r="D143" s="534"/>
      <c r="E143" s="534">
        <v>122226</v>
      </c>
    </row>
    <row r="144" spans="2:5" ht="14.5">
      <c r="B144" s="531" t="s">
        <v>8023</v>
      </c>
      <c r="C144" s="532">
        <v>121196</v>
      </c>
      <c r="D144" s="532"/>
      <c r="E144" s="532">
        <v>121196</v>
      </c>
    </row>
    <row r="145" spans="2:5" ht="14.5">
      <c r="B145" s="533" t="s">
        <v>7980</v>
      </c>
      <c r="C145" s="534">
        <v>120378</v>
      </c>
      <c r="D145" s="534"/>
      <c r="E145" s="534">
        <v>120378</v>
      </c>
    </row>
    <row r="146" spans="2:5" ht="14.5">
      <c r="B146" s="531" t="s">
        <v>7962</v>
      </c>
      <c r="C146" s="532">
        <v>117567</v>
      </c>
      <c r="D146" s="532"/>
      <c r="E146" s="532">
        <v>117567</v>
      </c>
    </row>
    <row r="147" spans="2:5" ht="14.5">
      <c r="B147" s="533" t="s">
        <v>412</v>
      </c>
      <c r="C147" s="534">
        <v>113780</v>
      </c>
      <c r="D147" s="534"/>
      <c r="E147" s="534">
        <v>113780</v>
      </c>
    </row>
    <row r="148" spans="2:5" ht="14.5">
      <c r="B148" s="531" t="s">
        <v>7972</v>
      </c>
      <c r="C148" s="532">
        <v>108968</v>
      </c>
      <c r="D148" s="532"/>
      <c r="E148" s="532">
        <v>108968</v>
      </c>
    </row>
    <row r="149" spans="2:5" ht="14.5">
      <c r="B149" s="533" t="s">
        <v>170</v>
      </c>
      <c r="C149" s="534">
        <v>107680</v>
      </c>
      <c r="D149" s="534"/>
      <c r="E149" s="534">
        <v>107680</v>
      </c>
    </row>
    <row r="150" spans="2:5" ht="14.5">
      <c r="B150" s="531" t="s">
        <v>7946</v>
      </c>
      <c r="C150" s="532">
        <v>100257</v>
      </c>
      <c r="D150" s="532"/>
      <c r="E150" s="532">
        <v>100257</v>
      </c>
    </row>
    <row r="151" spans="2:5" ht="14.5">
      <c r="B151" s="533" t="s">
        <v>7026</v>
      </c>
      <c r="C151" s="534">
        <v>99994</v>
      </c>
      <c r="D151" s="534"/>
      <c r="E151" s="534">
        <v>99994</v>
      </c>
    </row>
    <row r="152" spans="2:5" ht="14.5">
      <c r="B152" s="531" t="s">
        <v>8031</v>
      </c>
      <c r="C152" s="532">
        <v>98908</v>
      </c>
      <c r="D152" s="532"/>
      <c r="E152" s="532">
        <v>98908</v>
      </c>
    </row>
    <row r="153" spans="2:5" ht="14.5">
      <c r="B153" s="533" t="s">
        <v>327</v>
      </c>
      <c r="C153" s="534">
        <v>96550</v>
      </c>
      <c r="D153" s="534"/>
      <c r="E153" s="534">
        <v>96550</v>
      </c>
    </row>
    <row r="154" spans="2:5" ht="14.5">
      <c r="B154" s="531" t="s">
        <v>7937</v>
      </c>
      <c r="C154" s="532">
        <v>94572</v>
      </c>
      <c r="D154" s="532"/>
      <c r="E154" s="532">
        <v>94572</v>
      </c>
    </row>
    <row r="155" spans="2:5" ht="14.5">
      <c r="B155" s="533" t="s">
        <v>7996</v>
      </c>
      <c r="C155" s="534">
        <v>88940</v>
      </c>
      <c r="D155" s="534"/>
      <c r="E155" s="534">
        <v>88940</v>
      </c>
    </row>
    <row r="156" spans="2:5" ht="14.5">
      <c r="B156" s="531" t="s">
        <v>6881</v>
      </c>
      <c r="C156" s="532">
        <v>85742</v>
      </c>
      <c r="D156" s="532"/>
      <c r="E156" s="532">
        <v>85742</v>
      </c>
    </row>
    <row r="157" spans="2:5" ht="14.5">
      <c r="B157" s="533" t="s">
        <v>84</v>
      </c>
      <c r="C157" s="534">
        <v>84573</v>
      </c>
      <c r="D157" s="534"/>
      <c r="E157" s="534">
        <v>84573</v>
      </c>
    </row>
    <row r="158" spans="2:5" ht="14.5">
      <c r="B158" s="531" t="s">
        <v>8057</v>
      </c>
      <c r="C158" s="532">
        <v>82274</v>
      </c>
      <c r="D158" s="532"/>
      <c r="E158" s="532">
        <v>82274</v>
      </c>
    </row>
    <row r="159" spans="2:5" ht="14.5">
      <c r="B159" s="533" t="s">
        <v>7040</v>
      </c>
      <c r="C159" s="534">
        <v>80391</v>
      </c>
      <c r="D159" s="534"/>
      <c r="E159" s="534">
        <v>80391</v>
      </c>
    </row>
    <row r="160" spans="2:5" ht="14.5">
      <c r="B160" s="531" t="s">
        <v>7031</v>
      </c>
      <c r="C160" s="532">
        <v>78954</v>
      </c>
      <c r="D160" s="532"/>
      <c r="E160" s="532">
        <v>78954</v>
      </c>
    </row>
    <row r="161" spans="2:5" ht="14.5">
      <c r="B161" s="533" t="s">
        <v>5702</v>
      </c>
      <c r="C161" s="534">
        <v>78316</v>
      </c>
      <c r="D161" s="534"/>
      <c r="E161" s="534">
        <v>78316</v>
      </c>
    </row>
    <row r="162" spans="2:5" ht="14.5">
      <c r="B162" s="531" t="s">
        <v>1047</v>
      </c>
      <c r="C162" s="532">
        <v>77617</v>
      </c>
      <c r="D162" s="532"/>
      <c r="E162" s="532">
        <v>77617</v>
      </c>
    </row>
    <row r="163" spans="2:5" ht="14.5">
      <c r="B163" s="533" t="s">
        <v>7033</v>
      </c>
      <c r="C163" s="534">
        <v>77416</v>
      </c>
      <c r="D163" s="534"/>
      <c r="E163" s="534">
        <v>77416</v>
      </c>
    </row>
    <row r="164" spans="2:5" ht="14.5">
      <c r="B164" s="531" t="s">
        <v>5731</v>
      </c>
      <c r="C164" s="532">
        <v>75425</v>
      </c>
      <c r="D164" s="532"/>
      <c r="E164" s="532">
        <v>75425</v>
      </c>
    </row>
    <row r="165" spans="2:5" ht="14.5">
      <c r="B165" s="533" t="s">
        <v>1033</v>
      </c>
      <c r="C165" s="534">
        <v>74387</v>
      </c>
      <c r="D165" s="534"/>
      <c r="E165" s="534">
        <v>74387</v>
      </c>
    </row>
    <row r="166" spans="2:5" ht="14.5">
      <c r="B166" s="531" t="s">
        <v>1000</v>
      </c>
      <c r="C166" s="532">
        <v>74373</v>
      </c>
      <c r="D166" s="532"/>
      <c r="E166" s="532">
        <v>74373</v>
      </c>
    </row>
    <row r="167" spans="2:5" ht="14.5">
      <c r="B167" s="533" t="s">
        <v>7973</v>
      </c>
      <c r="C167" s="534">
        <v>70534</v>
      </c>
      <c r="D167" s="534"/>
      <c r="E167" s="534">
        <v>70534</v>
      </c>
    </row>
    <row r="168" spans="2:5" ht="14.5">
      <c r="B168" s="531" t="s">
        <v>166</v>
      </c>
      <c r="C168" s="532">
        <v>66797</v>
      </c>
      <c r="D168" s="532"/>
      <c r="E168" s="532">
        <v>66797</v>
      </c>
    </row>
    <row r="169" spans="2:5" ht="14.5">
      <c r="B169" s="533" t="s">
        <v>7024</v>
      </c>
      <c r="C169" s="534">
        <v>66068</v>
      </c>
      <c r="D169" s="534"/>
      <c r="E169" s="534">
        <v>66068</v>
      </c>
    </row>
    <row r="170" spans="2:5" ht="14.5">
      <c r="B170" s="531" t="s">
        <v>7090</v>
      </c>
      <c r="C170" s="532">
        <v>60313</v>
      </c>
      <c r="D170" s="532"/>
      <c r="E170" s="532">
        <v>60313</v>
      </c>
    </row>
    <row r="171" spans="2:5" ht="14.5">
      <c r="B171" s="533" t="s">
        <v>995</v>
      </c>
      <c r="C171" s="534">
        <v>59477</v>
      </c>
      <c r="D171" s="534"/>
      <c r="E171" s="534">
        <v>59477</v>
      </c>
    </row>
    <row r="172" spans="2:5" ht="14.5">
      <c r="B172" s="531" t="s">
        <v>8027</v>
      </c>
      <c r="C172" s="532">
        <v>56579</v>
      </c>
      <c r="D172" s="532"/>
      <c r="E172" s="532">
        <v>56579</v>
      </c>
    </row>
    <row r="173" spans="2:5" ht="14.5">
      <c r="B173" s="533" t="s">
        <v>152</v>
      </c>
      <c r="C173" s="534">
        <v>55972</v>
      </c>
      <c r="D173" s="534"/>
      <c r="E173" s="534">
        <v>55972</v>
      </c>
    </row>
    <row r="174" spans="2:5" ht="14.5">
      <c r="B174" s="531" t="s">
        <v>998</v>
      </c>
      <c r="C174" s="532">
        <v>55017</v>
      </c>
      <c r="D174" s="532"/>
      <c r="E174" s="532">
        <v>55017</v>
      </c>
    </row>
    <row r="175" spans="2:5" ht="14.5">
      <c r="B175" s="533" t="s">
        <v>7038</v>
      </c>
      <c r="C175" s="534">
        <v>53917</v>
      </c>
      <c r="D175" s="534"/>
      <c r="E175" s="534">
        <v>53917</v>
      </c>
    </row>
    <row r="176" spans="2:5" ht="14.5">
      <c r="B176" s="531" t="s">
        <v>1028</v>
      </c>
      <c r="C176" s="532">
        <v>53336</v>
      </c>
      <c r="D176" s="532"/>
      <c r="E176" s="532">
        <v>53336</v>
      </c>
    </row>
    <row r="177" spans="2:5" ht="14.5">
      <c r="B177" s="533" t="s">
        <v>7041</v>
      </c>
      <c r="C177" s="534">
        <v>50050</v>
      </c>
      <c r="D177" s="534"/>
      <c r="E177" s="534">
        <v>50050</v>
      </c>
    </row>
    <row r="178" spans="2:5" ht="14.5">
      <c r="B178" s="531" t="s">
        <v>7043</v>
      </c>
      <c r="C178" s="532">
        <v>50000</v>
      </c>
      <c r="D178" s="532"/>
      <c r="E178" s="532">
        <v>50000</v>
      </c>
    </row>
    <row r="179" spans="2:5" ht="14.5">
      <c r="B179" s="533" t="s">
        <v>7027</v>
      </c>
      <c r="C179" s="534">
        <v>50000</v>
      </c>
      <c r="D179" s="534"/>
      <c r="E179" s="534">
        <v>50000</v>
      </c>
    </row>
    <row r="180" spans="2:5" ht="14.5">
      <c r="B180" s="531" t="s">
        <v>769</v>
      </c>
      <c r="C180" s="532"/>
      <c r="D180" s="532">
        <v>48307</v>
      </c>
      <c r="E180" s="532">
        <v>48307</v>
      </c>
    </row>
    <row r="181" spans="2:5" ht="14.5">
      <c r="B181" s="533" t="s">
        <v>369</v>
      </c>
      <c r="C181" s="534">
        <v>44522</v>
      </c>
      <c r="D181" s="534"/>
      <c r="E181" s="534">
        <v>44522</v>
      </c>
    </row>
    <row r="182" spans="2:5" ht="14.5">
      <c r="B182" s="531" t="s">
        <v>1010</v>
      </c>
      <c r="C182" s="532">
        <v>43772</v>
      </c>
      <c r="D182" s="532"/>
      <c r="E182" s="532">
        <v>43772</v>
      </c>
    </row>
    <row r="183" spans="2:5" ht="14.5">
      <c r="B183" s="533" t="s">
        <v>221</v>
      </c>
      <c r="C183" s="534">
        <v>43058</v>
      </c>
      <c r="D183" s="534"/>
      <c r="E183" s="534">
        <v>43058</v>
      </c>
    </row>
    <row r="184" spans="2:5" ht="14.5">
      <c r="B184" s="531" t="s">
        <v>104</v>
      </c>
      <c r="C184" s="532">
        <v>41141</v>
      </c>
      <c r="D184" s="532"/>
      <c r="E184" s="532">
        <v>41141</v>
      </c>
    </row>
    <row r="185" spans="2:5" ht="14.5">
      <c r="B185" s="533" t="s">
        <v>7051</v>
      </c>
      <c r="C185" s="534">
        <v>40812</v>
      </c>
      <c r="D185" s="534"/>
      <c r="E185" s="534">
        <v>40812</v>
      </c>
    </row>
    <row r="186" spans="2:5" ht="14.5">
      <c r="B186" s="531" t="s">
        <v>7971</v>
      </c>
      <c r="C186" s="532">
        <v>40807</v>
      </c>
      <c r="D186" s="532"/>
      <c r="E186" s="532">
        <v>40807</v>
      </c>
    </row>
    <row r="187" spans="2:5" ht="14.5">
      <c r="B187" s="533" t="s">
        <v>238</v>
      </c>
      <c r="C187" s="534">
        <v>40692</v>
      </c>
      <c r="D187" s="534"/>
      <c r="E187" s="534">
        <v>40692</v>
      </c>
    </row>
    <row r="188" spans="2:5" ht="14.5">
      <c r="B188" s="531" t="s">
        <v>7952</v>
      </c>
      <c r="C188" s="532">
        <v>38198</v>
      </c>
      <c r="D188" s="532"/>
      <c r="E188" s="532">
        <v>38198</v>
      </c>
    </row>
    <row r="189" spans="2:5" ht="14.5">
      <c r="B189" s="533" t="s">
        <v>39</v>
      </c>
      <c r="C189" s="534">
        <v>37475</v>
      </c>
      <c r="D189" s="534"/>
      <c r="E189" s="534">
        <v>37475</v>
      </c>
    </row>
    <row r="190" spans="2:5" ht="14.5">
      <c r="B190" s="531" t="s">
        <v>8066</v>
      </c>
      <c r="C190" s="532">
        <v>37048</v>
      </c>
      <c r="D190" s="532"/>
      <c r="E190" s="532">
        <v>37048</v>
      </c>
    </row>
    <row r="191" spans="2:5" ht="14.5">
      <c r="B191" s="533" t="s">
        <v>7032</v>
      </c>
      <c r="C191" s="534">
        <v>37031</v>
      </c>
      <c r="D191" s="534"/>
      <c r="E191" s="534">
        <v>37031</v>
      </c>
    </row>
    <row r="192" spans="2:5" ht="14.5">
      <c r="B192" s="531" t="s">
        <v>7947</v>
      </c>
      <c r="C192" s="532">
        <v>36916</v>
      </c>
      <c r="D192" s="532"/>
      <c r="E192" s="532">
        <v>36916</v>
      </c>
    </row>
    <row r="193" spans="2:5" ht="14.5">
      <c r="B193" s="533" t="s">
        <v>997</v>
      </c>
      <c r="C193" s="534">
        <v>35844</v>
      </c>
      <c r="D193" s="534"/>
      <c r="E193" s="534">
        <v>35844</v>
      </c>
    </row>
    <row r="194" spans="2:5" ht="14.5">
      <c r="B194" s="531" t="s">
        <v>8024</v>
      </c>
      <c r="C194" s="532">
        <v>35066</v>
      </c>
      <c r="D194" s="532"/>
      <c r="E194" s="532">
        <v>35066</v>
      </c>
    </row>
    <row r="195" spans="2:5" ht="14.5">
      <c r="B195" s="533" t="s">
        <v>7992</v>
      </c>
      <c r="C195" s="534">
        <v>34832</v>
      </c>
      <c r="D195" s="534"/>
      <c r="E195" s="534">
        <v>34832</v>
      </c>
    </row>
    <row r="196" spans="2:5" ht="14.5">
      <c r="B196" s="531" t="s">
        <v>7981</v>
      </c>
      <c r="C196" s="532">
        <v>34618</v>
      </c>
      <c r="D196" s="532"/>
      <c r="E196" s="532">
        <v>34618</v>
      </c>
    </row>
    <row r="197" spans="2:5" ht="14.5">
      <c r="B197" s="533" t="s">
        <v>186</v>
      </c>
      <c r="C197" s="534">
        <v>33713</v>
      </c>
      <c r="D197" s="534"/>
      <c r="E197" s="534">
        <v>33713</v>
      </c>
    </row>
    <row r="198" spans="2:5" ht="14.5">
      <c r="B198" s="531" t="s">
        <v>7005</v>
      </c>
      <c r="C198" s="532">
        <v>33637</v>
      </c>
      <c r="D198" s="532"/>
      <c r="E198" s="532">
        <v>33637</v>
      </c>
    </row>
    <row r="199" spans="2:5" ht="14.5">
      <c r="B199" s="533" t="s">
        <v>7070</v>
      </c>
      <c r="C199" s="534">
        <v>31215</v>
      </c>
      <c r="D199" s="534"/>
      <c r="E199" s="534">
        <v>31215</v>
      </c>
    </row>
    <row r="200" spans="2:5" ht="14.5">
      <c r="B200" s="531" t="s">
        <v>8058</v>
      </c>
      <c r="C200" s="532">
        <v>30403</v>
      </c>
      <c r="D200" s="532"/>
      <c r="E200" s="532">
        <v>30403</v>
      </c>
    </row>
    <row r="201" spans="2:5" ht="14.5">
      <c r="B201" s="533" t="s">
        <v>996</v>
      </c>
      <c r="C201" s="534">
        <v>30288</v>
      </c>
      <c r="D201" s="534"/>
      <c r="E201" s="534">
        <v>30288</v>
      </c>
    </row>
    <row r="202" spans="2:5" ht="14.5">
      <c r="B202" s="531" t="s">
        <v>8039</v>
      </c>
      <c r="C202" s="532">
        <v>30274</v>
      </c>
      <c r="D202" s="532"/>
      <c r="E202" s="532">
        <v>30274</v>
      </c>
    </row>
    <row r="203" spans="2:5" ht="14.5">
      <c r="B203" s="533" t="s">
        <v>6888</v>
      </c>
      <c r="C203" s="534">
        <v>30066</v>
      </c>
      <c r="D203" s="534"/>
      <c r="E203" s="534">
        <v>30066</v>
      </c>
    </row>
    <row r="204" spans="2:5" ht="14.5">
      <c r="B204" s="531" t="s">
        <v>162</v>
      </c>
      <c r="C204" s="532">
        <v>29760</v>
      </c>
      <c r="D204" s="532"/>
      <c r="E204" s="532">
        <v>29760</v>
      </c>
    </row>
    <row r="205" spans="2:5" ht="14.5">
      <c r="B205" s="533" t="s">
        <v>7982</v>
      </c>
      <c r="C205" s="534">
        <v>29500</v>
      </c>
      <c r="D205" s="534"/>
      <c r="E205" s="534">
        <v>29500</v>
      </c>
    </row>
    <row r="206" spans="2:5" ht="14.5">
      <c r="B206" s="531" t="s">
        <v>8068</v>
      </c>
      <c r="C206" s="532">
        <v>28405</v>
      </c>
      <c r="D206" s="532"/>
      <c r="E206" s="532">
        <v>28405</v>
      </c>
    </row>
    <row r="207" spans="2:5" ht="14.5">
      <c r="B207" s="533" t="s">
        <v>1657</v>
      </c>
      <c r="C207" s="534">
        <v>28108</v>
      </c>
      <c r="D207" s="534"/>
      <c r="E207" s="534">
        <v>28108</v>
      </c>
    </row>
    <row r="208" spans="2:5" ht="14.5">
      <c r="B208" s="531" t="s">
        <v>8074</v>
      </c>
      <c r="C208" s="532">
        <v>27869</v>
      </c>
      <c r="D208" s="532"/>
      <c r="E208" s="532">
        <v>27869</v>
      </c>
    </row>
    <row r="209" spans="2:5" ht="14.5">
      <c r="B209" s="533" t="s">
        <v>179</v>
      </c>
      <c r="C209" s="534">
        <v>27860</v>
      </c>
      <c r="D209" s="534"/>
      <c r="E209" s="534">
        <v>27860</v>
      </c>
    </row>
    <row r="210" spans="2:5" ht="14.5">
      <c r="B210" s="531" t="s">
        <v>1007</v>
      </c>
      <c r="C210" s="532">
        <v>27811</v>
      </c>
      <c r="D210" s="532"/>
      <c r="E210" s="532">
        <v>27811</v>
      </c>
    </row>
    <row r="211" spans="2:5" ht="14.5">
      <c r="B211" s="533" t="s">
        <v>7061</v>
      </c>
      <c r="C211" s="534">
        <v>27602</v>
      </c>
      <c r="D211" s="534"/>
      <c r="E211" s="534">
        <v>27602</v>
      </c>
    </row>
    <row r="212" spans="2:5" ht="14.5">
      <c r="B212" s="531" t="s">
        <v>7994</v>
      </c>
      <c r="C212" s="532">
        <v>27300</v>
      </c>
      <c r="D212" s="532"/>
      <c r="E212" s="532">
        <v>27300</v>
      </c>
    </row>
    <row r="213" spans="2:5" ht="14.5">
      <c r="B213" s="533" t="s">
        <v>7062</v>
      </c>
      <c r="C213" s="534">
        <v>26148</v>
      </c>
      <c r="D213" s="534"/>
      <c r="E213" s="534">
        <v>26148</v>
      </c>
    </row>
    <row r="214" spans="2:5" ht="14.5">
      <c r="B214" s="531" t="s">
        <v>8034</v>
      </c>
      <c r="C214" s="532">
        <v>25685</v>
      </c>
      <c r="D214" s="532"/>
      <c r="E214" s="532">
        <v>25685</v>
      </c>
    </row>
    <row r="215" spans="2:5" ht="14.5">
      <c r="B215" s="533" t="s">
        <v>380</v>
      </c>
      <c r="C215" s="534">
        <v>25116</v>
      </c>
      <c r="D215" s="534"/>
      <c r="E215" s="534">
        <v>25116</v>
      </c>
    </row>
    <row r="216" spans="2:5" ht="14.5">
      <c r="B216" s="531" t="s">
        <v>7979</v>
      </c>
      <c r="C216" s="532">
        <v>24806</v>
      </c>
      <c r="D216" s="532"/>
      <c r="E216" s="532">
        <v>24806</v>
      </c>
    </row>
    <row r="217" spans="2:5" ht="14.5">
      <c r="B217" s="533" t="s">
        <v>1892</v>
      </c>
      <c r="C217" s="534">
        <v>23642</v>
      </c>
      <c r="D217" s="534"/>
      <c r="E217" s="534">
        <v>23642</v>
      </c>
    </row>
    <row r="218" spans="2:5" ht="14.5">
      <c r="B218" s="531" t="s">
        <v>208</v>
      </c>
      <c r="C218" s="532">
        <v>23061</v>
      </c>
      <c r="D218" s="532"/>
      <c r="E218" s="532">
        <v>23061</v>
      </c>
    </row>
    <row r="219" spans="2:5" ht="14.5">
      <c r="B219" s="533" t="s">
        <v>8004</v>
      </c>
      <c r="C219" s="534">
        <v>22100</v>
      </c>
      <c r="D219" s="534"/>
      <c r="E219" s="534">
        <v>22100</v>
      </c>
    </row>
    <row r="220" spans="2:5" ht="14.5">
      <c r="B220" s="531" t="s">
        <v>7954</v>
      </c>
      <c r="C220" s="532">
        <v>22020</v>
      </c>
      <c r="D220" s="532"/>
      <c r="E220" s="532">
        <v>22020</v>
      </c>
    </row>
    <row r="221" spans="2:5" ht="14.5">
      <c r="B221" s="533" t="s">
        <v>7984</v>
      </c>
      <c r="C221" s="534">
        <v>21820</v>
      </c>
      <c r="D221" s="534"/>
      <c r="E221" s="534">
        <v>21820</v>
      </c>
    </row>
    <row r="222" spans="2:5" ht="14.5">
      <c r="B222" s="531" t="s">
        <v>260</v>
      </c>
      <c r="C222" s="532">
        <v>21776</v>
      </c>
      <c r="D222" s="532"/>
      <c r="E222" s="532">
        <v>21776</v>
      </c>
    </row>
    <row r="223" spans="2:5" ht="14.5">
      <c r="B223" s="533" t="s">
        <v>8017</v>
      </c>
      <c r="C223" s="534">
        <v>21392</v>
      </c>
      <c r="D223" s="534"/>
      <c r="E223" s="534">
        <v>21392</v>
      </c>
    </row>
    <row r="224" spans="2:5" ht="14.5">
      <c r="B224" s="531" t="s">
        <v>7986</v>
      </c>
      <c r="C224" s="532">
        <v>20697</v>
      </c>
      <c r="D224" s="532"/>
      <c r="E224" s="532">
        <v>20697</v>
      </c>
    </row>
    <row r="225" spans="2:5" ht="14.5">
      <c r="B225" s="533" t="s">
        <v>1014</v>
      </c>
      <c r="C225" s="534">
        <v>20560</v>
      </c>
      <c r="D225" s="534"/>
      <c r="E225" s="534">
        <v>20560</v>
      </c>
    </row>
    <row r="226" spans="2:5" ht="14.5">
      <c r="B226" s="531" t="s">
        <v>8046</v>
      </c>
      <c r="C226" s="532">
        <v>20136</v>
      </c>
      <c r="D226" s="532"/>
      <c r="E226" s="532">
        <v>20136</v>
      </c>
    </row>
    <row r="227" spans="2:5" ht="14.5">
      <c r="B227" s="533" t="s">
        <v>8030</v>
      </c>
      <c r="C227" s="534">
        <v>20104</v>
      </c>
      <c r="D227" s="534"/>
      <c r="E227" s="534">
        <v>20104</v>
      </c>
    </row>
    <row r="228" spans="2:5" ht="14.5">
      <c r="B228" s="531" t="s">
        <v>8093</v>
      </c>
      <c r="C228" s="532">
        <v>20000</v>
      </c>
      <c r="D228" s="532"/>
      <c r="E228" s="532">
        <v>20000</v>
      </c>
    </row>
    <row r="229" spans="2:5" ht="14.5">
      <c r="B229" s="533" t="s">
        <v>8078</v>
      </c>
      <c r="C229" s="534">
        <v>19811</v>
      </c>
      <c r="D229" s="534"/>
      <c r="E229" s="534">
        <v>19811</v>
      </c>
    </row>
    <row r="230" spans="2:5" ht="14.5">
      <c r="B230" s="531" t="s">
        <v>1794</v>
      </c>
      <c r="C230" s="532">
        <v>19510</v>
      </c>
      <c r="D230" s="532"/>
      <c r="E230" s="532">
        <v>19510</v>
      </c>
    </row>
    <row r="231" spans="2:5" ht="14.5">
      <c r="B231" s="533" t="s">
        <v>236</v>
      </c>
      <c r="C231" s="534">
        <v>18015</v>
      </c>
      <c r="D231" s="534"/>
      <c r="E231" s="534">
        <v>18015</v>
      </c>
    </row>
    <row r="232" spans="2:5" ht="14.5">
      <c r="B232" s="531" t="s">
        <v>5732</v>
      </c>
      <c r="C232" s="532">
        <v>18008</v>
      </c>
      <c r="D232" s="532"/>
      <c r="E232" s="532">
        <v>18008</v>
      </c>
    </row>
    <row r="233" spans="2:5" ht="14.5">
      <c r="B233" s="533" t="s">
        <v>1832</v>
      </c>
      <c r="C233" s="534">
        <v>17983</v>
      </c>
      <c r="D233" s="534"/>
      <c r="E233" s="534">
        <v>17983</v>
      </c>
    </row>
    <row r="234" spans="2:5" ht="14.5">
      <c r="B234" s="531" t="s">
        <v>257</v>
      </c>
      <c r="C234" s="532">
        <v>17592</v>
      </c>
      <c r="D234" s="532"/>
      <c r="E234" s="532">
        <v>17592</v>
      </c>
    </row>
    <row r="235" spans="2:5" ht="14.5">
      <c r="B235" s="533" t="s">
        <v>206</v>
      </c>
      <c r="C235" s="534">
        <v>17567</v>
      </c>
      <c r="D235" s="534"/>
      <c r="E235" s="534">
        <v>17567</v>
      </c>
    </row>
    <row r="236" spans="2:5" ht="14.5">
      <c r="B236" s="531" t="s">
        <v>7074</v>
      </c>
      <c r="C236" s="532">
        <v>17002</v>
      </c>
      <c r="D236" s="532"/>
      <c r="E236" s="532">
        <v>17002</v>
      </c>
    </row>
    <row r="237" spans="2:5" ht="14.5">
      <c r="B237" s="533" t="s">
        <v>1011</v>
      </c>
      <c r="C237" s="534">
        <v>16997</v>
      </c>
      <c r="D237" s="534"/>
      <c r="E237" s="534">
        <v>16997</v>
      </c>
    </row>
    <row r="238" spans="2:5" ht="14.5">
      <c r="B238" s="531" t="s">
        <v>278</v>
      </c>
      <c r="C238" s="532">
        <v>16382</v>
      </c>
      <c r="D238" s="532"/>
      <c r="E238" s="532">
        <v>16382</v>
      </c>
    </row>
    <row r="239" spans="2:5" ht="14.5">
      <c r="B239" s="533" t="s">
        <v>7065</v>
      </c>
      <c r="C239" s="534">
        <v>16364</v>
      </c>
      <c r="D239" s="534"/>
      <c r="E239" s="534">
        <v>16364</v>
      </c>
    </row>
    <row r="240" spans="2:5" ht="14.5">
      <c r="B240" s="531" t="s">
        <v>330</v>
      </c>
      <c r="C240" s="532">
        <v>16210</v>
      </c>
      <c r="D240" s="532"/>
      <c r="E240" s="532">
        <v>16210</v>
      </c>
    </row>
    <row r="241" spans="2:5" ht="14.5">
      <c r="B241" s="533" t="s">
        <v>7078</v>
      </c>
      <c r="C241" s="534">
        <v>15314</v>
      </c>
      <c r="D241" s="534"/>
      <c r="E241" s="534">
        <v>15314</v>
      </c>
    </row>
    <row r="242" spans="2:5" ht="14.5">
      <c r="B242" s="531" t="s">
        <v>7079</v>
      </c>
      <c r="C242" s="532">
        <v>14554</v>
      </c>
      <c r="D242" s="532"/>
      <c r="E242" s="532">
        <v>14554</v>
      </c>
    </row>
    <row r="243" spans="2:5" ht="14.5">
      <c r="B243" s="533" t="s">
        <v>7120</v>
      </c>
      <c r="C243" s="534">
        <v>13914</v>
      </c>
      <c r="D243" s="534"/>
      <c r="E243" s="534">
        <v>13914</v>
      </c>
    </row>
    <row r="244" spans="2:5" ht="14.5">
      <c r="B244" s="531" t="s">
        <v>7960</v>
      </c>
      <c r="C244" s="532">
        <v>13094</v>
      </c>
      <c r="D244" s="532"/>
      <c r="E244" s="532">
        <v>13094</v>
      </c>
    </row>
    <row r="245" spans="2:5" ht="14.5">
      <c r="B245" s="533" t="s">
        <v>1019</v>
      </c>
      <c r="C245" s="534">
        <v>12775</v>
      </c>
      <c r="D245" s="534"/>
      <c r="E245" s="534">
        <v>12775</v>
      </c>
    </row>
    <row r="246" spans="2:5" ht="14.5">
      <c r="B246" s="531" t="s">
        <v>7081</v>
      </c>
      <c r="C246" s="532">
        <v>12696</v>
      </c>
      <c r="D246" s="532"/>
      <c r="E246" s="532">
        <v>12696</v>
      </c>
    </row>
    <row r="247" spans="2:5" ht="14.5">
      <c r="B247" s="533" t="s">
        <v>7977</v>
      </c>
      <c r="C247" s="534">
        <v>12633</v>
      </c>
      <c r="D247" s="534"/>
      <c r="E247" s="534">
        <v>12633</v>
      </c>
    </row>
    <row r="248" spans="2:5" ht="14.5">
      <c r="B248" s="531" t="s">
        <v>261</v>
      </c>
      <c r="C248" s="532">
        <v>12598</v>
      </c>
      <c r="D248" s="532"/>
      <c r="E248" s="532">
        <v>12598</v>
      </c>
    </row>
    <row r="249" spans="2:5" ht="14.5">
      <c r="B249" s="533" t="s">
        <v>7967</v>
      </c>
      <c r="C249" s="534">
        <v>12558</v>
      </c>
      <c r="D249" s="534"/>
      <c r="E249" s="534">
        <v>12558</v>
      </c>
    </row>
    <row r="250" spans="2:5" ht="14.5">
      <c r="B250" s="531" t="s">
        <v>8070</v>
      </c>
      <c r="C250" s="532">
        <v>12349</v>
      </c>
      <c r="D250" s="532"/>
      <c r="E250" s="532">
        <v>12349</v>
      </c>
    </row>
    <row r="251" spans="2:5" ht="14.5">
      <c r="B251" s="533" t="s">
        <v>7085</v>
      </c>
      <c r="C251" s="534">
        <v>12266</v>
      </c>
      <c r="D251" s="534"/>
      <c r="E251" s="534">
        <v>12266</v>
      </c>
    </row>
    <row r="252" spans="2:5" ht="14.5">
      <c r="B252" s="531" t="s">
        <v>378</v>
      </c>
      <c r="C252" s="532">
        <v>12222</v>
      </c>
      <c r="D252" s="532"/>
      <c r="E252" s="532">
        <v>12222</v>
      </c>
    </row>
    <row r="253" spans="2:5" ht="14.5">
      <c r="B253" s="533" t="s">
        <v>8049</v>
      </c>
      <c r="C253" s="534">
        <v>12026</v>
      </c>
      <c r="D253" s="534"/>
      <c r="E253" s="534">
        <v>12026</v>
      </c>
    </row>
    <row r="254" spans="2:5" ht="14.5">
      <c r="B254" s="531" t="s">
        <v>7046</v>
      </c>
      <c r="C254" s="532">
        <v>11911</v>
      </c>
      <c r="D254" s="532"/>
      <c r="E254" s="532">
        <v>11911</v>
      </c>
    </row>
    <row r="255" spans="2:5" ht="14.5">
      <c r="B255" s="533" t="s">
        <v>7961</v>
      </c>
      <c r="C255" s="534">
        <v>11647</v>
      </c>
      <c r="D255" s="534"/>
      <c r="E255" s="534">
        <v>11647</v>
      </c>
    </row>
    <row r="256" spans="2:5" ht="14.5">
      <c r="B256" s="531" t="s">
        <v>98</v>
      </c>
      <c r="C256" s="532">
        <v>11586</v>
      </c>
      <c r="D256" s="532"/>
      <c r="E256" s="532">
        <v>11586</v>
      </c>
    </row>
    <row r="257" spans="2:5" ht="14.5">
      <c r="B257" s="533" t="s">
        <v>8087</v>
      </c>
      <c r="C257" s="534">
        <v>11359</v>
      </c>
      <c r="D257" s="534"/>
      <c r="E257" s="534">
        <v>11359</v>
      </c>
    </row>
    <row r="258" spans="2:5" ht="14.5">
      <c r="B258" s="531" t="s">
        <v>204</v>
      </c>
      <c r="C258" s="532">
        <v>11342</v>
      </c>
      <c r="D258" s="532"/>
      <c r="E258" s="532">
        <v>11342</v>
      </c>
    </row>
    <row r="259" spans="2:5" ht="14.5">
      <c r="B259" s="533" t="s">
        <v>7997</v>
      </c>
      <c r="C259" s="534">
        <v>11171</v>
      </c>
      <c r="D259" s="534"/>
      <c r="E259" s="534">
        <v>11171</v>
      </c>
    </row>
    <row r="260" spans="2:5" ht="14.5">
      <c r="B260" s="531" t="s">
        <v>5737</v>
      </c>
      <c r="C260" s="532">
        <v>11063</v>
      </c>
      <c r="D260" s="532"/>
      <c r="E260" s="532">
        <v>11063</v>
      </c>
    </row>
    <row r="261" spans="2:5" ht="14.5">
      <c r="B261" s="533" t="s">
        <v>409</v>
      </c>
      <c r="C261" s="534">
        <v>10972</v>
      </c>
      <c r="D261" s="534"/>
      <c r="E261" s="534">
        <v>10972</v>
      </c>
    </row>
    <row r="262" spans="2:5" ht="14.5">
      <c r="B262" s="531" t="s">
        <v>375</v>
      </c>
      <c r="C262" s="532">
        <v>10643</v>
      </c>
      <c r="D262" s="532"/>
      <c r="E262" s="532">
        <v>10643</v>
      </c>
    </row>
    <row r="263" spans="2:5" ht="14.5">
      <c r="B263" s="533" t="s">
        <v>391</v>
      </c>
      <c r="C263" s="534">
        <v>10372</v>
      </c>
      <c r="D263" s="534"/>
      <c r="E263" s="534">
        <v>10372</v>
      </c>
    </row>
    <row r="264" spans="2:5" ht="14.5">
      <c r="B264" s="531" t="s">
        <v>7091</v>
      </c>
      <c r="C264" s="532">
        <v>10106</v>
      </c>
      <c r="D264" s="532"/>
      <c r="E264" s="532">
        <v>10106</v>
      </c>
    </row>
    <row r="265" spans="2:5" ht="14.5">
      <c r="B265" s="533" t="s">
        <v>8043</v>
      </c>
      <c r="C265" s="534">
        <v>9992</v>
      </c>
      <c r="D265" s="534"/>
      <c r="E265" s="534">
        <v>9992</v>
      </c>
    </row>
    <row r="266" spans="2:5" ht="14.5">
      <c r="B266" s="531" t="s">
        <v>222</v>
      </c>
      <c r="C266" s="532">
        <v>9970</v>
      </c>
      <c r="D266" s="532"/>
      <c r="E266" s="532">
        <v>9970</v>
      </c>
    </row>
    <row r="267" spans="2:5" ht="14.5">
      <c r="B267" s="533" t="s">
        <v>7076</v>
      </c>
      <c r="C267" s="534">
        <v>9456</v>
      </c>
      <c r="D267" s="534"/>
      <c r="E267" s="534">
        <v>9456</v>
      </c>
    </row>
    <row r="268" spans="2:5" ht="14.5">
      <c r="B268" s="531" t="s">
        <v>155</v>
      </c>
      <c r="C268" s="532">
        <v>9204</v>
      </c>
      <c r="D268" s="532"/>
      <c r="E268" s="532">
        <v>9204</v>
      </c>
    </row>
    <row r="269" spans="2:5" ht="14.5">
      <c r="B269" s="533" t="s">
        <v>8073</v>
      </c>
      <c r="C269" s="534">
        <v>9200</v>
      </c>
      <c r="D269" s="534"/>
      <c r="E269" s="534">
        <v>9200</v>
      </c>
    </row>
    <row r="270" spans="2:5" ht="14.5">
      <c r="B270" s="531" t="s">
        <v>8069</v>
      </c>
      <c r="C270" s="532">
        <v>8950</v>
      </c>
      <c r="D270" s="532"/>
      <c r="E270" s="532">
        <v>8950</v>
      </c>
    </row>
    <row r="271" spans="2:5" ht="14.5">
      <c r="B271" s="533" t="s">
        <v>7964</v>
      </c>
      <c r="C271" s="534">
        <v>8844</v>
      </c>
      <c r="D271" s="534"/>
      <c r="E271" s="534">
        <v>8844</v>
      </c>
    </row>
    <row r="272" spans="2:5" ht="14.5">
      <c r="B272" s="531" t="s">
        <v>7975</v>
      </c>
      <c r="C272" s="532">
        <v>7894</v>
      </c>
      <c r="D272" s="532"/>
      <c r="E272" s="532">
        <v>7894</v>
      </c>
    </row>
    <row r="273" spans="2:5" ht="14.5">
      <c r="B273" s="533" t="s">
        <v>251</v>
      </c>
      <c r="C273" s="534">
        <v>7854</v>
      </c>
      <c r="D273" s="534"/>
      <c r="E273" s="534">
        <v>7854</v>
      </c>
    </row>
    <row r="274" spans="2:5" ht="14.5">
      <c r="B274" s="531" t="s">
        <v>415</v>
      </c>
      <c r="C274" s="532">
        <v>7816</v>
      </c>
      <c r="D274" s="532"/>
      <c r="E274" s="532">
        <v>7816</v>
      </c>
    </row>
    <row r="275" spans="2:5" ht="14.5">
      <c r="B275" s="533" t="s">
        <v>8013</v>
      </c>
      <c r="C275" s="534">
        <v>7784</v>
      </c>
      <c r="D275" s="534"/>
      <c r="E275" s="534">
        <v>7784</v>
      </c>
    </row>
    <row r="276" spans="2:5" ht="14.5">
      <c r="B276" s="531" t="s">
        <v>7958</v>
      </c>
      <c r="C276" s="532">
        <v>7768</v>
      </c>
      <c r="D276" s="532"/>
      <c r="E276" s="532">
        <v>7768</v>
      </c>
    </row>
    <row r="277" spans="2:5" ht="14.5">
      <c r="B277" s="533" t="s">
        <v>7174</v>
      </c>
      <c r="C277" s="534">
        <v>7525</v>
      </c>
      <c r="D277" s="534"/>
      <c r="E277" s="534">
        <v>7525</v>
      </c>
    </row>
    <row r="278" spans="2:5" ht="14.5">
      <c r="B278" s="531" t="s">
        <v>8006</v>
      </c>
      <c r="C278" s="532">
        <v>6792</v>
      </c>
      <c r="D278" s="532"/>
      <c r="E278" s="532">
        <v>6792</v>
      </c>
    </row>
    <row r="279" spans="2:5" ht="14.5">
      <c r="B279" s="533" t="s">
        <v>8003</v>
      </c>
      <c r="C279" s="534">
        <v>6566</v>
      </c>
      <c r="D279" s="534"/>
      <c r="E279" s="534">
        <v>6566</v>
      </c>
    </row>
    <row r="280" spans="2:5" ht="14.5">
      <c r="B280" s="531" t="s">
        <v>168</v>
      </c>
      <c r="C280" s="532">
        <v>6278</v>
      </c>
      <c r="D280" s="532"/>
      <c r="E280" s="532">
        <v>6278</v>
      </c>
    </row>
    <row r="281" spans="2:5" ht="14.5">
      <c r="B281" s="533" t="s">
        <v>292</v>
      </c>
      <c r="C281" s="534">
        <v>6246</v>
      </c>
      <c r="D281" s="534"/>
      <c r="E281" s="534">
        <v>6246</v>
      </c>
    </row>
    <row r="282" spans="2:5" ht="14.5">
      <c r="B282" s="531" t="s">
        <v>7095</v>
      </c>
      <c r="C282" s="532">
        <v>6134</v>
      </c>
      <c r="D282" s="532"/>
      <c r="E282" s="532">
        <v>6134</v>
      </c>
    </row>
    <row r="283" spans="2:5" ht="14.5">
      <c r="B283" s="533" t="s">
        <v>264</v>
      </c>
      <c r="C283" s="534">
        <v>6059</v>
      </c>
      <c r="D283" s="534"/>
      <c r="E283" s="534">
        <v>6059</v>
      </c>
    </row>
    <row r="284" spans="2:5" ht="14.5">
      <c r="B284" s="531" t="s">
        <v>217</v>
      </c>
      <c r="C284" s="532">
        <v>6041</v>
      </c>
      <c r="D284" s="532"/>
      <c r="E284" s="532">
        <v>6041</v>
      </c>
    </row>
    <row r="285" spans="2:5" ht="14.5">
      <c r="B285" s="533" t="s">
        <v>281</v>
      </c>
      <c r="C285" s="534">
        <v>6009</v>
      </c>
      <c r="D285" s="534"/>
      <c r="E285" s="534">
        <v>6009</v>
      </c>
    </row>
    <row r="286" spans="2:5" ht="14.5">
      <c r="B286" s="531" t="s">
        <v>7137</v>
      </c>
      <c r="C286" s="532">
        <v>5905</v>
      </c>
      <c r="D286" s="532"/>
      <c r="E286" s="532">
        <v>5905</v>
      </c>
    </row>
    <row r="287" spans="2:5" ht="14.5">
      <c r="B287" s="533" t="s">
        <v>1021</v>
      </c>
      <c r="C287" s="534">
        <v>5874</v>
      </c>
      <c r="D287" s="534"/>
      <c r="E287" s="534">
        <v>5874</v>
      </c>
    </row>
    <row r="288" spans="2:5" ht="14.5">
      <c r="B288" s="531" t="s">
        <v>7098</v>
      </c>
      <c r="C288" s="532">
        <v>5696</v>
      </c>
      <c r="D288" s="532"/>
      <c r="E288" s="532">
        <v>5696</v>
      </c>
    </row>
    <row r="289" spans="2:5" ht="14.5">
      <c r="B289" s="533" t="s">
        <v>8071</v>
      </c>
      <c r="C289" s="534">
        <v>5500</v>
      </c>
      <c r="D289" s="534"/>
      <c r="E289" s="534">
        <v>5500</v>
      </c>
    </row>
    <row r="290" spans="2:5" ht="14.5">
      <c r="B290" s="531" t="s">
        <v>1023</v>
      </c>
      <c r="C290" s="532">
        <v>5402</v>
      </c>
      <c r="D290" s="532"/>
      <c r="E290" s="532">
        <v>5402</v>
      </c>
    </row>
    <row r="291" spans="2:5" ht="14.5">
      <c r="B291" s="533" t="s">
        <v>131</v>
      </c>
      <c r="C291" s="534">
        <v>5368</v>
      </c>
      <c r="D291" s="534"/>
      <c r="E291" s="534">
        <v>5368</v>
      </c>
    </row>
    <row r="292" spans="2:5" ht="14.5">
      <c r="B292" s="531" t="s">
        <v>1025</v>
      </c>
      <c r="C292" s="532">
        <v>5300</v>
      </c>
      <c r="D292" s="532"/>
      <c r="E292" s="532">
        <v>5300</v>
      </c>
    </row>
    <row r="293" spans="2:5" ht="14.5">
      <c r="B293" s="533" t="s">
        <v>8075</v>
      </c>
      <c r="C293" s="534">
        <v>5291</v>
      </c>
      <c r="D293" s="534"/>
      <c r="E293" s="534">
        <v>5291</v>
      </c>
    </row>
    <row r="294" spans="2:5" ht="14.5">
      <c r="B294" s="531" t="s">
        <v>1031</v>
      </c>
      <c r="C294" s="532">
        <v>5176</v>
      </c>
      <c r="D294" s="532"/>
      <c r="E294" s="532">
        <v>5176</v>
      </c>
    </row>
    <row r="295" spans="2:5" ht="14.5">
      <c r="B295" s="533" t="s">
        <v>1056</v>
      </c>
      <c r="C295" s="534">
        <v>5164</v>
      </c>
      <c r="D295" s="534"/>
      <c r="E295" s="534">
        <v>5164</v>
      </c>
    </row>
    <row r="296" spans="2:5" ht="14.5">
      <c r="B296" s="531" t="s">
        <v>1052</v>
      </c>
      <c r="C296" s="532">
        <v>5162</v>
      </c>
      <c r="D296" s="532"/>
      <c r="E296" s="532">
        <v>5162</v>
      </c>
    </row>
    <row r="297" spans="2:5" ht="14.5">
      <c r="B297" s="533" t="s">
        <v>8002</v>
      </c>
      <c r="C297" s="534">
        <v>5000</v>
      </c>
      <c r="D297" s="534"/>
      <c r="E297" s="534">
        <v>5000</v>
      </c>
    </row>
    <row r="298" spans="2:5" ht="14.5">
      <c r="B298" s="531" t="s">
        <v>8072</v>
      </c>
      <c r="C298" s="532">
        <v>5000</v>
      </c>
      <c r="D298" s="532"/>
      <c r="E298" s="532">
        <v>5000</v>
      </c>
    </row>
    <row r="299" spans="2:5" ht="14.5">
      <c r="B299" s="533" t="s">
        <v>243</v>
      </c>
      <c r="C299" s="534">
        <v>4993</v>
      </c>
      <c r="D299" s="534"/>
      <c r="E299" s="534">
        <v>4993</v>
      </c>
    </row>
    <row r="300" spans="2:5" ht="14.5">
      <c r="B300" s="531" t="s">
        <v>8026</v>
      </c>
      <c r="C300" s="532">
        <v>4670</v>
      </c>
      <c r="D300" s="532"/>
      <c r="E300" s="532">
        <v>4670</v>
      </c>
    </row>
    <row r="301" spans="2:5" ht="14.5">
      <c r="B301" s="533" t="s">
        <v>7101</v>
      </c>
      <c r="C301" s="534">
        <v>4600</v>
      </c>
      <c r="D301" s="534"/>
      <c r="E301" s="534">
        <v>4600</v>
      </c>
    </row>
    <row r="302" spans="2:5" ht="14.5">
      <c r="B302" s="531" t="s">
        <v>986</v>
      </c>
      <c r="C302" s="532">
        <v>4412</v>
      </c>
      <c r="D302" s="532"/>
      <c r="E302" s="532">
        <v>4412</v>
      </c>
    </row>
    <row r="303" spans="2:5" ht="14.5">
      <c r="B303" s="533" t="s">
        <v>5686</v>
      </c>
      <c r="C303" s="534">
        <v>4319</v>
      </c>
      <c r="D303" s="534"/>
      <c r="E303" s="534">
        <v>4319</v>
      </c>
    </row>
    <row r="304" spans="2:5" ht="14.5">
      <c r="B304" s="531" t="s">
        <v>5704</v>
      </c>
      <c r="C304" s="532">
        <v>4054</v>
      </c>
      <c r="D304" s="532"/>
      <c r="E304" s="532">
        <v>4054</v>
      </c>
    </row>
    <row r="305" spans="2:5" ht="14.5">
      <c r="B305" s="533" t="s">
        <v>1012</v>
      </c>
      <c r="C305" s="534">
        <v>3910</v>
      </c>
      <c r="D305" s="534"/>
      <c r="E305" s="534">
        <v>3910</v>
      </c>
    </row>
    <row r="306" spans="2:5" ht="14.5">
      <c r="B306" s="531" t="s">
        <v>8040</v>
      </c>
      <c r="C306" s="532">
        <v>3901</v>
      </c>
      <c r="D306" s="532"/>
      <c r="E306" s="532">
        <v>3901</v>
      </c>
    </row>
    <row r="307" spans="2:5" ht="14.5">
      <c r="B307" s="533" t="s">
        <v>8076</v>
      </c>
      <c r="C307" s="534">
        <v>3880</v>
      </c>
      <c r="D307" s="534"/>
      <c r="E307" s="534">
        <v>3880</v>
      </c>
    </row>
    <row r="308" spans="2:5" ht="14.5">
      <c r="B308" s="531" t="s">
        <v>5738</v>
      </c>
      <c r="C308" s="532">
        <v>3644</v>
      </c>
      <c r="D308" s="532"/>
      <c r="E308" s="532">
        <v>3644</v>
      </c>
    </row>
    <row r="309" spans="2:5" ht="14.5">
      <c r="B309" s="533" t="s">
        <v>331</v>
      </c>
      <c r="C309" s="534">
        <v>3618</v>
      </c>
      <c r="D309" s="534"/>
      <c r="E309" s="534">
        <v>3618</v>
      </c>
    </row>
    <row r="310" spans="2:5" ht="14.5">
      <c r="B310" s="531" t="s">
        <v>1771</v>
      </c>
      <c r="C310" s="532">
        <v>3579</v>
      </c>
      <c r="D310" s="532"/>
      <c r="E310" s="532">
        <v>3579</v>
      </c>
    </row>
    <row r="311" spans="2:5" ht="14.5">
      <c r="B311" s="533" t="s">
        <v>8014</v>
      </c>
      <c r="C311" s="534">
        <v>3468</v>
      </c>
      <c r="D311" s="534"/>
      <c r="E311" s="534">
        <v>3468</v>
      </c>
    </row>
    <row r="312" spans="2:5" ht="14.5">
      <c r="B312" s="531" t="s">
        <v>224</v>
      </c>
      <c r="C312" s="532">
        <v>3235</v>
      </c>
      <c r="D312" s="532"/>
      <c r="E312" s="532">
        <v>3235</v>
      </c>
    </row>
    <row r="313" spans="2:5" ht="14.5">
      <c r="B313" s="533" t="s">
        <v>377</v>
      </c>
      <c r="C313" s="534">
        <v>3216</v>
      </c>
      <c r="D313" s="534"/>
      <c r="E313" s="534">
        <v>3216</v>
      </c>
    </row>
    <row r="314" spans="2:5" ht="14.5">
      <c r="B314" s="531" t="s">
        <v>1040</v>
      </c>
      <c r="C314" s="532">
        <v>3191</v>
      </c>
      <c r="D314" s="532"/>
      <c r="E314" s="532">
        <v>3191</v>
      </c>
    </row>
    <row r="315" spans="2:5" ht="14.5">
      <c r="B315" s="533" t="s">
        <v>1046</v>
      </c>
      <c r="C315" s="534">
        <v>3099</v>
      </c>
      <c r="D315" s="534"/>
      <c r="E315" s="534">
        <v>3099</v>
      </c>
    </row>
    <row r="316" spans="2:5" ht="14.5">
      <c r="B316" s="531" t="s">
        <v>356</v>
      </c>
      <c r="C316" s="532">
        <v>3071</v>
      </c>
      <c r="D316" s="532"/>
      <c r="E316" s="532">
        <v>3071</v>
      </c>
    </row>
    <row r="317" spans="2:5" ht="14.5">
      <c r="B317" s="533" t="s">
        <v>126</v>
      </c>
      <c r="C317" s="534">
        <v>3066</v>
      </c>
      <c r="D317" s="534"/>
      <c r="E317" s="534">
        <v>3066</v>
      </c>
    </row>
    <row r="318" spans="2:5" ht="14.5">
      <c r="B318" s="531" t="s">
        <v>8015</v>
      </c>
      <c r="C318" s="532">
        <v>3053</v>
      </c>
      <c r="D318" s="532"/>
      <c r="E318" s="532">
        <v>3053</v>
      </c>
    </row>
    <row r="319" spans="2:5" ht="14.5">
      <c r="B319" s="533" t="s">
        <v>7106</v>
      </c>
      <c r="C319" s="534">
        <v>3003</v>
      </c>
      <c r="D319" s="534"/>
      <c r="E319" s="534">
        <v>3003</v>
      </c>
    </row>
    <row r="320" spans="2:5" ht="14.5">
      <c r="B320" s="531" t="s">
        <v>443</v>
      </c>
      <c r="C320" s="532">
        <v>2998</v>
      </c>
      <c r="D320" s="532"/>
      <c r="E320" s="532">
        <v>2998</v>
      </c>
    </row>
    <row r="321" spans="2:5" ht="14.5">
      <c r="B321" s="533" t="s">
        <v>7107</v>
      </c>
      <c r="C321" s="534">
        <v>2948</v>
      </c>
      <c r="D321" s="534"/>
      <c r="E321" s="534">
        <v>2948</v>
      </c>
    </row>
    <row r="322" spans="2:5" ht="14.5">
      <c r="B322" s="531" t="s">
        <v>1036</v>
      </c>
      <c r="C322" s="532">
        <v>2825</v>
      </c>
      <c r="D322" s="532"/>
      <c r="E322" s="532">
        <v>2825</v>
      </c>
    </row>
    <row r="323" spans="2:5" ht="14.5">
      <c r="B323" s="533" t="s">
        <v>1405</v>
      </c>
      <c r="C323" s="534">
        <v>2821</v>
      </c>
      <c r="D323" s="534"/>
      <c r="E323" s="534">
        <v>2821</v>
      </c>
    </row>
    <row r="324" spans="2:5" ht="14.5">
      <c r="B324" s="531" t="s">
        <v>8010</v>
      </c>
      <c r="C324" s="532">
        <v>2770</v>
      </c>
      <c r="D324" s="532"/>
      <c r="E324" s="532">
        <v>2770</v>
      </c>
    </row>
    <row r="325" spans="2:5" ht="14.5">
      <c r="B325" s="533" t="s">
        <v>1022</v>
      </c>
      <c r="C325" s="534">
        <v>2724</v>
      </c>
      <c r="D325" s="534"/>
      <c r="E325" s="534">
        <v>2724</v>
      </c>
    </row>
    <row r="326" spans="2:5" ht="14.5">
      <c r="B326" s="531" t="s">
        <v>300</v>
      </c>
      <c r="C326" s="532">
        <v>2689</v>
      </c>
      <c r="D326" s="532"/>
      <c r="E326" s="532">
        <v>2689</v>
      </c>
    </row>
    <row r="327" spans="2:5" ht="14.5">
      <c r="B327" s="533" t="s">
        <v>268</v>
      </c>
      <c r="C327" s="534">
        <v>2660</v>
      </c>
      <c r="D327" s="534"/>
      <c r="E327" s="534">
        <v>2660</v>
      </c>
    </row>
    <row r="328" spans="2:5" ht="14.5">
      <c r="B328" s="531" t="s">
        <v>7983</v>
      </c>
      <c r="C328" s="532">
        <v>2563</v>
      </c>
      <c r="D328" s="532"/>
      <c r="E328" s="532">
        <v>2563</v>
      </c>
    </row>
    <row r="329" spans="2:5" ht="14.5">
      <c r="B329" s="533" t="s">
        <v>8001</v>
      </c>
      <c r="C329" s="534">
        <v>2472</v>
      </c>
      <c r="D329" s="534"/>
      <c r="E329" s="534">
        <v>2472</v>
      </c>
    </row>
    <row r="330" spans="2:5" ht="14.5">
      <c r="B330" s="531" t="s">
        <v>275</v>
      </c>
      <c r="C330" s="532">
        <v>2378</v>
      </c>
      <c r="D330" s="532"/>
      <c r="E330" s="532">
        <v>2378</v>
      </c>
    </row>
    <row r="331" spans="2:5" ht="14.5">
      <c r="B331" s="533" t="s">
        <v>242</v>
      </c>
      <c r="C331" s="534">
        <v>2378</v>
      </c>
      <c r="D331" s="534"/>
      <c r="E331" s="534">
        <v>2378</v>
      </c>
    </row>
    <row r="332" spans="2:5" ht="14.5">
      <c r="B332" s="531" t="s">
        <v>237</v>
      </c>
      <c r="C332" s="532">
        <v>2378</v>
      </c>
      <c r="D332" s="532"/>
      <c r="E332" s="532">
        <v>2378</v>
      </c>
    </row>
    <row r="333" spans="2:5" ht="14.5">
      <c r="B333" s="533" t="s">
        <v>1045</v>
      </c>
      <c r="C333" s="534">
        <v>2304</v>
      </c>
      <c r="D333" s="534"/>
      <c r="E333" s="534">
        <v>2304</v>
      </c>
    </row>
    <row r="334" spans="2:5" ht="14.5">
      <c r="B334" s="531" t="s">
        <v>1038</v>
      </c>
      <c r="C334" s="532">
        <v>2280</v>
      </c>
      <c r="D334" s="532"/>
      <c r="E334" s="532">
        <v>2280</v>
      </c>
    </row>
    <row r="335" spans="2:5" ht="14.5">
      <c r="B335" s="533" t="s">
        <v>7112</v>
      </c>
      <c r="C335" s="534">
        <v>2156</v>
      </c>
      <c r="D335" s="534"/>
      <c r="E335" s="534">
        <v>2156</v>
      </c>
    </row>
    <row r="336" spans="2:5" ht="14.5">
      <c r="B336" s="531" t="s">
        <v>232</v>
      </c>
      <c r="C336" s="532">
        <v>2044</v>
      </c>
      <c r="D336" s="532"/>
      <c r="E336" s="532">
        <v>2044</v>
      </c>
    </row>
    <row r="337" spans="2:5" ht="14.5">
      <c r="B337" s="533" t="s">
        <v>7966</v>
      </c>
      <c r="C337" s="534">
        <v>1886</v>
      </c>
      <c r="D337" s="534"/>
      <c r="E337" s="534">
        <v>1886</v>
      </c>
    </row>
    <row r="338" spans="2:5" ht="14.5">
      <c r="B338" s="531" t="s">
        <v>7114</v>
      </c>
      <c r="C338" s="532">
        <v>1756</v>
      </c>
      <c r="D338" s="532"/>
      <c r="E338" s="532">
        <v>1756</v>
      </c>
    </row>
    <row r="339" spans="2:5" ht="14.5">
      <c r="B339" s="533" t="s">
        <v>8079</v>
      </c>
      <c r="C339" s="534">
        <v>1662</v>
      </c>
      <c r="D339" s="534"/>
      <c r="E339" s="534">
        <v>1662</v>
      </c>
    </row>
    <row r="340" spans="2:5" ht="14.5">
      <c r="B340" s="531" t="s">
        <v>7115</v>
      </c>
      <c r="C340" s="532">
        <v>1573</v>
      </c>
      <c r="D340" s="532"/>
      <c r="E340" s="532">
        <v>1573</v>
      </c>
    </row>
    <row r="341" spans="2:5" ht="14.5">
      <c r="B341" s="533" t="s">
        <v>8018</v>
      </c>
      <c r="C341" s="534">
        <v>1534</v>
      </c>
      <c r="D341" s="534"/>
      <c r="E341" s="534">
        <v>1534</v>
      </c>
    </row>
    <row r="342" spans="2:5" ht="14.5">
      <c r="B342" s="531" t="s">
        <v>7989</v>
      </c>
      <c r="C342" s="532">
        <v>1534</v>
      </c>
      <c r="D342" s="532"/>
      <c r="E342" s="532">
        <v>1534</v>
      </c>
    </row>
    <row r="343" spans="2:5" ht="14.5">
      <c r="B343" s="533" t="s">
        <v>178</v>
      </c>
      <c r="C343" s="534">
        <v>1520</v>
      </c>
      <c r="D343" s="534"/>
      <c r="E343" s="534">
        <v>1520</v>
      </c>
    </row>
    <row r="344" spans="2:5" ht="14.5">
      <c r="B344" s="531" t="s">
        <v>8077</v>
      </c>
      <c r="C344" s="532">
        <v>1499</v>
      </c>
      <c r="D344" s="532"/>
      <c r="E344" s="532">
        <v>1499</v>
      </c>
    </row>
    <row r="345" spans="2:5" ht="14.5">
      <c r="B345" s="533" t="s">
        <v>7957</v>
      </c>
      <c r="C345" s="534">
        <v>1442</v>
      </c>
      <c r="D345" s="534"/>
      <c r="E345" s="534">
        <v>1442</v>
      </c>
    </row>
    <row r="346" spans="2:5" ht="14.5">
      <c r="B346" s="531" t="s">
        <v>214</v>
      </c>
      <c r="C346" s="532">
        <v>1425</v>
      </c>
      <c r="D346" s="532"/>
      <c r="E346" s="532">
        <v>1425</v>
      </c>
    </row>
    <row r="347" spans="2:5" ht="14.5">
      <c r="B347" s="533" t="s">
        <v>1900</v>
      </c>
      <c r="C347" s="534">
        <v>1382</v>
      </c>
      <c r="D347" s="534"/>
      <c r="E347" s="534">
        <v>1382</v>
      </c>
    </row>
    <row r="348" spans="2:5" ht="14.5">
      <c r="B348" s="531" t="s">
        <v>7968</v>
      </c>
      <c r="C348" s="532">
        <v>1314</v>
      </c>
      <c r="D348" s="532"/>
      <c r="E348" s="532">
        <v>1314</v>
      </c>
    </row>
    <row r="349" spans="2:5" ht="14.5">
      <c r="B349" s="533" t="s">
        <v>259</v>
      </c>
      <c r="C349" s="534">
        <v>1284</v>
      </c>
      <c r="D349" s="534"/>
      <c r="E349" s="534">
        <v>1284</v>
      </c>
    </row>
    <row r="350" spans="2:5" ht="14.5">
      <c r="B350" s="531" t="s">
        <v>3805</v>
      </c>
      <c r="C350" s="532">
        <v>1259</v>
      </c>
      <c r="D350" s="532"/>
      <c r="E350" s="532">
        <v>1259</v>
      </c>
    </row>
    <row r="351" spans="2:5" ht="14.5">
      <c r="B351" s="533" t="s">
        <v>8080</v>
      </c>
      <c r="C351" s="534">
        <v>1252</v>
      </c>
      <c r="D351" s="534"/>
      <c r="E351" s="534">
        <v>1252</v>
      </c>
    </row>
    <row r="352" spans="2:5" ht="14.5">
      <c r="B352" s="531" t="s">
        <v>7093</v>
      </c>
      <c r="C352" s="532">
        <v>1235</v>
      </c>
      <c r="D352" s="532"/>
      <c r="E352" s="532">
        <v>1235</v>
      </c>
    </row>
    <row r="353" spans="2:5" ht="14.5">
      <c r="B353" s="533" t="s">
        <v>1049</v>
      </c>
      <c r="C353" s="534">
        <v>1191</v>
      </c>
      <c r="D353" s="534"/>
      <c r="E353" s="534">
        <v>1191</v>
      </c>
    </row>
    <row r="354" spans="2:5" ht="14.5">
      <c r="B354" s="531" t="s">
        <v>267</v>
      </c>
      <c r="C354" s="532">
        <v>1148</v>
      </c>
      <c r="D354" s="532"/>
      <c r="E354" s="532">
        <v>1148</v>
      </c>
    </row>
    <row r="355" spans="2:5" ht="14.5">
      <c r="B355" s="533" t="s">
        <v>335</v>
      </c>
      <c r="C355" s="534">
        <v>1104</v>
      </c>
      <c r="D355" s="534"/>
      <c r="E355" s="534">
        <v>1104</v>
      </c>
    </row>
    <row r="356" spans="2:5" ht="14.5">
      <c r="B356" s="531" t="s">
        <v>7122</v>
      </c>
      <c r="C356" s="532">
        <v>1083</v>
      </c>
      <c r="D356" s="532"/>
      <c r="E356" s="532">
        <v>1083</v>
      </c>
    </row>
    <row r="357" spans="2:5" ht="14.5">
      <c r="B357" s="533" t="s">
        <v>1048</v>
      </c>
      <c r="C357" s="534">
        <v>1075</v>
      </c>
      <c r="D357" s="534"/>
      <c r="E357" s="534">
        <v>1075</v>
      </c>
    </row>
    <row r="358" spans="2:5" ht="14.5">
      <c r="B358" s="531" t="s">
        <v>7995</v>
      </c>
      <c r="C358" s="532">
        <v>1038</v>
      </c>
      <c r="D358" s="532"/>
      <c r="E358" s="532">
        <v>1038</v>
      </c>
    </row>
    <row r="359" spans="2:5" ht="14.5">
      <c r="B359" s="533" t="s">
        <v>8005</v>
      </c>
      <c r="C359" s="534">
        <v>1000</v>
      </c>
      <c r="D359" s="534"/>
      <c r="E359" s="534">
        <v>1000</v>
      </c>
    </row>
    <row r="360" spans="2:5" ht="14.5">
      <c r="B360" s="531" t="s">
        <v>7998</v>
      </c>
      <c r="C360" s="532">
        <v>986</v>
      </c>
      <c r="D360" s="532"/>
      <c r="E360" s="532">
        <v>986</v>
      </c>
    </row>
    <row r="361" spans="2:5" ht="14.5">
      <c r="B361" s="533" t="s">
        <v>7123</v>
      </c>
      <c r="C361" s="534">
        <v>965</v>
      </c>
      <c r="D361" s="534"/>
      <c r="E361" s="534">
        <v>965</v>
      </c>
    </row>
    <row r="362" spans="2:5" ht="14.5">
      <c r="B362" s="531" t="s">
        <v>8086</v>
      </c>
      <c r="C362" s="532">
        <v>952</v>
      </c>
      <c r="D362" s="532"/>
      <c r="E362" s="532">
        <v>952</v>
      </c>
    </row>
    <row r="363" spans="2:5" ht="14.5">
      <c r="B363" s="533" t="s">
        <v>1784</v>
      </c>
      <c r="C363" s="534">
        <v>952</v>
      </c>
      <c r="D363" s="534"/>
      <c r="E363" s="534">
        <v>952</v>
      </c>
    </row>
    <row r="364" spans="2:5" ht="14.5">
      <c r="B364" s="531" t="s">
        <v>7124</v>
      </c>
      <c r="C364" s="532">
        <v>941</v>
      </c>
      <c r="D364" s="532"/>
      <c r="E364" s="532">
        <v>941</v>
      </c>
    </row>
    <row r="365" spans="2:5" ht="14.5">
      <c r="B365" s="533" t="s">
        <v>8081</v>
      </c>
      <c r="C365" s="534">
        <v>889</v>
      </c>
      <c r="D365" s="534"/>
      <c r="E365" s="534">
        <v>889</v>
      </c>
    </row>
    <row r="366" spans="2:5" ht="14.5">
      <c r="B366" s="531" t="s">
        <v>305</v>
      </c>
      <c r="C366" s="532">
        <v>878</v>
      </c>
      <c r="D366" s="532"/>
      <c r="E366" s="532">
        <v>878</v>
      </c>
    </row>
    <row r="367" spans="2:5" ht="14.5">
      <c r="B367" s="533" t="s">
        <v>194</v>
      </c>
      <c r="C367" s="534">
        <v>876</v>
      </c>
      <c r="D367" s="534"/>
      <c r="E367" s="534">
        <v>876</v>
      </c>
    </row>
    <row r="368" spans="2:5" ht="14.5">
      <c r="B368" s="531" t="s">
        <v>207</v>
      </c>
      <c r="C368" s="532">
        <v>858</v>
      </c>
      <c r="D368" s="532"/>
      <c r="E368" s="532">
        <v>858</v>
      </c>
    </row>
    <row r="369" spans="2:5" ht="14.5">
      <c r="B369" s="533" t="s">
        <v>454</v>
      </c>
      <c r="C369" s="534">
        <v>856</v>
      </c>
      <c r="D369" s="534"/>
      <c r="E369" s="534">
        <v>856</v>
      </c>
    </row>
    <row r="370" spans="2:5" ht="14.5">
      <c r="B370" s="531" t="s">
        <v>7999</v>
      </c>
      <c r="C370" s="532">
        <v>844</v>
      </c>
      <c r="D370" s="532"/>
      <c r="E370" s="532">
        <v>844</v>
      </c>
    </row>
    <row r="371" spans="2:5" ht="14.5">
      <c r="B371" s="533" t="s">
        <v>1051</v>
      </c>
      <c r="C371" s="534">
        <v>761</v>
      </c>
      <c r="D371" s="534"/>
      <c r="E371" s="534">
        <v>761</v>
      </c>
    </row>
    <row r="372" spans="2:5" ht="14.5">
      <c r="B372" s="531" t="s">
        <v>312</v>
      </c>
      <c r="C372" s="532">
        <v>759</v>
      </c>
      <c r="D372" s="532"/>
      <c r="E372" s="532">
        <v>759</v>
      </c>
    </row>
    <row r="373" spans="2:5" ht="14.5">
      <c r="B373" s="533" t="s">
        <v>311</v>
      </c>
      <c r="C373" s="534">
        <v>742</v>
      </c>
      <c r="D373" s="534"/>
      <c r="E373" s="534">
        <v>742</v>
      </c>
    </row>
    <row r="374" spans="2:5" ht="14.5">
      <c r="B374" s="531" t="s">
        <v>197</v>
      </c>
      <c r="C374" s="532">
        <v>718</v>
      </c>
      <c r="D374" s="532"/>
      <c r="E374" s="532">
        <v>718</v>
      </c>
    </row>
    <row r="375" spans="2:5" ht="14.5">
      <c r="B375" s="533" t="s">
        <v>7976</v>
      </c>
      <c r="C375" s="534">
        <v>706</v>
      </c>
      <c r="D375" s="534"/>
      <c r="E375" s="534">
        <v>706</v>
      </c>
    </row>
    <row r="376" spans="2:5" ht="14.5">
      <c r="B376" s="531" t="s">
        <v>132</v>
      </c>
      <c r="C376" s="532">
        <v>698</v>
      </c>
      <c r="D376" s="532"/>
      <c r="E376" s="532">
        <v>698</v>
      </c>
    </row>
    <row r="377" spans="2:5" ht="14.5">
      <c r="B377" s="533" t="s">
        <v>7140</v>
      </c>
      <c r="C377" s="534">
        <v>687</v>
      </c>
      <c r="D377" s="534"/>
      <c r="E377" s="534">
        <v>687</v>
      </c>
    </row>
    <row r="378" spans="2:5" ht="14.5">
      <c r="B378" s="531" t="s">
        <v>172</v>
      </c>
      <c r="C378" s="532">
        <v>668</v>
      </c>
      <c r="D378" s="532"/>
      <c r="E378" s="532">
        <v>668</v>
      </c>
    </row>
    <row r="379" spans="2:5" ht="14.5">
      <c r="B379" s="533" t="s">
        <v>7075</v>
      </c>
      <c r="C379" s="534">
        <v>660</v>
      </c>
      <c r="D379" s="534"/>
      <c r="E379" s="534">
        <v>660</v>
      </c>
    </row>
    <row r="380" spans="2:5" ht="14.5">
      <c r="B380" s="531" t="s">
        <v>313</v>
      </c>
      <c r="C380" s="532">
        <v>638</v>
      </c>
      <c r="D380" s="532"/>
      <c r="E380" s="532">
        <v>638</v>
      </c>
    </row>
    <row r="381" spans="2:5" ht="14.5">
      <c r="B381" s="533" t="s">
        <v>249</v>
      </c>
      <c r="C381" s="534">
        <v>618</v>
      </c>
      <c r="D381" s="534"/>
      <c r="E381" s="534">
        <v>618</v>
      </c>
    </row>
    <row r="382" spans="2:5" ht="14.5">
      <c r="B382" s="531" t="s">
        <v>1039</v>
      </c>
      <c r="C382" s="532">
        <v>614</v>
      </c>
      <c r="D382" s="532"/>
      <c r="E382" s="532">
        <v>614</v>
      </c>
    </row>
    <row r="383" spans="2:5" ht="14.5">
      <c r="B383" s="533" t="s">
        <v>8082</v>
      </c>
      <c r="C383" s="534">
        <v>608</v>
      </c>
      <c r="D383" s="534"/>
      <c r="E383" s="534">
        <v>608</v>
      </c>
    </row>
    <row r="384" spans="2:5" ht="14.5">
      <c r="B384" s="531" t="s">
        <v>1041</v>
      </c>
      <c r="C384" s="532">
        <v>592</v>
      </c>
      <c r="D384" s="532"/>
      <c r="E384" s="532">
        <v>592</v>
      </c>
    </row>
    <row r="385" spans="2:5" ht="14.5">
      <c r="B385" s="533" t="s">
        <v>8016</v>
      </c>
      <c r="C385" s="534">
        <v>570</v>
      </c>
      <c r="D385" s="534"/>
      <c r="E385" s="534">
        <v>570</v>
      </c>
    </row>
    <row r="386" spans="2:5" ht="14.5">
      <c r="B386" s="531" t="s">
        <v>8084</v>
      </c>
      <c r="C386" s="532">
        <v>556</v>
      </c>
      <c r="D386" s="532"/>
      <c r="E386" s="532">
        <v>556</v>
      </c>
    </row>
    <row r="387" spans="2:5" ht="14.5">
      <c r="B387" s="533" t="s">
        <v>234</v>
      </c>
      <c r="C387" s="534">
        <v>532</v>
      </c>
      <c r="D387" s="534"/>
      <c r="E387" s="534">
        <v>532</v>
      </c>
    </row>
    <row r="388" spans="2:5" ht="14.5">
      <c r="B388" s="531" t="s">
        <v>421</v>
      </c>
      <c r="C388" s="532">
        <v>510</v>
      </c>
      <c r="D388" s="532"/>
      <c r="E388" s="532">
        <v>510</v>
      </c>
    </row>
    <row r="389" spans="2:5" ht="14.5">
      <c r="B389" s="533" t="s">
        <v>7103</v>
      </c>
      <c r="C389" s="534">
        <v>505</v>
      </c>
      <c r="D389" s="534"/>
      <c r="E389" s="534">
        <v>505</v>
      </c>
    </row>
    <row r="390" spans="2:5" ht="14.5">
      <c r="B390" s="531" t="s">
        <v>5687</v>
      </c>
      <c r="C390" s="532">
        <v>496</v>
      </c>
      <c r="D390" s="532"/>
      <c r="E390" s="532">
        <v>496</v>
      </c>
    </row>
    <row r="391" spans="2:5" ht="14.5">
      <c r="B391" s="533" t="s">
        <v>7145</v>
      </c>
      <c r="C391" s="534">
        <v>486</v>
      </c>
      <c r="D391" s="534"/>
      <c r="E391" s="534">
        <v>486</v>
      </c>
    </row>
    <row r="392" spans="2:5" ht="14.5">
      <c r="B392" s="531" t="s">
        <v>7134</v>
      </c>
      <c r="C392" s="532">
        <v>476</v>
      </c>
      <c r="D392" s="532"/>
      <c r="E392" s="532">
        <v>476</v>
      </c>
    </row>
    <row r="393" spans="2:5" ht="14.5">
      <c r="B393" s="533" t="s">
        <v>7135</v>
      </c>
      <c r="C393" s="534">
        <v>476</v>
      </c>
      <c r="D393" s="534"/>
      <c r="E393" s="534">
        <v>476</v>
      </c>
    </row>
    <row r="394" spans="2:5" ht="14.5">
      <c r="B394" s="531" t="s">
        <v>216</v>
      </c>
      <c r="C394" s="532">
        <v>458</v>
      </c>
      <c r="D394" s="532"/>
      <c r="E394" s="532">
        <v>458</v>
      </c>
    </row>
    <row r="395" spans="2:5" ht="14.5">
      <c r="B395" s="533" t="s">
        <v>7988</v>
      </c>
      <c r="C395" s="534">
        <v>432</v>
      </c>
      <c r="D395" s="534"/>
      <c r="E395" s="534">
        <v>432</v>
      </c>
    </row>
    <row r="396" spans="2:5" ht="14.5">
      <c r="B396" s="531" t="s">
        <v>7136</v>
      </c>
      <c r="C396" s="532">
        <v>420</v>
      </c>
      <c r="D396" s="532"/>
      <c r="E396" s="532">
        <v>420</v>
      </c>
    </row>
    <row r="397" spans="2:5" ht="14.5">
      <c r="B397" s="533" t="s">
        <v>7139</v>
      </c>
      <c r="C397" s="534">
        <v>395</v>
      </c>
      <c r="D397" s="534"/>
      <c r="E397" s="534">
        <v>395</v>
      </c>
    </row>
    <row r="398" spans="2:5" ht="14.5">
      <c r="B398" s="531" t="s">
        <v>7955</v>
      </c>
      <c r="C398" s="532">
        <v>395</v>
      </c>
      <c r="D398" s="532"/>
      <c r="E398" s="532">
        <v>395</v>
      </c>
    </row>
    <row r="399" spans="2:5" ht="14.5">
      <c r="B399" s="533" t="s">
        <v>228</v>
      </c>
      <c r="C399" s="534">
        <v>332</v>
      </c>
      <c r="D399" s="534"/>
      <c r="E399" s="534">
        <v>332</v>
      </c>
    </row>
    <row r="400" spans="2:5" ht="14.5">
      <c r="B400" s="531" t="s">
        <v>7141</v>
      </c>
      <c r="C400" s="532">
        <v>314</v>
      </c>
      <c r="D400" s="532"/>
      <c r="E400" s="532">
        <v>314</v>
      </c>
    </row>
    <row r="401" spans="2:5" ht="14.5">
      <c r="B401" s="533" t="s">
        <v>7142</v>
      </c>
      <c r="C401" s="534">
        <v>312</v>
      </c>
      <c r="D401" s="534"/>
      <c r="E401" s="534">
        <v>312</v>
      </c>
    </row>
    <row r="402" spans="2:5" ht="14.5">
      <c r="B402" s="531" t="s">
        <v>8083</v>
      </c>
      <c r="C402" s="532">
        <v>299</v>
      </c>
      <c r="D402" s="532"/>
      <c r="E402" s="532">
        <v>299</v>
      </c>
    </row>
    <row r="403" spans="2:5" ht="14.5">
      <c r="B403" s="533" t="s">
        <v>8085</v>
      </c>
      <c r="C403" s="534">
        <v>296</v>
      </c>
      <c r="D403" s="534"/>
      <c r="E403" s="534">
        <v>296</v>
      </c>
    </row>
    <row r="404" spans="2:5" ht="14.5">
      <c r="B404" s="531" t="s">
        <v>8019</v>
      </c>
      <c r="C404" s="532">
        <v>294</v>
      </c>
      <c r="D404" s="532"/>
      <c r="E404" s="532">
        <v>294</v>
      </c>
    </row>
    <row r="405" spans="2:5" ht="14.5">
      <c r="B405" s="533" t="s">
        <v>235</v>
      </c>
      <c r="C405" s="534">
        <v>286</v>
      </c>
      <c r="D405" s="534"/>
      <c r="E405" s="534">
        <v>286</v>
      </c>
    </row>
    <row r="406" spans="2:5" ht="14.5">
      <c r="B406" s="531" t="s">
        <v>7129</v>
      </c>
      <c r="C406" s="532">
        <v>285</v>
      </c>
      <c r="D406" s="532"/>
      <c r="E406" s="532">
        <v>285</v>
      </c>
    </row>
    <row r="407" spans="2:5" ht="14.5">
      <c r="B407" s="533" t="s">
        <v>456</v>
      </c>
      <c r="C407" s="534">
        <v>272</v>
      </c>
      <c r="D407" s="534"/>
      <c r="E407" s="534">
        <v>272</v>
      </c>
    </row>
    <row r="408" spans="2:5" ht="14.5">
      <c r="B408" s="531" t="s">
        <v>357</v>
      </c>
      <c r="C408" s="532">
        <v>266</v>
      </c>
      <c r="D408" s="532"/>
      <c r="E408" s="532">
        <v>266</v>
      </c>
    </row>
    <row r="409" spans="2:5" ht="14.5">
      <c r="B409" s="533" t="s">
        <v>1715</v>
      </c>
      <c r="C409" s="534">
        <v>263</v>
      </c>
      <c r="D409" s="534"/>
      <c r="E409" s="534">
        <v>263</v>
      </c>
    </row>
    <row r="410" spans="2:5" ht="14.5">
      <c r="B410" s="531" t="s">
        <v>219</v>
      </c>
      <c r="C410" s="532">
        <v>243</v>
      </c>
      <c r="D410" s="532"/>
      <c r="E410" s="532">
        <v>243</v>
      </c>
    </row>
    <row r="411" spans="2:5" ht="14.5">
      <c r="B411" s="533" t="s">
        <v>7131</v>
      </c>
      <c r="C411" s="534">
        <v>242</v>
      </c>
      <c r="D411" s="534"/>
      <c r="E411" s="534">
        <v>242</v>
      </c>
    </row>
    <row r="412" spans="2:5" ht="14.5">
      <c r="B412" s="531" t="s">
        <v>7171</v>
      </c>
      <c r="C412" s="532">
        <v>238</v>
      </c>
      <c r="D412" s="532"/>
      <c r="E412" s="532">
        <v>238</v>
      </c>
    </row>
    <row r="413" spans="2:5" ht="14.5">
      <c r="B413" s="533" t="s">
        <v>203</v>
      </c>
      <c r="C413" s="534">
        <v>238</v>
      </c>
      <c r="D413" s="534"/>
      <c r="E413" s="534">
        <v>238</v>
      </c>
    </row>
    <row r="414" spans="2:5" ht="14.5">
      <c r="B414" s="531" t="s">
        <v>285</v>
      </c>
      <c r="C414" s="532">
        <v>238</v>
      </c>
      <c r="D414" s="532"/>
      <c r="E414" s="532">
        <v>238</v>
      </c>
    </row>
    <row r="415" spans="2:5" ht="14.5">
      <c r="B415" s="533" t="s">
        <v>6878</v>
      </c>
      <c r="C415" s="534">
        <v>234</v>
      </c>
      <c r="D415" s="534"/>
      <c r="E415" s="534">
        <v>234</v>
      </c>
    </row>
    <row r="416" spans="2:5" ht="14.5">
      <c r="B416" s="531" t="s">
        <v>1057</v>
      </c>
      <c r="C416" s="532">
        <v>229</v>
      </c>
      <c r="D416" s="532"/>
      <c r="E416" s="532">
        <v>229</v>
      </c>
    </row>
    <row r="417" spans="2:5" ht="14.5">
      <c r="B417" s="533" t="s">
        <v>8037</v>
      </c>
      <c r="C417" s="534">
        <v>229</v>
      </c>
      <c r="D417" s="534"/>
      <c r="E417" s="534">
        <v>229</v>
      </c>
    </row>
    <row r="418" spans="2:5" ht="14.5">
      <c r="B418" s="531" t="s">
        <v>345</v>
      </c>
      <c r="C418" s="532">
        <v>216</v>
      </c>
      <c r="D418" s="532"/>
      <c r="E418" s="532">
        <v>216</v>
      </c>
    </row>
    <row r="419" spans="2:5" ht="14.5">
      <c r="B419" s="533" t="s">
        <v>337</v>
      </c>
      <c r="C419" s="534">
        <v>213</v>
      </c>
      <c r="D419" s="534"/>
      <c r="E419" s="534">
        <v>213</v>
      </c>
    </row>
    <row r="420" spans="2:5" ht="14.5">
      <c r="B420" s="531" t="s">
        <v>5710</v>
      </c>
      <c r="C420" s="532">
        <v>207</v>
      </c>
      <c r="D420" s="532"/>
      <c r="E420" s="532">
        <v>207</v>
      </c>
    </row>
    <row r="421" spans="2:5" ht="14.5">
      <c r="B421" s="533" t="s">
        <v>1058</v>
      </c>
      <c r="C421" s="534">
        <v>192</v>
      </c>
      <c r="D421" s="534"/>
      <c r="E421" s="534">
        <v>192</v>
      </c>
    </row>
    <row r="422" spans="2:5" ht="14.5">
      <c r="B422" s="531" t="s">
        <v>8020</v>
      </c>
      <c r="C422" s="532">
        <v>191</v>
      </c>
      <c r="D422" s="532"/>
      <c r="E422" s="532">
        <v>191</v>
      </c>
    </row>
    <row r="423" spans="2:5" ht="14.5">
      <c r="B423" s="533" t="s">
        <v>7173</v>
      </c>
      <c r="C423" s="534">
        <v>190</v>
      </c>
      <c r="D423" s="534"/>
      <c r="E423" s="534">
        <v>190</v>
      </c>
    </row>
    <row r="424" spans="2:5" ht="14.5">
      <c r="B424" s="531" t="s">
        <v>7150</v>
      </c>
      <c r="C424" s="532">
        <v>186</v>
      </c>
      <c r="D424" s="532"/>
      <c r="E424" s="532">
        <v>186</v>
      </c>
    </row>
    <row r="425" spans="2:5" ht="14.5">
      <c r="B425" s="533" t="s">
        <v>274</v>
      </c>
      <c r="C425" s="534">
        <v>185</v>
      </c>
      <c r="D425" s="534"/>
      <c r="E425" s="534">
        <v>185</v>
      </c>
    </row>
    <row r="426" spans="2:5" ht="14.5">
      <c r="B426" s="531" t="s">
        <v>342</v>
      </c>
      <c r="C426" s="532">
        <v>172</v>
      </c>
      <c r="D426" s="532"/>
      <c r="E426" s="532">
        <v>172</v>
      </c>
    </row>
    <row r="427" spans="2:5" ht="14.5">
      <c r="B427" s="533" t="s">
        <v>7154</v>
      </c>
      <c r="C427" s="534">
        <v>167</v>
      </c>
      <c r="D427" s="534"/>
      <c r="E427" s="534">
        <v>167</v>
      </c>
    </row>
    <row r="428" spans="2:5" ht="14.5">
      <c r="B428" s="531" t="s">
        <v>7153</v>
      </c>
      <c r="C428" s="532">
        <v>166</v>
      </c>
      <c r="D428" s="532"/>
      <c r="E428" s="532">
        <v>166</v>
      </c>
    </row>
    <row r="429" spans="2:5" ht="14.5">
      <c r="B429" s="533" t="s">
        <v>8011</v>
      </c>
      <c r="C429" s="534">
        <v>166</v>
      </c>
      <c r="D429" s="534"/>
      <c r="E429" s="534">
        <v>166</v>
      </c>
    </row>
    <row r="430" spans="2:5" ht="14.5">
      <c r="B430" s="531" t="s">
        <v>8088</v>
      </c>
      <c r="C430" s="532">
        <v>163</v>
      </c>
      <c r="D430" s="532"/>
      <c r="E430" s="532">
        <v>163</v>
      </c>
    </row>
    <row r="431" spans="2:5" ht="14.5">
      <c r="B431" s="533" t="s">
        <v>8022</v>
      </c>
      <c r="C431" s="534">
        <v>156</v>
      </c>
      <c r="D431" s="534"/>
      <c r="E431" s="534">
        <v>156</v>
      </c>
    </row>
    <row r="432" spans="2:5" ht="14.5">
      <c r="B432" s="531" t="s">
        <v>7987</v>
      </c>
      <c r="C432" s="532">
        <v>152</v>
      </c>
      <c r="D432" s="532"/>
      <c r="E432" s="532">
        <v>152</v>
      </c>
    </row>
    <row r="433" spans="2:5" ht="14.5">
      <c r="B433" s="533" t="s">
        <v>8042</v>
      </c>
      <c r="C433" s="534">
        <v>152</v>
      </c>
      <c r="D433" s="534"/>
      <c r="E433" s="534">
        <v>152</v>
      </c>
    </row>
    <row r="434" spans="2:5" ht="14.5">
      <c r="B434" s="531" t="s">
        <v>7157</v>
      </c>
      <c r="C434" s="532">
        <v>151</v>
      </c>
      <c r="D434" s="532"/>
      <c r="E434" s="532">
        <v>151</v>
      </c>
    </row>
    <row r="435" spans="2:5" ht="14.5">
      <c r="B435" s="533" t="s">
        <v>7158</v>
      </c>
      <c r="C435" s="534">
        <v>148</v>
      </c>
      <c r="D435" s="534"/>
      <c r="E435" s="534">
        <v>148</v>
      </c>
    </row>
    <row r="436" spans="2:5" ht="14.5">
      <c r="B436" s="531" t="s">
        <v>7160</v>
      </c>
      <c r="C436" s="532">
        <v>147</v>
      </c>
      <c r="D436" s="532"/>
      <c r="E436" s="532">
        <v>147</v>
      </c>
    </row>
    <row r="437" spans="2:5" ht="14.5">
      <c r="B437" s="533" t="s">
        <v>8089</v>
      </c>
      <c r="C437" s="534">
        <v>147</v>
      </c>
      <c r="D437" s="534"/>
      <c r="E437" s="534">
        <v>147</v>
      </c>
    </row>
    <row r="438" spans="2:5" ht="14.5">
      <c r="B438" s="531" t="s">
        <v>8028</v>
      </c>
      <c r="C438" s="532">
        <v>138</v>
      </c>
      <c r="D438" s="532"/>
      <c r="E438" s="532">
        <v>138</v>
      </c>
    </row>
    <row r="439" spans="2:5" ht="14.5">
      <c r="B439" s="533" t="s">
        <v>336</v>
      </c>
      <c r="C439" s="534">
        <v>133</v>
      </c>
      <c r="D439" s="534"/>
      <c r="E439" s="534">
        <v>133</v>
      </c>
    </row>
    <row r="440" spans="2:5" ht="14.5">
      <c r="B440" s="531" t="s">
        <v>7166</v>
      </c>
      <c r="C440" s="532">
        <v>128</v>
      </c>
      <c r="D440" s="532"/>
      <c r="E440" s="532">
        <v>128</v>
      </c>
    </row>
    <row r="441" spans="2:5" ht="14.5">
      <c r="B441" s="533" t="s">
        <v>8025</v>
      </c>
      <c r="C441" s="534">
        <v>128</v>
      </c>
      <c r="D441" s="534"/>
      <c r="E441" s="534">
        <v>128</v>
      </c>
    </row>
    <row r="442" spans="2:5" ht="14.5">
      <c r="B442" s="531" t="s">
        <v>7168</v>
      </c>
      <c r="C442" s="532">
        <v>126</v>
      </c>
      <c r="D442" s="532"/>
      <c r="E442" s="532">
        <v>126</v>
      </c>
    </row>
    <row r="443" spans="2:5" ht="14.5">
      <c r="B443" s="533" t="s">
        <v>7170</v>
      </c>
      <c r="C443" s="534">
        <v>120</v>
      </c>
      <c r="D443" s="534"/>
      <c r="E443" s="534">
        <v>120</v>
      </c>
    </row>
    <row r="444" spans="2:5" ht="14.5">
      <c r="B444" s="531" t="s">
        <v>7108</v>
      </c>
      <c r="C444" s="532">
        <v>96</v>
      </c>
      <c r="D444" s="532"/>
      <c r="E444" s="532">
        <v>96</v>
      </c>
    </row>
    <row r="445" spans="2:5" ht="14.5">
      <c r="B445" s="533" t="s">
        <v>411</v>
      </c>
      <c r="C445" s="534">
        <v>95</v>
      </c>
      <c r="D445" s="534"/>
      <c r="E445" s="534">
        <v>95</v>
      </c>
    </row>
    <row r="446" spans="2:5" ht="14.5">
      <c r="B446" s="531" t="s">
        <v>7152</v>
      </c>
      <c r="C446" s="532">
        <v>89</v>
      </c>
      <c r="D446" s="532"/>
      <c r="E446" s="532">
        <v>89</v>
      </c>
    </row>
    <row r="447" spans="2:5" ht="14.5">
      <c r="B447" s="533" t="s">
        <v>5728</v>
      </c>
      <c r="C447" s="534">
        <v>88</v>
      </c>
      <c r="D447" s="534"/>
      <c r="E447" s="534">
        <v>88</v>
      </c>
    </row>
    <row r="448" spans="2:5" ht="14.5">
      <c r="B448" s="531" t="s">
        <v>309</v>
      </c>
      <c r="C448" s="532">
        <v>87</v>
      </c>
      <c r="D448" s="532"/>
      <c r="E448" s="532">
        <v>87</v>
      </c>
    </row>
    <row r="449" spans="2:5" ht="14.5">
      <c r="B449" s="533" t="s">
        <v>7956</v>
      </c>
      <c r="C449" s="534">
        <v>85</v>
      </c>
      <c r="D449" s="534"/>
      <c r="E449" s="534">
        <v>85</v>
      </c>
    </row>
    <row r="450" spans="2:5" ht="14.5">
      <c r="B450" s="531" t="s">
        <v>7176</v>
      </c>
      <c r="C450" s="532">
        <v>76</v>
      </c>
      <c r="D450" s="532"/>
      <c r="E450" s="532">
        <v>76</v>
      </c>
    </row>
    <row r="451" spans="2:5" ht="14.5">
      <c r="B451" s="533" t="s">
        <v>8090</v>
      </c>
      <c r="C451" s="534">
        <v>72</v>
      </c>
      <c r="D451" s="534"/>
      <c r="E451" s="534">
        <v>72</v>
      </c>
    </row>
    <row r="452" spans="2:5" ht="14.5">
      <c r="B452" s="531" t="s">
        <v>7161</v>
      </c>
      <c r="C452" s="532">
        <v>72</v>
      </c>
      <c r="D452" s="532"/>
      <c r="E452" s="532">
        <v>72</v>
      </c>
    </row>
    <row r="453" spans="2:5" ht="14.5">
      <c r="B453" s="533" t="s">
        <v>7094</v>
      </c>
      <c r="C453" s="534">
        <v>70</v>
      </c>
      <c r="D453" s="534"/>
      <c r="E453" s="534">
        <v>70</v>
      </c>
    </row>
    <row r="454" spans="2:5" ht="14.5">
      <c r="B454" s="531" t="s">
        <v>783</v>
      </c>
      <c r="C454" s="532">
        <v>69</v>
      </c>
      <c r="D454" s="532"/>
      <c r="E454" s="532">
        <v>69</v>
      </c>
    </row>
    <row r="455" spans="2:5" ht="14.5">
      <c r="B455" s="533" t="s">
        <v>317</v>
      </c>
      <c r="C455" s="534">
        <v>68</v>
      </c>
      <c r="D455" s="534"/>
      <c r="E455" s="534">
        <v>68</v>
      </c>
    </row>
    <row r="456" spans="2:5" ht="14.5">
      <c r="B456" s="531" t="s">
        <v>7991</v>
      </c>
      <c r="C456" s="532">
        <v>68</v>
      </c>
      <c r="D456" s="532"/>
      <c r="E456" s="532">
        <v>68</v>
      </c>
    </row>
    <row r="457" spans="2:5" ht="14.5">
      <c r="B457" s="533" t="s">
        <v>7178</v>
      </c>
      <c r="C457" s="534">
        <v>63</v>
      </c>
      <c r="D457" s="534"/>
      <c r="E457" s="534">
        <v>63</v>
      </c>
    </row>
    <row r="458" spans="2:5" ht="14.5">
      <c r="B458" s="531" t="s">
        <v>318</v>
      </c>
      <c r="C458" s="532">
        <v>62</v>
      </c>
      <c r="D458" s="532"/>
      <c r="E458" s="532">
        <v>62</v>
      </c>
    </row>
    <row r="459" spans="2:5" ht="14.5">
      <c r="B459" s="533" t="s">
        <v>8033</v>
      </c>
      <c r="C459" s="534">
        <v>62</v>
      </c>
      <c r="D459" s="534"/>
      <c r="E459" s="534">
        <v>62</v>
      </c>
    </row>
    <row r="460" spans="2:5" ht="14.5">
      <c r="B460" s="531" t="s">
        <v>7179</v>
      </c>
      <c r="C460" s="532">
        <v>59</v>
      </c>
      <c r="D460" s="532"/>
      <c r="E460" s="532">
        <v>59</v>
      </c>
    </row>
    <row r="461" spans="2:5" ht="14.5">
      <c r="B461" s="533" t="s">
        <v>7953</v>
      </c>
      <c r="C461" s="534">
        <v>58</v>
      </c>
      <c r="D461" s="534"/>
      <c r="E461" s="534">
        <v>58</v>
      </c>
    </row>
    <row r="462" spans="2:5" ht="14.5">
      <c r="B462" s="531" t="s">
        <v>1891</v>
      </c>
      <c r="C462" s="532">
        <v>58</v>
      </c>
      <c r="D462" s="532"/>
      <c r="E462" s="532">
        <v>58</v>
      </c>
    </row>
    <row r="463" spans="2:5" ht="14.5">
      <c r="B463" s="533" t="s">
        <v>360</v>
      </c>
      <c r="C463" s="534">
        <v>56</v>
      </c>
      <c r="D463" s="534"/>
      <c r="E463" s="534">
        <v>56</v>
      </c>
    </row>
    <row r="464" spans="2:5" ht="14.5">
      <c r="B464" s="531" t="s">
        <v>8021</v>
      </c>
      <c r="C464" s="532">
        <v>48</v>
      </c>
      <c r="D464" s="532"/>
      <c r="E464" s="532">
        <v>48</v>
      </c>
    </row>
    <row r="465" spans="2:5" ht="14.5">
      <c r="B465" s="533" t="s">
        <v>8091</v>
      </c>
      <c r="C465" s="534">
        <v>47</v>
      </c>
      <c r="D465" s="534"/>
      <c r="E465" s="534">
        <v>47</v>
      </c>
    </row>
    <row r="466" spans="2:5" ht="14.5">
      <c r="B466" s="531" t="s">
        <v>7959</v>
      </c>
      <c r="C466" s="532">
        <v>41</v>
      </c>
      <c r="D466" s="532"/>
      <c r="E466" s="532">
        <v>41</v>
      </c>
    </row>
    <row r="467" spans="2:5" ht="14.5">
      <c r="B467" s="533" t="s">
        <v>7049</v>
      </c>
      <c r="C467" s="534">
        <v>39</v>
      </c>
      <c r="D467" s="534"/>
      <c r="E467" s="534">
        <v>39</v>
      </c>
    </row>
    <row r="468" spans="2:5" ht="14.5">
      <c r="B468" s="531" t="s">
        <v>5709</v>
      </c>
      <c r="C468" s="532">
        <v>39</v>
      </c>
      <c r="D468" s="532"/>
      <c r="E468" s="532">
        <v>39</v>
      </c>
    </row>
    <row r="469" spans="2:5" ht="14.5">
      <c r="B469" s="533" t="s">
        <v>316</v>
      </c>
      <c r="C469" s="534">
        <v>37</v>
      </c>
      <c r="D469" s="534"/>
      <c r="E469" s="534">
        <v>37</v>
      </c>
    </row>
    <row r="470" spans="2:5" ht="14.5">
      <c r="B470" s="531" t="s">
        <v>10195</v>
      </c>
      <c r="C470" s="532">
        <v>36</v>
      </c>
      <c r="D470" s="532"/>
      <c r="E470" s="532">
        <v>36</v>
      </c>
    </row>
    <row r="471" spans="2:5" ht="14.5">
      <c r="B471" s="533" t="s">
        <v>7985</v>
      </c>
      <c r="C471" s="534">
        <v>34</v>
      </c>
      <c r="D471" s="534"/>
      <c r="E471" s="534">
        <v>34</v>
      </c>
    </row>
    <row r="472" spans="2:5" ht="14.5">
      <c r="B472" s="531" t="s">
        <v>7185</v>
      </c>
      <c r="C472" s="532">
        <v>32</v>
      </c>
      <c r="D472" s="532"/>
      <c r="E472" s="532">
        <v>32</v>
      </c>
    </row>
    <row r="473" spans="2:5" ht="14.5">
      <c r="B473" s="533" t="s">
        <v>7186</v>
      </c>
      <c r="C473" s="534">
        <v>26</v>
      </c>
      <c r="D473" s="534"/>
      <c r="E473" s="534">
        <v>26</v>
      </c>
    </row>
    <row r="474" spans="2:5" ht="14.5">
      <c r="B474" s="531" t="s">
        <v>8045</v>
      </c>
      <c r="C474" s="532">
        <v>26</v>
      </c>
      <c r="D474" s="532"/>
      <c r="E474" s="532">
        <v>26</v>
      </c>
    </row>
    <row r="475" spans="2:5" ht="14.5">
      <c r="B475" s="533" t="s">
        <v>7187</v>
      </c>
      <c r="C475" s="534">
        <v>26</v>
      </c>
      <c r="D475" s="534"/>
      <c r="E475" s="534">
        <v>26</v>
      </c>
    </row>
    <row r="476" spans="2:5" ht="14.5">
      <c r="B476" s="531" t="s">
        <v>7151</v>
      </c>
      <c r="C476" s="532">
        <v>19</v>
      </c>
      <c r="D476" s="532"/>
      <c r="E476" s="532">
        <v>19</v>
      </c>
    </row>
    <row r="477" spans="2:5" ht="14.5">
      <c r="B477" s="533" t="s">
        <v>7188</v>
      </c>
      <c r="C477" s="534">
        <v>14</v>
      </c>
      <c r="D477" s="534"/>
      <c r="E477" s="534">
        <v>14</v>
      </c>
    </row>
    <row r="478" spans="2:5" ht="14.5">
      <c r="B478" s="531" t="s">
        <v>7990</v>
      </c>
      <c r="C478" s="532">
        <v>13</v>
      </c>
      <c r="D478" s="532"/>
      <c r="E478" s="532">
        <v>13</v>
      </c>
    </row>
    <row r="479" spans="2:5" ht="14.5">
      <c r="B479" s="533" t="s">
        <v>7191</v>
      </c>
      <c r="C479" s="534">
        <v>13</v>
      </c>
      <c r="D479" s="534"/>
      <c r="E479" s="534">
        <v>13</v>
      </c>
    </row>
    <row r="480" spans="2:5" ht="14.5">
      <c r="B480" s="531" t="s">
        <v>1894</v>
      </c>
      <c r="C480" s="532">
        <v>12</v>
      </c>
      <c r="D480" s="532"/>
      <c r="E480" s="532">
        <v>12</v>
      </c>
    </row>
    <row r="481" spans="2:5" ht="14.5">
      <c r="B481" s="533" t="s">
        <v>7195</v>
      </c>
      <c r="C481" s="534">
        <v>12</v>
      </c>
      <c r="D481" s="534"/>
      <c r="E481" s="534">
        <v>12</v>
      </c>
    </row>
    <row r="482" spans="2:5" ht="14.5">
      <c r="B482" s="531" t="s">
        <v>7951</v>
      </c>
      <c r="C482" s="532">
        <v>11</v>
      </c>
      <c r="D482" s="532"/>
      <c r="E482" s="532">
        <v>11</v>
      </c>
    </row>
    <row r="483" spans="2:5" ht="14.5">
      <c r="B483" s="533" t="s">
        <v>8008</v>
      </c>
      <c r="C483" s="534">
        <v>10</v>
      </c>
      <c r="D483" s="534"/>
      <c r="E483" s="534">
        <v>10</v>
      </c>
    </row>
    <row r="484" spans="2:5" ht="14.5">
      <c r="B484" s="531" t="s">
        <v>8000</v>
      </c>
      <c r="C484" s="532">
        <v>8</v>
      </c>
      <c r="D484" s="532"/>
      <c r="E484" s="532">
        <v>8</v>
      </c>
    </row>
    <row r="485" spans="2:5" ht="14.5">
      <c r="B485" s="533" t="s">
        <v>5723</v>
      </c>
      <c r="C485" s="534">
        <v>8</v>
      </c>
      <c r="D485" s="534"/>
      <c r="E485" s="534">
        <v>8</v>
      </c>
    </row>
    <row r="486" spans="2:5" ht="14.5">
      <c r="B486" s="531" t="s">
        <v>8009</v>
      </c>
      <c r="C486" s="532">
        <v>8</v>
      </c>
      <c r="D486" s="532"/>
      <c r="E486" s="532">
        <v>8</v>
      </c>
    </row>
    <row r="487" spans="2:5" ht="14.5">
      <c r="B487" s="533" t="s">
        <v>8092</v>
      </c>
      <c r="C487" s="534">
        <v>7</v>
      </c>
      <c r="D487" s="534"/>
      <c r="E487" s="534">
        <v>7</v>
      </c>
    </row>
    <row r="488" spans="2:5" ht="14.5">
      <c r="B488" s="531" t="s">
        <v>7198</v>
      </c>
      <c r="C488" s="532">
        <v>5</v>
      </c>
      <c r="D488" s="532"/>
      <c r="E488" s="532">
        <v>5</v>
      </c>
    </row>
    <row r="489" spans="2:5" ht="14.5">
      <c r="B489" s="533" t="s">
        <v>8012</v>
      </c>
      <c r="C489" s="534">
        <v>4</v>
      </c>
      <c r="D489" s="534"/>
      <c r="E489" s="534">
        <v>4</v>
      </c>
    </row>
    <row r="490" spans="2:5" ht="14.5">
      <c r="B490" s="531" t="s">
        <v>7993</v>
      </c>
      <c r="C490" s="532">
        <v>4</v>
      </c>
      <c r="D490" s="532"/>
      <c r="E490" s="532">
        <v>4</v>
      </c>
    </row>
    <row r="491" spans="2:5" ht="14.5">
      <c r="B491" s="533" t="s">
        <v>8029</v>
      </c>
      <c r="C491" s="534">
        <v>2</v>
      </c>
      <c r="D491" s="534"/>
      <c r="E491" s="534">
        <v>2</v>
      </c>
    </row>
    <row r="492" spans="2:5" ht="14.5">
      <c r="B492" s="531" t="s">
        <v>7050</v>
      </c>
      <c r="C492" s="532">
        <v>2</v>
      </c>
      <c r="D492" s="532"/>
      <c r="E492" s="532">
        <v>2</v>
      </c>
    </row>
    <row r="493" spans="2:5" ht="14.5">
      <c r="B493" s="535" t="s">
        <v>8062</v>
      </c>
      <c r="C493" s="536">
        <v>5611897295</v>
      </c>
      <c r="D493" s="536">
        <v>234301020</v>
      </c>
      <c r="E493" s="536">
        <v>5846198315</v>
      </c>
    </row>
  </sheetData>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50636-8234-4659-9F61-0A4DAB173FC1}">
  <sheetPr>
    <tabColor rgb="FF92D050"/>
  </sheetPr>
  <dimension ref="A2:C487"/>
  <sheetViews>
    <sheetView topLeftCell="A455" zoomScale="80" zoomScaleNormal="80" workbookViewId="0">
      <selection activeCell="C1" sqref="C1"/>
    </sheetView>
  </sheetViews>
  <sheetFormatPr baseColWidth="10" defaultColWidth="11.5" defaultRowHeight="14"/>
  <cols>
    <col min="2" max="2" width="76.5" bestFit="1" customWidth="1"/>
    <col min="3" max="3" width="15.1640625" bestFit="1" customWidth="1"/>
  </cols>
  <sheetData>
    <row r="2" spans="1:3" ht="15.5">
      <c r="A2" s="7" t="s">
        <v>7910</v>
      </c>
    </row>
    <row r="4" spans="1:3">
      <c r="B4" s="137" t="s">
        <v>881</v>
      </c>
      <c r="C4" s="137" t="s">
        <v>8125</v>
      </c>
    </row>
    <row r="5" spans="1:3" ht="14.5">
      <c r="B5" s="533" t="s">
        <v>534</v>
      </c>
      <c r="C5" s="534">
        <v>1148645655</v>
      </c>
    </row>
    <row r="6" spans="1:3" ht="14.5">
      <c r="B6" s="531" t="s">
        <v>69</v>
      </c>
      <c r="C6" s="532">
        <v>655807389</v>
      </c>
    </row>
    <row r="7" spans="1:3" ht="14.5">
      <c r="B7" s="533" t="s">
        <v>558</v>
      </c>
      <c r="C7" s="534">
        <v>512057520</v>
      </c>
    </row>
    <row r="8" spans="1:3" ht="14.5">
      <c r="B8" s="531" t="s">
        <v>539</v>
      </c>
      <c r="C8" s="532">
        <v>288553303</v>
      </c>
    </row>
    <row r="9" spans="1:3" ht="14.5">
      <c r="B9" s="533" t="s">
        <v>544</v>
      </c>
      <c r="C9" s="534">
        <v>242165676</v>
      </c>
    </row>
    <row r="10" spans="1:3" ht="14.5">
      <c r="B10" s="531" t="s">
        <v>553</v>
      </c>
      <c r="C10" s="532">
        <v>233003853</v>
      </c>
    </row>
    <row r="11" spans="1:3" ht="14.5">
      <c r="B11" s="533" t="s">
        <v>957</v>
      </c>
      <c r="C11" s="534">
        <v>231116296</v>
      </c>
    </row>
    <row r="12" spans="1:3" ht="14.5">
      <c r="B12" s="531" t="s">
        <v>2980</v>
      </c>
      <c r="C12" s="532">
        <v>194954327</v>
      </c>
    </row>
    <row r="13" spans="1:3" ht="14.5">
      <c r="B13" s="533" t="s">
        <v>578</v>
      </c>
      <c r="C13" s="534">
        <v>182328449</v>
      </c>
    </row>
    <row r="14" spans="1:3" ht="14.5">
      <c r="B14" s="531" t="s">
        <v>968</v>
      </c>
      <c r="C14" s="532">
        <v>164622255</v>
      </c>
    </row>
    <row r="15" spans="1:3" ht="14.5">
      <c r="B15" s="533" t="s">
        <v>2793</v>
      </c>
      <c r="C15" s="534">
        <v>131853287</v>
      </c>
    </row>
    <row r="16" spans="1:3" ht="14.5">
      <c r="B16" s="531" t="s">
        <v>562</v>
      </c>
      <c r="C16" s="532">
        <v>93597239</v>
      </c>
    </row>
    <row r="17" spans="2:3" ht="14.5">
      <c r="B17" s="533" t="s">
        <v>961</v>
      </c>
      <c r="C17" s="534">
        <v>89280765</v>
      </c>
    </row>
    <row r="18" spans="2:3" ht="14.5">
      <c r="B18" s="531" t="s">
        <v>651</v>
      </c>
      <c r="C18" s="532">
        <v>86241983</v>
      </c>
    </row>
    <row r="19" spans="2:3" ht="14.5">
      <c r="B19" s="533" t="s">
        <v>5411</v>
      </c>
      <c r="C19" s="534">
        <v>81536702</v>
      </c>
    </row>
    <row r="20" spans="2:3" ht="14.5">
      <c r="B20" s="531" t="s">
        <v>960</v>
      </c>
      <c r="C20" s="532">
        <v>80058049</v>
      </c>
    </row>
    <row r="21" spans="2:3" ht="14.5">
      <c r="B21" s="533" t="s">
        <v>68</v>
      </c>
      <c r="C21" s="534">
        <v>72234236</v>
      </c>
    </row>
    <row r="22" spans="2:3" ht="14.5">
      <c r="B22" s="531" t="s">
        <v>74</v>
      </c>
      <c r="C22" s="532">
        <v>62198694</v>
      </c>
    </row>
    <row r="23" spans="2:3" ht="14.5">
      <c r="B23" s="533" t="s">
        <v>618</v>
      </c>
      <c r="C23" s="534">
        <v>60518060</v>
      </c>
    </row>
    <row r="24" spans="2:3" ht="14.5">
      <c r="B24" s="531" t="s">
        <v>190</v>
      </c>
      <c r="C24" s="532">
        <v>56084334</v>
      </c>
    </row>
    <row r="25" spans="2:3" ht="14.5">
      <c r="B25" s="533" t="s">
        <v>599</v>
      </c>
      <c r="C25" s="534">
        <v>54808561</v>
      </c>
    </row>
    <row r="26" spans="2:3" ht="14.5">
      <c r="B26" s="531" t="s">
        <v>622</v>
      </c>
      <c r="C26" s="532">
        <v>48209608</v>
      </c>
    </row>
    <row r="27" spans="2:3" ht="14.5">
      <c r="B27" s="533" t="s">
        <v>607</v>
      </c>
      <c r="C27" s="534">
        <v>47176415</v>
      </c>
    </row>
    <row r="28" spans="2:3" ht="14.5">
      <c r="B28" s="531" t="s">
        <v>973</v>
      </c>
      <c r="C28" s="532">
        <v>44865661</v>
      </c>
    </row>
    <row r="29" spans="2:3" ht="14.5">
      <c r="B29" s="533" t="s">
        <v>662</v>
      </c>
      <c r="C29" s="534">
        <v>42109143</v>
      </c>
    </row>
    <row r="30" spans="2:3" ht="14.5">
      <c r="B30" s="531" t="s">
        <v>99</v>
      </c>
      <c r="C30" s="532">
        <v>40685227</v>
      </c>
    </row>
    <row r="31" spans="2:3" ht="14.5">
      <c r="B31" s="533" t="s">
        <v>87</v>
      </c>
      <c r="C31" s="534">
        <v>40665293</v>
      </c>
    </row>
    <row r="32" spans="2:3" ht="14.5">
      <c r="B32" s="531" t="s">
        <v>7936</v>
      </c>
      <c r="C32" s="532">
        <v>38139686</v>
      </c>
    </row>
    <row r="33" spans="2:3" ht="14.5">
      <c r="B33" s="533" t="s">
        <v>2773</v>
      </c>
      <c r="C33" s="534">
        <v>34724770</v>
      </c>
    </row>
    <row r="34" spans="2:3" ht="14.5">
      <c r="B34" s="531" t="s">
        <v>1847</v>
      </c>
      <c r="C34" s="532">
        <v>31029166</v>
      </c>
    </row>
    <row r="35" spans="2:3" ht="14.5">
      <c r="B35" s="533" t="s">
        <v>176</v>
      </c>
      <c r="C35" s="534">
        <v>30052112</v>
      </c>
    </row>
    <row r="36" spans="2:3" ht="14.5">
      <c r="B36" s="531" t="s">
        <v>130</v>
      </c>
      <c r="C36" s="532">
        <v>29845694</v>
      </c>
    </row>
    <row r="37" spans="2:3" ht="14.5">
      <c r="B37" s="533" t="s">
        <v>646</v>
      </c>
      <c r="C37" s="534">
        <v>29436887</v>
      </c>
    </row>
    <row r="38" spans="2:3" ht="14.5">
      <c r="B38" s="531" t="s">
        <v>141</v>
      </c>
      <c r="C38" s="532">
        <v>28220485</v>
      </c>
    </row>
    <row r="39" spans="2:3" ht="14.5">
      <c r="B39" s="533" t="s">
        <v>673</v>
      </c>
      <c r="C39" s="534">
        <v>28172699</v>
      </c>
    </row>
    <row r="40" spans="2:3" ht="14.5">
      <c r="B40" s="531" t="s">
        <v>2477</v>
      </c>
      <c r="C40" s="532">
        <v>27819297</v>
      </c>
    </row>
    <row r="41" spans="2:3" ht="14.5">
      <c r="B41" s="533" t="s">
        <v>659</v>
      </c>
      <c r="C41" s="534">
        <v>26165987</v>
      </c>
    </row>
    <row r="42" spans="2:3" ht="14.5">
      <c r="B42" s="531" t="s">
        <v>462</v>
      </c>
      <c r="C42" s="532">
        <v>25051140</v>
      </c>
    </row>
    <row r="43" spans="2:3" ht="14.5">
      <c r="B43" s="533" t="s">
        <v>188</v>
      </c>
      <c r="C43" s="534">
        <v>24807388</v>
      </c>
    </row>
    <row r="44" spans="2:3" ht="14.5">
      <c r="B44" s="531" t="s">
        <v>676</v>
      </c>
      <c r="C44" s="532">
        <v>22038729</v>
      </c>
    </row>
    <row r="45" spans="2:3" ht="14.5">
      <c r="B45" s="533" t="s">
        <v>140</v>
      </c>
      <c r="C45" s="534">
        <v>21014618</v>
      </c>
    </row>
    <row r="46" spans="2:3" ht="14.5">
      <c r="B46" s="531" t="s">
        <v>7939</v>
      </c>
      <c r="C46" s="532">
        <v>17397065</v>
      </c>
    </row>
    <row r="47" spans="2:3" ht="14.5">
      <c r="B47" s="533" t="s">
        <v>967</v>
      </c>
      <c r="C47" s="534">
        <v>17081539</v>
      </c>
    </row>
    <row r="48" spans="2:3" ht="14.5">
      <c r="B48" s="531" t="s">
        <v>8059</v>
      </c>
      <c r="C48" s="532">
        <v>15958398</v>
      </c>
    </row>
    <row r="49" spans="2:3" ht="14.5">
      <c r="B49" s="533" t="s">
        <v>6968</v>
      </c>
      <c r="C49" s="534">
        <v>15304686</v>
      </c>
    </row>
    <row r="50" spans="2:3" ht="14.5">
      <c r="B50" s="531" t="s">
        <v>1251</v>
      </c>
      <c r="C50" s="532">
        <v>13754049</v>
      </c>
    </row>
    <row r="51" spans="2:3" ht="14.5">
      <c r="B51" s="533" t="s">
        <v>6970</v>
      </c>
      <c r="C51" s="534">
        <v>13483454</v>
      </c>
    </row>
    <row r="52" spans="2:3" ht="14.5">
      <c r="B52" s="531" t="s">
        <v>7209</v>
      </c>
      <c r="C52" s="532">
        <v>11243989</v>
      </c>
    </row>
    <row r="53" spans="2:3" ht="14.5">
      <c r="B53" s="533" t="s">
        <v>6971</v>
      </c>
      <c r="C53" s="534">
        <v>9457912</v>
      </c>
    </row>
    <row r="54" spans="2:3" ht="14.5">
      <c r="B54" s="531" t="s">
        <v>111</v>
      </c>
      <c r="C54" s="532">
        <v>8985407</v>
      </c>
    </row>
    <row r="55" spans="2:3" ht="14.5">
      <c r="B55" s="533" t="s">
        <v>701</v>
      </c>
      <c r="C55" s="534">
        <v>8930750</v>
      </c>
    </row>
    <row r="56" spans="2:3" ht="14.5">
      <c r="B56" s="531" t="s">
        <v>6973</v>
      </c>
      <c r="C56" s="532">
        <v>7864766</v>
      </c>
    </row>
    <row r="57" spans="2:3" ht="14.5">
      <c r="B57" s="533" t="s">
        <v>6974</v>
      </c>
      <c r="C57" s="534">
        <v>7490852</v>
      </c>
    </row>
    <row r="58" spans="2:3" ht="14.5">
      <c r="B58" s="531" t="s">
        <v>6972</v>
      </c>
      <c r="C58" s="532">
        <v>6889143</v>
      </c>
    </row>
    <row r="59" spans="2:3" ht="14.5">
      <c r="B59" s="533" t="s">
        <v>978</v>
      </c>
      <c r="C59" s="534">
        <v>5955071</v>
      </c>
    </row>
    <row r="60" spans="2:3" ht="14.5">
      <c r="B60" s="531" t="s">
        <v>6975</v>
      </c>
      <c r="C60" s="532">
        <v>4568926</v>
      </c>
    </row>
    <row r="61" spans="2:3" ht="14.5">
      <c r="B61" s="533" t="s">
        <v>75</v>
      </c>
      <c r="C61" s="534">
        <v>4506201</v>
      </c>
    </row>
    <row r="62" spans="2:3" ht="14.5">
      <c r="B62" s="531" t="s">
        <v>138</v>
      </c>
      <c r="C62" s="532">
        <v>4342134</v>
      </c>
    </row>
    <row r="63" spans="2:3" ht="14.5">
      <c r="B63" s="533" t="s">
        <v>5729</v>
      </c>
      <c r="C63" s="534">
        <v>3616713</v>
      </c>
    </row>
    <row r="64" spans="2:3" ht="14.5">
      <c r="B64" s="531" t="s">
        <v>990</v>
      </c>
      <c r="C64" s="532">
        <v>3275397</v>
      </c>
    </row>
    <row r="65" spans="2:3" ht="14.5">
      <c r="B65" s="533" t="s">
        <v>985</v>
      </c>
      <c r="C65" s="534">
        <v>3179721</v>
      </c>
    </row>
    <row r="66" spans="2:3" ht="14.5">
      <c r="B66" s="531" t="s">
        <v>6980</v>
      </c>
      <c r="C66" s="532">
        <v>2563974</v>
      </c>
    </row>
    <row r="67" spans="2:3" ht="14.5">
      <c r="B67" s="533" t="s">
        <v>692</v>
      </c>
      <c r="C67" s="534">
        <v>2393826</v>
      </c>
    </row>
    <row r="68" spans="2:3" ht="14.5">
      <c r="B68" s="531" t="s">
        <v>6979</v>
      </c>
      <c r="C68" s="532">
        <v>2343895</v>
      </c>
    </row>
    <row r="69" spans="2:3" ht="14.5">
      <c r="B69" s="533" t="s">
        <v>6984</v>
      </c>
      <c r="C69" s="534">
        <v>2067625</v>
      </c>
    </row>
    <row r="70" spans="2:3" ht="14.5">
      <c r="B70" s="531" t="s">
        <v>5707</v>
      </c>
      <c r="C70" s="532">
        <v>1939342</v>
      </c>
    </row>
    <row r="71" spans="2:3" ht="14.5">
      <c r="B71" s="533" t="s">
        <v>6981</v>
      </c>
      <c r="C71" s="534">
        <v>1879927</v>
      </c>
    </row>
    <row r="72" spans="2:3" ht="14.5">
      <c r="B72" s="531" t="s">
        <v>6988</v>
      </c>
      <c r="C72" s="532">
        <v>1387414</v>
      </c>
    </row>
    <row r="73" spans="2:3" ht="14.5">
      <c r="B73" s="533" t="s">
        <v>6985</v>
      </c>
      <c r="C73" s="534">
        <v>1330014</v>
      </c>
    </row>
    <row r="74" spans="2:3" ht="14.5">
      <c r="B74" s="531" t="s">
        <v>7945</v>
      </c>
      <c r="C74" s="532">
        <v>1216416</v>
      </c>
    </row>
    <row r="75" spans="2:3" ht="14.5">
      <c r="B75" s="533" t="s">
        <v>8063</v>
      </c>
      <c r="C75" s="534">
        <v>1166752</v>
      </c>
    </row>
    <row r="76" spans="2:3" ht="14.5">
      <c r="B76" s="531" t="s">
        <v>6987</v>
      </c>
      <c r="C76" s="532">
        <v>1109438</v>
      </c>
    </row>
    <row r="77" spans="2:3" ht="14.5">
      <c r="B77" s="533" t="s">
        <v>8054</v>
      </c>
      <c r="C77" s="534">
        <v>1061133</v>
      </c>
    </row>
    <row r="78" spans="2:3" ht="14.5">
      <c r="B78" s="531" t="s">
        <v>6991</v>
      </c>
      <c r="C78" s="532">
        <v>909913</v>
      </c>
    </row>
    <row r="79" spans="2:3" ht="14.5">
      <c r="B79" s="533" t="s">
        <v>7970</v>
      </c>
      <c r="C79" s="534">
        <v>867442</v>
      </c>
    </row>
    <row r="80" spans="2:3" ht="14.5">
      <c r="B80" s="531" t="s">
        <v>5745</v>
      </c>
      <c r="C80" s="532">
        <v>800000</v>
      </c>
    </row>
    <row r="81" spans="2:3" ht="14.5">
      <c r="B81" s="533" t="s">
        <v>709</v>
      </c>
      <c r="C81" s="534">
        <v>762874</v>
      </c>
    </row>
    <row r="82" spans="2:3" ht="14.5">
      <c r="B82" s="531" t="s">
        <v>8041</v>
      </c>
      <c r="C82" s="532">
        <v>720944</v>
      </c>
    </row>
    <row r="83" spans="2:3" ht="14.5">
      <c r="B83" s="533" t="s">
        <v>714</v>
      </c>
      <c r="C83" s="534">
        <v>681409</v>
      </c>
    </row>
    <row r="84" spans="2:3" ht="14.5">
      <c r="B84" s="531" t="s">
        <v>453</v>
      </c>
      <c r="C84" s="532">
        <v>622343</v>
      </c>
    </row>
    <row r="85" spans="2:3" ht="14.5">
      <c r="B85" s="533" t="s">
        <v>25</v>
      </c>
      <c r="C85" s="534">
        <v>599859</v>
      </c>
    </row>
    <row r="86" spans="2:3" ht="14.5">
      <c r="B86" s="531" t="s">
        <v>8067</v>
      </c>
      <c r="C86" s="532">
        <v>595908</v>
      </c>
    </row>
    <row r="87" spans="2:3" ht="14.5">
      <c r="B87" s="533" t="s">
        <v>62</v>
      </c>
      <c r="C87" s="534">
        <v>579762</v>
      </c>
    </row>
    <row r="88" spans="2:3" ht="14.5">
      <c r="B88" s="531" t="s">
        <v>55</v>
      </c>
      <c r="C88" s="532">
        <v>568914</v>
      </c>
    </row>
    <row r="89" spans="2:3" ht="14.5">
      <c r="B89" s="533" t="s">
        <v>8055</v>
      </c>
      <c r="C89" s="534">
        <v>532560</v>
      </c>
    </row>
    <row r="90" spans="2:3" ht="14.5">
      <c r="B90" s="531" t="s">
        <v>161</v>
      </c>
      <c r="C90" s="532">
        <v>505896</v>
      </c>
    </row>
    <row r="91" spans="2:3" ht="14.5">
      <c r="B91" s="533" t="s">
        <v>6998</v>
      </c>
      <c r="C91" s="534">
        <v>464515</v>
      </c>
    </row>
    <row r="92" spans="2:3" ht="14.5">
      <c r="B92" s="531" t="s">
        <v>50</v>
      </c>
      <c r="C92" s="532">
        <v>446034</v>
      </c>
    </row>
    <row r="93" spans="2:3" ht="14.5">
      <c r="B93" s="533" t="s">
        <v>88</v>
      </c>
      <c r="C93" s="534">
        <v>421402</v>
      </c>
    </row>
    <row r="94" spans="2:3" ht="14.5">
      <c r="B94" s="531" t="s">
        <v>8007</v>
      </c>
      <c r="C94" s="532">
        <v>415974</v>
      </c>
    </row>
    <row r="95" spans="2:3" ht="14.5">
      <c r="B95" s="533" t="s">
        <v>149</v>
      </c>
      <c r="C95" s="534">
        <v>401000</v>
      </c>
    </row>
    <row r="96" spans="2:3" ht="14.5">
      <c r="B96" s="531" t="s">
        <v>269</v>
      </c>
      <c r="C96" s="532">
        <v>399647</v>
      </c>
    </row>
    <row r="97" spans="2:3" ht="14.5">
      <c r="B97" s="533" t="s">
        <v>988</v>
      </c>
      <c r="C97" s="534">
        <v>394391</v>
      </c>
    </row>
    <row r="98" spans="2:3" ht="14.5">
      <c r="B98" s="531" t="s">
        <v>79</v>
      </c>
      <c r="C98" s="532">
        <v>383670</v>
      </c>
    </row>
    <row r="99" spans="2:3" ht="14.5">
      <c r="B99" s="533" t="s">
        <v>446</v>
      </c>
      <c r="C99" s="534">
        <v>372787</v>
      </c>
    </row>
    <row r="100" spans="2:3" ht="14.5">
      <c r="B100" s="531" t="s">
        <v>7008</v>
      </c>
      <c r="C100" s="532">
        <v>369349</v>
      </c>
    </row>
    <row r="101" spans="2:3" ht="14.5">
      <c r="B101" s="533" t="s">
        <v>1898</v>
      </c>
      <c r="C101" s="534">
        <v>354832</v>
      </c>
    </row>
    <row r="102" spans="2:3" ht="14.5">
      <c r="B102" s="531" t="s">
        <v>7941</v>
      </c>
      <c r="C102" s="532">
        <v>350631</v>
      </c>
    </row>
    <row r="103" spans="2:3" ht="14.5">
      <c r="B103" s="533" t="s">
        <v>404</v>
      </c>
      <c r="C103" s="534">
        <v>344020</v>
      </c>
    </row>
    <row r="104" spans="2:3" ht="14.5">
      <c r="B104" s="531" t="s">
        <v>7002</v>
      </c>
      <c r="C104" s="532">
        <v>341938</v>
      </c>
    </row>
    <row r="105" spans="2:3" ht="14.5">
      <c r="B105" s="533" t="s">
        <v>7006</v>
      </c>
      <c r="C105" s="534">
        <v>330519</v>
      </c>
    </row>
    <row r="106" spans="2:3" ht="14.5">
      <c r="B106" s="531" t="s">
        <v>1858</v>
      </c>
      <c r="C106" s="532">
        <v>326607</v>
      </c>
    </row>
    <row r="107" spans="2:3" ht="14.5">
      <c r="B107" s="533" t="s">
        <v>7004</v>
      </c>
      <c r="C107" s="534">
        <v>312354</v>
      </c>
    </row>
    <row r="108" spans="2:3" ht="14.5">
      <c r="B108" s="531" t="s">
        <v>7965</v>
      </c>
      <c r="C108" s="532">
        <v>311274</v>
      </c>
    </row>
    <row r="109" spans="2:3" ht="14.5">
      <c r="B109" s="533" t="s">
        <v>8032</v>
      </c>
      <c r="C109" s="534">
        <v>300430</v>
      </c>
    </row>
    <row r="110" spans="2:3" ht="14.5">
      <c r="B110" s="531" t="s">
        <v>8036</v>
      </c>
      <c r="C110" s="532">
        <v>283198</v>
      </c>
    </row>
    <row r="111" spans="2:3" ht="14.5">
      <c r="B111" s="533" t="s">
        <v>5706</v>
      </c>
      <c r="C111" s="534">
        <v>272159</v>
      </c>
    </row>
    <row r="112" spans="2:3" ht="14.5">
      <c r="B112" s="531" t="s">
        <v>8038</v>
      </c>
      <c r="C112" s="532">
        <v>270922</v>
      </c>
    </row>
    <row r="113" spans="2:3" ht="14.5">
      <c r="B113" s="533" t="s">
        <v>7010</v>
      </c>
      <c r="C113" s="534">
        <v>255338</v>
      </c>
    </row>
    <row r="114" spans="2:3" ht="14.5">
      <c r="B114" s="531" t="s">
        <v>7013</v>
      </c>
      <c r="C114" s="532">
        <v>241203</v>
      </c>
    </row>
    <row r="115" spans="2:3" ht="14.5">
      <c r="B115" s="533" t="s">
        <v>392</v>
      </c>
      <c r="C115" s="534">
        <v>240304</v>
      </c>
    </row>
    <row r="116" spans="2:3" ht="14.5">
      <c r="B116" s="531" t="s">
        <v>1279</v>
      </c>
      <c r="C116" s="532">
        <v>236978</v>
      </c>
    </row>
    <row r="117" spans="2:3" ht="14.5">
      <c r="B117" s="533" t="s">
        <v>8044</v>
      </c>
      <c r="C117" s="534">
        <v>225066</v>
      </c>
    </row>
    <row r="118" spans="2:3" ht="14.5">
      <c r="B118" s="531" t="s">
        <v>449</v>
      </c>
      <c r="C118" s="532">
        <v>202426</v>
      </c>
    </row>
    <row r="119" spans="2:3" ht="14.5">
      <c r="B119" s="533" t="s">
        <v>5741</v>
      </c>
      <c r="C119" s="534">
        <v>193278</v>
      </c>
    </row>
    <row r="120" spans="2:3" ht="14.5">
      <c r="B120" s="531" t="s">
        <v>7978</v>
      </c>
      <c r="C120" s="532">
        <v>192048</v>
      </c>
    </row>
    <row r="121" spans="2:3" ht="14.5">
      <c r="B121" s="533" t="s">
        <v>8035</v>
      </c>
      <c r="C121" s="534">
        <v>182245</v>
      </c>
    </row>
    <row r="122" spans="2:3" ht="14.5">
      <c r="B122" s="531" t="s">
        <v>1004</v>
      </c>
      <c r="C122" s="532">
        <v>175748</v>
      </c>
    </row>
    <row r="123" spans="2:3" ht="14.5">
      <c r="B123" s="533" t="s">
        <v>1273</v>
      </c>
      <c r="C123" s="534">
        <v>175457</v>
      </c>
    </row>
    <row r="124" spans="2:3" ht="14.5">
      <c r="B124" s="531" t="s">
        <v>240</v>
      </c>
      <c r="C124" s="532">
        <v>172956</v>
      </c>
    </row>
    <row r="125" spans="2:3" ht="14.5">
      <c r="B125" s="533" t="s">
        <v>7014</v>
      </c>
      <c r="C125" s="534">
        <v>167186</v>
      </c>
    </row>
    <row r="126" spans="2:3" ht="14.5">
      <c r="B126" s="531" t="s">
        <v>137</v>
      </c>
      <c r="C126" s="532">
        <v>167148</v>
      </c>
    </row>
    <row r="127" spans="2:3" ht="14.5">
      <c r="B127" s="533" t="s">
        <v>7022</v>
      </c>
      <c r="C127" s="534">
        <v>165917</v>
      </c>
    </row>
    <row r="128" spans="2:3" ht="14.5">
      <c r="B128" s="531" t="s">
        <v>8065</v>
      </c>
      <c r="C128" s="532">
        <v>159323</v>
      </c>
    </row>
    <row r="129" spans="2:3" ht="14.5">
      <c r="B129" s="533" t="s">
        <v>248</v>
      </c>
      <c r="C129" s="534">
        <v>150074</v>
      </c>
    </row>
    <row r="130" spans="2:3" ht="14.5">
      <c r="B130" s="531" t="s">
        <v>7969</v>
      </c>
      <c r="C130" s="532">
        <v>150061</v>
      </c>
    </row>
    <row r="131" spans="2:3" ht="14.5">
      <c r="B131" s="533" t="s">
        <v>993</v>
      </c>
      <c r="C131" s="534">
        <v>149413</v>
      </c>
    </row>
    <row r="132" spans="2:3" ht="14.5">
      <c r="B132" s="531" t="s">
        <v>7017</v>
      </c>
      <c r="C132" s="532">
        <v>146339</v>
      </c>
    </row>
    <row r="133" spans="2:3" ht="14.5">
      <c r="B133" s="533" t="s">
        <v>8053</v>
      </c>
      <c r="C133" s="534">
        <v>126817</v>
      </c>
    </row>
    <row r="134" spans="2:3" ht="14.5">
      <c r="B134" s="531" t="s">
        <v>1265</v>
      </c>
      <c r="C134" s="532">
        <v>126031</v>
      </c>
    </row>
    <row r="135" spans="2:3" ht="14.5">
      <c r="B135" s="533" t="s">
        <v>6982</v>
      </c>
      <c r="C135" s="534">
        <v>125824</v>
      </c>
    </row>
    <row r="136" spans="2:3" ht="14.5">
      <c r="B136" s="531" t="s">
        <v>7974</v>
      </c>
      <c r="C136" s="532">
        <v>123864</v>
      </c>
    </row>
    <row r="137" spans="2:3" ht="14.5">
      <c r="B137" s="533" t="s">
        <v>7963</v>
      </c>
      <c r="C137" s="534">
        <v>122226</v>
      </c>
    </row>
    <row r="138" spans="2:3" ht="14.5">
      <c r="B138" s="531" t="s">
        <v>8023</v>
      </c>
      <c r="C138" s="532">
        <v>121196</v>
      </c>
    </row>
    <row r="139" spans="2:3" ht="14.5">
      <c r="B139" s="533" t="s">
        <v>7980</v>
      </c>
      <c r="C139" s="534">
        <v>120378</v>
      </c>
    </row>
    <row r="140" spans="2:3" ht="14.5">
      <c r="B140" s="531" t="s">
        <v>7962</v>
      </c>
      <c r="C140" s="532">
        <v>117567</v>
      </c>
    </row>
    <row r="141" spans="2:3" ht="14.5">
      <c r="B141" s="533" t="s">
        <v>412</v>
      </c>
      <c r="C141" s="534">
        <v>113780</v>
      </c>
    </row>
    <row r="142" spans="2:3" ht="14.5">
      <c r="B142" s="531" t="s">
        <v>7972</v>
      </c>
      <c r="C142" s="532">
        <v>108968</v>
      </c>
    </row>
    <row r="143" spans="2:3" ht="14.5">
      <c r="B143" s="533" t="s">
        <v>170</v>
      </c>
      <c r="C143" s="534">
        <v>107680</v>
      </c>
    </row>
    <row r="144" spans="2:3" ht="14.5">
      <c r="B144" s="531" t="s">
        <v>7946</v>
      </c>
      <c r="C144" s="532">
        <v>100257</v>
      </c>
    </row>
    <row r="145" spans="2:3" ht="14.5">
      <c r="B145" s="533" t="s">
        <v>7026</v>
      </c>
      <c r="C145" s="534">
        <v>99994</v>
      </c>
    </row>
    <row r="146" spans="2:3" ht="14.5">
      <c r="B146" s="531" t="s">
        <v>8031</v>
      </c>
      <c r="C146" s="532">
        <v>98908</v>
      </c>
    </row>
    <row r="147" spans="2:3" ht="14.5">
      <c r="B147" s="533" t="s">
        <v>327</v>
      </c>
      <c r="C147" s="534">
        <v>96550</v>
      </c>
    </row>
    <row r="148" spans="2:3" ht="14.5">
      <c r="B148" s="531" t="s">
        <v>7937</v>
      </c>
      <c r="C148" s="532">
        <v>94572</v>
      </c>
    </row>
    <row r="149" spans="2:3" ht="14.5">
      <c r="B149" s="533" t="s">
        <v>7996</v>
      </c>
      <c r="C149" s="534">
        <v>88940</v>
      </c>
    </row>
    <row r="150" spans="2:3" ht="14.5">
      <c r="B150" s="531" t="s">
        <v>6881</v>
      </c>
      <c r="C150" s="532">
        <v>85742</v>
      </c>
    </row>
    <row r="151" spans="2:3" ht="14.5">
      <c r="B151" s="533" t="s">
        <v>84</v>
      </c>
      <c r="C151" s="534">
        <v>84573</v>
      </c>
    </row>
    <row r="152" spans="2:3" ht="14.5">
      <c r="B152" s="531" t="s">
        <v>8057</v>
      </c>
      <c r="C152" s="532">
        <v>82274</v>
      </c>
    </row>
    <row r="153" spans="2:3" ht="14.5">
      <c r="B153" s="533" t="s">
        <v>7040</v>
      </c>
      <c r="C153" s="534">
        <v>80391</v>
      </c>
    </row>
    <row r="154" spans="2:3" ht="14.5">
      <c r="B154" s="531" t="s">
        <v>7031</v>
      </c>
      <c r="C154" s="532">
        <v>78954</v>
      </c>
    </row>
    <row r="155" spans="2:3" ht="14.5">
      <c r="B155" s="533" t="s">
        <v>5702</v>
      </c>
      <c r="C155" s="534">
        <v>78316</v>
      </c>
    </row>
    <row r="156" spans="2:3" ht="14.5">
      <c r="B156" s="531" t="s">
        <v>1047</v>
      </c>
      <c r="C156" s="532">
        <v>77617</v>
      </c>
    </row>
    <row r="157" spans="2:3" ht="14.5">
      <c r="B157" s="533" t="s">
        <v>7033</v>
      </c>
      <c r="C157" s="534">
        <v>77416</v>
      </c>
    </row>
    <row r="158" spans="2:3" ht="14.5">
      <c r="B158" s="531" t="s">
        <v>5731</v>
      </c>
      <c r="C158" s="532">
        <v>75425</v>
      </c>
    </row>
    <row r="159" spans="2:3" ht="14.5">
      <c r="B159" s="533" t="s">
        <v>1033</v>
      </c>
      <c r="C159" s="534">
        <v>74387</v>
      </c>
    </row>
    <row r="160" spans="2:3" ht="14.5">
      <c r="B160" s="531" t="s">
        <v>1000</v>
      </c>
      <c r="C160" s="532">
        <v>74373</v>
      </c>
    </row>
    <row r="161" spans="2:3" ht="14.5">
      <c r="B161" s="533" t="s">
        <v>7973</v>
      </c>
      <c r="C161" s="534">
        <v>70534</v>
      </c>
    </row>
    <row r="162" spans="2:3" ht="14.5">
      <c r="B162" s="531" t="s">
        <v>166</v>
      </c>
      <c r="C162" s="532">
        <v>66797</v>
      </c>
    </row>
    <row r="163" spans="2:3" ht="14.5">
      <c r="B163" s="533" t="s">
        <v>7024</v>
      </c>
      <c r="C163" s="534">
        <v>66068</v>
      </c>
    </row>
    <row r="164" spans="2:3" ht="14.5">
      <c r="B164" s="531" t="s">
        <v>7090</v>
      </c>
      <c r="C164" s="532">
        <v>60313</v>
      </c>
    </row>
    <row r="165" spans="2:3" ht="14.5">
      <c r="B165" s="533" t="s">
        <v>995</v>
      </c>
      <c r="C165" s="534">
        <v>59477</v>
      </c>
    </row>
    <row r="166" spans="2:3" ht="14.5">
      <c r="B166" s="531" t="s">
        <v>8027</v>
      </c>
      <c r="C166" s="532">
        <v>56579</v>
      </c>
    </row>
    <row r="167" spans="2:3" ht="14.5">
      <c r="B167" s="533" t="s">
        <v>152</v>
      </c>
      <c r="C167" s="534">
        <v>55972</v>
      </c>
    </row>
    <row r="168" spans="2:3" ht="14.5">
      <c r="B168" s="531" t="s">
        <v>998</v>
      </c>
      <c r="C168" s="532">
        <v>55017</v>
      </c>
    </row>
    <row r="169" spans="2:3" ht="14.5">
      <c r="B169" s="533" t="s">
        <v>7038</v>
      </c>
      <c r="C169" s="534">
        <v>53917</v>
      </c>
    </row>
    <row r="170" spans="2:3" ht="14.5">
      <c r="B170" s="531" t="s">
        <v>1028</v>
      </c>
      <c r="C170" s="532">
        <v>53336</v>
      </c>
    </row>
    <row r="171" spans="2:3" ht="14.5">
      <c r="B171" s="533" t="s">
        <v>7041</v>
      </c>
      <c r="C171" s="534">
        <v>50050</v>
      </c>
    </row>
    <row r="172" spans="2:3" ht="14.5">
      <c r="B172" s="531" t="s">
        <v>7043</v>
      </c>
      <c r="C172" s="532">
        <v>50000</v>
      </c>
    </row>
    <row r="173" spans="2:3" ht="14.5">
      <c r="B173" s="533" t="s">
        <v>7027</v>
      </c>
      <c r="C173" s="534">
        <v>50000</v>
      </c>
    </row>
    <row r="174" spans="2:3" ht="14.5">
      <c r="B174" s="531" t="s">
        <v>369</v>
      </c>
      <c r="C174" s="532">
        <v>44522</v>
      </c>
    </row>
    <row r="175" spans="2:3" ht="14.5">
      <c r="B175" s="533" t="s">
        <v>1010</v>
      </c>
      <c r="C175" s="534">
        <v>43772</v>
      </c>
    </row>
    <row r="176" spans="2:3" ht="14.5">
      <c r="B176" s="531" t="s">
        <v>221</v>
      </c>
      <c r="C176" s="532">
        <v>43058</v>
      </c>
    </row>
    <row r="177" spans="2:3" ht="14.5">
      <c r="B177" s="533" t="s">
        <v>104</v>
      </c>
      <c r="C177" s="534">
        <v>41141</v>
      </c>
    </row>
    <row r="178" spans="2:3" ht="14.5">
      <c r="B178" s="531" t="s">
        <v>7051</v>
      </c>
      <c r="C178" s="532">
        <v>40812</v>
      </c>
    </row>
    <row r="179" spans="2:3" ht="14.5">
      <c r="B179" s="533" t="s">
        <v>7971</v>
      </c>
      <c r="C179" s="534">
        <v>40807</v>
      </c>
    </row>
    <row r="180" spans="2:3" ht="14.5">
      <c r="B180" s="531" t="s">
        <v>238</v>
      </c>
      <c r="C180" s="532">
        <v>40692</v>
      </c>
    </row>
    <row r="181" spans="2:3" ht="14.5">
      <c r="B181" s="533" t="s">
        <v>7952</v>
      </c>
      <c r="C181" s="534">
        <v>38198</v>
      </c>
    </row>
    <row r="182" spans="2:3" ht="14.5">
      <c r="B182" s="531" t="s">
        <v>39</v>
      </c>
      <c r="C182" s="532">
        <v>37475</v>
      </c>
    </row>
    <row r="183" spans="2:3" ht="14.5">
      <c r="B183" s="533" t="s">
        <v>8066</v>
      </c>
      <c r="C183" s="534">
        <v>37048</v>
      </c>
    </row>
    <row r="184" spans="2:3" ht="14.5">
      <c r="B184" s="531" t="s">
        <v>7032</v>
      </c>
      <c r="C184" s="532">
        <v>37031</v>
      </c>
    </row>
    <row r="185" spans="2:3" ht="14.5">
      <c r="B185" s="533" t="s">
        <v>7947</v>
      </c>
      <c r="C185" s="534">
        <v>36916</v>
      </c>
    </row>
    <row r="186" spans="2:3" ht="14.5">
      <c r="B186" s="531" t="s">
        <v>997</v>
      </c>
      <c r="C186" s="532">
        <v>35844</v>
      </c>
    </row>
    <row r="187" spans="2:3" ht="14.5">
      <c r="B187" s="533" t="s">
        <v>8024</v>
      </c>
      <c r="C187" s="534">
        <v>35066</v>
      </c>
    </row>
    <row r="188" spans="2:3" ht="14.5">
      <c r="B188" s="531" t="s">
        <v>7992</v>
      </c>
      <c r="C188" s="532">
        <v>34832</v>
      </c>
    </row>
    <row r="189" spans="2:3" ht="14.5">
      <c r="B189" s="533" t="s">
        <v>7981</v>
      </c>
      <c r="C189" s="534">
        <v>34618</v>
      </c>
    </row>
    <row r="190" spans="2:3" ht="14.5">
      <c r="B190" s="531" t="s">
        <v>186</v>
      </c>
      <c r="C190" s="532">
        <v>33713</v>
      </c>
    </row>
    <row r="191" spans="2:3" ht="14.5">
      <c r="B191" s="533" t="s">
        <v>7005</v>
      </c>
      <c r="C191" s="534">
        <v>33637</v>
      </c>
    </row>
    <row r="192" spans="2:3" ht="14.5">
      <c r="B192" s="531" t="s">
        <v>7070</v>
      </c>
      <c r="C192" s="532">
        <v>31215</v>
      </c>
    </row>
    <row r="193" spans="2:3" ht="14.5">
      <c r="B193" s="533" t="s">
        <v>8058</v>
      </c>
      <c r="C193" s="534">
        <v>30403</v>
      </c>
    </row>
    <row r="194" spans="2:3" ht="14.5">
      <c r="B194" s="531" t="s">
        <v>996</v>
      </c>
      <c r="C194" s="532">
        <v>30288</v>
      </c>
    </row>
    <row r="195" spans="2:3" ht="14.5">
      <c r="B195" s="533" t="s">
        <v>8039</v>
      </c>
      <c r="C195" s="534">
        <v>30274</v>
      </c>
    </row>
    <row r="196" spans="2:3" ht="14.5">
      <c r="B196" s="531" t="s">
        <v>6888</v>
      </c>
      <c r="C196" s="532">
        <v>30066</v>
      </c>
    </row>
    <row r="197" spans="2:3" ht="14.5">
      <c r="B197" s="533" t="s">
        <v>162</v>
      </c>
      <c r="C197" s="534">
        <v>29760</v>
      </c>
    </row>
    <row r="198" spans="2:3" ht="14.5">
      <c r="B198" s="531" t="s">
        <v>7982</v>
      </c>
      <c r="C198" s="532">
        <v>29500</v>
      </c>
    </row>
    <row r="199" spans="2:3" ht="14.5">
      <c r="B199" s="533" t="s">
        <v>8068</v>
      </c>
      <c r="C199" s="534">
        <v>28405</v>
      </c>
    </row>
    <row r="200" spans="2:3" ht="14.5">
      <c r="B200" s="531" t="s">
        <v>1657</v>
      </c>
      <c r="C200" s="532">
        <v>28108</v>
      </c>
    </row>
    <row r="201" spans="2:3" ht="14.5">
      <c r="B201" s="533" t="s">
        <v>8074</v>
      </c>
      <c r="C201" s="534">
        <v>27869</v>
      </c>
    </row>
    <row r="202" spans="2:3" ht="14.5">
      <c r="B202" s="531" t="s">
        <v>179</v>
      </c>
      <c r="C202" s="532">
        <v>27860</v>
      </c>
    </row>
    <row r="203" spans="2:3" ht="14.5">
      <c r="B203" s="533" t="s">
        <v>1007</v>
      </c>
      <c r="C203" s="534">
        <v>27811</v>
      </c>
    </row>
    <row r="204" spans="2:3" ht="14.5">
      <c r="B204" s="531" t="s">
        <v>7061</v>
      </c>
      <c r="C204" s="532">
        <v>27602</v>
      </c>
    </row>
    <row r="205" spans="2:3" ht="14.5">
      <c r="B205" s="533" t="s">
        <v>7994</v>
      </c>
      <c r="C205" s="534">
        <v>27300</v>
      </c>
    </row>
    <row r="206" spans="2:3" ht="14.5">
      <c r="B206" s="531" t="s">
        <v>7062</v>
      </c>
      <c r="C206" s="532">
        <v>26148</v>
      </c>
    </row>
    <row r="207" spans="2:3" ht="14.5">
      <c r="B207" s="533" t="s">
        <v>8034</v>
      </c>
      <c r="C207" s="534">
        <v>25685</v>
      </c>
    </row>
    <row r="208" spans="2:3" ht="14.5">
      <c r="B208" s="531" t="s">
        <v>380</v>
      </c>
      <c r="C208" s="532">
        <v>25116</v>
      </c>
    </row>
    <row r="209" spans="2:3" ht="14.5">
      <c r="B209" s="533" t="s">
        <v>7979</v>
      </c>
      <c r="C209" s="534">
        <v>24806</v>
      </c>
    </row>
    <row r="210" spans="2:3" ht="14.5">
      <c r="B210" s="531" t="s">
        <v>1892</v>
      </c>
      <c r="C210" s="532">
        <v>23642</v>
      </c>
    </row>
    <row r="211" spans="2:3" ht="14.5">
      <c r="B211" s="533" t="s">
        <v>208</v>
      </c>
      <c r="C211" s="534">
        <v>23061</v>
      </c>
    </row>
    <row r="212" spans="2:3" ht="14.5">
      <c r="B212" s="531" t="s">
        <v>8004</v>
      </c>
      <c r="C212" s="532">
        <v>22100</v>
      </c>
    </row>
    <row r="213" spans="2:3" ht="14.5">
      <c r="B213" s="533" t="s">
        <v>7954</v>
      </c>
      <c r="C213" s="534">
        <v>22020</v>
      </c>
    </row>
    <row r="214" spans="2:3" ht="14.5">
      <c r="B214" s="531" t="s">
        <v>7984</v>
      </c>
      <c r="C214" s="532">
        <v>21820</v>
      </c>
    </row>
    <row r="215" spans="2:3" ht="14.5">
      <c r="B215" s="533" t="s">
        <v>260</v>
      </c>
      <c r="C215" s="534">
        <v>21776</v>
      </c>
    </row>
    <row r="216" spans="2:3" ht="14.5">
      <c r="B216" s="531" t="s">
        <v>8017</v>
      </c>
      <c r="C216" s="532">
        <v>21392</v>
      </c>
    </row>
    <row r="217" spans="2:3" ht="14.5">
      <c r="B217" s="533" t="s">
        <v>7986</v>
      </c>
      <c r="C217" s="534">
        <v>20697</v>
      </c>
    </row>
    <row r="218" spans="2:3" ht="14.5">
      <c r="B218" s="531" t="s">
        <v>1014</v>
      </c>
      <c r="C218" s="532">
        <v>20560</v>
      </c>
    </row>
    <row r="219" spans="2:3" ht="14.5">
      <c r="B219" s="533" t="s">
        <v>8046</v>
      </c>
      <c r="C219" s="534">
        <v>20136</v>
      </c>
    </row>
    <row r="220" spans="2:3" ht="14.5">
      <c r="B220" s="531" t="s">
        <v>8030</v>
      </c>
      <c r="C220" s="532">
        <v>20104</v>
      </c>
    </row>
    <row r="221" spans="2:3" ht="14.5">
      <c r="B221" s="533" t="s">
        <v>8093</v>
      </c>
      <c r="C221" s="534">
        <v>20000</v>
      </c>
    </row>
    <row r="222" spans="2:3" ht="14.5">
      <c r="B222" s="531" t="s">
        <v>8078</v>
      </c>
      <c r="C222" s="532">
        <v>19811</v>
      </c>
    </row>
    <row r="223" spans="2:3" ht="14.5">
      <c r="B223" s="533" t="s">
        <v>1794</v>
      </c>
      <c r="C223" s="534">
        <v>19510</v>
      </c>
    </row>
    <row r="224" spans="2:3" ht="14.5">
      <c r="B224" s="531" t="s">
        <v>236</v>
      </c>
      <c r="C224" s="532">
        <v>18015</v>
      </c>
    </row>
    <row r="225" spans="2:3" ht="14.5">
      <c r="B225" s="533" t="s">
        <v>5732</v>
      </c>
      <c r="C225" s="534">
        <v>18008</v>
      </c>
    </row>
    <row r="226" spans="2:3" ht="14.5">
      <c r="B226" s="531" t="s">
        <v>1832</v>
      </c>
      <c r="C226" s="532">
        <v>17983</v>
      </c>
    </row>
    <row r="227" spans="2:3" ht="14.5">
      <c r="B227" s="533" t="s">
        <v>257</v>
      </c>
      <c r="C227" s="534">
        <v>17592</v>
      </c>
    </row>
    <row r="228" spans="2:3" ht="14.5">
      <c r="B228" s="531" t="s">
        <v>206</v>
      </c>
      <c r="C228" s="532">
        <v>17567</v>
      </c>
    </row>
    <row r="229" spans="2:3" ht="14.5">
      <c r="B229" s="533" t="s">
        <v>7074</v>
      </c>
      <c r="C229" s="534">
        <v>17002</v>
      </c>
    </row>
    <row r="230" spans="2:3" ht="14.5">
      <c r="B230" s="531" t="s">
        <v>1011</v>
      </c>
      <c r="C230" s="532">
        <v>16997</v>
      </c>
    </row>
    <row r="231" spans="2:3" ht="14.5">
      <c r="B231" s="533" t="s">
        <v>278</v>
      </c>
      <c r="C231" s="534">
        <v>16382</v>
      </c>
    </row>
    <row r="232" spans="2:3" ht="14.5">
      <c r="B232" s="531" t="s">
        <v>7065</v>
      </c>
      <c r="C232" s="532">
        <v>16364</v>
      </c>
    </row>
    <row r="233" spans="2:3" ht="14.5">
      <c r="B233" s="533" t="s">
        <v>330</v>
      </c>
      <c r="C233" s="534">
        <v>16210</v>
      </c>
    </row>
    <row r="234" spans="2:3" ht="14.5">
      <c r="B234" s="531" t="s">
        <v>7078</v>
      </c>
      <c r="C234" s="532">
        <v>15314</v>
      </c>
    </row>
    <row r="235" spans="2:3" ht="14.5">
      <c r="B235" s="533" t="s">
        <v>7079</v>
      </c>
      <c r="C235" s="534">
        <v>14554</v>
      </c>
    </row>
    <row r="236" spans="2:3" ht="14.5">
      <c r="B236" s="531" t="s">
        <v>7120</v>
      </c>
      <c r="C236" s="532">
        <v>13914</v>
      </c>
    </row>
    <row r="237" spans="2:3" ht="14.5">
      <c r="B237" s="533" t="s">
        <v>7960</v>
      </c>
      <c r="C237" s="534">
        <v>13094</v>
      </c>
    </row>
    <row r="238" spans="2:3" ht="14.5">
      <c r="B238" s="531" t="s">
        <v>1019</v>
      </c>
      <c r="C238" s="532">
        <v>12775</v>
      </c>
    </row>
    <row r="239" spans="2:3" ht="14.5">
      <c r="B239" s="533" t="s">
        <v>7081</v>
      </c>
      <c r="C239" s="534">
        <v>12696</v>
      </c>
    </row>
    <row r="240" spans="2:3" ht="14.5">
      <c r="B240" s="531" t="s">
        <v>7977</v>
      </c>
      <c r="C240" s="532">
        <v>12633</v>
      </c>
    </row>
    <row r="241" spans="2:3" ht="14.5">
      <c r="B241" s="533" t="s">
        <v>261</v>
      </c>
      <c r="C241" s="534">
        <v>12598</v>
      </c>
    </row>
    <row r="242" spans="2:3" ht="14.5">
      <c r="B242" s="531" t="s">
        <v>7967</v>
      </c>
      <c r="C242" s="532">
        <v>12558</v>
      </c>
    </row>
    <row r="243" spans="2:3" ht="14.5">
      <c r="B243" s="533" t="s">
        <v>8070</v>
      </c>
      <c r="C243" s="534">
        <v>12349</v>
      </c>
    </row>
    <row r="244" spans="2:3" ht="14.5">
      <c r="B244" s="531" t="s">
        <v>7085</v>
      </c>
      <c r="C244" s="532">
        <v>12266</v>
      </c>
    </row>
    <row r="245" spans="2:3" ht="14.5">
      <c r="B245" s="533" t="s">
        <v>378</v>
      </c>
      <c r="C245" s="534">
        <v>12222</v>
      </c>
    </row>
    <row r="246" spans="2:3" ht="14.5">
      <c r="B246" s="531" t="s">
        <v>8049</v>
      </c>
      <c r="C246" s="532">
        <v>12026</v>
      </c>
    </row>
    <row r="247" spans="2:3" ht="14.5">
      <c r="B247" s="533" t="s">
        <v>7046</v>
      </c>
      <c r="C247" s="534">
        <v>11911</v>
      </c>
    </row>
    <row r="248" spans="2:3" ht="14.5">
      <c r="B248" s="531" t="s">
        <v>7961</v>
      </c>
      <c r="C248" s="532">
        <v>11647</v>
      </c>
    </row>
    <row r="249" spans="2:3" ht="14.5">
      <c r="B249" s="533" t="s">
        <v>98</v>
      </c>
      <c r="C249" s="534">
        <v>11586</v>
      </c>
    </row>
    <row r="250" spans="2:3" ht="14.5">
      <c r="B250" s="531" t="s">
        <v>8087</v>
      </c>
      <c r="C250" s="532">
        <v>11359</v>
      </c>
    </row>
    <row r="251" spans="2:3" ht="14.5">
      <c r="B251" s="533" t="s">
        <v>204</v>
      </c>
      <c r="C251" s="534">
        <v>11342</v>
      </c>
    </row>
    <row r="252" spans="2:3" ht="14.5">
      <c r="B252" s="531" t="s">
        <v>7997</v>
      </c>
      <c r="C252" s="532">
        <v>11171</v>
      </c>
    </row>
    <row r="253" spans="2:3" ht="14.5">
      <c r="B253" s="533" t="s">
        <v>5737</v>
      </c>
      <c r="C253" s="534">
        <v>11063</v>
      </c>
    </row>
    <row r="254" spans="2:3" ht="14.5">
      <c r="B254" s="531" t="s">
        <v>409</v>
      </c>
      <c r="C254" s="532">
        <v>10972</v>
      </c>
    </row>
    <row r="255" spans="2:3" ht="14.5">
      <c r="B255" s="533" t="s">
        <v>375</v>
      </c>
      <c r="C255" s="534">
        <v>10643</v>
      </c>
    </row>
    <row r="256" spans="2:3" ht="14.5">
      <c r="B256" s="531" t="s">
        <v>391</v>
      </c>
      <c r="C256" s="532">
        <v>10372</v>
      </c>
    </row>
    <row r="257" spans="2:3" ht="14.5">
      <c r="B257" s="533" t="s">
        <v>7091</v>
      </c>
      <c r="C257" s="534">
        <v>10106</v>
      </c>
    </row>
    <row r="258" spans="2:3" ht="14.5">
      <c r="B258" s="531" t="s">
        <v>8043</v>
      </c>
      <c r="C258" s="532">
        <v>9992</v>
      </c>
    </row>
    <row r="259" spans="2:3" ht="14.5">
      <c r="B259" s="533" t="s">
        <v>222</v>
      </c>
      <c r="C259" s="534">
        <v>9970</v>
      </c>
    </row>
    <row r="260" spans="2:3" ht="14.5">
      <c r="B260" s="531" t="s">
        <v>7076</v>
      </c>
      <c r="C260" s="532">
        <v>9456</v>
      </c>
    </row>
    <row r="261" spans="2:3" ht="14.5">
      <c r="B261" s="533" t="s">
        <v>155</v>
      </c>
      <c r="C261" s="534">
        <v>9204</v>
      </c>
    </row>
    <row r="262" spans="2:3" ht="14.5">
      <c r="B262" s="531" t="s">
        <v>8073</v>
      </c>
      <c r="C262" s="532">
        <v>9200</v>
      </c>
    </row>
    <row r="263" spans="2:3" ht="14.5">
      <c r="B263" s="533" t="s">
        <v>8069</v>
      </c>
      <c r="C263" s="534">
        <v>8950</v>
      </c>
    </row>
    <row r="264" spans="2:3" ht="14.5">
      <c r="B264" s="531" t="s">
        <v>7964</v>
      </c>
      <c r="C264" s="532">
        <v>8844</v>
      </c>
    </row>
    <row r="265" spans="2:3" ht="14.5">
      <c r="B265" s="533" t="s">
        <v>7975</v>
      </c>
      <c r="C265" s="534">
        <v>7894</v>
      </c>
    </row>
    <row r="266" spans="2:3" ht="14.5">
      <c r="B266" s="531" t="s">
        <v>251</v>
      </c>
      <c r="C266" s="532">
        <v>7854</v>
      </c>
    </row>
    <row r="267" spans="2:3" ht="14.5">
      <c r="B267" s="533" t="s">
        <v>415</v>
      </c>
      <c r="C267" s="534">
        <v>7816</v>
      </c>
    </row>
    <row r="268" spans="2:3" ht="14.5">
      <c r="B268" s="531" t="s">
        <v>8013</v>
      </c>
      <c r="C268" s="532">
        <v>7784</v>
      </c>
    </row>
    <row r="269" spans="2:3" ht="14.5">
      <c r="B269" s="533" t="s">
        <v>7958</v>
      </c>
      <c r="C269" s="534">
        <v>7768</v>
      </c>
    </row>
    <row r="270" spans="2:3" ht="14.5">
      <c r="B270" s="531" t="s">
        <v>7174</v>
      </c>
      <c r="C270" s="532">
        <v>7525</v>
      </c>
    </row>
    <row r="271" spans="2:3" ht="14.5">
      <c r="B271" s="533" t="s">
        <v>8006</v>
      </c>
      <c r="C271" s="534">
        <v>6792</v>
      </c>
    </row>
    <row r="272" spans="2:3" ht="14.5">
      <c r="B272" s="531" t="s">
        <v>8003</v>
      </c>
      <c r="C272" s="532">
        <v>6566</v>
      </c>
    </row>
    <row r="273" spans="2:3" ht="14.5">
      <c r="B273" s="533" t="s">
        <v>168</v>
      </c>
      <c r="C273" s="534">
        <v>6278</v>
      </c>
    </row>
    <row r="274" spans="2:3" ht="14.5">
      <c r="B274" s="531" t="s">
        <v>292</v>
      </c>
      <c r="C274" s="532">
        <v>6246</v>
      </c>
    </row>
    <row r="275" spans="2:3" ht="14.5">
      <c r="B275" s="533" t="s">
        <v>7095</v>
      </c>
      <c r="C275" s="534">
        <v>6134</v>
      </c>
    </row>
    <row r="276" spans="2:3" ht="14.5">
      <c r="B276" s="531" t="s">
        <v>264</v>
      </c>
      <c r="C276" s="532">
        <v>6059</v>
      </c>
    </row>
    <row r="277" spans="2:3" ht="14.5">
      <c r="B277" s="533" t="s">
        <v>217</v>
      </c>
      <c r="C277" s="534">
        <v>6041</v>
      </c>
    </row>
    <row r="278" spans="2:3" ht="14.5">
      <c r="B278" s="531" t="s">
        <v>281</v>
      </c>
      <c r="C278" s="532">
        <v>6009</v>
      </c>
    </row>
    <row r="279" spans="2:3" ht="14.5">
      <c r="B279" s="533" t="s">
        <v>7137</v>
      </c>
      <c r="C279" s="534">
        <v>5905</v>
      </c>
    </row>
    <row r="280" spans="2:3" ht="14.5">
      <c r="B280" s="531" t="s">
        <v>1021</v>
      </c>
      <c r="C280" s="532">
        <v>5874</v>
      </c>
    </row>
    <row r="281" spans="2:3" ht="14.5">
      <c r="B281" s="533" t="s">
        <v>7098</v>
      </c>
      <c r="C281" s="534">
        <v>5696</v>
      </c>
    </row>
    <row r="282" spans="2:3" ht="14.5">
      <c r="B282" s="531" t="s">
        <v>8071</v>
      </c>
      <c r="C282" s="532">
        <v>5500</v>
      </c>
    </row>
    <row r="283" spans="2:3" ht="14.5">
      <c r="B283" s="533" t="s">
        <v>1023</v>
      </c>
      <c r="C283" s="534">
        <v>5402</v>
      </c>
    </row>
    <row r="284" spans="2:3" ht="14.5">
      <c r="B284" s="531" t="s">
        <v>131</v>
      </c>
      <c r="C284" s="532">
        <v>5368</v>
      </c>
    </row>
    <row r="285" spans="2:3" ht="14.5">
      <c r="B285" s="533" t="s">
        <v>1025</v>
      </c>
      <c r="C285" s="534">
        <v>5300</v>
      </c>
    </row>
    <row r="286" spans="2:3" ht="14.5">
      <c r="B286" s="531" t="s">
        <v>8075</v>
      </c>
      <c r="C286" s="532">
        <v>5291</v>
      </c>
    </row>
    <row r="287" spans="2:3" ht="14.5">
      <c r="B287" s="533" t="s">
        <v>1031</v>
      </c>
      <c r="C287" s="534">
        <v>5176</v>
      </c>
    </row>
    <row r="288" spans="2:3" ht="14.5">
      <c r="B288" s="531" t="s">
        <v>1056</v>
      </c>
      <c r="C288" s="532">
        <v>5164</v>
      </c>
    </row>
    <row r="289" spans="2:3" ht="14.5">
      <c r="B289" s="533" t="s">
        <v>1052</v>
      </c>
      <c r="C289" s="534">
        <v>5162</v>
      </c>
    </row>
    <row r="290" spans="2:3" ht="14.5">
      <c r="B290" s="531" t="s">
        <v>8002</v>
      </c>
      <c r="C290" s="532">
        <v>5000</v>
      </c>
    </row>
    <row r="291" spans="2:3" ht="14.5">
      <c r="B291" s="533" t="s">
        <v>8072</v>
      </c>
      <c r="C291" s="534">
        <v>5000</v>
      </c>
    </row>
    <row r="292" spans="2:3" ht="14.5">
      <c r="B292" s="531" t="s">
        <v>243</v>
      </c>
      <c r="C292" s="532">
        <v>4993</v>
      </c>
    </row>
    <row r="293" spans="2:3" ht="14.5">
      <c r="B293" s="533" t="s">
        <v>8026</v>
      </c>
      <c r="C293" s="534">
        <v>4670</v>
      </c>
    </row>
    <row r="294" spans="2:3" ht="14.5">
      <c r="B294" s="531" t="s">
        <v>7101</v>
      </c>
      <c r="C294" s="532">
        <v>4600</v>
      </c>
    </row>
    <row r="295" spans="2:3" ht="14.5">
      <c r="B295" s="533" t="s">
        <v>986</v>
      </c>
      <c r="C295" s="534">
        <v>4412</v>
      </c>
    </row>
    <row r="296" spans="2:3" ht="14.5">
      <c r="B296" s="531" t="s">
        <v>5686</v>
      </c>
      <c r="C296" s="532">
        <v>4319</v>
      </c>
    </row>
    <row r="297" spans="2:3" ht="14.5">
      <c r="B297" s="533" t="s">
        <v>5704</v>
      </c>
      <c r="C297" s="534">
        <v>4054</v>
      </c>
    </row>
    <row r="298" spans="2:3" ht="14.5">
      <c r="B298" s="531" t="s">
        <v>1012</v>
      </c>
      <c r="C298" s="532">
        <v>3910</v>
      </c>
    </row>
    <row r="299" spans="2:3" ht="14.5">
      <c r="B299" s="533" t="s">
        <v>8040</v>
      </c>
      <c r="C299" s="534">
        <v>3901</v>
      </c>
    </row>
    <row r="300" spans="2:3" ht="14.5">
      <c r="B300" s="531" t="s">
        <v>8076</v>
      </c>
      <c r="C300" s="532">
        <v>3880</v>
      </c>
    </row>
    <row r="301" spans="2:3" ht="14.5">
      <c r="B301" s="533" t="s">
        <v>5738</v>
      </c>
      <c r="C301" s="534">
        <v>3644</v>
      </c>
    </row>
    <row r="302" spans="2:3" ht="14.5">
      <c r="B302" s="531" t="s">
        <v>331</v>
      </c>
      <c r="C302" s="532">
        <v>3618</v>
      </c>
    </row>
    <row r="303" spans="2:3" ht="14.5">
      <c r="B303" s="533" t="s">
        <v>1771</v>
      </c>
      <c r="C303" s="534">
        <v>3579</v>
      </c>
    </row>
    <row r="304" spans="2:3" ht="14.5">
      <c r="B304" s="531" t="s">
        <v>8014</v>
      </c>
      <c r="C304" s="532">
        <v>3468</v>
      </c>
    </row>
    <row r="305" spans="2:3" ht="14.5">
      <c r="B305" s="533" t="s">
        <v>224</v>
      </c>
      <c r="C305" s="534">
        <v>3235</v>
      </c>
    </row>
    <row r="306" spans="2:3" ht="14.5">
      <c r="B306" s="531" t="s">
        <v>377</v>
      </c>
      <c r="C306" s="532">
        <v>3216</v>
      </c>
    </row>
    <row r="307" spans="2:3" ht="14.5">
      <c r="B307" s="533" t="s">
        <v>1040</v>
      </c>
      <c r="C307" s="534">
        <v>3191</v>
      </c>
    </row>
    <row r="308" spans="2:3" ht="14.5">
      <c r="B308" s="531" t="s">
        <v>1046</v>
      </c>
      <c r="C308" s="532">
        <v>3099</v>
      </c>
    </row>
    <row r="309" spans="2:3" ht="14.5">
      <c r="B309" s="533" t="s">
        <v>356</v>
      </c>
      <c r="C309" s="534">
        <v>3071</v>
      </c>
    </row>
    <row r="310" spans="2:3" ht="14.5">
      <c r="B310" s="531" t="s">
        <v>126</v>
      </c>
      <c r="C310" s="532">
        <v>3066</v>
      </c>
    </row>
    <row r="311" spans="2:3" ht="14.5">
      <c r="B311" s="533" t="s">
        <v>8015</v>
      </c>
      <c r="C311" s="534">
        <v>3053</v>
      </c>
    </row>
    <row r="312" spans="2:3" ht="14.5">
      <c r="B312" s="531" t="s">
        <v>7106</v>
      </c>
      <c r="C312" s="532">
        <v>3003</v>
      </c>
    </row>
    <row r="313" spans="2:3" ht="14.5">
      <c r="B313" s="533" t="s">
        <v>443</v>
      </c>
      <c r="C313" s="534">
        <v>2998</v>
      </c>
    </row>
    <row r="314" spans="2:3" ht="14.5">
      <c r="B314" s="531" t="s">
        <v>7107</v>
      </c>
      <c r="C314" s="532">
        <v>2948</v>
      </c>
    </row>
    <row r="315" spans="2:3" ht="14.5">
      <c r="B315" s="533" t="s">
        <v>1036</v>
      </c>
      <c r="C315" s="534">
        <v>2825</v>
      </c>
    </row>
    <row r="316" spans="2:3" ht="14.5">
      <c r="B316" s="531" t="s">
        <v>1405</v>
      </c>
      <c r="C316" s="532">
        <v>2821</v>
      </c>
    </row>
    <row r="317" spans="2:3" ht="14.5">
      <c r="B317" s="533" t="s">
        <v>8010</v>
      </c>
      <c r="C317" s="534">
        <v>2770</v>
      </c>
    </row>
    <row r="318" spans="2:3" ht="14.5">
      <c r="B318" s="531" t="s">
        <v>1022</v>
      </c>
      <c r="C318" s="532">
        <v>2724</v>
      </c>
    </row>
    <row r="319" spans="2:3" ht="14.5">
      <c r="B319" s="533" t="s">
        <v>300</v>
      </c>
      <c r="C319" s="534">
        <v>2689</v>
      </c>
    </row>
    <row r="320" spans="2:3" ht="14.5">
      <c r="B320" s="531" t="s">
        <v>268</v>
      </c>
      <c r="C320" s="532">
        <v>2660</v>
      </c>
    </row>
    <row r="321" spans="2:3" ht="14.5">
      <c r="B321" s="533" t="s">
        <v>7983</v>
      </c>
      <c r="C321" s="534">
        <v>2563</v>
      </c>
    </row>
    <row r="322" spans="2:3" ht="14.5">
      <c r="B322" s="531" t="s">
        <v>8001</v>
      </c>
      <c r="C322" s="532">
        <v>2472</v>
      </c>
    </row>
    <row r="323" spans="2:3" ht="14.5">
      <c r="B323" s="533" t="s">
        <v>275</v>
      </c>
      <c r="C323" s="534">
        <v>2378</v>
      </c>
    </row>
    <row r="324" spans="2:3" ht="14.5">
      <c r="B324" s="531" t="s">
        <v>242</v>
      </c>
      <c r="C324" s="532">
        <v>2378</v>
      </c>
    </row>
    <row r="325" spans="2:3" ht="14.5">
      <c r="B325" s="533" t="s">
        <v>237</v>
      </c>
      <c r="C325" s="534">
        <v>2378</v>
      </c>
    </row>
    <row r="326" spans="2:3" ht="14.5">
      <c r="B326" s="531" t="s">
        <v>1045</v>
      </c>
      <c r="C326" s="532">
        <v>2304</v>
      </c>
    </row>
    <row r="327" spans="2:3" ht="14.5">
      <c r="B327" s="533" t="s">
        <v>1038</v>
      </c>
      <c r="C327" s="534">
        <v>2280</v>
      </c>
    </row>
    <row r="328" spans="2:3" ht="14.5">
      <c r="B328" s="531" t="s">
        <v>7112</v>
      </c>
      <c r="C328" s="532">
        <v>2156</v>
      </c>
    </row>
    <row r="329" spans="2:3" ht="14.5">
      <c r="B329" s="533" t="s">
        <v>232</v>
      </c>
      <c r="C329" s="534">
        <v>2044</v>
      </c>
    </row>
    <row r="330" spans="2:3" ht="14.5">
      <c r="B330" s="531" t="s">
        <v>7966</v>
      </c>
      <c r="C330" s="532">
        <v>1886</v>
      </c>
    </row>
    <row r="331" spans="2:3" ht="14.5">
      <c r="B331" s="533" t="s">
        <v>7114</v>
      </c>
      <c r="C331" s="534">
        <v>1756</v>
      </c>
    </row>
    <row r="332" spans="2:3" ht="14.5">
      <c r="B332" s="531" t="s">
        <v>8079</v>
      </c>
      <c r="C332" s="532">
        <v>1662</v>
      </c>
    </row>
    <row r="333" spans="2:3" ht="14.5">
      <c r="B333" s="533" t="s">
        <v>7115</v>
      </c>
      <c r="C333" s="534">
        <v>1573</v>
      </c>
    </row>
    <row r="334" spans="2:3" ht="14.5">
      <c r="B334" s="531" t="s">
        <v>8018</v>
      </c>
      <c r="C334" s="532">
        <v>1534</v>
      </c>
    </row>
    <row r="335" spans="2:3" ht="14.5">
      <c r="B335" s="533" t="s">
        <v>7989</v>
      </c>
      <c r="C335" s="534">
        <v>1534</v>
      </c>
    </row>
    <row r="336" spans="2:3" ht="14.5">
      <c r="B336" s="531" t="s">
        <v>178</v>
      </c>
      <c r="C336" s="532">
        <v>1520</v>
      </c>
    </row>
    <row r="337" spans="2:3" ht="14.5">
      <c r="B337" s="533" t="s">
        <v>8077</v>
      </c>
      <c r="C337" s="534">
        <v>1499</v>
      </c>
    </row>
    <row r="338" spans="2:3" ht="14.5">
      <c r="B338" s="531" t="s">
        <v>7957</v>
      </c>
      <c r="C338" s="532">
        <v>1442</v>
      </c>
    </row>
    <row r="339" spans="2:3" ht="14.5">
      <c r="B339" s="533" t="s">
        <v>214</v>
      </c>
      <c r="C339" s="534">
        <v>1425</v>
      </c>
    </row>
    <row r="340" spans="2:3" ht="14.5">
      <c r="B340" s="531" t="s">
        <v>1900</v>
      </c>
      <c r="C340" s="532">
        <v>1382</v>
      </c>
    </row>
    <row r="341" spans="2:3" ht="14.5">
      <c r="B341" s="533" t="s">
        <v>7968</v>
      </c>
      <c r="C341" s="534">
        <v>1314</v>
      </c>
    </row>
    <row r="342" spans="2:3" ht="14.5">
      <c r="B342" s="531" t="s">
        <v>259</v>
      </c>
      <c r="C342" s="532">
        <v>1284</v>
      </c>
    </row>
    <row r="343" spans="2:3" ht="14.5">
      <c r="B343" s="533" t="s">
        <v>3805</v>
      </c>
      <c r="C343" s="534">
        <v>1259</v>
      </c>
    </row>
    <row r="344" spans="2:3" ht="14.5">
      <c r="B344" s="531" t="s">
        <v>8080</v>
      </c>
      <c r="C344" s="532">
        <v>1252</v>
      </c>
    </row>
    <row r="345" spans="2:3" ht="14.5">
      <c r="B345" s="533" t="s">
        <v>7093</v>
      </c>
      <c r="C345" s="534">
        <v>1235</v>
      </c>
    </row>
    <row r="346" spans="2:3" ht="14.5">
      <c r="B346" s="531" t="s">
        <v>1049</v>
      </c>
      <c r="C346" s="532">
        <v>1191</v>
      </c>
    </row>
    <row r="347" spans="2:3" ht="14.5">
      <c r="B347" s="533" t="s">
        <v>267</v>
      </c>
      <c r="C347" s="534">
        <v>1148</v>
      </c>
    </row>
    <row r="348" spans="2:3" ht="14.5">
      <c r="B348" s="531" t="s">
        <v>335</v>
      </c>
      <c r="C348" s="532">
        <v>1104</v>
      </c>
    </row>
    <row r="349" spans="2:3" ht="14.5">
      <c r="B349" s="533" t="s">
        <v>7122</v>
      </c>
      <c r="C349" s="534">
        <v>1083</v>
      </c>
    </row>
    <row r="350" spans="2:3" ht="14.5">
      <c r="B350" s="531" t="s">
        <v>1048</v>
      </c>
      <c r="C350" s="532">
        <v>1075</v>
      </c>
    </row>
    <row r="351" spans="2:3" ht="14.5">
      <c r="B351" s="533" t="s">
        <v>7995</v>
      </c>
      <c r="C351" s="534">
        <v>1038</v>
      </c>
    </row>
    <row r="352" spans="2:3" ht="14.5">
      <c r="B352" s="531" t="s">
        <v>8005</v>
      </c>
      <c r="C352" s="532">
        <v>1000</v>
      </c>
    </row>
    <row r="353" spans="2:3" ht="14.5">
      <c r="B353" s="533" t="s">
        <v>7998</v>
      </c>
      <c r="C353" s="534">
        <v>986</v>
      </c>
    </row>
    <row r="354" spans="2:3" ht="14.5">
      <c r="B354" s="531" t="s">
        <v>7123</v>
      </c>
      <c r="C354" s="532">
        <v>965</v>
      </c>
    </row>
    <row r="355" spans="2:3" ht="14.5">
      <c r="B355" s="533" t="s">
        <v>1784</v>
      </c>
      <c r="C355" s="534">
        <v>952</v>
      </c>
    </row>
    <row r="356" spans="2:3" ht="14.5">
      <c r="B356" s="531" t="s">
        <v>8086</v>
      </c>
      <c r="C356" s="532">
        <v>952</v>
      </c>
    </row>
    <row r="357" spans="2:3" ht="14.5">
      <c r="B357" s="533" t="s">
        <v>7124</v>
      </c>
      <c r="C357" s="534">
        <v>941</v>
      </c>
    </row>
    <row r="358" spans="2:3" ht="14.5">
      <c r="B358" s="531" t="s">
        <v>8081</v>
      </c>
      <c r="C358" s="532">
        <v>889</v>
      </c>
    </row>
    <row r="359" spans="2:3" ht="14.5">
      <c r="B359" s="533" t="s">
        <v>305</v>
      </c>
      <c r="C359" s="534">
        <v>878</v>
      </c>
    </row>
    <row r="360" spans="2:3" ht="14.5">
      <c r="B360" s="531" t="s">
        <v>194</v>
      </c>
      <c r="C360" s="532">
        <v>876</v>
      </c>
    </row>
    <row r="361" spans="2:3" ht="14.5">
      <c r="B361" s="533" t="s">
        <v>207</v>
      </c>
      <c r="C361" s="534">
        <v>858</v>
      </c>
    </row>
    <row r="362" spans="2:3" ht="14.5">
      <c r="B362" s="531" t="s">
        <v>454</v>
      </c>
      <c r="C362" s="532">
        <v>856</v>
      </c>
    </row>
    <row r="363" spans="2:3" ht="14.5">
      <c r="B363" s="533" t="s">
        <v>7999</v>
      </c>
      <c r="C363" s="534">
        <v>844</v>
      </c>
    </row>
    <row r="364" spans="2:3" ht="14.5">
      <c r="B364" s="531" t="s">
        <v>1051</v>
      </c>
      <c r="C364" s="532">
        <v>761</v>
      </c>
    </row>
    <row r="365" spans="2:3" ht="14.5">
      <c r="B365" s="533" t="s">
        <v>312</v>
      </c>
      <c r="C365" s="534">
        <v>759</v>
      </c>
    </row>
    <row r="366" spans="2:3" ht="14.5">
      <c r="B366" s="531" t="s">
        <v>311</v>
      </c>
      <c r="C366" s="532">
        <v>742</v>
      </c>
    </row>
    <row r="367" spans="2:3" ht="14.5">
      <c r="B367" s="533" t="s">
        <v>197</v>
      </c>
      <c r="C367" s="534">
        <v>718</v>
      </c>
    </row>
    <row r="368" spans="2:3" ht="14.5">
      <c r="B368" s="531" t="s">
        <v>7976</v>
      </c>
      <c r="C368" s="532">
        <v>706</v>
      </c>
    </row>
    <row r="369" spans="2:3" ht="14.5">
      <c r="B369" s="533" t="s">
        <v>132</v>
      </c>
      <c r="C369" s="534">
        <v>698</v>
      </c>
    </row>
    <row r="370" spans="2:3" ht="14.5">
      <c r="B370" s="531" t="s">
        <v>7140</v>
      </c>
      <c r="C370" s="532">
        <v>687</v>
      </c>
    </row>
    <row r="371" spans="2:3" ht="14.5">
      <c r="B371" s="533" t="s">
        <v>172</v>
      </c>
      <c r="C371" s="534">
        <v>668</v>
      </c>
    </row>
    <row r="372" spans="2:3" ht="14.5">
      <c r="B372" s="531" t="s">
        <v>7075</v>
      </c>
      <c r="C372" s="532">
        <v>660</v>
      </c>
    </row>
    <row r="373" spans="2:3" ht="14.5">
      <c r="B373" s="533" t="s">
        <v>313</v>
      </c>
      <c r="C373" s="534">
        <v>638</v>
      </c>
    </row>
    <row r="374" spans="2:3" ht="14.5">
      <c r="B374" s="531" t="s">
        <v>249</v>
      </c>
      <c r="C374" s="532">
        <v>618</v>
      </c>
    </row>
    <row r="375" spans="2:3" ht="14.5">
      <c r="B375" s="533" t="s">
        <v>1039</v>
      </c>
      <c r="C375" s="534">
        <v>614</v>
      </c>
    </row>
    <row r="376" spans="2:3" ht="14.5">
      <c r="B376" s="531" t="s">
        <v>8082</v>
      </c>
      <c r="C376" s="532">
        <v>608</v>
      </c>
    </row>
    <row r="377" spans="2:3" ht="14.5">
      <c r="B377" s="533" t="s">
        <v>1041</v>
      </c>
      <c r="C377" s="534">
        <v>592</v>
      </c>
    </row>
    <row r="378" spans="2:3" ht="14.5">
      <c r="B378" s="531" t="s">
        <v>8016</v>
      </c>
      <c r="C378" s="532">
        <v>570</v>
      </c>
    </row>
    <row r="379" spans="2:3" ht="14.5">
      <c r="B379" s="533" t="s">
        <v>8084</v>
      </c>
      <c r="C379" s="534">
        <v>556</v>
      </c>
    </row>
    <row r="380" spans="2:3" ht="14.5">
      <c r="B380" s="531" t="s">
        <v>234</v>
      </c>
      <c r="C380" s="532">
        <v>532</v>
      </c>
    </row>
    <row r="381" spans="2:3" ht="14.5">
      <c r="B381" s="533" t="s">
        <v>421</v>
      </c>
      <c r="C381" s="534">
        <v>510</v>
      </c>
    </row>
    <row r="382" spans="2:3" ht="14.5">
      <c r="B382" s="531" t="s">
        <v>7103</v>
      </c>
      <c r="C382" s="532">
        <v>505</v>
      </c>
    </row>
    <row r="383" spans="2:3" ht="14.5">
      <c r="B383" s="533" t="s">
        <v>5687</v>
      </c>
      <c r="C383" s="534">
        <v>496</v>
      </c>
    </row>
    <row r="384" spans="2:3" ht="14.5">
      <c r="B384" s="531" t="s">
        <v>7145</v>
      </c>
      <c r="C384" s="532">
        <v>486</v>
      </c>
    </row>
    <row r="385" spans="2:3" ht="14.5">
      <c r="B385" s="533" t="s">
        <v>7135</v>
      </c>
      <c r="C385" s="534">
        <v>476</v>
      </c>
    </row>
    <row r="386" spans="2:3" ht="14.5">
      <c r="B386" s="531" t="s">
        <v>7134</v>
      </c>
      <c r="C386" s="532">
        <v>476</v>
      </c>
    </row>
    <row r="387" spans="2:3" ht="14.5">
      <c r="B387" s="533" t="s">
        <v>216</v>
      </c>
      <c r="C387" s="534">
        <v>458</v>
      </c>
    </row>
    <row r="388" spans="2:3" ht="14.5">
      <c r="B388" s="531" t="s">
        <v>7988</v>
      </c>
      <c r="C388" s="532">
        <v>432</v>
      </c>
    </row>
    <row r="389" spans="2:3" ht="14.5">
      <c r="B389" s="533" t="s">
        <v>7136</v>
      </c>
      <c r="C389" s="534">
        <v>420</v>
      </c>
    </row>
    <row r="390" spans="2:3" ht="14.5">
      <c r="B390" s="531" t="s">
        <v>7139</v>
      </c>
      <c r="C390" s="532">
        <v>395</v>
      </c>
    </row>
    <row r="391" spans="2:3" ht="14.5">
      <c r="B391" s="533" t="s">
        <v>7955</v>
      </c>
      <c r="C391" s="534">
        <v>395</v>
      </c>
    </row>
    <row r="392" spans="2:3" ht="14.5">
      <c r="B392" s="531" t="s">
        <v>228</v>
      </c>
      <c r="C392" s="532">
        <v>332</v>
      </c>
    </row>
    <row r="393" spans="2:3" ht="14.5">
      <c r="B393" s="533" t="s">
        <v>7141</v>
      </c>
      <c r="C393" s="534">
        <v>314</v>
      </c>
    </row>
    <row r="394" spans="2:3" ht="14.5">
      <c r="B394" s="531" t="s">
        <v>7142</v>
      </c>
      <c r="C394" s="532">
        <v>312</v>
      </c>
    </row>
    <row r="395" spans="2:3" ht="14.5">
      <c r="B395" s="533" t="s">
        <v>8083</v>
      </c>
      <c r="C395" s="534">
        <v>299</v>
      </c>
    </row>
    <row r="396" spans="2:3" ht="14.5">
      <c r="B396" s="531" t="s">
        <v>8085</v>
      </c>
      <c r="C396" s="532">
        <v>296</v>
      </c>
    </row>
    <row r="397" spans="2:3" ht="14.5">
      <c r="B397" s="533" t="s">
        <v>8019</v>
      </c>
      <c r="C397" s="534">
        <v>294</v>
      </c>
    </row>
    <row r="398" spans="2:3" ht="14.5">
      <c r="B398" s="531" t="s">
        <v>235</v>
      </c>
      <c r="C398" s="532">
        <v>286</v>
      </c>
    </row>
    <row r="399" spans="2:3" ht="14.5">
      <c r="B399" s="533" t="s">
        <v>7129</v>
      </c>
      <c r="C399" s="534">
        <v>285</v>
      </c>
    </row>
    <row r="400" spans="2:3" ht="14.5">
      <c r="B400" s="531" t="s">
        <v>456</v>
      </c>
      <c r="C400" s="532">
        <v>272</v>
      </c>
    </row>
    <row r="401" spans="2:3" ht="14.5">
      <c r="B401" s="533" t="s">
        <v>357</v>
      </c>
      <c r="C401" s="534">
        <v>266</v>
      </c>
    </row>
    <row r="402" spans="2:3" ht="14.5">
      <c r="B402" s="531" t="s">
        <v>1715</v>
      </c>
      <c r="C402" s="532">
        <v>263</v>
      </c>
    </row>
    <row r="403" spans="2:3" ht="14.5">
      <c r="B403" s="533" t="s">
        <v>219</v>
      </c>
      <c r="C403" s="534">
        <v>243</v>
      </c>
    </row>
    <row r="404" spans="2:3" ht="14.5">
      <c r="B404" s="531" t="s">
        <v>7131</v>
      </c>
      <c r="C404" s="532">
        <v>242</v>
      </c>
    </row>
    <row r="405" spans="2:3" ht="14.5">
      <c r="B405" s="533" t="s">
        <v>7171</v>
      </c>
      <c r="C405" s="534">
        <v>238</v>
      </c>
    </row>
    <row r="406" spans="2:3" ht="14.5">
      <c r="B406" s="531" t="s">
        <v>285</v>
      </c>
      <c r="C406" s="532">
        <v>238</v>
      </c>
    </row>
    <row r="407" spans="2:3" ht="14.5">
      <c r="B407" s="533" t="s">
        <v>203</v>
      </c>
      <c r="C407" s="534">
        <v>238</v>
      </c>
    </row>
    <row r="408" spans="2:3" ht="14.5">
      <c r="B408" s="531" t="s">
        <v>6878</v>
      </c>
      <c r="C408" s="532">
        <v>234</v>
      </c>
    </row>
    <row r="409" spans="2:3" ht="14.5">
      <c r="B409" s="533" t="s">
        <v>8037</v>
      </c>
      <c r="C409" s="534">
        <v>229</v>
      </c>
    </row>
    <row r="410" spans="2:3" ht="14.5">
      <c r="B410" s="531" t="s">
        <v>1057</v>
      </c>
      <c r="C410" s="532">
        <v>229</v>
      </c>
    </row>
    <row r="411" spans="2:3" ht="14.5">
      <c r="B411" s="533" t="s">
        <v>345</v>
      </c>
      <c r="C411" s="534">
        <v>216</v>
      </c>
    </row>
    <row r="412" spans="2:3" ht="14.5">
      <c r="B412" s="531" t="s">
        <v>337</v>
      </c>
      <c r="C412" s="532">
        <v>213</v>
      </c>
    </row>
    <row r="413" spans="2:3" ht="14.5">
      <c r="B413" s="533" t="s">
        <v>5710</v>
      </c>
      <c r="C413" s="534">
        <v>207</v>
      </c>
    </row>
    <row r="414" spans="2:3" ht="14.5">
      <c r="B414" s="531" t="s">
        <v>1058</v>
      </c>
      <c r="C414" s="532">
        <v>192</v>
      </c>
    </row>
    <row r="415" spans="2:3" ht="14.5">
      <c r="B415" s="533" t="s">
        <v>8020</v>
      </c>
      <c r="C415" s="534">
        <v>191</v>
      </c>
    </row>
    <row r="416" spans="2:3" ht="14.5">
      <c r="B416" s="531" t="s">
        <v>7173</v>
      </c>
      <c r="C416" s="532">
        <v>190</v>
      </c>
    </row>
    <row r="417" spans="2:3" ht="14.5">
      <c r="B417" s="533" t="s">
        <v>7150</v>
      </c>
      <c r="C417" s="534">
        <v>186</v>
      </c>
    </row>
    <row r="418" spans="2:3" ht="14.5">
      <c r="B418" s="531" t="s">
        <v>274</v>
      </c>
      <c r="C418" s="532">
        <v>185</v>
      </c>
    </row>
    <row r="419" spans="2:3" ht="14.5">
      <c r="B419" s="533" t="s">
        <v>342</v>
      </c>
      <c r="C419" s="534">
        <v>172</v>
      </c>
    </row>
    <row r="420" spans="2:3" ht="14.5">
      <c r="B420" s="531" t="s">
        <v>7154</v>
      </c>
      <c r="C420" s="532">
        <v>167</v>
      </c>
    </row>
    <row r="421" spans="2:3" ht="14.5">
      <c r="B421" s="533" t="s">
        <v>7153</v>
      </c>
      <c r="C421" s="534">
        <v>166</v>
      </c>
    </row>
    <row r="422" spans="2:3" ht="14.5">
      <c r="B422" s="531" t="s">
        <v>8011</v>
      </c>
      <c r="C422" s="532">
        <v>166</v>
      </c>
    </row>
    <row r="423" spans="2:3" ht="14.5">
      <c r="B423" s="533" t="s">
        <v>8088</v>
      </c>
      <c r="C423" s="534">
        <v>163</v>
      </c>
    </row>
    <row r="424" spans="2:3" ht="14.5">
      <c r="B424" s="531" t="s">
        <v>8022</v>
      </c>
      <c r="C424" s="532">
        <v>156</v>
      </c>
    </row>
    <row r="425" spans="2:3" ht="14.5">
      <c r="B425" s="533" t="s">
        <v>8042</v>
      </c>
      <c r="C425" s="534">
        <v>152</v>
      </c>
    </row>
    <row r="426" spans="2:3" ht="14.5">
      <c r="B426" s="531" t="s">
        <v>7987</v>
      </c>
      <c r="C426" s="532">
        <v>152</v>
      </c>
    </row>
    <row r="427" spans="2:3" ht="14.5">
      <c r="B427" s="533" t="s">
        <v>7157</v>
      </c>
      <c r="C427" s="534">
        <v>151</v>
      </c>
    </row>
    <row r="428" spans="2:3" ht="14.5">
      <c r="B428" s="531" t="s">
        <v>7158</v>
      </c>
      <c r="C428" s="532">
        <v>148</v>
      </c>
    </row>
    <row r="429" spans="2:3" ht="14.5">
      <c r="B429" s="533" t="s">
        <v>8089</v>
      </c>
      <c r="C429" s="534">
        <v>147</v>
      </c>
    </row>
    <row r="430" spans="2:3" ht="14.5">
      <c r="B430" s="531" t="s">
        <v>7160</v>
      </c>
      <c r="C430" s="532">
        <v>147</v>
      </c>
    </row>
    <row r="431" spans="2:3" ht="14.5">
      <c r="B431" s="533" t="s">
        <v>8028</v>
      </c>
      <c r="C431" s="534">
        <v>138</v>
      </c>
    </row>
    <row r="432" spans="2:3" ht="14.5">
      <c r="B432" s="531" t="s">
        <v>336</v>
      </c>
      <c r="C432" s="532">
        <v>133</v>
      </c>
    </row>
    <row r="433" spans="2:3" ht="14.5">
      <c r="B433" s="533" t="s">
        <v>7166</v>
      </c>
      <c r="C433" s="534">
        <v>128</v>
      </c>
    </row>
    <row r="434" spans="2:3" ht="14.5">
      <c r="B434" s="531" t="s">
        <v>8025</v>
      </c>
      <c r="C434" s="532">
        <v>128</v>
      </c>
    </row>
    <row r="435" spans="2:3" ht="14.5">
      <c r="B435" s="533" t="s">
        <v>7168</v>
      </c>
      <c r="C435" s="534">
        <v>126</v>
      </c>
    </row>
    <row r="436" spans="2:3" ht="14.5">
      <c r="B436" s="531" t="s">
        <v>7170</v>
      </c>
      <c r="C436" s="532">
        <v>120</v>
      </c>
    </row>
    <row r="437" spans="2:3" ht="14.5">
      <c r="B437" s="533" t="s">
        <v>7108</v>
      </c>
      <c r="C437" s="534">
        <v>96</v>
      </c>
    </row>
    <row r="438" spans="2:3" ht="14.5">
      <c r="B438" s="531" t="s">
        <v>411</v>
      </c>
      <c r="C438" s="532">
        <v>95</v>
      </c>
    </row>
    <row r="439" spans="2:3" ht="14.5">
      <c r="B439" s="533" t="s">
        <v>7152</v>
      </c>
      <c r="C439" s="534">
        <v>89</v>
      </c>
    </row>
    <row r="440" spans="2:3" ht="14.5">
      <c r="B440" s="531" t="s">
        <v>5728</v>
      </c>
      <c r="C440" s="532">
        <v>88</v>
      </c>
    </row>
    <row r="441" spans="2:3" ht="14.5">
      <c r="B441" s="533" t="s">
        <v>309</v>
      </c>
      <c r="C441" s="534">
        <v>87</v>
      </c>
    </row>
    <row r="442" spans="2:3" ht="14.5">
      <c r="B442" s="531" t="s">
        <v>7956</v>
      </c>
      <c r="C442" s="532">
        <v>85</v>
      </c>
    </row>
    <row r="443" spans="2:3" ht="14.5">
      <c r="B443" s="533" t="s">
        <v>7176</v>
      </c>
      <c r="C443" s="534">
        <v>76</v>
      </c>
    </row>
    <row r="444" spans="2:3" ht="14.5">
      <c r="B444" s="531" t="s">
        <v>8090</v>
      </c>
      <c r="C444" s="532">
        <v>72</v>
      </c>
    </row>
    <row r="445" spans="2:3" ht="14.5">
      <c r="B445" s="533" t="s">
        <v>7161</v>
      </c>
      <c r="C445" s="534">
        <v>72</v>
      </c>
    </row>
    <row r="446" spans="2:3" ht="14.5">
      <c r="B446" s="531" t="s">
        <v>7094</v>
      </c>
      <c r="C446" s="532">
        <v>70</v>
      </c>
    </row>
    <row r="447" spans="2:3" ht="14.5">
      <c r="B447" s="533" t="s">
        <v>783</v>
      </c>
      <c r="C447" s="534">
        <v>69</v>
      </c>
    </row>
    <row r="448" spans="2:3" ht="14.5">
      <c r="B448" s="531" t="s">
        <v>7991</v>
      </c>
      <c r="C448" s="532">
        <v>68</v>
      </c>
    </row>
    <row r="449" spans="2:3" ht="14.5">
      <c r="B449" s="533" t="s">
        <v>317</v>
      </c>
      <c r="C449" s="534">
        <v>68</v>
      </c>
    </row>
    <row r="450" spans="2:3" ht="14.5">
      <c r="B450" s="531" t="s">
        <v>7178</v>
      </c>
      <c r="C450" s="532">
        <v>63</v>
      </c>
    </row>
    <row r="451" spans="2:3" ht="14.5">
      <c r="B451" s="533" t="s">
        <v>8033</v>
      </c>
      <c r="C451" s="534">
        <v>62</v>
      </c>
    </row>
    <row r="452" spans="2:3" ht="14.5">
      <c r="B452" s="531" t="s">
        <v>318</v>
      </c>
      <c r="C452" s="532">
        <v>62</v>
      </c>
    </row>
    <row r="453" spans="2:3" ht="14.5">
      <c r="B453" s="533" t="s">
        <v>7179</v>
      </c>
      <c r="C453" s="534">
        <v>59</v>
      </c>
    </row>
    <row r="454" spans="2:3" ht="14.5">
      <c r="B454" s="531" t="s">
        <v>1891</v>
      </c>
      <c r="C454" s="532">
        <v>58</v>
      </c>
    </row>
    <row r="455" spans="2:3" ht="14.5">
      <c r="B455" s="533" t="s">
        <v>7953</v>
      </c>
      <c r="C455" s="534">
        <v>58</v>
      </c>
    </row>
    <row r="456" spans="2:3" ht="14.5">
      <c r="B456" s="531" t="s">
        <v>360</v>
      </c>
      <c r="C456" s="532">
        <v>56</v>
      </c>
    </row>
    <row r="457" spans="2:3" ht="14.5">
      <c r="B457" s="533" t="s">
        <v>8021</v>
      </c>
      <c r="C457" s="534">
        <v>48</v>
      </c>
    </row>
    <row r="458" spans="2:3" ht="14.5">
      <c r="B458" s="531" t="s">
        <v>8091</v>
      </c>
      <c r="C458" s="532">
        <v>47</v>
      </c>
    </row>
    <row r="459" spans="2:3" ht="14.5">
      <c r="B459" s="533" t="s">
        <v>7959</v>
      </c>
      <c r="C459" s="534">
        <v>41</v>
      </c>
    </row>
    <row r="460" spans="2:3" ht="14.5">
      <c r="B460" s="531" t="s">
        <v>7049</v>
      </c>
      <c r="C460" s="532">
        <v>39</v>
      </c>
    </row>
    <row r="461" spans="2:3" ht="14.5">
      <c r="B461" s="533" t="s">
        <v>5709</v>
      </c>
      <c r="C461" s="534">
        <v>39</v>
      </c>
    </row>
    <row r="462" spans="2:3" ht="14.5">
      <c r="B462" s="531" t="s">
        <v>316</v>
      </c>
      <c r="C462" s="532">
        <v>37</v>
      </c>
    </row>
    <row r="463" spans="2:3" ht="14.5">
      <c r="B463" s="533" t="s">
        <v>10195</v>
      </c>
      <c r="C463" s="534">
        <v>36</v>
      </c>
    </row>
    <row r="464" spans="2:3" ht="14.5">
      <c r="B464" s="531" t="s">
        <v>7985</v>
      </c>
      <c r="C464" s="532">
        <v>34</v>
      </c>
    </row>
    <row r="465" spans="2:3" ht="14.5">
      <c r="B465" s="533" t="s">
        <v>7185</v>
      </c>
      <c r="C465" s="534">
        <v>32</v>
      </c>
    </row>
    <row r="466" spans="2:3" ht="14.5">
      <c r="B466" s="531" t="s">
        <v>8045</v>
      </c>
      <c r="C466" s="532">
        <v>26</v>
      </c>
    </row>
    <row r="467" spans="2:3" ht="14.5">
      <c r="B467" s="533" t="s">
        <v>7186</v>
      </c>
      <c r="C467" s="534">
        <v>26</v>
      </c>
    </row>
    <row r="468" spans="2:3" ht="14.5">
      <c r="B468" s="531" t="s">
        <v>7187</v>
      </c>
      <c r="C468" s="532">
        <v>26</v>
      </c>
    </row>
    <row r="469" spans="2:3" ht="14.5">
      <c r="B469" s="533" t="s">
        <v>7151</v>
      </c>
      <c r="C469" s="534">
        <v>19</v>
      </c>
    </row>
    <row r="470" spans="2:3" ht="14.5">
      <c r="B470" s="531" t="s">
        <v>7188</v>
      </c>
      <c r="C470" s="532">
        <v>14</v>
      </c>
    </row>
    <row r="471" spans="2:3" ht="14.5">
      <c r="B471" s="533" t="s">
        <v>7191</v>
      </c>
      <c r="C471" s="534">
        <v>13</v>
      </c>
    </row>
    <row r="472" spans="2:3" ht="14.5">
      <c r="B472" s="531" t="s">
        <v>7990</v>
      </c>
      <c r="C472" s="532">
        <v>13</v>
      </c>
    </row>
    <row r="473" spans="2:3" ht="14.5">
      <c r="B473" s="533" t="s">
        <v>7195</v>
      </c>
      <c r="C473" s="534">
        <v>12</v>
      </c>
    </row>
    <row r="474" spans="2:3" ht="14.5">
      <c r="B474" s="531" t="s">
        <v>1894</v>
      </c>
      <c r="C474" s="532">
        <v>12</v>
      </c>
    </row>
    <row r="475" spans="2:3" ht="14.5">
      <c r="B475" s="533" t="s">
        <v>7951</v>
      </c>
      <c r="C475" s="534">
        <v>11</v>
      </c>
    </row>
    <row r="476" spans="2:3" ht="14.5">
      <c r="B476" s="531" t="s">
        <v>8008</v>
      </c>
      <c r="C476" s="532">
        <v>10</v>
      </c>
    </row>
    <row r="477" spans="2:3" ht="14.5">
      <c r="B477" s="533" t="s">
        <v>5723</v>
      </c>
      <c r="C477" s="534">
        <v>8</v>
      </c>
    </row>
    <row r="478" spans="2:3" ht="14.5">
      <c r="B478" s="531" t="s">
        <v>8009</v>
      </c>
      <c r="C478" s="532">
        <v>8</v>
      </c>
    </row>
    <row r="479" spans="2:3" ht="14.5">
      <c r="B479" s="533" t="s">
        <v>8000</v>
      </c>
      <c r="C479" s="534">
        <v>8</v>
      </c>
    </row>
    <row r="480" spans="2:3" ht="14.5">
      <c r="B480" s="531" t="s">
        <v>8092</v>
      </c>
      <c r="C480" s="532">
        <v>7</v>
      </c>
    </row>
    <row r="481" spans="2:3" ht="14.5">
      <c r="B481" s="533" t="s">
        <v>7198</v>
      </c>
      <c r="C481" s="534">
        <v>5</v>
      </c>
    </row>
    <row r="482" spans="2:3" ht="14.5">
      <c r="B482" s="531" t="s">
        <v>8012</v>
      </c>
      <c r="C482" s="532">
        <v>4</v>
      </c>
    </row>
    <row r="483" spans="2:3" ht="14.5">
      <c r="B483" s="533" t="s">
        <v>7993</v>
      </c>
      <c r="C483" s="534">
        <v>4</v>
      </c>
    </row>
    <row r="484" spans="2:3" ht="14.5">
      <c r="B484" s="531" t="s">
        <v>7050</v>
      </c>
      <c r="C484" s="532">
        <v>2</v>
      </c>
    </row>
    <row r="485" spans="2:3" ht="14.5">
      <c r="B485" s="533" t="s">
        <v>8029</v>
      </c>
      <c r="C485" s="534">
        <v>2</v>
      </c>
    </row>
    <row r="486" spans="2:3" ht="14.5">
      <c r="B486" s="535" t="s">
        <v>8062</v>
      </c>
      <c r="C486" s="536">
        <f>SUM(C5:C485)</f>
        <v>5611897295</v>
      </c>
    </row>
    <row r="487" spans="2:3">
      <c r="C487" s="529">
        <f>C486-'Annexe 29'!C493</f>
        <v>0</v>
      </c>
    </row>
  </sheetData>
  <autoFilter ref="B4:C486" xr:uid="{4EE89C38-C7BA-4580-BF17-FA609AF37B68}"/>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B7E88-89B3-478B-856A-8A72C305ADCB}">
  <sheetPr>
    <tabColor rgb="FF92D050"/>
  </sheetPr>
  <dimension ref="A2:C64"/>
  <sheetViews>
    <sheetView topLeftCell="A33" zoomScale="80" zoomScaleNormal="80" workbookViewId="0">
      <selection activeCell="C63" sqref="C63"/>
    </sheetView>
  </sheetViews>
  <sheetFormatPr baseColWidth="10" defaultColWidth="11.5" defaultRowHeight="14"/>
  <cols>
    <col min="2" max="2" width="102.25" bestFit="1" customWidth="1"/>
    <col min="3" max="3" width="16.25" bestFit="1" customWidth="1"/>
  </cols>
  <sheetData>
    <row r="2" spans="1:3" ht="15.5">
      <c r="A2" s="7" t="s">
        <v>7911</v>
      </c>
    </row>
    <row r="4" spans="1:3">
      <c r="B4" s="137" t="s">
        <v>7927</v>
      </c>
      <c r="C4" s="137" t="s">
        <v>8125</v>
      </c>
    </row>
    <row r="5" spans="1:3" ht="14.5">
      <c r="B5" s="533" t="s">
        <v>7944</v>
      </c>
      <c r="C5" s="534">
        <v>1096711743</v>
      </c>
    </row>
    <row r="6" spans="1:3" ht="14.5">
      <c r="B6" s="531" t="s">
        <v>8061</v>
      </c>
      <c r="C6" s="532">
        <v>813975208</v>
      </c>
    </row>
    <row r="7" spans="1:3" ht="14.5">
      <c r="B7" s="533" t="s">
        <v>8052</v>
      </c>
      <c r="C7" s="534">
        <v>512316454</v>
      </c>
    </row>
    <row r="8" spans="1:3" ht="14.5">
      <c r="B8" s="531" t="s">
        <v>7935</v>
      </c>
      <c r="C8" s="532">
        <v>480163998</v>
      </c>
    </row>
    <row r="9" spans="1:3" ht="14.5">
      <c r="B9" s="533" t="s">
        <v>8095</v>
      </c>
      <c r="C9" s="534">
        <v>342909324</v>
      </c>
    </row>
    <row r="10" spans="1:3" ht="14.5">
      <c r="B10" s="531" t="s">
        <v>8096</v>
      </c>
      <c r="C10" s="532">
        <v>257134913</v>
      </c>
    </row>
    <row r="11" spans="1:3" ht="14.5">
      <c r="B11" s="533" t="s">
        <v>7948</v>
      </c>
      <c r="C11" s="534">
        <v>242660898</v>
      </c>
    </row>
    <row r="12" spans="1:3" ht="14.5">
      <c r="B12" s="531" t="s">
        <v>8097</v>
      </c>
      <c r="C12" s="532">
        <v>200000000</v>
      </c>
    </row>
    <row r="13" spans="1:3" ht="14.5">
      <c r="B13" s="533" t="s">
        <v>8098</v>
      </c>
      <c r="C13" s="534">
        <v>189426280</v>
      </c>
    </row>
    <row r="14" spans="1:3" ht="14.5">
      <c r="B14" s="531" t="s">
        <v>8099</v>
      </c>
      <c r="C14" s="532">
        <v>165055650</v>
      </c>
    </row>
    <row r="15" spans="1:3" ht="14.5">
      <c r="B15" s="533" t="s">
        <v>8100</v>
      </c>
      <c r="C15" s="534">
        <v>160804760</v>
      </c>
    </row>
    <row r="16" spans="1:3" ht="14.5">
      <c r="B16" s="531" t="s">
        <v>7938</v>
      </c>
      <c r="C16" s="532">
        <v>139222725</v>
      </c>
    </row>
    <row r="17" spans="2:3" ht="14.5">
      <c r="B17" s="533" t="s">
        <v>8101</v>
      </c>
      <c r="C17" s="534">
        <v>119997977</v>
      </c>
    </row>
    <row r="18" spans="2:3" ht="14.5">
      <c r="B18" s="531" t="s">
        <v>7942</v>
      </c>
      <c r="C18" s="532">
        <v>113743366</v>
      </c>
    </row>
    <row r="19" spans="2:3" ht="14.5">
      <c r="B19" s="533" t="s">
        <v>8102</v>
      </c>
      <c r="C19" s="534">
        <v>106116298</v>
      </c>
    </row>
    <row r="20" spans="2:3" ht="14.5">
      <c r="B20" s="531" t="s">
        <v>1061</v>
      </c>
      <c r="C20" s="532">
        <v>103856157</v>
      </c>
    </row>
    <row r="21" spans="2:3" ht="14.5">
      <c r="B21" s="533" t="s">
        <v>7943</v>
      </c>
      <c r="C21" s="534">
        <v>90643335</v>
      </c>
    </row>
    <row r="22" spans="2:3" ht="14.5">
      <c r="B22" s="531" t="s">
        <v>8056</v>
      </c>
      <c r="C22" s="532">
        <v>40487902</v>
      </c>
    </row>
    <row r="23" spans="2:3" ht="14.5">
      <c r="B23" s="533" t="s">
        <v>10196</v>
      </c>
      <c r="C23" s="534">
        <v>32900544</v>
      </c>
    </row>
    <row r="24" spans="2:3" ht="14.5">
      <c r="B24" s="531" t="s">
        <v>8060</v>
      </c>
      <c r="C24" s="532">
        <v>32802733</v>
      </c>
    </row>
    <row r="25" spans="2:3" ht="14.5">
      <c r="B25" s="533" t="s">
        <v>8103</v>
      </c>
      <c r="C25" s="534">
        <v>32512659</v>
      </c>
    </row>
    <row r="26" spans="2:3" ht="14.5">
      <c r="B26" s="531" t="s">
        <v>7940</v>
      </c>
      <c r="C26" s="532">
        <v>31745880</v>
      </c>
    </row>
    <row r="27" spans="2:3" ht="14.5">
      <c r="B27" s="533" t="s">
        <v>10197</v>
      </c>
      <c r="C27" s="534">
        <v>30779465</v>
      </c>
    </row>
    <row r="28" spans="2:3" ht="14.5">
      <c r="B28" s="531" t="s">
        <v>8105</v>
      </c>
      <c r="C28" s="532">
        <v>27429141</v>
      </c>
    </row>
    <row r="29" spans="2:3" ht="14.5">
      <c r="B29" s="533" t="s">
        <v>8106</v>
      </c>
      <c r="C29" s="534">
        <v>25272606</v>
      </c>
    </row>
    <row r="30" spans="2:3" ht="14.5">
      <c r="B30" s="531" t="s">
        <v>1062</v>
      </c>
      <c r="C30" s="532">
        <v>24891382</v>
      </c>
    </row>
    <row r="31" spans="2:3" ht="14.5">
      <c r="B31" s="533" t="s">
        <v>8107</v>
      </c>
      <c r="C31" s="534">
        <v>18075772</v>
      </c>
    </row>
    <row r="32" spans="2:3" ht="14.5">
      <c r="B32" s="531" t="s">
        <v>8108</v>
      </c>
      <c r="C32" s="532">
        <v>17575623</v>
      </c>
    </row>
    <row r="33" spans="2:3" ht="14.5">
      <c r="B33" s="533" t="s">
        <v>10198</v>
      </c>
      <c r="C33" s="534">
        <v>16850145</v>
      </c>
    </row>
    <row r="34" spans="2:3" ht="14.5">
      <c r="B34" s="531" t="s">
        <v>8109</v>
      </c>
      <c r="C34" s="532">
        <v>14537489</v>
      </c>
    </row>
    <row r="35" spans="2:3" ht="14.5">
      <c r="B35" s="533" t="s">
        <v>10199</v>
      </c>
      <c r="C35" s="534">
        <v>14045855</v>
      </c>
    </row>
    <row r="36" spans="2:3" ht="14.5">
      <c r="B36" s="531" t="s">
        <v>8110</v>
      </c>
      <c r="C36" s="532">
        <v>13499980</v>
      </c>
    </row>
    <row r="37" spans="2:3" ht="14.5">
      <c r="B37" s="533" t="s">
        <v>7950</v>
      </c>
      <c r="C37" s="534">
        <v>12643659</v>
      </c>
    </row>
    <row r="38" spans="2:3" ht="14.5">
      <c r="B38" s="531" t="s">
        <v>10200</v>
      </c>
      <c r="C38" s="532">
        <v>12549946</v>
      </c>
    </row>
    <row r="39" spans="2:3" ht="14.5">
      <c r="B39" s="533" t="s">
        <v>8111</v>
      </c>
      <c r="C39" s="534">
        <v>11921940</v>
      </c>
    </row>
    <row r="40" spans="2:3" ht="14.5">
      <c r="B40" s="531" t="s">
        <v>8112</v>
      </c>
      <c r="C40" s="532">
        <v>11571242</v>
      </c>
    </row>
    <row r="41" spans="2:3" ht="14.5">
      <c r="B41" s="533" t="s">
        <v>8113</v>
      </c>
      <c r="C41" s="534">
        <v>8807119</v>
      </c>
    </row>
    <row r="42" spans="2:3" ht="14.5">
      <c r="B42" s="531" t="s">
        <v>8104</v>
      </c>
      <c r="C42" s="532">
        <v>7898937</v>
      </c>
    </row>
    <row r="43" spans="2:3" ht="14.5">
      <c r="B43" s="533" t="s">
        <v>8115</v>
      </c>
      <c r="C43" s="534">
        <v>5793773</v>
      </c>
    </row>
    <row r="44" spans="2:3" ht="14.5">
      <c r="B44" s="531" t="s">
        <v>1065</v>
      </c>
      <c r="C44" s="532">
        <v>5200077</v>
      </c>
    </row>
    <row r="45" spans="2:3" ht="14.5">
      <c r="B45" s="533" t="s">
        <v>8114</v>
      </c>
      <c r="C45" s="534">
        <v>5094575</v>
      </c>
    </row>
    <row r="46" spans="2:3" ht="14.5">
      <c r="B46" s="531" t="s">
        <v>8116</v>
      </c>
      <c r="C46" s="532">
        <v>4709859</v>
      </c>
    </row>
    <row r="47" spans="2:3" ht="14.5">
      <c r="B47" s="533" t="s">
        <v>1071</v>
      </c>
      <c r="C47" s="534">
        <v>4169951</v>
      </c>
    </row>
    <row r="48" spans="2:3" ht="14.5">
      <c r="B48" s="531" t="s">
        <v>8048</v>
      </c>
      <c r="C48" s="532">
        <v>2867323</v>
      </c>
    </row>
    <row r="49" spans="2:3" ht="14.5">
      <c r="B49" s="533" t="s">
        <v>1066</v>
      </c>
      <c r="C49" s="534">
        <v>2642703</v>
      </c>
    </row>
    <row r="50" spans="2:3" ht="14.5">
      <c r="B50" s="531" t="s">
        <v>7949</v>
      </c>
      <c r="C50" s="532">
        <v>2502976</v>
      </c>
    </row>
    <row r="51" spans="2:3" ht="14.5">
      <c r="B51" s="533" t="s">
        <v>8051</v>
      </c>
      <c r="C51" s="534">
        <v>1657913</v>
      </c>
    </row>
    <row r="52" spans="2:3" ht="14.5">
      <c r="B52" s="531" t="s">
        <v>8047</v>
      </c>
      <c r="C52" s="532">
        <v>1244974</v>
      </c>
    </row>
    <row r="53" spans="2:3" ht="14.5">
      <c r="B53" s="533" t="s">
        <v>1067</v>
      </c>
      <c r="C53" s="534">
        <v>941941</v>
      </c>
    </row>
    <row r="54" spans="2:3" ht="14.5">
      <c r="B54" s="531" t="s">
        <v>8117</v>
      </c>
      <c r="C54" s="532">
        <v>425000</v>
      </c>
    </row>
    <row r="55" spans="2:3" ht="14.5">
      <c r="B55" s="533" t="s">
        <v>1069</v>
      </c>
      <c r="C55" s="534">
        <v>311516</v>
      </c>
    </row>
    <row r="56" spans="2:3" ht="14.5">
      <c r="B56" s="531" t="s">
        <v>8118</v>
      </c>
      <c r="C56" s="532">
        <v>300000</v>
      </c>
    </row>
    <row r="57" spans="2:3" ht="14.5">
      <c r="B57" s="533" t="s">
        <v>8119</v>
      </c>
      <c r="C57" s="534">
        <v>223159</v>
      </c>
    </row>
    <row r="58" spans="2:3" ht="14.5">
      <c r="B58" s="531" t="s">
        <v>8121</v>
      </c>
      <c r="C58" s="532">
        <v>101672</v>
      </c>
    </row>
    <row r="59" spans="2:3" ht="14.5">
      <c r="B59" s="533" t="s">
        <v>8122</v>
      </c>
      <c r="C59" s="534">
        <v>55895</v>
      </c>
    </row>
    <row r="60" spans="2:3" ht="14.5">
      <c r="B60" s="531" t="s">
        <v>8123</v>
      </c>
      <c r="C60" s="532">
        <v>50200</v>
      </c>
    </row>
    <row r="61" spans="2:3" ht="14.5">
      <c r="B61" s="533" t="s">
        <v>8120</v>
      </c>
      <c r="C61" s="534">
        <v>50000</v>
      </c>
    </row>
    <row r="62" spans="2:3" ht="14.5">
      <c r="B62" s="531" t="s">
        <v>8124</v>
      </c>
      <c r="C62" s="532">
        <v>14683</v>
      </c>
    </row>
    <row r="63" spans="2:3" ht="14.5">
      <c r="B63" s="535" t="s">
        <v>8062</v>
      </c>
      <c r="C63" s="536">
        <f>SUM(C5:C62)</f>
        <v>5611897295</v>
      </c>
    </row>
    <row r="64" spans="2:3">
      <c r="C64" s="529">
        <f>C63-'Annexe 30'!C486</f>
        <v>0</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7CACA-DC4D-48B0-9774-06856CD89920}">
  <sheetPr>
    <tabColor rgb="FF92D050"/>
  </sheetPr>
  <dimension ref="A2:C20"/>
  <sheetViews>
    <sheetView zoomScale="80" zoomScaleNormal="80" workbookViewId="0">
      <selection activeCell="D2" sqref="D2"/>
    </sheetView>
  </sheetViews>
  <sheetFormatPr baseColWidth="10" defaultColWidth="11.5" defaultRowHeight="14"/>
  <cols>
    <col min="2" max="2" width="76.83203125" bestFit="1" customWidth="1"/>
    <col min="3" max="3" width="15.5" bestFit="1" customWidth="1"/>
  </cols>
  <sheetData>
    <row r="2" spans="1:3" ht="15.5">
      <c r="A2" s="7" t="s">
        <v>7912</v>
      </c>
    </row>
    <row r="4" spans="1:3">
      <c r="B4" s="137" t="s">
        <v>7927</v>
      </c>
      <c r="C4" s="137" t="s">
        <v>8126</v>
      </c>
    </row>
    <row r="5" spans="1:3" ht="14.5">
      <c r="B5" s="533" t="s">
        <v>7944</v>
      </c>
      <c r="C5" s="534">
        <v>79986382</v>
      </c>
    </row>
    <row r="6" spans="1:3" ht="14.5">
      <c r="B6" s="531" t="s">
        <v>7930</v>
      </c>
      <c r="C6" s="532">
        <v>72040535</v>
      </c>
    </row>
    <row r="7" spans="1:3" ht="14.5">
      <c r="B7" s="533" t="s">
        <v>7934</v>
      </c>
      <c r="C7" s="534">
        <v>26273171</v>
      </c>
    </row>
    <row r="8" spans="1:3" ht="14.5">
      <c r="B8" s="531" t="s">
        <v>7931</v>
      </c>
      <c r="C8" s="532">
        <v>20296177</v>
      </c>
    </row>
    <row r="9" spans="1:3" ht="14.5">
      <c r="B9" s="533" t="s">
        <v>7929</v>
      </c>
      <c r="C9" s="534">
        <v>16650976</v>
      </c>
    </row>
    <row r="10" spans="1:3" ht="14.5">
      <c r="B10" s="531" t="s">
        <v>8098</v>
      </c>
      <c r="C10" s="532">
        <v>6168814</v>
      </c>
    </row>
    <row r="11" spans="1:3" ht="14.5">
      <c r="B11" s="533" t="s">
        <v>7933</v>
      </c>
      <c r="C11" s="534">
        <v>5859109</v>
      </c>
    </row>
    <row r="12" spans="1:3" ht="14.5">
      <c r="B12" s="531" t="s">
        <v>7948</v>
      </c>
      <c r="C12" s="532">
        <v>2252488</v>
      </c>
    </row>
    <row r="13" spans="1:3" ht="14.5">
      <c r="B13" s="533" t="s">
        <v>10200</v>
      </c>
      <c r="C13" s="534">
        <v>2035821</v>
      </c>
    </row>
    <row r="14" spans="1:3" ht="14.5">
      <c r="B14" s="531" t="s">
        <v>10199</v>
      </c>
      <c r="C14" s="532">
        <v>2035821</v>
      </c>
    </row>
    <row r="15" spans="1:3" ht="14.5">
      <c r="B15" s="533" t="s">
        <v>8106</v>
      </c>
      <c r="C15" s="534">
        <v>600000</v>
      </c>
    </row>
    <row r="16" spans="1:3" ht="14.5">
      <c r="B16" s="531" t="s">
        <v>7938</v>
      </c>
      <c r="C16" s="532">
        <v>58197</v>
      </c>
    </row>
    <row r="17" spans="2:3" ht="14.5">
      <c r="B17" s="533" t="s">
        <v>1151</v>
      </c>
      <c r="C17" s="534">
        <v>43185</v>
      </c>
    </row>
    <row r="18" spans="2:3" ht="14.5">
      <c r="B18" s="531" t="s">
        <v>7935</v>
      </c>
      <c r="C18" s="532">
        <v>344</v>
      </c>
    </row>
    <row r="19" spans="2:3" ht="14.5">
      <c r="B19" s="535" t="s">
        <v>8062</v>
      </c>
      <c r="C19" s="536">
        <f>SUM(C5:C18)</f>
        <v>234301020</v>
      </c>
    </row>
    <row r="20" spans="2:3" ht="14.5">
      <c r="B20" s="531"/>
      <c r="C20" s="532">
        <f>C19-'[1]Annexe 29'!D493</f>
        <v>0</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4A1A5-ED80-4AA5-ABAD-0F335C4F8866}">
  <sheetPr>
    <tabColor rgb="FF92D050"/>
  </sheetPr>
  <dimension ref="A2:E468"/>
  <sheetViews>
    <sheetView topLeftCell="A430" zoomScale="80" zoomScaleNormal="80" workbookViewId="0">
      <selection activeCell="B1" sqref="B1"/>
    </sheetView>
  </sheetViews>
  <sheetFormatPr baseColWidth="10" defaultColWidth="11.5" defaultRowHeight="14"/>
  <cols>
    <col min="2" max="2" width="75" bestFit="1" customWidth="1"/>
    <col min="3" max="3" width="17.75" bestFit="1" customWidth="1"/>
    <col min="4" max="4" width="15.5" bestFit="1" customWidth="1"/>
    <col min="5" max="5" width="17.75" bestFit="1" customWidth="1"/>
  </cols>
  <sheetData>
    <row r="2" spans="1:5" ht="15.5">
      <c r="A2" s="7" t="s">
        <v>8127</v>
      </c>
    </row>
    <row r="4" spans="1:5">
      <c r="B4" s="724" t="s">
        <v>881</v>
      </c>
      <c r="C4" s="724" t="s">
        <v>1135</v>
      </c>
      <c r="D4" s="724" t="s">
        <v>1136</v>
      </c>
      <c r="E4" s="724" t="s">
        <v>8094</v>
      </c>
    </row>
    <row r="5" spans="1:5" ht="14.5">
      <c r="B5" s="725" t="s">
        <v>534</v>
      </c>
      <c r="C5" s="726">
        <v>675363238</v>
      </c>
      <c r="D5" s="726"/>
      <c r="E5" s="726">
        <v>675363238</v>
      </c>
    </row>
    <row r="6" spans="1:5" ht="14.5">
      <c r="B6" s="136" t="s">
        <v>69</v>
      </c>
      <c r="C6" s="463">
        <v>505133255</v>
      </c>
      <c r="D6" s="463"/>
      <c r="E6" s="463">
        <v>505133255</v>
      </c>
    </row>
    <row r="7" spans="1:5" ht="14.5">
      <c r="B7" s="725" t="s">
        <v>558</v>
      </c>
      <c r="C7" s="726">
        <v>352924676</v>
      </c>
      <c r="D7" s="726"/>
      <c r="E7" s="726">
        <v>352924676</v>
      </c>
    </row>
    <row r="8" spans="1:5" ht="14.5">
      <c r="B8" s="136" t="s">
        <v>957</v>
      </c>
      <c r="C8" s="463">
        <v>200602524</v>
      </c>
      <c r="D8" s="463"/>
      <c r="E8" s="463">
        <v>200602524</v>
      </c>
    </row>
    <row r="9" spans="1:5" ht="14.5">
      <c r="B9" s="725" t="s">
        <v>553</v>
      </c>
      <c r="C9" s="726">
        <v>171031041</v>
      </c>
      <c r="D9" s="726"/>
      <c r="E9" s="726">
        <v>171031041</v>
      </c>
    </row>
    <row r="10" spans="1:5" ht="14.5">
      <c r="B10" s="136" t="s">
        <v>544</v>
      </c>
      <c r="C10" s="463">
        <v>167248641</v>
      </c>
      <c r="D10" s="463"/>
      <c r="E10" s="463">
        <v>167248641</v>
      </c>
    </row>
    <row r="11" spans="1:5" ht="14.5">
      <c r="B11" s="725" t="s">
        <v>539</v>
      </c>
      <c r="C11" s="726">
        <v>166163461</v>
      </c>
      <c r="D11" s="726"/>
      <c r="E11" s="726">
        <v>166163461</v>
      </c>
    </row>
    <row r="12" spans="1:5" ht="14.5">
      <c r="B12" s="136" t="s">
        <v>2980</v>
      </c>
      <c r="C12" s="463">
        <v>140459937</v>
      </c>
      <c r="D12" s="463"/>
      <c r="E12" s="463">
        <v>140459937</v>
      </c>
    </row>
    <row r="13" spans="1:5" ht="14.5">
      <c r="B13" s="725" t="s">
        <v>578</v>
      </c>
      <c r="C13" s="726">
        <v>129818171</v>
      </c>
      <c r="D13" s="726"/>
      <c r="E13" s="726">
        <v>129818171</v>
      </c>
    </row>
    <row r="14" spans="1:5" ht="14.5">
      <c r="B14" s="136" t="s">
        <v>2793</v>
      </c>
      <c r="C14" s="463">
        <v>126498152</v>
      </c>
      <c r="D14" s="463"/>
      <c r="E14" s="463">
        <v>126498152</v>
      </c>
    </row>
    <row r="15" spans="1:5" ht="14.5">
      <c r="B15" s="725" t="s">
        <v>968</v>
      </c>
      <c r="C15" s="726">
        <v>121558790</v>
      </c>
      <c r="D15" s="726"/>
      <c r="E15" s="726">
        <v>121558790</v>
      </c>
    </row>
    <row r="16" spans="1:5" ht="14.5">
      <c r="B16" s="136" t="s">
        <v>562</v>
      </c>
      <c r="C16" s="463">
        <v>81185231</v>
      </c>
      <c r="D16" s="463"/>
      <c r="E16" s="463">
        <v>81185231</v>
      </c>
    </row>
    <row r="17" spans="2:5" ht="14.5">
      <c r="B17" s="725" t="s">
        <v>961</v>
      </c>
      <c r="C17" s="726">
        <v>73130267</v>
      </c>
      <c r="D17" s="726"/>
      <c r="E17" s="726">
        <v>73130267</v>
      </c>
    </row>
    <row r="18" spans="2:5" ht="14.5">
      <c r="B18" s="136" t="s">
        <v>5411</v>
      </c>
      <c r="C18" s="463">
        <v>66777359</v>
      </c>
      <c r="D18" s="463"/>
      <c r="E18" s="463">
        <v>66777359</v>
      </c>
    </row>
    <row r="19" spans="2:5" ht="14.5">
      <c r="B19" s="725" t="s">
        <v>755</v>
      </c>
      <c r="C19" s="726"/>
      <c r="D19" s="726">
        <v>66454842</v>
      </c>
      <c r="E19" s="726">
        <v>66454842</v>
      </c>
    </row>
    <row r="20" spans="2:5" ht="14.5">
      <c r="B20" s="136" t="s">
        <v>68</v>
      </c>
      <c r="C20" s="463">
        <v>58339194</v>
      </c>
      <c r="D20" s="463"/>
      <c r="E20" s="463">
        <v>58339194</v>
      </c>
    </row>
    <row r="21" spans="2:5" ht="14.5">
      <c r="B21" s="725" t="s">
        <v>960</v>
      </c>
      <c r="C21" s="726">
        <v>58002264</v>
      </c>
      <c r="D21" s="726"/>
      <c r="E21" s="726">
        <v>58002264</v>
      </c>
    </row>
    <row r="22" spans="2:5" ht="14.5">
      <c r="B22" s="136" t="s">
        <v>618</v>
      </c>
      <c r="C22" s="463">
        <v>49288559</v>
      </c>
      <c r="D22" s="463"/>
      <c r="E22" s="463">
        <v>49288559</v>
      </c>
    </row>
    <row r="23" spans="2:5" ht="14.5">
      <c r="B23" s="725" t="s">
        <v>74</v>
      </c>
      <c r="C23" s="726">
        <v>47886926</v>
      </c>
      <c r="D23" s="726"/>
      <c r="E23" s="726">
        <v>47886926</v>
      </c>
    </row>
    <row r="24" spans="2:5" ht="14.5">
      <c r="B24" s="136" t="s">
        <v>763</v>
      </c>
      <c r="C24" s="463"/>
      <c r="D24" s="463">
        <v>46125746</v>
      </c>
      <c r="E24" s="463">
        <v>46125746</v>
      </c>
    </row>
    <row r="25" spans="2:5" ht="14.5">
      <c r="B25" s="725" t="s">
        <v>759</v>
      </c>
      <c r="C25" s="726"/>
      <c r="D25" s="726">
        <v>43779311</v>
      </c>
      <c r="E25" s="726">
        <v>43779311</v>
      </c>
    </row>
    <row r="26" spans="2:5" ht="14.5">
      <c r="B26" s="136" t="s">
        <v>607</v>
      </c>
      <c r="C26" s="463">
        <v>37467248</v>
      </c>
      <c r="D26" s="463"/>
      <c r="E26" s="463">
        <v>37467248</v>
      </c>
    </row>
    <row r="27" spans="2:5" ht="14.5">
      <c r="B27" s="725" t="s">
        <v>622</v>
      </c>
      <c r="C27" s="726">
        <v>36862125</v>
      </c>
      <c r="D27" s="726"/>
      <c r="E27" s="726">
        <v>36862125</v>
      </c>
    </row>
    <row r="28" spans="2:5" ht="14.5">
      <c r="B28" s="136" t="s">
        <v>765</v>
      </c>
      <c r="C28" s="463"/>
      <c r="D28" s="463">
        <v>36842782</v>
      </c>
      <c r="E28" s="463">
        <v>36842782</v>
      </c>
    </row>
    <row r="29" spans="2:5" ht="14.5">
      <c r="B29" s="725" t="s">
        <v>599</v>
      </c>
      <c r="C29" s="726">
        <v>36697940</v>
      </c>
      <c r="D29" s="726"/>
      <c r="E29" s="726">
        <v>36697940</v>
      </c>
    </row>
    <row r="30" spans="2:5" ht="14.5">
      <c r="B30" s="136" t="s">
        <v>190</v>
      </c>
      <c r="C30" s="463">
        <v>32840295</v>
      </c>
      <c r="D30" s="463"/>
      <c r="E30" s="463">
        <v>32840295</v>
      </c>
    </row>
    <row r="31" spans="2:5" ht="14.5">
      <c r="B31" s="725" t="s">
        <v>99</v>
      </c>
      <c r="C31" s="726">
        <v>31581857</v>
      </c>
      <c r="D31" s="726"/>
      <c r="E31" s="726">
        <v>31581857</v>
      </c>
    </row>
    <row r="32" spans="2:5" ht="14.5">
      <c r="B32" s="136" t="s">
        <v>973</v>
      </c>
      <c r="C32" s="463">
        <v>31384227</v>
      </c>
      <c r="D32" s="463"/>
      <c r="E32" s="463">
        <v>31384227</v>
      </c>
    </row>
    <row r="33" spans="2:5" ht="14.5">
      <c r="B33" s="725" t="s">
        <v>651</v>
      </c>
      <c r="C33" s="726">
        <v>31062493</v>
      </c>
      <c r="D33" s="726"/>
      <c r="E33" s="726">
        <v>31062493</v>
      </c>
    </row>
    <row r="34" spans="2:5" ht="14.5">
      <c r="B34" s="136" t="s">
        <v>87</v>
      </c>
      <c r="C34" s="463">
        <v>30832801</v>
      </c>
      <c r="D34" s="463"/>
      <c r="E34" s="463">
        <v>30832801</v>
      </c>
    </row>
    <row r="35" spans="2:5" ht="14.5">
      <c r="B35" s="725" t="s">
        <v>662</v>
      </c>
      <c r="C35" s="726">
        <v>30033942</v>
      </c>
      <c r="D35" s="726"/>
      <c r="E35" s="726">
        <v>30033942</v>
      </c>
    </row>
    <row r="36" spans="2:5" ht="14.5">
      <c r="B36" s="136" t="s">
        <v>2773</v>
      </c>
      <c r="C36" s="463">
        <v>23699316</v>
      </c>
      <c r="D36" s="463"/>
      <c r="E36" s="463">
        <v>23699316</v>
      </c>
    </row>
    <row r="37" spans="2:5" ht="14.5">
      <c r="B37" s="725" t="s">
        <v>130</v>
      </c>
      <c r="C37" s="726">
        <v>22348999</v>
      </c>
      <c r="D37" s="726"/>
      <c r="E37" s="726">
        <v>22348999</v>
      </c>
    </row>
    <row r="38" spans="2:5" ht="14.5">
      <c r="B38" s="136" t="s">
        <v>761</v>
      </c>
      <c r="C38" s="463"/>
      <c r="D38" s="463">
        <v>22282721</v>
      </c>
      <c r="E38" s="463">
        <v>22282721</v>
      </c>
    </row>
    <row r="39" spans="2:5" ht="14.5">
      <c r="B39" s="725" t="s">
        <v>646</v>
      </c>
      <c r="C39" s="726">
        <v>21137304</v>
      </c>
      <c r="D39" s="726"/>
      <c r="E39" s="726">
        <v>21137304</v>
      </c>
    </row>
    <row r="40" spans="2:5" ht="14.5">
      <c r="B40" s="136" t="s">
        <v>2477</v>
      </c>
      <c r="C40" s="463">
        <v>21124100</v>
      </c>
      <c r="D40" s="463"/>
      <c r="E40" s="463">
        <v>21124100</v>
      </c>
    </row>
    <row r="41" spans="2:5" ht="14.5">
      <c r="B41" s="725" t="s">
        <v>1847</v>
      </c>
      <c r="C41" s="726">
        <v>21036634</v>
      </c>
      <c r="D41" s="726"/>
      <c r="E41" s="726">
        <v>21036634</v>
      </c>
    </row>
    <row r="42" spans="2:5" ht="14.5">
      <c r="B42" s="136" t="s">
        <v>140</v>
      </c>
      <c r="C42" s="463">
        <v>20043624</v>
      </c>
      <c r="D42" s="463"/>
      <c r="E42" s="463">
        <v>20043624</v>
      </c>
    </row>
    <row r="43" spans="2:5" ht="14.5">
      <c r="B43" s="725" t="s">
        <v>673</v>
      </c>
      <c r="C43" s="726">
        <v>19940918</v>
      </c>
      <c r="D43" s="726"/>
      <c r="E43" s="726">
        <v>19940918</v>
      </c>
    </row>
    <row r="44" spans="2:5" ht="14.5">
      <c r="B44" s="136" t="s">
        <v>176</v>
      </c>
      <c r="C44" s="463">
        <v>19783686</v>
      </c>
      <c r="D44" s="463"/>
      <c r="E44" s="463">
        <v>19783686</v>
      </c>
    </row>
    <row r="45" spans="2:5" ht="14.5">
      <c r="B45" s="725" t="s">
        <v>7936</v>
      </c>
      <c r="C45" s="726">
        <v>19547186</v>
      </c>
      <c r="D45" s="726"/>
      <c r="E45" s="726">
        <v>19547186</v>
      </c>
    </row>
    <row r="46" spans="2:5" ht="14.5">
      <c r="B46" s="136" t="s">
        <v>659</v>
      </c>
      <c r="C46" s="463">
        <v>18875669</v>
      </c>
      <c r="D46" s="463"/>
      <c r="E46" s="463">
        <v>18875669</v>
      </c>
    </row>
    <row r="47" spans="2:5" ht="14.5">
      <c r="B47" s="725" t="s">
        <v>188</v>
      </c>
      <c r="C47" s="726">
        <v>18159299</v>
      </c>
      <c r="D47" s="726"/>
      <c r="E47" s="726">
        <v>18159299</v>
      </c>
    </row>
    <row r="48" spans="2:5" ht="14.5">
      <c r="B48" s="136" t="s">
        <v>141</v>
      </c>
      <c r="C48" s="463">
        <v>17869574</v>
      </c>
      <c r="D48" s="463"/>
      <c r="E48" s="463">
        <v>17869574</v>
      </c>
    </row>
    <row r="49" spans="2:5" ht="14.5">
      <c r="B49" s="725" t="s">
        <v>462</v>
      </c>
      <c r="C49" s="726">
        <v>14887498</v>
      </c>
      <c r="D49" s="726"/>
      <c r="E49" s="726">
        <v>14887498</v>
      </c>
    </row>
    <row r="50" spans="2:5" ht="14.5">
      <c r="B50" s="136" t="s">
        <v>967</v>
      </c>
      <c r="C50" s="463">
        <v>11334626</v>
      </c>
      <c r="D50" s="463"/>
      <c r="E50" s="463">
        <v>11334626</v>
      </c>
    </row>
    <row r="51" spans="2:5" ht="14.5">
      <c r="B51" s="725" t="s">
        <v>676</v>
      </c>
      <c r="C51" s="726">
        <v>10684472</v>
      </c>
      <c r="D51" s="726"/>
      <c r="E51" s="726">
        <v>10684472</v>
      </c>
    </row>
    <row r="52" spans="2:5" ht="14.5">
      <c r="B52" s="136" t="s">
        <v>1251</v>
      </c>
      <c r="C52" s="463">
        <v>9683213</v>
      </c>
      <c r="D52" s="463"/>
      <c r="E52" s="463">
        <v>9683213</v>
      </c>
    </row>
    <row r="53" spans="2:5" ht="14.5">
      <c r="B53" s="725" t="s">
        <v>6971</v>
      </c>
      <c r="C53" s="726">
        <v>9403675</v>
      </c>
      <c r="D53" s="726"/>
      <c r="E53" s="726">
        <v>9403675</v>
      </c>
    </row>
    <row r="54" spans="2:5" ht="14.5">
      <c r="B54" s="136" t="s">
        <v>6968</v>
      </c>
      <c r="C54" s="463">
        <v>9000377</v>
      </c>
      <c r="D54" s="463"/>
      <c r="E54" s="463">
        <v>9000377</v>
      </c>
    </row>
    <row r="55" spans="2:5" ht="14.5">
      <c r="B55" s="725" t="s">
        <v>7209</v>
      </c>
      <c r="C55" s="726">
        <v>8571682</v>
      </c>
      <c r="D55" s="726"/>
      <c r="E55" s="726">
        <v>8571682</v>
      </c>
    </row>
    <row r="56" spans="2:5" ht="14.5">
      <c r="B56" s="136" t="s">
        <v>6970</v>
      </c>
      <c r="C56" s="463">
        <v>8478569</v>
      </c>
      <c r="D56" s="463"/>
      <c r="E56" s="463">
        <v>8478569</v>
      </c>
    </row>
    <row r="57" spans="2:5" ht="14.5">
      <c r="B57" s="725" t="s">
        <v>111</v>
      </c>
      <c r="C57" s="726">
        <v>6512550</v>
      </c>
      <c r="D57" s="726"/>
      <c r="E57" s="726">
        <v>6512550</v>
      </c>
    </row>
    <row r="58" spans="2:5" ht="14.5">
      <c r="B58" s="136" t="s">
        <v>701</v>
      </c>
      <c r="C58" s="463">
        <v>6460171</v>
      </c>
      <c r="D58" s="463"/>
      <c r="E58" s="463">
        <v>6460171</v>
      </c>
    </row>
    <row r="59" spans="2:5" ht="14.5">
      <c r="B59" s="725" t="s">
        <v>7939</v>
      </c>
      <c r="C59" s="726">
        <v>6268490</v>
      </c>
      <c r="D59" s="726"/>
      <c r="E59" s="726">
        <v>6268490</v>
      </c>
    </row>
    <row r="60" spans="2:5" ht="14.5">
      <c r="B60" s="136" t="s">
        <v>7932</v>
      </c>
      <c r="C60" s="463"/>
      <c r="D60" s="463">
        <v>5859109</v>
      </c>
      <c r="E60" s="463">
        <v>5859109</v>
      </c>
    </row>
    <row r="61" spans="2:5" ht="14.5">
      <c r="B61" s="725" t="s">
        <v>6973</v>
      </c>
      <c r="C61" s="726">
        <v>5243754</v>
      </c>
      <c r="D61" s="726"/>
      <c r="E61" s="726">
        <v>5243754</v>
      </c>
    </row>
    <row r="62" spans="2:5" ht="14.5">
      <c r="B62" s="136" t="s">
        <v>978</v>
      </c>
      <c r="C62" s="463">
        <v>4721617</v>
      </c>
      <c r="D62" s="463"/>
      <c r="E62" s="463">
        <v>4721617</v>
      </c>
    </row>
    <row r="63" spans="2:5" ht="14.5">
      <c r="B63" s="725" t="s">
        <v>6972</v>
      </c>
      <c r="C63" s="726">
        <v>4708814</v>
      </c>
      <c r="D63" s="726"/>
      <c r="E63" s="726">
        <v>4708814</v>
      </c>
    </row>
    <row r="64" spans="2:5" ht="14.5">
      <c r="B64" s="136" t="s">
        <v>6975</v>
      </c>
      <c r="C64" s="463">
        <v>4568926</v>
      </c>
      <c r="D64" s="463"/>
      <c r="E64" s="463">
        <v>4568926</v>
      </c>
    </row>
    <row r="65" spans="2:5" ht="14.5">
      <c r="B65" s="725" t="s">
        <v>138</v>
      </c>
      <c r="C65" s="726">
        <v>4321799</v>
      </c>
      <c r="D65" s="726"/>
      <c r="E65" s="726">
        <v>4321799</v>
      </c>
    </row>
    <row r="66" spans="2:5" ht="14.5">
      <c r="B66" s="136" t="s">
        <v>6974</v>
      </c>
      <c r="C66" s="463">
        <v>4243451</v>
      </c>
      <c r="D66" s="463"/>
      <c r="E66" s="463">
        <v>4243451</v>
      </c>
    </row>
    <row r="67" spans="2:5" ht="14.5">
      <c r="B67" s="725" t="s">
        <v>5729</v>
      </c>
      <c r="C67" s="726">
        <v>3351062</v>
      </c>
      <c r="D67" s="726"/>
      <c r="E67" s="726">
        <v>3351062</v>
      </c>
    </row>
    <row r="68" spans="2:5" ht="14.5">
      <c r="B68" s="136" t="s">
        <v>990</v>
      </c>
      <c r="C68" s="463">
        <v>2671125</v>
      </c>
      <c r="D68" s="463"/>
      <c r="E68" s="463">
        <v>2671125</v>
      </c>
    </row>
    <row r="69" spans="2:5" ht="14.5">
      <c r="B69" s="725" t="s">
        <v>75</v>
      </c>
      <c r="C69" s="726">
        <v>2405729</v>
      </c>
      <c r="D69" s="726"/>
      <c r="E69" s="726">
        <v>2405729</v>
      </c>
    </row>
    <row r="70" spans="2:5" ht="14.5">
      <c r="B70" s="136" t="s">
        <v>6980</v>
      </c>
      <c r="C70" s="463">
        <v>2046041</v>
      </c>
      <c r="D70" s="463"/>
      <c r="E70" s="463">
        <v>2046041</v>
      </c>
    </row>
    <row r="71" spans="2:5" ht="14.5">
      <c r="B71" s="725" t="s">
        <v>6984</v>
      </c>
      <c r="C71" s="726">
        <v>1936998</v>
      </c>
      <c r="D71" s="726"/>
      <c r="E71" s="726">
        <v>1936998</v>
      </c>
    </row>
    <row r="72" spans="2:5" ht="14.5">
      <c r="B72" s="136" t="s">
        <v>6979</v>
      </c>
      <c r="C72" s="463">
        <v>1906839</v>
      </c>
      <c r="D72" s="463"/>
      <c r="E72" s="463">
        <v>1906839</v>
      </c>
    </row>
    <row r="73" spans="2:5" ht="14.5">
      <c r="B73" s="725" t="s">
        <v>5707</v>
      </c>
      <c r="C73" s="726">
        <v>1868342</v>
      </c>
      <c r="D73" s="726"/>
      <c r="E73" s="726">
        <v>1868342</v>
      </c>
    </row>
    <row r="74" spans="2:5" ht="14.5">
      <c r="B74" s="136" t="s">
        <v>692</v>
      </c>
      <c r="C74" s="463">
        <v>1428103</v>
      </c>
      <c r="D74" s="463"/>
      <c r="E74" s="463">
        <v>1428103</v>
      </c>
    </row>
    <row r="75" spans="2:5" ht="14.5">
      <c r="B75" s="725" t="s">
        <v>6981</v>
      </c>
      <c r="C75" s="726">
        <v>1310234</v>
      </c>
      <c r="D75" s="726"/>
      <c r="E75" s="726">
        <v>1310234</v>
      </c>
    </row>
    <row r="76" spans="2:5" ht="14.5">
      <c r="B76" s="136" t="s">
        <v>985</v>
      </c>
      <c r="C76" s="463">
        <v>1207161</v>
      </c>
      <c r="D76" s="463"/>
      <c r="E76" s="463">
        <v>1207161</v>
      </c>
    </row>
    <row r="77" spans="2:5" ht="14.5">
      <c r="B77" s="725" t="s">
        <v>6987</v>
      </c>
      <c r="C77" s="726">
        <v>914954</v>
      </c>
      <c r="D77" s="726"/>
      <c r="E77" s="726">
        <v>914954</v>
      </c>
    </row>
    <row r="78" spans="2:5" ht="14.5">
      <c r="B78" s="136" t="s">
        <v>6988</v>
      </c>
      <c r="C78" s="463">
        <v>866194</v>
      </c>
      <c r="D78" s="463"/>
      <c r="E78" s="463">
        <v>866194</v>
      </c>
    </row>
    <row r="79" spans="2:5" ht="14.5">
      <c r="B79" s="725" t="s">
        <v>8054</v>
      </c>
      <c r="C79" s="726">
        <v>796660</v>
      </c>
      <c r="D79" s="726"/>
      <c r="E79" s="726">
        <v>796660</v>
      </c>
    </row>
    <row r="80" spans="2:5" ht="14.5">
      <c r="B80" s="136" t="s">
        <v>6985</v>
      </c>
      <c r="C80" s="463">
        <v>780886</v>
      </c>
      <c r="D80" s="463"/>
      <c r="E80" s="463">
        <v>780886</v>
      </c>
    </row>
    <row r="81" spans="2:5" ht="14.5">
      <c r="B81" s="725" t="s">
        <v>453</v>
      </c>
      <c r="C81" s="726">
        <v>608670</v>
      </c>
      <c r="D81" s="726"/>
      <c r="E81" s="726">
        <v>608670</v>
      </c>
    </row>
    <row r="82" spans="2:5" ht="14.5">
      <c r="B82" s="136" t="s">
        <v>8067</v>
      </c>
      <c r="C82" s="463">
        <v>579423</v>
      </c>
      <c r="D82" s="463"/>
      <c r="E82" s="463">
        <v>579423</v>
      </c>
    </row>
    <row r="83" spans="2:5" ht="14.5">
      <c r="B83" s="725" t="s">
        <v>25</v>
      </c>
      <c r="C83" s="726">
        <v>512899</v>
      </c>
      <c r="D83" s="726"/>
      <c r="E83" s="726">
        <v>512899</v>
      </c>
    </row>
    <row r="84" spans="2:5" ht="14.5">
      <c r="B84" s="136" t="s">
        <v>6998</v>
      </c>
      <c r="C84" s="463">
        <v>435329</v>
      </c>
      <c r="D84" s="463"/>
      <c r="E84" s="463">
        <v>435329</v>
      </c>
    </row>
    <row r="85" spans="2:5" ht="14.5">
      <c r="B85" s="725" t="s">
        <v>709</v>
      </c>
      <c r="C85" s="726">
        <v>395077</v>
      </c>
      <c r="D85" s="726"/>
      <c r="E85" s="726">
        <v>395077</v>
      </c>
    </row>
    <row r="86" spans="2:5" ht="14.5">
      <c r="B86" s="136" t="s">
        <v>8055</v>
      </c>
      <c r="C86" s="463">
        <v>365217</v>
      </c>
      <c r="D86" s="463"/>
      <c r="E86" s="463">
        <v>365217</v>
      </c>
    </row>
    <row r="87" spans="2:5" ht="14.5">
      <c r="B87" s="725" t="s">
        <v>269</v>
      </c>
      <c r="C87" s="726">
        <v>361768</v>
      </c>
      <c r="D87" s="726"/>
      <c r="E87" s="726">
        <v>361768</v>
      </c>
    </row>
    <row r="88" spans="2:5" ht="14.5">
      <c r="B88" s="136" t="s">
        <v>714</v>
      </c>
      <c r="C88" s="463">
        <v>325051</v>
      </c>
      <c r="D88" s="463"/>
      <c r="E88" s="463">
        <v>325051</v>
      </c>
    </row>
    <row r="89" spans="2:5" ht="14.5">
      <c r="B89" s="725" t="s">
        <v>62</v>
      </c>
      <c r="C89" s="726">
        <v>289131</v>
      </c>
      <c r="D89" s="726"/>
      <c r="E89" s="726">
        <v>289131</v>
      </c>
    </row>
    <row r="90" spans="2:5" ht="14.5">
      <c r="B90" s="136" t="s">
        <v>55</v>
      </c>
      <c r="C90" s="463">
        <v>284457</v>
      </c>
      <c r="D90" s="463"/>
      <c r="E90" s="463">
        <v>284457</v>
      </c>
    </row>
    <row r="91" spans="2:5" ht="14.5">
      <c r="B91" s="725" t="s">
        <v>8038</v>
      </c>
      <c r="C91" s="726">
        <v>270922</v>
      </c>
      <c r="D91" s="726"/>
      <c r="E91" s="726">
        <v>270922</v>
      </c>
    </row>
    <row r="92" spans="2:5" ht="14.5">
      <c r="B92" s="136" t="s">
        <v>404</v>
      </c>
      <c r="C92" s="463">
        <v>265454</v>
      </c>
      <c r="D92" s="463"/>
      <c r="E92" s="463">
        <v>265454</v>
      </c>
    </row>
    <row r="93" spans="2:5" ht="14.5">
      <c r="B93" s="725" t="s">
        <v>161</v>
      </c>
      <c r="C93" s="726">
        <v>260419</v>
      </c>
      <c r="D93" s="726"/>
      <c r="E93" s="726">
        <v>260419</v>
      </c>
    </row>
    <row r="94" spans="2:5" ht="14.5">
      <c r="B94" s="136" t="s">
        <v>7004</v>
      </c>
      <c r="C94" s="463">
        <v>233704</v>
      </c>
      <c r="D94" s="463"/>
      <c r="E94" s="463">
        <v>233704</v>
      </c>
    </row>
    <row r="95" spans="2:5" ht="14.5">
      <c r="B95" s="725" t="s">
        <v>7965</v>
      </c>
      <c r="C95" s="726">
        <v>229251</v>
      </c>
      <c r="D95" s="726"/>
      <c r="E95" s="726">
        <v>229251</v>
      </c>
    </row>
    <row r="96" spans="2:5" ht="14.5">
      <c r="B96" s="136" t="s">
        <v>79</v>
      </c>
      <c r="C96" s="463">
        <v>228791</v>
      </c>
      <c r="D96" s="463"/>
      <c r="E96" s="463">
        <v>228791</v>
      </c>
    </row>
    <row r="97" spans="2:5" ht="14.5">
      <c r="B97" s="725" t="s">
        <v>8063</v>
      </c>
      <c r="C97" s="726">
        <v>223633</v>
      </c>
      <c r="D97" s="726"/>
      <c r="E97" s="726">
        <v>223633</v>
      </c>
    </row>
    <row r="98" spans="2:5" ht="14.5">
      <c r="B98" s="136" t="s">
        <v>1858</v>
      </c>
      <c r="C98" s="463">
        <v>214787</v>
      </c>
      <c r="D98" s="463"/>
      <c r="E98" s="463">
        <v>214787</v>
      </c>
    </row>
    <row r="99" spans="2:5" ht="14.5">
      <c r="B99" s="725" t="s">
        <v>7010</v>
      </c>
      <c r="C99" s="726">
        <v>213215</v>
      </c>
      <c r="D99" s="726"/>
      <c r="E99" s="726">
        <v>213215</v>
      </c>
    </row>
    <row r="100" spans="2:5" ht="14.5">
      <c r="B100" s="136" t="s">
        <v>8036</v>
      </c>
      <c r="C100" s="463">
        <v>212659</v>
      </c>
      <c r="D100" s="463"/>
      <c r="E100" s="463">
        <v>212659</v>
      </c>
    </row>
    <row r="101" spans="2:5" ht="14.5">
      <c r="B101" s="725" t="s">
        <v>50</v>
      </c>
      <c r="C101" s="726">
        <v>207017</v>
      </c>
      <c r="D101" s="726"/>
      <c r="E101" s="726">
        <v>207017</v>
      </c>
    </row>
    <row r="102" spans="2:5" ht="14.5">
      <c r="B102" s="136" t="s">
        <v>149</v>
      </c>
      <c r="C102" s="463">
        <v>200500</v>
      </c>
      <c r="D102" s="463"/>
      <c r="E102" s="463">
        <v>200500</v>
      </c>
    </row>
    <row r="103" spans="2:5" ht="14.5">
      <c r="B103" s="725" t="s">
        <v>8032</v>
      </c>
      <c r="C103" s="726">
        <v>196773</v>
      </c>
      <c r="D103" s="726"/>
      <c r="E103" s="726">
        <v>196773</v>
      </c>
    </row>
    <row r="104" spans="2:5" ht="14.5">
      <c r="B104" s="136" t="s">
        <v>7002</v>
      </c>
      <c r="C104" s="463">
        <v>189206</v>
      </c>
      <c r="D104" s="463"/>
      <c r="E104" s="463">
        <v>189206</v>
      </c>
    </row>
    <row r="105" spans="2:5" ht="14.5">
      <c r="B105" s="725" t="s">
        <v>7941</v>
      </c>
      <c r="C105" s="726">
        <v>183507</v>
      </c>
      <c r="D105" s="726"/>
      <c r="E105" s="726">
        <v>183507</v>
      </c>
    </row>
    <row r="106" spans="2:5" ht="14.5">
      <c r="B106" s="136" t="s">
        <v>8035</v>
      </c>
      <c r="C106" s="463">
        <v>182245</v>
      </c>
      <c r="D106" s="463"/>
      <c r="E106" s="463">
        <v>182245</v>
      </c>
    </row>
    <row r="107" spans="2:5" ht="14.5">
      <c r="B107" s="725" t="s">
        <v>7945</v>
      </c>
      <c r="C107" s="726">
        <v>172621</v>
      </c>
      <c r="D107" s="726"/>
      <c r="E107" s="726">
        <v>172621</v>
      </c>
    </row>
    <row r="108" spans="2:5" ht="14.5">
      <c r="B108" s="136" t="s">
        <v>88</v>
      </c>
      <c r="C108" s="463">
        <v>171690</v>
      </c>
      <c r="D108" s="463"/>
      <c r="E108" s="463">
        <v>171690</v>
      </c>
    </row>
    <row r="109" spans="2:5" ht="14.5">
      <c r="B109" s="725" t="s">
        <v>7006</v>
      </c>
      <c r="C109" s="726">
        <v>144248</v>
      </c>
      <c r="D109" s="726"/>
      <c r="E109" s="726">
        <v>144248</v>
      </c>
    </row>
    <row r="110" spans="2:5" ht="14.5">
      <c r="B110" s="136" t="s">
        <v>1004</v>
      </c>
      <c r="C110" s="463">
        <v>128990</v>
      </c>
      <c r="D110" s="463"/>
      <c r="E110" s="463">
        <v>128990</v>
      </c>
    </row>
    <row r="111" spans="2:5" ht="14.5">
      <c r="B111" s="725" t="s">
        <v>1265</v>
      </c>
      <c r="C111" s="726">
        <v>126031</v>
      </c>
      <c r="D111" s="726"/>
      <c r="E111" s="726">
        <v>126031</v>
      </c>
    </row>
    <row r="112" spans="2:5" ht="14.5">
      <c r="B112" s="136" t="s">
        <v>6982</v>
      </c>
      <c r="C112" s="463">
        <v>125824</v>
      </c>
      <c r="D112" s="463"/>
      <c r="E112" s="463">
        <v>125824</v>
      </c>
    </row>
    <row r="113" spans="2:5" ht="14.5">
      <c r="B113" s="725" t="s">
        <v>7008</v>
      </c>
      <c r="C113" s="726">
        <v>122941</v>
      </c>
      <c r="D113" s="726"/>
      <c r="E113" s="726">
        <v>122941</v>
      </c>
    </row>
    <row r="114" spans="2:5" ht="14.5">
      <c r="B114" s="136" t="s">
        <v>6991</v>
      </c>
      <c r="C114" s="463">
        <v>122378</v>
      </c>
      <c r="D114" s="463"/>
      <c r="E114" s="463">
        <v>122378</v>
      </c>
    </row>
    <row r="115" spans="2:5" ht="14.5">
      <c r="B115" s="725" t="s">
        <v>1898</v>
      </c>
      <c r="C115" s="726">
        <v>121916</v>
      </c>
      <c r="D115" s="726"/>
      <c r="E115" s="726">
        <v>121916</v>
      </c>
    </row>
    <row r="116" spans="2:5" ht="14.5">
      <c r="B116" s="136" t="s">
        <v>392</v>
      </c>
      <c r="C116" s="463">
        <v>120152</v>
      </c>
      <c r="D116" s="463"/>
      <c r="E116" s="463">
        <v>120152</v>
      </c>
    </row>
    <row r="117" spans="2:5" ht="14.5">
      <c r="B117" s="725" t="s">
        <v>8041</v>
      </c>
      <c r="C117" s="726">
        <v>117257</v>
      </c>
      <c r="D117" s="726"/>
      <c r="E117" s="726">
        <v>117257</v>
      </c>
    </row>
    <row r="118" spans="2:5" ht="14.5">
      <c r="B118" s="136" t="s">
        <v>7017</v>
      </c>
      <c r="C118" s="463">
        <v>104519</v>
      </c>
      <c r="D118" s="463"/>
      <c r="E118" s="463">
        <v>104519</v>
      </c>
    </row>
    <row r="119" spans="2:5" ht="14.5">
      <c r="B119" s="725" t="s">
        <v>7026</v>
      </c>
      <c r="C119" s="726">
        <v>99994</v>
      </c>
      <c r="D119" s="726"/>
      <c r="E119" s="726">
        <v>99994</v>
      </c>
    </row>
    <row r="120" spans="2:5" ht="14.5">
      <c r="B120" s="136" t="s">
        <v>8053</v>
      </c>
      <c r="C120" s="463">
        <v>96939</v>
      </c>
      <c r="D120" s="463"/>
      <c r="E120" s="463">
        <v>96939</v>
      </c>
    </row>
    <row r="121" spans="2:5" ht="14.5">
      <c r="B121" s="725" t="s">
        <v>446</v>
      </c>
      <c r="C121" s="726">
        <v>94521</v>
      </c>
      <c r="D121" s="726"/>
      <c r="E121" s="726">
        <v>94521</v>
      </c>
    </row>
    <row r="122" spans="2:5" ht="14.5">
      <c r="B122" s="136" t="s">
        <v>7963</v>
      </c>
      <c r="C122" s="463">
        <v>94329</v>
      </c>
      <c r="D122" s="463"/>
      <c r="E122" s="463">
        <v>94329</v>
      </c>
    </row>
    <row r="123" spans="2:5" ht="14.5">
      <c r="B123" s="725" t="s">
        <v>1273</v>
      </c>
      <c r="C123" s="726">
        <v>87727</v>
      </c>
      <c r="D123" s="726"/>
      <c r="E123" s="726">
        <v>87727</v>
      </c>
    </row>
    <row r="124" spans="2:5" ht="14.5">
      <c r="B124" s="136" t="s">
        <v>7962</v>
      </c>
      <c r="C124" s="463">
        <v>83621</v>
      </c>
      <c r="D124" s="463"/>
      <c r="E124" s="463">
        <v>83621</v>
      </c>
    </row>
    <row r="125" spans="2:5" ht="14.5">
      <c r="B125" s="725" t="s">
        <v>7014</v>
      </c>
      <c r="C125" s="726">
        <v>83598</v>
      </c>
      <c r="D125" s="726"/>
      <c r="E125" s="726">
        <v>83598</v>
      </c>
    </row>
    <row r="126" spans="2:5" ht="14.5">
      <c r="B126" s="136" t="s">
        <v>137</v>
      </c>
      <c r="C126" s="463">
        <v>83574</v>
      </c>
      <c r="D126" s="463"/>
      <c r="E126" s="463">
        <v>83574</v>
      </c>
    </row>
    <row r="127" spans="2:5" ht="14.5">
      <c r="B127" s="725" t="s">
        <v>8065</v>
      </c>
      <c r="C127" s="726">
        <v>77823</v>
      </c>
      <c r="D127" s="726"/>
      <c r="E127" s="726">
        <v>77823</v>
      </c>
    </row>
    <row r="128" spans="2:5" ht="14.5">
      <c r="B128" s="136" t="s">
        <v>7031</v>
      </c>
      <c r="C128" s="463">
        <v>77658</v>
      </c>
      <c r="D128" s="463"/>
      <c r="E128" s="463">
        <v>77658</v>
      </c>
    </row>
    <row r="129" spans="2:5" ht="14.5">
      <c r="B129" s="725" t="s">
        <v>412</v>
      </c>
      <c r="C129" s="726">
        <v>75300</v>
      </c>
      <c r="D129" s="726"/>
      <c r="E129" s="726">
        <v>75300</v>
      </c>
    </row>
    <row r="130" spans="2:5" ht="14.5">
      <c r="B130" s="136" t="s">
        <v>8007</v>
      </c>
      <c r="C130" s="463">
        <v>68137</v>
      </c>
      <c r="D130" s="463"/>
      <c r="E130" s="463">
        <v>68137</v>
      </c>
    </row>
    <row r="131" spans="2:5" ht="14.5">
      <c r="B131" s="725" t="s">
        <v>7937</v>
      </c>
      <c r="C131" s="726">
        <v>67195</v>
      </c>
      <c r="D131" s="726"/>
      <c r="E131" s="726">
        <v>67195</v>
      </c>
    </row>
    <row r="132" spans="2:5" ht="14.5">
      <c r="B132" s="136" t="s">
        <v>7978</v>
      </c>
      <c r="C132" s="463">
        <v>63392</v>
      </c>
      <c r="D132" s="463"/>
      <c r="E132" s="463">
        <v>63392</v>
      </c>
    </row>
    <row r="133" spans="2:5" ht="14.5">
      <c r="B133" s="725" t="s">
        <v>7980</v>
      </c>
      <c r="C133" s="726">
        <v>60189</v>
      </c>
      <c r="D133" s="726"/>
      <c r="E133" s="726">
        <v>60189</v>
      </c>
    </row>
    <row r="134" spans="2:5" ht="14.5">
      <c r="B134" s="136" t="s">
        <v>7022</v>
      </c>
      <c r="C134" s="463">
        <v>58248</v>
      </c>
      <c r="D134" s="463"/>
      <c r="E134" s="463">
        <v>58248</v>
      </c>
    </row>
    <row r="135" spans="2:5" ht="14.5">
      <c r="B135" s="725" t="s">
        <v>7974</v>
      </c>
      <c r="C135" s="726">
        <v>55588</v>
      </c>
      <c r="D135" s="726"/>
      <c r="E135" s="726">
        <v>55588</v>
      </c>
    </row>
    <row r="136" spans="2:5" ht="14.5">
      <c r="B136" s="136" t="s">
        <v>7972</v>
      </c>
      <c r="C136" s="463">
        <v>54484</v>
      </c>
      <c r="D136" s="463"/>
      <c r="E136" s="463">
        <v>54484</v>
      </c>
    </row>
    <row r="137" spans="2:5" ht="14.5">
      <c r="B137" s="725" t="s">
        <v>1279</v>
      </c>
      <c r="C137" s="726">
        <v>53712</v>
      </c>
      <c r="D137" s="726"/>
      <c r="E137" s="726">
        <v>53712</v>
      </c>
    </row>
    <row r="138" spans="2:5" ht="14.5">
      <c r="B138" s="136" t="s">
        <v>7946</v>
      </c>
      <c r="C138" s="463">
        <v>53583</v>
      </c>
      <c r="D138" s="463"/>
      <c r="E138" s="463">
        <v>53583</v>
      </c>
    </row>
    <row r="139" spans="2:5" ht="14.5">
      <c r="B139" s="725" t="s">
        <v>1028</v>
      </c>
      <c r="C139" s="726">
        <v>53336</v>
      </c>
      <c r="D139" s="726"/>
      <c r="E139" s="726">
        <v>53336</v>
      </c>
    </row>
    <row r="140" spans="2:5" ht="14.5">
      <c r="B140" s="136" t="s">
        <v>1047</v>
      </c>
      <c r="C140" s="463">
        <v>51425</v>
      </c>
      <c r="D140" s="463"/>
      <c r="E140" s="463">
        <v>51425</v>
      </c>
    </row>
    <row r="141" spans="2:5" ht="14.5">
      <c r="B141" s="725" t="s">
        <v>1033</v>
      </c>
      <c r="C141" s="726">
        <v>51401</v>
      </c>
      <c r="D141" s="726"/>
      <c r="E141" s="726">
        <v>51401</v>
      </c>
    </row>
    <row r="142" spans="2:5" ht="14.5">
      <c r="B142" s="136" t="s">
        <v>8031</v>
      </c>
      <c r="C142" s="463">
        <v>49454</v>
      </c>
      <c r="D142" s="463"/>
      <c r="E142" s="463">
        <v>49454</v>
      </c>
    </row>
    <row r="143" spans="2:5" ht="14.5">
      <c r="B143" s="725" t="s">
        <v>8057</v>
      </c>
      <c r="C143" s="726">
        <v>46988</v>
      </c>
      <c r="D143" s="726"/>
      <c r="E143" s="726">
        <v>46988</v>
      </c>
    </row>
    <row r="144" spans="2:5" ht="14.5">
      <c r="B144" s="136" t="s">
        <v>769</v>
      </c>
      <c r="C144" s="463"/>
      <c r="D144" s="463">
        <v>45746</v>
      </c>
      <c r="E144" s="463">
        <v>45746</v>
      </c>
    </row>
    <row r="145" spans="2:5" ht="14.5">
      <c r="B145" s="725" t="s">
        <v>7996</v>
      </c>
      <c r="C145" s="726">
        <v>44470</v>
      </c>
      <c r="D145" s="726"/>
      <c r="E145" s="726">
        <v>44470</v>
      </c>
    </row>
    <row r="146" spans="2:5" ht="14.5">
      <c r="B146" s="136" t="s">
        <v>995</v>
      </c>
      <c r="C146" s="463">
        <v>39366</v>
      </c>
      <c r="D146" s="463"/>
      <c r="E146" s="463">
        <v>39366</v>
      </c>
    </row>
    <row r="147" spans="2:5" ht="14.5">
      <c r="B147" s="725" t="s">
        <v>7032</v>
      </c>
      <c r="C147" s="726">
        <v>37031</v>
      </c>
      <c r="D147" s="726"/>
      <c r="E147" s="726">
        <v>37031</v>
      </c>
    </row>
    <row r="148" spans="2:5" ht="14.5">
      <c r="B148" s="136" t="s">
        <v>7947</v>
      </c>
      <c r="C148" s="463">
        <v>36916</v>
      </c>
      <c r="D148" s="463"/>
      <c r="E148" s="463">
        <v>36916</v>
      </c>
    </row>
    <row r="149" spans="2:5" ht="14.5">
      <c r="B149" s="725" t="s">
        <v>7033</v>
      </c>
      <c r="C149" s="726">
        <v>36803</v>
      </c>
      <c r="D149" s="726"/>
      <c r="E149" s="726">
        <v>36803</v>
      </c>
    </row>
    <row r="150" spans="2:5" ht="14.5">
      <c r="B150" s="136" t="s">
        <v>998</v>
      </c>
      <c r="C150" s="463">
        <v>36237</v>
      </c>
      <c r="D150" s="463"/>
      <c r="E150" s="463">
        <v>36237</v>
      </c>
    </row>
    <row r="151" spans="2:5" ht="14.5">
      <c r="B151" s="725" t="s">
        <v>7973</v>
      </c>
      <c r="C151" s="726">
        <v>35267</v>
      </c>
      <c r="D151" s="726"/>
      <c r="E151" s="726">
        <v>35267</v>
      </c>
    </row>
    <row r="152" spans="2:5" ht="14.5">
      <c r="B152" s="136" t="s">
        <v>6881</v>
      </c>
      <c r="C152" s="463">
        <v>34962</v>
      </c>
      <c r="D152" s="463"/>
      <c r="E152" s="463">
        <v>34962</v>
      </c>
    </row>
    <row r="153" spans="2:5" ht="14.5">
      <c r="B153" s="725" t="s">
        <v>7992</v>
      </c>
      <c r="C153" s="726">
        <v>34832</v>
      </c>
      <c r="D153" s="726"/>
      <c r="E153" s="726">
        <v>34832</v>
      </c>
    </row>
    <row r="154" spans="2:5" ht="14.5">
      <c r="B154" s="136" t="s">
        <v>7005</v>
      </c>
      <c r="C154" s="463">
        <v>33637</v>
      </c>
      <c r="D154" s="463"/>
      <c r="E154" s="463">
        <v>33637</v>
      </c>
    </row>
    <row r="155" spans="2:5" ht="14.5">
      <c r="B155" s="725" t="s">
        <v>997</v>
      </c>
      <c r="C155" s="726">
        <v>33403</v>
      </c>
      <c r="D155" s="726"/>
      <c r="E155" s="726">
        <v>33403</v>
      </c>
    </row>
    <row r="156" spans="2:5" ht="14.5">
      <c r="B156" s="136" t="s">
        <v>7024</v>
      </c>
      <c r="C156" s="463">
        <v>32944</v>
      </c>
      <c r="D156" s="463"/>
      <c r="E156" s="463">
        <v>32944</v>
      </c>
    </row>
    <row r="157" spans="2:5" ht="14.5">
      <c r="B157" s="725" t="s">
        <v>84</v>
      </c>
      <c r="C157" s="726">
        <v>31367</v>
      </c>
      <c r="D157" s="726"/>
      <c r="E157" s="726">
        <v>31367</v>
      </c>
    </row>
    <row r="158" spans="2:5" ht="14.5">
      <c r="B158" s="136" t="s">
        <v>7013</v>
      </c>
      <c r="C158" s="463">
        <v>30795</v>
      </c>
      <c r="D158" s="463"/>
      <c r="E158" s="463">
        <v>30795</v>
      </c>
    </row>
    <row r="159" spans="2:5" ht="14.5">
      <c r="B159" s="725" t="s">
        <v>166</v>
      </c>
      <c r="C159" s="726">
        <v>30120</v>
      </c>
      <c r="D159" s="726"/>
      <c r="E159" s="726">
        <v>30120</v>
      </c>
    </row>
    <row r="160" spans="2:5" ht="14.5">
      <c r="B160" s="136" t="s">
        <v>152</v>
      </c>
      <c r="C160" s="463">
        <v>27986</v>
      </c>
      <c r="D160" s="463"/>
      <c r="E160" s="463">
        <v>27986</v>
      </c>
    </row>
    <row r="161" spans="2:5" ht="14.5">
      <c r="B161" s="725" t="s">
        <v>8034</v>
      </c>
      <c r="C161" s="726">
        <v>25685</v>
      </c>
      <c r="D161" s="726"/>
      <c r="E161" s="726">
        <v>25685</v>
      </c>
    </row>
    <row r="162" spans="2:5" ht="14.5">
      <c r="B162" s="136" t="s">
        <v>7041</v>
      </c>
      <c r="C162" s="463">
        <v>25025</v>
      </c>
      <c r="D162" s="463"/>
      <c r="E162" s="463">
        <v>25025</v>
      </c>
    </row>
    <row r="163" spans="2:5" ht="14.5">
      <c r="B163" s="725" t="s">
        <v>8074</v>
      </c>
      <c r="C163" s="726">
        <v>24055</v>
      </c>
      <c r="D163" s="726"/>
      <c r="E163" s="726">
        <v>24055</v>
      </c>
    </row>
    <row r="164" spans="2:5" ht="14.5">
      <c r="B164" s="136" t="s">
        <v>8017</v>
      </c>
      <c r="C164" s="463">
        <v>21392</v>
      </c>
      <c r="D164" s="463"/>
      <c r="E164" s="463">
        <v>21392</v>
      </c>
    </row>
    <row r="165" spans="2:5" ht="14.5">
      <c r="B165" s="725" t="s">
        <v>7070</v>
      </c>
      <c r="C165" s="726">
        <v>20481</v>
      </c>
      <c r="D165" s="726"/>
      <c r="E165" s="726">
        <v>20481</v>
      </c>
    </row>
    <row r="166" spans="2:5" ht="14.5">
      <c r="B166" s="136" t="s">
        <v>7051</v>
      </c>
      <c r="C166" s="463">
        <v>20416</v>
      </c>
      <c r="D166" s="463"/>
      <c r="E166" s="463">
        <v>20416</v>
      </c>
    </row>
    <row r="167" spans="2:5" ht="14.5">
      <c r="B167" s="725" t="s">
        <v>238</v>
      </c>
      <c r="C167" s="726">
        <v>20346</v>
      </c>
      <c r="D167" s="726"/>
      <c r="E167" s="726">
        <v>20346</v>
      </c>
    </row>
    <row r="168" spans="2:5" ht="14.5">
      <c r="B168" s="136" t="s">
        <v>104</v>
      </c>
      <c r="C168" s="463">
        <v>19139</v>
      </c>
      <c r="D168" s="463"/>
      <c r="E168" s="463">
        <v>19139</v>
      </c>
    </row>
    <row r="169" spans="2:5" ht="14.5">
      <c r="B169" s="725" t="s">
        <v>7040</v>
      </c>
      <c r="C169" s="726">
        <v>18914</v>
      </c>
      <c r="D169" s="726"/>
      <c r="E169" s="726">
        <v>18914</v>
      </c>
    </row>
    <row r="170" spans="2:5" ht="14.5">
      <c r="B170" s="136" t="s">
        <v>7038</v>
      </c>
      <c r="C170" s="463">
        <v>17875</v>
      </c>
      <c r="D170" s="463"/>
      <c r="E170" s="463">
        <v>17875</v>
      </c>
    </row>
    <row r="171" spans="2:5" ht="14.5">
      <c r="B171" s="725" t="s">
        <v>8024</v>
      </c>
      <c r="C171" s="726">
        <v>17543</v>
      </c>
      <c r="D171" s="726"/>
      <c r="E171" s="726">
        <v>17543</v>
      </c>
    </row>
    <row r="172" spans="2:5" ht="14.5">
      <c r="B172" s="136" t="s">
        <v>7981</v>
      </c>
      <c r="C172" s="463">
        <v>17309</v>
      </c>
      <c r="D172" s="463"/>
      <c r="E172" s="463">
        <v>17309</v>
      </c>
    </row>
    <row r="173" spans="2:5" ht="14.5">
      <c r="B173" s="725" t="s">
        <v>8058</v>
      </c>
      <c r="C173" s="726">
        <v>16927</v>
      </c>
      <c r="D173" s="726"/>
      <c r="E173" s="726">
        <v>16927</v>
      </c>
    </row>
    <row r="174" spans="2:5" ht="14.5">
      <c r="B174" s="136" t="s">
        <v>186</v>
      </c>
      <c r="C174" s="463">
        <v>16847</v>
      </c>
      <c r="D174" s="463"/>
      <c r="E174" s="463">
        <v>16847</v>
      </c>
    </row>
    <row r="175" spans="2:5" ht="14.5">
      <c r="B175" s="725" t="s">
        <v>988</v>
      </c>
      <c r="C175" s="726">
        <v>16676</v>
      </c>
      <c r="D175" s="726"/>
      <c r="E175" s="726">
        <v>16676</v>
      </c>
    </row>
    <row r="176" spans="2:5" ht="14.5">
      <c r="B176" s="136" t="s">
        <v>996</v>
      </c>
      <c r="C176" s="463">
        <v>15145</v>
      </c>
      <c r="D176" s="463"/>
      <c r="E176" s="463">
        <v>15145</v>
      </c>
    </row>
    <row r="177" spans="2:5" ht="14.5">
      <c r="B177" s="725" t="s">
        <v>7969</v>
      </c>
      <c r="C177" s="726">
        <v>14614</v>
      </c>
      <c r="D177" s="726"/>
      <c r="E177" s="726">
        <v>14614</v>
      </c>
    </row>
    <row r="178" spans="2:5" ht="14.5">
      <c r="B178" s="136" t="s">
        <v>170</v>
      </c>
      <c r="C178" s="463">
        <v>14393</v>
      </c>
      <c r="D178" s="463"/>
      <c r="E178" s="463">
        <v>14393</v>
      </c>
    </row>
    <row r="179" spans="2:5" ht="14.5">
      <c r="B179" s="725" t="s">
        <v>8068</v>
      </c>
      <c r="C179" s="726">
        <v>14204</v>
      </c>
      <c r="D179" s="726"/>
      <c r="E179" s="726">
        <v>14204</v>
      </c>
    </row>
    <row r="180" spans="2:5" ht="14.5">
      <c r="B180" s="136" t="s">
        <v>7061</v>
      </c>
      <c r="C180" s="463">
        <v>13801</v>
      </c>
      <c r="D180" s="463"/>
      <c r="E180" s="463">
        <v>13801</v>
      </c>
    </row>
    <row r="181" spans="2:5" ht="14.5">
      <c r="B181" s="725" t="s">
        <v>162</v>
      </c>
      <c r="C181" s="726">
        <v>13436</v>
      </c>
      <c r="D181" s="726"/>
      <c r="E181" s="726">
        <v>13436</v>
      </c>
    </row>
    <row r="182" spans="2:5" ht="14.5">
      <c r="B182" s="136" t="s">
        <v>7979</v>
      </c>
      <c r="C182" s="463">
        <v>12403</v>
      </c>
      <c r="D182" s="463"/>
      <c r="E182" s="463">
        <v>12403</v>
      </c>
    </row>
    <row r="183" spans="2:5" ht="14.5">
      <c r="B183" s="725" t="s">
        <v>8049</v>
      </c>
      <c r="C183" s="726">
        <v>12026</v>
      </c>
      <c r="D183" s="726"/>
      <c r="E183" s="726">
        <v>12026</v>
      </c>
    </row>
    <row r="184" spans="2:5" ht="14.5">
      <c r="B184" s="136" t="s">
        <v>7046</v>
      </c>
      <c r="C184" s="463">
        <v>11911</v>
      </c>
      <c r="D184" s="463"/>
      <c r="E184" s="463">
        <v>11911</v>
      </c>
    </row>
    <row r="185" spans="2:5" ht="14.5">
      <c r="B185" s="725" t="s">
        <v>98</v>
      </c>
      <c r="C185" s="726">
        <v>11586</v>
      </c>
      <c r="D185" s="726"/>
      <c r="E185" s="726">
        <v>11586</v>
      </c>
    </row>
    <row r="186" spans="2:5" ht="14.5">
      <c r="B186" s="136" t="s">
        <v>208</v>
      </c>
      <c r="C186" s="463">
        <v>11531</v>
      </c>
      <c r="D186" s="463"/>
      <c r="E186" s="463">
        <v>11531</v>
      </c>
    </row>
    <row r="187" spans="2:5" ht="14.5">
      <c r="B187" s="725" t="s">
        <v>8087</v>
      </c>
      <c r="C187" s="726">
        <v>11252</v>
      </c>
      <c r="D187" s="726"/>
      <c r="E187" s="726">
        <v>11252</v>
      </c>
    </row>
    <row r="188" spans="2:5" ht="14.5">
      <c r="B188" s="136" t="s">
        <v>8004</v>
      </c>
      <c r="C188" s="463">
        <v>11060</v>
      </c>
      <c r="D188" s="463"/>
      <c r="E188" s="463">
        <v>11060</v>
      </c>
    </row>
    <row r="189" spans="2:5" ht="14.5">
      <c r="B189" s="725" t="s">
        <v>7954</v>
      </c>
      <c r="C189" s="726">
        <v>11020</v>
      </c>
      <c r="D189" s="726"/>
      <c r="E189" s="726">
        <v>11020</v>
      </c>
    </row>
    <row r="190" spans="2:5" ht="14.5">
      <c r="B190" s="136" t="s">
        <v>7984</v>
      </c>
      <c r="C190" s="463">
        <v>10910</v>
      </c>
      <c r="D190" s="463"/>
      <c r="E190" s="463">
        <v>10910</v>
      </c>
    </row>
    <row r="191" spans="2:5" ht="14.5">
      <c r="B191" s="725" t="s">
        <v>278</v>
      </c>
      <c r="C191" s="726">
        <v>10738</v>
      </c>
      <c r="D191" s="726"/>
      <c r="E191" s="726">
        <v>10738</v>
      </c>
    </row>
    <row r="192" spans="2:5" ht="14.5">
      <c r="B192" s="136" t="s">
        <v>327</v>
      </c>
      <c r="C192" s="463">
        <v>10410</v>
      </c>
      <c r="D192" s="463"/>
      <c r="E192" s="463">
        <v>10410</v>
      </c>
    </row>
    <row r="193" spans="2:5" ht="14.5">
      <c r="B193" s="725" t="s">
        <v>7986</v>
      </c>
      <c r="C193" s="726">
        <v>10304</v>
      </c>
      <c r="D193" s="726"/>
      <c r="E193" s="726">
        <v>10304</v>
      </c>
    </row>
    <row r="194" spans="2:5" ht="14.5">
      <c r="B194" s="136" t="s">
        <v>1014</v>
      </c>
      <c r="C194" s="463">
        <v>10280</v>
      </c>
      <c r="D194" s="463"/>
      <c r="E194" s="463">
        <v>10280</v>
      </c>
    </row>
    <row r="195" spans="2:5" ht="14.5">
      <c r="B195" s="725" t="s">
        <v>8030</v>
      </c>
      <c r="C195" s="726">
        <v>10052</v>
      </c>
      <c r="D195" s="726"/>
      <c r="E195" s="726">
        <v>10052</v>
      </c>
    </row>
    <row r="196" spans="2:5" ht="14.5">
      <c r="B196" s="136" t="s">
        <v>8039</v>
      </c>
      <c r="C196" s="463">
        <v>10032</v>
      </c>
      <c r="D196" s="463"/>
      <c r="E196" s="463">
        <v>10032</v>
      </c>
    </row>
    <row r="197" spans="2:5" ht="14.5">
      <c r="B197" s="725" t="s">
        <v>8043</v>
      </c>
      <c r="C197" s="726">
        <v>9992</v>
      </c>
      <c r="D197" s="726"/>
      <c r="E197" s="726">
        <v>9992</v>
      </c>
    </row>
    <row r="198" spans="2:5" ht="14.5">
      <c r="B198" s="136" t="s">
        <v>369</v>
      </c>
      <c r="C198" s="463">
        <v>9761</v>
      </c>
      <c r="D198" s="463"/>
      <c r="E198" s="463">
        <v>9761</v>
      </c>
    </row>
    <row r="199" spans="2:5" ht="14.5">
      <c r="B199" s="725" t="s">
        <v>236</v>
      </c>
      <c r="C199" s="726">
        <v>9007</v>
      </c>
      <c r="D199" s="726"/>
      <c r="E199" s="726">
        <v>9007</v>
      </c>
    </row>
    <row r="200" spans="2:5" ht="14.5">
      <c r="B200" s="136" t="s">
        <v>1657</v>
      </c>
      <c r="C200" s="463">
        <v>8932</v>
      </c>
      <c r="D200" s="463"/>
      <c r="E200" s="463">
        <v>8932</v>
      </c>
    </row>
    <row r="201" spans="2:5" ht="14.5">
      <c r="B201" s="725" t="s">
        <v>409</v>
      </c>
      <c r="C201" s="726">
        <v>8878</v>
      </c>
      <c r="D201" s="726"/>
      <c r="E201" s="726">
        <v>8878</v>
      </c>
    </row>
    <row r="202" spans="2:5" ht="14.5">
      <c r="B202" s="136" t="s">
        <v>257</v>
      </c>
      <c r="C202" s="463">
        <v>8797</v>
      </c>
      <c r="D202" s="463"/>
      <c r="E202" s="463">
        <v>8797</v>
      </c>
    </row>
    <row r="203" spans="2:5" ht="14.5">
      <c r="B203" s="725" t="s">
        <v>7982</v>
      </c>
      <c r="C203" s="726">
        <v>8209</v>
      </c>
      <c r="D203" s="726"/>
      <c r="E203" s="726">
        <v>8209</v>
      </c>
    </row>
    <row r="204" spans="2:5" ht="14.5">
      <c r="B204" s="136" t="s">
        <v>1010</v>
      </c>
      <c r="C204" s="463">
        <v>8136</v>
      </c>
      <c r="D204" s="463"/>
      <c r="E204" s="463">
        <v>8136</v>
      </c>
    </row>
    <row r="205" spans="2:5" ht="14.5">
      <c r="B205" s="725" t="s">
        <v>1011</v>
      </c>
      <c r="C205" s="726">
        <v>8087</v>
      </c>
      <c r="D205" s="726"/>
      <c r="E205" s="726">
        <v>8087</v>
      </c>
    </row>
    <row r="206" spans="2:5" ht="14.5">
      <c r="B206" s="136" t="s">
        <v>7971</v>
      </c>
      <c r="C206" s="463">
        <v>6938</v>
      </c>
      <c r="D206" s="463"/>
      <c r="E206" s="463">
        <v>6938</v>
      </c>
    </row>
    <row r="207" spans="2:5" ht="14.5">
      <c r="B207" s="725" t="s">
        <v>7120</v>
      </c>
      <c r="C207" s="726">
        <v>6832</v>
      </c>
      <c r="D207" s="726"/>
      <c r="E207" s="726">
        <v>6832</v>
      </c>
    </row>
    <row r="208" spans="2:5" ht="14.5">
      <c r="B208" s="136" t="s">
        <v>248</v>
      </c>
      <c r="C208" s="463">
        <v>6537</v>
      </c>
      <c r="D208" s="463"/>
      <c r="E208" s="463">
        <v>6537</v>
      </c>
    </row>
    <row r="209" spans="2:5" ht="14.5">
      <c r="B209" s="725" t="s">
        <v>1007</v>
      </c>
      <c r="C209" s="726">
        <v>6407</v>
      </c>
      <c r="D209" s="726"/>
      <c r="E209" s="726">
        <v>6407</v>
      </c>
    </row>
    <row r="210" spans="2:5" ht="14.5">
      <c r="B210" s="136" t="s">
        <v>7081</v>
      </c>
      <c r="C210" s="463">
        <v>6348</v>
      </c>
      <c r="D210" s="463"/>
      <c r="E210" s="463">
        <v>6348</v>
      </c>
    </row>
    <row r="211" spans="2:5" ht="14.5">
      <c r="B211" s="725" t="s">
        <v>261</v>
      </c>
      <c r="C211" s="726">
        <v>6299</v>
      </c>
      <c r="D211" s="726"/>
      <c r="E211" s="726">
        <v>6299</v>
      </c>
    </row>
    <row r="212" spans="2:5" ht="14.5">
      <c r="B212" s="136" t="s">
        <v>8070</v>
      </c>
      <c r="C212" s="463">
        <v>6170</v>
      </c>
      <c r="D212" s="463"/>
      <c r="E212" s="463">
        <v>6170</v>
      </c>
    </row>
    <row r="213" spans="2:5" ht="14.5">
      <c r="B213" s="725" t="s">
        <v>7994</v>
      </c>
      <c r="C213" s="726">
        <v>6150</v>
      </c>
      <c r="D213" s="726"/>
      <c r="E213" s="726">
        <v>6150</v>
      </c>
    </row>
    <row r="214" spans="2:5" ht="14.5">
      <c r="B214" s="136" t="s">
        <v>7074</v>
      </c>
      <c r="C214" s="463">
        <v>5751</v>
      </c>
      <c r="D214" s="463"/>
      <c r="E214" s="463">
        <v>5751</v>
      </c>
    </row>
    <row r="215" spans="2:5" ht="14.5">
      <c r="B215" s="725" t="s">
        <v>7098</v>
      </c>
      <c r="C215" s="726">
        <v>5696</v>
      </c>
      <c r="D215" s="726"/>
      <c r="E215" s="726">
        <v>5696</v>
      </c>
    </row>
    <row r="216" spans="2:5" ht="14.5">
      <c r="B216" s="136" t="s">
        <v>7977</v>
      </c>
      <c r="C216" s="463">
        <v>5633</v>
      </c>
      <c r="D216" s="463"/>
      <c r="E216" s="463">
        <v>5633</v>
      </c>
    </row>
    <row r="217" spans="2:5" ht="14.5">
      <c r="B217" s="725" t="s">
        <v>179</v>
      </c>
      <c r="C217" s="726">
        <v>5280</v>
      </c>
      <c r="D217" s="726"/>
      <c r="E217" s="726">
        <v>5280</v>
      </c>
    </row>
    <row r="218" spans="2:5" ht="14.5">
      <c r="B218" s="136" t="s">
        <v>1794</v>
      </c>
      <c r="C218" s="463">
        <v>5248</v>
      </c>
      <c r="D218" s="463"/>
      <c r="E218" s="463">
        <v>5248</v>
      </c>
    </row>
    <row r="219" spans="2:5" ht="14.5">
      <c r="B219" s="725" t="s">
        <v>391</v>
      </c>
      <c r="C219" s="726">
        <v>5186</v>
      </c>
      <c r="D219" s="726"/>
      <c r="E219" s="726">
        <v>5186</v>
      </c>
    </row>
    <row r="220" spans="2:5" ht="14.5">
      <c r="B220" s="136" t="s">
        <v>993</v>
      </c>
      <c r="C220" s="463">
        <v>5018</v>
      </c>
      <c r="D220" s="463"/>
      <c r="E220" s="463">
        <v>5018</v>
      </c>
    </row>
    <row r="221" spans="2:5" ht="14.5">
      <c r="B221" s="725" t="s">
        <v>8002</v>
      </c>
      <c r="C221" s="726">
        <v>5000</v>
      </c>
      <c r="D221" s="726"/>
      <c r="E221" s="726">
        <v>5000</v>
      </c>
    </row>
    <row r="222" spans="2:5" ht="14.5">
      <c r="B222" s="136" t="s">
        <v>264</v>
      </c>
      <c r="C222" s="463">
        <v>4989</v>
      </c>
      <c r="D222" s="463"/>
      <c r="E222" s="463">
        <v>4989</v>
      </c>
    </row>
    <row r="223" spans="2:5" ht="14.5">
      <c r="B223" s="725" t="s">
        <v>222</v>
      </c>
      <c r="C223" s="726">
        <v>4982</v>
      </c>
      <c r="D223" s="726"/>
      <c r="E223" s="726">
        <v>4982</v>
      </c>
    </row>
    <row r="224" spans="2:5" ht="14.5">
      <c r="B224" s="136" t="s">
        <v>8059</v>
      </c>
      <c r="C224" s="463">
        <v>4778</v>
      </c>
      <c r="D224" s="463"/>
      <c r="E224" s="463">
        <v>4778</v>
      </c>
    </row>
    <row r="225" spans="2:5" ht="14.5">
      <c r="B225" s="725" t="s">
        <v>7970</v>
      </c>
      <c r="C225" s="726">
        <v>4778</v>
      </c>
      <c r="D225" s="726"/>
      <c r="E225" s="726">
        <v>4778</v>
      </c>
    </row>
    <row r="226" spans="2:5" ht="14.5">
      <c r="B226" s="136" t="s">
        <v>7076</v>
      </c>
      <c r="C226" s="463">
        <v>4728</v>
      </c>
      <c r="D226" s="463"/>
      <c r="E226" s="463">
        <v>4728</v>
      </c>
    </row>
    <row r="227" spans="2:5" ht="14.5">
      <c r="B227" s="725" t="s">
        <v>155</v>
      </c>
      <c r="C227" s="726">
        <v>4602</v>
      </c>
      <c r="D227" s="726"/>
      <c r="E227" s="726">
        <v>4602</v>
      </c>
    </row>
    <row r="228" spans="2:5" ht="14.5">
      <c r="B228" s="136" t="s">
        <v>8073</v>
      </c>
      <c r="C228" s="463">
        <v>4600</v>
      </c>
      <c r="D228" s="463"/>
      <c r="E228" s="463">
        <v>4600</v>
      </c>
    </row>
    <row r="229" spans="2:5" ht="14.5">
      <c r="B229" s="725" t="s">
        <v>1832</v>
      </c>
      <c r="C229" s="726">
        <v>4541</v>
      </c>
      <c r="D229" s="726"/>
      <c r="E229" s="726">
        <v>4541</v>
      </c>
    </row>
    <row r="230" spans="2:5" ht="14.5">
      <c r="B230" s="136" t="s">
        <v>5686</v>
      </c>
      <c r="C230" s="463">
        <v>4274</v>
      </c>
      <c r="D230" s="463"/>
      <c r="E230" s="463">
        <v>4274</v>
      </c>
    </row>
    <row r="231" spans="2:5" ht="14.5">
      <c r="B231" s="725" t="s">
        <v>7090</v>
      </c>
      <c r="C231" s="726">
        <v>3974</v>
      </c>
      <c r="D231" s="726"/>
      <c r="E231" s="726">
        <v>3974</v>
      </c>
    </row>
    <row r="232" spans="2:5" ht="14.5">
      <c r="B232" s="136" t="s">
        <v>7975</v>
      </c>
      <c r="C232" s="463">
        <v>3947</v>
      </c>
      <c r="D232" s="463"/>
      <c r="E232" s="463">
        <v>3947</v>
      </c>
    </row>
    <row r="233" spans="2:5" ht="14.5">
      <c r="B233" s="725" t="s">
        <v>251</v>
      </c>
      <c r="C233" s="726">
        <v>3927</v>
      </c>
      <c r="D233" s="726"/>
      <c r="E233" s="726">
        <v>3927</v>
      </c>
    </row>
    <row r="234" spans="2:5" ht="14.5">
      <c r="B234" s="136" t="s">
        <v>415</v>
      </c>
      <c r="C234" s="463">
        <v>3908</v>
      </c>
      <c r="D234" s="463"/>
      <c r="E234" s="463">
        <v>3908</v>
      </c>
    </row>
    <row r="235" spans="2:5" ht="14.5">
      <c r="B235" s="725" t="s">
        <v>8040</v>
      </c>
      <c r="C235" s="726">
        <v>3901</v>
      </c>
      <c r="D235" s="726"/>
      <c r="E235" s="726">
        <v>3901</v>
      </c>
    </row>
    <row r="236" spans="2:5" ht="14.5">
      <c r="B236" s="136" t="s">
        <v>240</v>
      </c>
      <c r="C236" s="463">
        <v>3778</v>
      </c>
      <c r="D236" s="463"/>
      <c r="E236" s="463">
        <v>3778</v>
      </c>
    </row>
    <row r="237" spans="2:5" ht="14.5">
      <c r="B237" s="725" t="s">
        <v>8006</v>
      </c>
      <c r="C237" s="726">
        <v>3671</v>
      </c>
      <c r="D237" s="726"/>
      <c r="E237" s="726">
        <v>3671</v>
      </c>
    </row>
    <row r="238" spans="2:5" ht="14.5">
      <c r="B238" s="136" t="s">
        <v>204</v>
      </c>
      <c r="C238" s="463">
        <v>3487</v>
      </c>
      <c r="D238" s="463"/>
      <c r="E238" s="463">
        <v>3487</v>
      </c>
    </row>
    <row r="239" spans="2:5" ht="14.5">
      <c r="B239" s="725" t="s">
        <v>8003</v>
      </c>
      <c r="C239" s="726">
        <v>3283</v>
      </c>
      <c r="D239" s="726"/>
      <c r="E239" s="726">
        <v>3283</v>
      </c>
    </row>
    <row r="240" spans="2:5" ht="14.5">
      <c r="B240" s="136" t="s">
        <v>7095</v>
      </c>
      <c r="C240" s="463">
        <v>3067</v>
      </c>
      <c r="D240" s="463"/>
      <c r="E240" s="463">
        <v>3067</v>
      </c>
    </row>
    <row r="241" spans="2:5" ht="14.5">
      <c r="B241" s="725" t="s">
        <v>206</v>
      </c>
      <c r="C241" s="726">
        <v>3044</v>
      </c>
      <c r="D241" s="726"/>
      <c r="E241" s="726">
        <v>3044</v>
      </c>
    </row>
    <row r="242" spans="2:5" ht="14.5">
      <c r="B242" s="136" t="s">
        <v>292</v>
      </c>
      <c r="C242" s="463">
        <v>2998</v>
      </c>
      <c r="D242" s="463"/>
      <c r="E242" s="463">
        <v>2998</v>
      </c>
    </row>
    <row r="243" spans="2:5" ht="14.5">
      <c r="B243" s="725" t="s">
        <v>7960</v>
      </c>
      <c r="C243" s="726">
        <v>2973</v>
      </c>
      <c r="D243" s="726"/>
      <c r="E243" s="726">
        <v>2973</v>
      </c>
    </row>
    <row r="244" spans="2:5" ht="14.5">
      <c r="B244" s="136" t="s">
        <v>1040</v>
      </c>
      <c r="C244" s="463">
        <v>2906</v>
      </c>
      <c r="D244" s="463"/>
      <c r="E244" s="463">
        <v>2906</v>
      </c>
    </row>
    <row r="245" spans="2:5" ht="14.5">
      <c r="B245" s="725" t="s">
        <v>131</v>
      </c>
      <c r="C245" s="726">
        <v>2684</v>
      </c>
      <c r="D245" s="726"/>
      <c r="E245" s="726">
        <v>2684</v>
      </c>
    </row>
    <row r="246" spans="2:5" ht="14.5">
      <c r="B246" s="136" t="s">
        <v>8075</v>
      </c>
      <c r="C246" s="463">
        <v>2646</v>
      </c>
      <c r="D246" s="463"/>
      <c r="E246" s="463">
        <v>2646</v>
      </c>
    </row>
    <row r="247" spans="2:5" ht="14.5">
      <c r="B247" s="725" t="s">
        <v>1031</v>
      </c>
      <c r="C247" s="726">
        <v>2588</v>
      </c>
      <c r="D247" s="726"/>
      <c r="E247" s="726">
        <v>2588</v>
      </c>
    </row>
    <row r="248" spans="2:5" ht="14.5">
      <c r="B248" s="136" t="s">
        <v>1052</v>
      </c>
      <c r="C248" s="463">
        <v>2581</v>
      </c>
      <c r="D248" s="463"/>
      <c r="E248" s="463">
        <v>2581</v>
      </c>
    </row>
    <row r="249" spans="2:5" ht="14.5">
      <c r="B249" s="725" t="s">
        <v>243</v>
      </c>
      <c r="C249" s="726">
        <v>2497</v>
      </c>
      <c r="D249" s="726"/>
      <c r="E249" s="726">
        <v>2497</v>
      </c>
    </row>
    <row r="250" spans="2:5" ht="14.5">
      <c r="B250" s="136" t="s">
        <v>8001</v>
      </c>
      <c r="C250" s="463">
        <v>2472</v>
      </c>
      <c r="D250" s="463"/>
      <c r="E250" s="463">
        <v>2472</v>
      </c>
    </row>
    <row r="251" spans="2:5" ht="14.5">
      <c r="B251" s="725" t="s">
        <v>8026</v>
      </c>
      <c r="C251" s="726">
        <v>2345</v>
      </c>
      <c r="D251" s="726"/>
      <c r="E251" s="726">
        <v>2345</v>
      </c>
    </row>
    <row r="252" spans="2:5" ht="14.5">
      <c r="B252" s="136" t="s">
        <v>1046</v>
      </c>
      <c r="C252" s="463">
        <v>2332</v>
      </c>
      <c r="D252" s="463"/>
      <c r="E252" s="463">
        <v>2332</v>
      </c>
    </row>
    <row r="253" spans="2:5" ht="14.5">
      <c r="B253" s="725" t="s">
        <v>7101</v>
      </c>
      <c r="C253" s="726">
        <v>2300</v>
      </c>
      <c r="D253" s="726"/>
      <c r="E253" s="726">
        <v>2300</v>
      </c>
    </row>
    <row r="254" spans="2:5" ht="14.5">
      <c r="B254" s="136" t="s">
        <v>7062</v>
      </c>
      <c r="C254" s="463">
        <v>2049</v>
      </c>
      <c r="D254" s="463"/>
      <c r="E254" s="463">
        <v>2049</v>
      </c>
    </row>
    <row r="255" spans="2:5" ht="14.5">
      <c r="B255" s="725" t="s">
        <v>331</v>
      </c>
      <c r="C255" s="726">
        <v>2038</v>
      </c>
      <c r="D255" s="726"/>
      <c r="E255" s="726">
        <v>2038</v>
      </c>
    </row>
    <row r="256" spans="2:5" ht="14.5">
      <c r="B256" s="136" t="s">
        <v>1038</v>
      </c>
      <c r="C256" s="463">
        <v>2035</v>
      </c>
      <c r="D256" s="463"/>
      <c r="E256" s="463">
        <v>2035</v>
      </c>
    </row>
    <row r="257" spans="2:5" ht="14.5">
      <c r="B257" s="725" t="s">
        <v>1012</v>
      </c>
      <c r="C257" s="726">
        <v>1955</v>
      </c>
      <c r="D257" s="726"/>
      <c r="E257" s="726">
        <v>1955</v>
      </c>
    </row>
    <row r="258" spans="2:5" ht="14.5">
      <c r="B258" s="136" t="s">
        <v>8076</v>
      </c>
      <c r="C258" s="463">
        <v>1940</v>
      </c>
      <c r="D258" s="463"/>
      <c r="E258" s="463">
        <v>1940</v>
      </c>
    </row>
    <row r="259" spans="2:5" ht="14.5">
      <c r="B259" s="725" t="s">
        <v>1771</v>
      </c>
      <c r="C259" s="726">
        <v>1790</v>
      </c>
      <c r="D259" s="726"/>
      <c r="E259" s="726">
        <v>1790</v>
      </c>
    </row>
    <row r="260" spans="2:5" ht="14.5">
      <c r="B260" s="136" t="s">
        <v>8014</v>
      </c>
      <c r="C260" s="463">
        <v>1734</v>
      </c>
      <c r="D260" s="463"/>
      <c r="E260" s="463">
        <v>1734</v>
      </c>
    </row>
    <row r="261" spans="2:5" ht="14.5">
      <c r="B261" s="725" t="s">
        <v>224</v>
      </c>
      <c r="C261" s="726">
        <v>1620</v>
      </c>
      <c r="D261" s="726"/>
      <c r="E261" s="726">
        <v>1620</v>
      </c>
    </row>
    <row r="262" spans="2:5" ht="14.5">
      <c r="B262" s="136" t="s">
        <v>8069</v>
      </c>
      <c r="C262" s="463">
        <v>1600</v>
      </c>
      <c r="D262" s="463"/>
      <c r="E262" s="463">
        <v>1600</v>
      </c>
    </row>
    <row r="263" spans="2:5" ht="14.5">
      <c r="B263" s="725" t="s">
        <v>356</v>
      </c>
      <c r="C263" s="726">
        <v>1533</v>
      </c>
      <c r="D263" s="726"/>
      <c r="E263" s="726">
        <v>1533</v>
      </c>
    </row>
    <row r="264" spans="2:5" ht="14.5">
      <c r="B264" s="136" t="s">
        <v>126</v>
      </c>
      <c r="C264" s="463">
        <v>1533</v>
      </c>
      <c r="D264" s="463"/>
      <c r="E264" s="463">
        <v>1533</v>
      </c>
    </row>
    <row r="265" spans="2:5" ht="14.5">
      <c r="B265" s="725" t="s">
        <v>443</v>
      </c>
      <c r="C265" s="726">
        <v>1498</v>
      </c>
      <c r="D265" s="726"/>
      <c r="E265" s="726">
        <v>1498</v>
      </c>
    </row>
    <row r="266" spans="2:5" ht="14.5">
      <c r="B266" s="136" t="s">
        <v>7107</v>
      </c>
      <c r="C266" s="463">
        <v>1474</v>
      </c>
      <c r="D266" s="463"/>
      <c r="E266" s="463">
        <v>1474</v>
      </c>
    </row>
    <row r="267" spans="2:5" ht="14.5">
      <c r="B267" s="725" t="s">
        <v>221</v>
      </c>
      <c r="C267" s="726">
        <v>1427</v>
      </c>
      <c r="D267" s="726"/>
      <c r="E267" s="726">
        <v>1427</v>
      </c>
    </row>
    <row r="268" spans="2:5" ht="14.5">
      <c r="B268" s="136" t="s">
        <v>1019</v>
      </c>
      <c r="C268" s="463">
        <v>1391</v>
      </c>
      <c r="D268" s="463"/>
      <c r="E268" s="463">
        <v>1391</v>
      </c>
    </row>
    <row r="269" spans="2:5" ht="14.5">
      <c r="B269" s="725" t="s">
        <v>1022</v>
      </c>
      <c r="C269" s="726">
        <v>1362</v>
      </c>
      <c r="D269" s="726"/>
      <c r="E269" s="726">
        <v>1362</v>
      </c>
    </row>
    <row r="270" spans="2:5" ht="14.5">
      <c r="B270" s="136" t="s">
        <v>268</v>
      </c>
      <c r="C270" s="463">
        <v>1330</v>
      </c>
      <c r="D270" s="463"/>
      <c r="E270" s="463">
        <v>1330</v>
      </c>
    </row>
    <row r="271" spans="2:5" ht="14.5">
      <c r="B271" s="725" t="s">
        <v>3805</v>
      </c>
      <c r="C271" s="726">
        <v>1259</v>
      </c>
      <c r="D271" s="726"/>
      <c r="E271" s="726">
        <v>1259</v>
      </c>
    </row>
    <row r="272" spans="2:5" ht="14.5">
      <c r="B272" s="136" t="s">
        <v>8018</v>
      </c>
      <c r="C272" s="463">
        <v>1250</v>
      </c>
      <c r="D272" s="463"/>
      <c r="E272" s="463">
        <v>1250</v>
      </c>
    </row>
    <row r="273" spans="2:5" ht="14.5">
      <c r="B273" s="725" t="s">
        <v>7093</v>
      </c>
      <c r="C273" s="726">
        <v>1235</v>
      </c>
      <c r="D273" s="726"/>
      <c r="E273" s="726">
        <v>1235</v>
      </c>
    </row>
    <row r="274" spans="2:5" ht="14.5">
      <c r="B274" s="136" t="s">
        <v>275</v>
      </c>
      <c r="C274" s="463">
        <v>1190</v>
      </c>
      <c r="D274" s="463"/>
      <c r="E274" s="463">
        <v>1190</v>
      </c>
    </row>
    <row r="275" spans="2:5" ht="14.5">
      <c r="B275" s="725" t="s">
        <v>242</v>
      </c>
      <c r="C275" s="726">
        <v>1189</v>
      </c>
      <c r="D275" s="726"/>
      <c r="E275" s="726">
        <v>1189</v>
      </c>
    </row>
    <row r="276" spans="2:5" ht="14.5">
      <c r="B276" s="136" t="s">
        <v>237</v>
      </c>
      <c r="C276" s="463">
        <v>1189</v>
      </c>
      <c r="D276" s="463"/>
      <c r="E276" s="463">
        <v>1189</v>
      </c>
    </row>
    <row r="277" spans="2:5" ht="14.5">
      <c r="B277" s="725" t="s">
        <v>1045</v>
      </c>
      <c r="C277" s="726">
        <v>1152</v>
      </c>
      <c r="D277" s="726"/>
      <c r="E277" s="726">
        <v>1152</v>
      </c>
    </row>
    <row r="278" spans="2:5" ht="14.5">
      <c r="B278" s="136" t="s">
        <v>7983</v>
      </c>
      <c r="C278" s="463">
        <v>1150</v>
      </c>
      <c r="D278" s="463"/>
      <c r="E278" s="463">
        <v>1150</v>
      </c>
    </row>
    <row r="279" spans="2:5" ht="14.5">
      <c r="B279" s="725" t="s">
        <v>1048</v>
      </c>
      <c r="C279" s="726">
        <v>1075</v>
      </c>
      <c r="D279" s="726"/>
      <c r="E279" s="726">
        <v>1075</v>
      </c>
    </row>
    <row r="280" spans="2:5" ht="14.5">
      <c r="B280" s="136" t="s">
        <v>232</v>
      </c>
      <c r="C280" s="463">
        <v>1022</v>
      </c>
      <c r="D280" s="463"/>
      <c r="E280" s="463">
        <v>1022</v>
      </c>
    </row>
    <row r="281" spans="2:5" ht="14.5">
      <c r="B281" s="725" t="s">
        <v>8010</v>
      </c>
      <c r="C281" s="726">
        <v>1000</v>
      </c>
      <c r="D281" s="726"/>
      <c r="E281" s="726">
        <v>1000</v>
      </c>
    </row>
    <row r="282" spans="2:5" ht="14.5">
      <c r="B282" s="136" t="s">
        <v>8005</v>
      </c>
      <c r="C282" s="463">
        <v>1000</v>
      </c>
      <c r="D282" s="463"/>
      <c r="E282" s="463">
        <v>1000</v>
      </c>
    </row>
    <row r="283" spans="2:5" ht="14.5">
      <c r="B283" s="725" t="s">
        <v>7966</v>
      </c>
      <c r="C283" s="726">
        <v>943</v>
      </c>
      <c r="D283" s="726"/>
      <c r="E283" s="726">
        <v>943</v>
      </c>
    </row>
    <row r="284" spans="2:5" ht="14.5">
      <c r="B284" s="136" t="s">
        <v>7124</v>
      </c>
      <c r="C284" s="463">
        <v>941</v>
      </c>
      <c r="D284" s="463"/>
      <c r="E284" s="463">
        <v>941</v>
      </c>
    </row>
    <row r="285" spans="2:5" ht="14.5">
      <c r="B285" s="725" t="s">
        <v>7114</v>
      </c>
      <c r="C285" s="726">
        <v>878</v>
      </c>
      <c r="D285" s="726"/>
      <c r="E285" s="726">
        <v>878</v>
      </c>
    </row>
    <row r="286" spans="2:5" ht="14.5">
      <c r="B286" s="136" t="s">
        <v>8079</v>
      </c>
      <c r="C286" s="463">
        <v>831</v>
      </c>
      <c r="D286" s="463"/>
      <c r="E286" s="463">
        <v>831</v>
      </c>
    </row>
    <row r="287" spans="2:5" ht="14.5">
      <c r="B287" s="725" t="s">
        <v>7115</v>
      </c>
      <c r="C287" s="726">
        <v>787</v>
      </c>
      <c r="D287" s="726"/>
      <c r="E287" s="726">
        <v>787</v>
      </c>
    </row>
    <row r="288" spans="2:5" ht="14.5">
      <c r="B288" s="136" t="s">
        <v>7967</v>
      </c>
      <c r="C288" s="463">
        <v>779</v>
      </c>
      <c r="D288" s="463"/>
      <c r="E288" s="463">
        <v>779</v>
      </c>
    </row>
    <row r="289" spans="2:5" ht="14.5">
      <c r="B289" s="725" t="s">
        <v>7989</v>
      </c>
      <c r="C289" s="726">
        <v>767</v>
      </c>
      <c r="D289" s="726"/>
      <c r="E289" s="726">
        <v>767</v>
      </c>
    </row>
    <row r="290" spans="2:5" ht="14.5">
      <c r="B290" s="136" t="s">
        <v>178</v>
      </c>
      <c r="C290" s="463">
        <v>760</v>
      </c>
      <c r="D290" s="463"/>
      <c r="E290" s="463">
        <v>760</v>
      </c>
    </row>
    <row r="291" spans="2:5" ht="14.5">
      <c r="B291" s="725" t="s">
        <v>7957</v>
      </c>
      <c r="C291" s="726">
        <v>721</v>
      </c>
      <c r="D291" s="726"/>
      <c r="E291" s="726">
        <v>721</v>
      </c>
    </row>
    <row r="292" spans="2:5" ht="14.5">
      <c r="B292" s="136" t="s">
        <v>1900</v>
      </c>
      <c r="C292" s="463">
        <v>691</v>
      </c>
      <c r="D292" s="463"/>
      <c r="E292" s="463">
        <v>691</v>
      </c>
    </row>
    <row r="293" spans="2:5" ht="14.5">
      <c r="B293" s="725" t="s">
        <v>7075</v>
      </c>
      <c r="C293" s="726">
        <v>660</v>
      </c>
      <c r="D293" s="726"/>
      <c r="E293" s="726">
        <v>660</v>
      </c>
    </row>
    <row r="294" spans="2:5" ht="14.5">
      <c r="B294" s="136" t="s">
        <v>7968</v>
      </c>
      <c r="C294" s="463">
        <v>657</v>
      </c>
      <c r="D294" s="463"/>
      <c r="E294" s="463">
        <v>657</v>
      </c>
    </row>
    <row r="295" spans="2:5" ht="14.5">
      <c r="B295" s="725" t="s">
        <v>7078</v>
      </c>
      <c r="C295" s="726">
        <v>657</v>
      </c>
      <c r="D295" s="726"/>
      <c r="E295" s="726">
        <v>657</v>
      </c>
    </row>
    <row r="296" spans="2:5" ht="14.5">
      <c r="B296" s="136" t="s">
        <v>259</v>
      </c>
      <c r="C296" s="463">
        <v>642</v>
      </c>
      <c r="D296" s="463"/>
      <c r="E296" s="463">
        <v>642</v>
      </c>
    </row>
    <row r="297" spans="2:5" ht="14.5">
      <c r="B297" s="725" t="s">
        <v>168</v>
      </c>
      <c r="C297" s="726">
        <v>640</v>
      </c>
      <c r="D297" s="726"/>
      <c r="E297" s="726">
        <v>640</v>
      </c>
    </row>
    <row r="298" spans="2:5" ht="14.5">
      <c r="B298" s="136" t="s">
        <v>377</v>
      </c>
      <c r="C298" s="463">
        <v>608</v>
      </c>
      <c r="D298" s="463"/>
      <c r="E298" s="463">
        <v>608</v>
      </c>
    </row>
    <row r="299" spans="2:5" ht="14.5">
      <c r="B299" s="725" t="s">
        <v>300</v>
      </c>
      <c r="C299" s="726">
        <v>596</v>
      </c>
      <c r="D299" s="726"/>
      <c r="E299" s="726">
        <v>596</v>
      </c>
    </row>
    <row r="300" spans="2:5" ht="14.5">
      <c r="B300" s="136" t="s">
        <v>267</v>
      </c>
      <c r="C300" s="463">
        <v>574</v>
      </c>
      <c r="D300" s="463"/>
      <c r="E300" s="463">
        <v>574</v>
      </c>
    </row>
    <row r="301" spans="2:5" ht="14.5">
      <c r="B301" s="725" t="s">
        <v>1049</v>
      </c>
      <c r="C301" s="726">
        <v>570</v>
      </c>
      <c r="D301" s="726"/>
      <c r="E301" s="726">
        <v>570</v>
      </c>
    </row>
    <row r="302" spans="2:5" ht="14.5">
      <c r="B302" s="136" t="s">
        <v>7122</v>
      </c>
      <c r="C302" s="463">
        <v>560</v>
      </c>
      <c r="D302" s="463"/>
      <c r="E302" s="463">
        <v>560</v>
      </c>
    </row>
    <row r="303" spans="2:5" ht="14.5">
      <c r="B303" s="725" t="s">
        <v>8027</v>
      </c>
      <c r="C303" s="726">
        <v>547</v>
      </c>
      <c r="D303" s="726"/>
      <c r="E303" s="726">
        <v>547</v>
      </c>
    </row>
    <row r="304" spans="2:5" ht="14.5">
      <c r="B304" s="136" t="s">
        <v>335</v>
      </c>
      <c r="C304" s="463">
        <v>520</v>
      </c>
      <c r="D304" s="463"/>
      <c r="E304" s="463">
        <v>520</v>
      </c>
    </row>
    <row r="305" spans="2:5" ht="14.5">
      <c r="B305" s="725" t="s">
        <v>214</v>
      </c>
      <c r="C305" s="726">
        <v>496</v>
      </c>
      <c r="D305" s="726"/>
      <c r="E305" s="726">
        <v>496</v>
      </c>
    </row>
    <row r="306" spans="2:5" ht="14.5">
      <c r="B306" s="136" t="s">
        <v>1056</v>
      </c>
      <c r="C306" s="463">
        <v>493</v>
      </c>
      <c r="D306" s="463"/>
      <c r="E306" s="463">
        <v>493</v>
      </c>
    </row>
    <row r="307" spans="2:5" ht="14.5">
      <c r="B307" s="725" t="s">
        <v>7998</v>
      </c>
      <c r="C307" s="726">
        <v>493</v>
      </c>
      <c r="D307" s="726"/>
      <c r="E307" s="726">
        <v>493</v>
      </c>
    </row>
    <row r="308" spans="2:5" ht="14.5">
      <c r="B308" s="136" t="s">
        <v>8086</v>
      </c>
      <c r="C308" s="463">
        <v>476</v>
      </c>
      <c r="D308" s="463"/>
      <c r="E308" s="463">
        <v>476</v>
      </c>
    </row>
    <row r="309" spans="2:5" ht="14.5">
      <c r="B309" s="725" t="s">
        <v>1784</v>
      </c>
      <c r="C309" s="726">
        <v>476</v>
      </c>
      <c r="D309" s="726"/>
      <c r="E309" s="726">
        <v>476</v>
      </c>
    </row>
    <row r="310" spans="2:5" ht="14.5">
      <c r="B310" s="136" t="s">
        <v>8080</v>
      </c>
      <c r="C310" s="463">
        <v>476</v>
      </c>
      <c r="D310" s="463"/>
      <c r="E310" s="463">
        <v>476</v>
      </c>
    </row>
    <row r="311" spans="2:5" ht="14.5">
      <c r="B311" s="725" t="s">
        <v>986</v>
      </c>
      <c r="C311" s="726">
        <v>456</v>
      </c>
      <c r="D311" s="726"/>
      <c r="E311" s="726">
        <v>456</v>
      </c>
    </row>
    <row r="312" spans="2:5" ht="14.5">
      <c r="B312" s="136" t="s">
        <v>305</v>
      </c>
      <c r="C312" s="463">
        <v>439</v>
      </c>
      <c r="D312" s="463"/>
      <c r="E312" s="463">
        <v>439</v>
      </c>
    </row>
    <row r="313" spans="2:5" ht="14.5">
      <c r="B313" s="725" t="s">
        <v>1021</v>
      </c>
      <c r="C313" s="726">
        <v>438</v>
      </c>
      <c r="D313" s="726"/>
      <c r="E313" s="726">
        <v>438</v>
      </c>
    </row>
    <row r="314" spans="2:5" ht="14.5">
      <c r="B314" s="136" t="s">
        <v>194</v>
      </c>
      <c r="C314" s="463">
        <v>438</v>
      </c>
      <c r="D314" s="463"/>
      <c r="E314" s="463">
        <v>438</v>
      </c>
    </row>
    <row r="315" spans="2:5" ht="14.5">
      <c r="B315" s="725" t="s">
        <v>207</v>
      </c>
      <c r="C315" s="726">
        <v>429</v>
      </c>
      <c r="D315" s="726"/>
      <c r="E315" s="726">
        <v>429</v>
      </c>
    </row>
    <row r="316" spans="2:5" ht="14.5">
      <c r="B316" s="136" t="s">
        <v>454</v>
      </c>
      <c r="C316" s="463">
        <v>428</v>
      </c>
      <c r="D316" s="463"/>
      <c r="E316" s="463">
        <v>428</v>
      </c>
    </row>
    <row r="317" spans="2:5" ht="14.5">
      <c r="B317" s="725" t="s">
        <v>7999</v>
      </c>
      <c r="C317" s="726">
        <v>422</v>
      </c>
      <c r="D317" s="726"/>
      <c r="E317" s="726">
        <v>422</v>
      </c>
    </row>
    <row r="318" spans="2:5" ht="14.5">
      <c r="B318" s="136" t="s">
        <v>421</v>
      </c>
      <c r="C318" s="463">
        <v>416</v>
      </c>
      <c r="D318" s="463"/>
      <c r="E318" s="463">
        <v>416</v>
      </c>
    </row>
    <row r="319" spans="2:5" ht="14.5">
      <c r="B319" s="725" t="s">
        <v>7137</v>
      </c>
      <c r="C319" s="726">
        <v>405</v>
      </c>
      <c r="D319" s="726"/>
      <c r="E319" s="726">
        <v>405</v>
      </c>
    </row>
    <row r="320" spans="2:5" ht="14.5">
      <c r="B320" s="136" t="s">
        <v>7139</v>
      </c>
      <c r="C320" s="463">
        <v>395</v>
      </c>
      <c r="D320" s="463"/>
      <c r="E320" s="463">
        <v>395</v>
      </c>
    </row>
    <row r="321" spans="2:5" ht="14.5">
      <c r="B321" s="725" t="s">
        <v>8013</v>
      </c>
      <c r="C321" s="726">
        <v>392</v>
      </c>
      <c r="D321" s="726"/>
      <c r="E321" s="726">
        <v>392</v>
      </c>
    </row>
    <row r="322" spans="2:5" ht="14.5">
      <c r="B322" s="136" t="s">
        <v>1051</v>
      </c>
      <c r="C322" s="463">
        <v>380</v>
      </c>
      <c r="D322" s="463"/>
      <c r="E322" s="463">
        <v>380</v>
      </c>
    </row>
    <row r="323" spans="2:5" ht="14.5">
      <c r="B323" s="725" t="s">
        <v>312</v>
      </c>
      <c r="C323" s="726">
        <v>380</v>
      </c>
      <c r="D323" s="726"/>
      <c r="E323" s="726">
        <v>380</v>
      </c>
    </row>
    <row r="324" spans="2:5" ht="14.5">
      <c r="B324" s="136" t="s">
        <v>197</v>
      </c>
      <c r="C324" s="463">
        <v>359</v>
      </c>
      <c r="D324" s="463"/>
      <c r="E324" s="463">
        <v>359</v>
      </c>
    </row>
    <row r="325" spans="2:5" ht="14.5">
      <c r="B325" s="725" t="s">
        <v>7976</v>
      </c>
      <c r="C325" s="726">
        <v>353</v>
      </c>
      <c r="D325" s="726"/>
      <c r="E325" s="726">
        <v>353</v>
      </c>
    </row>
    <row r="326" spans="2:5" ht="14.5">
      <c r="B326" s="136" t="s">
        <v>7123</v>
      </c>
      <c r="C326" s="463">
        <v>352</v>
      </c>
      <c r="D326" s="463"/>
      <c r="E326" s="463">
        <v>352</v>
      </c>
    </row>
    <row r="327" spans="2:5" ht="14.5">
      <c r="B327" s="725" t="s">
        <v>7140</v>
      </c>
      <c r="C327" s="726">
        <v>344</v>
      </c>
      <c r="D327" s="726"/>
      <c r="E327" s="726">
        <v>344</v>
      </c>
    </row>
    <row r="328" spans="2:5" ht="14.5">
      <c r="B328" s="136" t="s">
        <v>172</v>
      </c>
      <c r="C328" s="463">
        <v>334</v>
      </c>
      <c r="D328" s="463"/>
      <c r="E328" s="463">
        <v>334</v>
      </c>
    </row>
    <row r="329" spans="2:5" ht="14.5">
      <c r="B329" s="725" t="s">
        <v>7112</v>
      </c>
      <c r="C329" s="726">
        <v>328</v>
      </c>
      <c r="D329" s="726"/>
      <c r="E329" s="726">
        <v>328</v>
      </c>
    </row>
    <row r="330" spans="2:5" ht="14.5">
      <c r="B330" s="136" t="s">
        <v>313</v>
      </c>
      <c r="C330" s="463">
        <v>319</v>
      </c>
      <c r="D330" s="463"/>
      <c r="E330" s="463">
        <v>319</v>
      </c>
    </row>
    <row r="331" spans="2:5" ht="14.5">
      <c r="B331" s="725" t="s">
        <v>7995</v>
      </c>
      <c r="C331" s="726">
        <v>309</v>
      </c>
      <c r="D331" s="726"/>
      <c r="E331" s="726">
        <v>309</v>
      </c>
    </row>
    <row r="332" spans="2:5" ht="14.5">
      <c r="B332" s="136" t="s">
        <v>249</v>
      </c>
      <c r="C332" s="463">
        <v>309</v>
      </c>
      <c r="D332" s="463"/>
      <c r="E332" s="463">
        <v>309</v>
      </c>
    </row>
    <row r="333" spans="2:5" ht="14.5">
      <c r="B333" s="725" t="s">
        <v>1039</v>
      </c>
      <c r="C333" s="726">
        <v>307</v>
      </c>
      <c r="D333" s="726"/>
      <c r="E333" s="726">
        <v>307</v>
      </c>
    </row>
    <row r="334" spans="2:5" ht="14.5">
      <c r="B334" s="136" t="s">
        <v>8082</v>
      </c>
      <c r="C334" s="463">
        <v>304</v>
      </c>
      <c r="D334" s="463"/>
      <c r="E334" s="463">
        <v>304</v>
      </c>
    </row>
    <row r="335" spans="2:5" ht="14.5">
      <c r="B335" s="725" t="s">
        <v>7129</v>
      </c>
      <c r="C335" s="726">
        <v>285</v>
      </c>
      <c r="D335" s="726"/>
      <c r="E335" s="726">
        <v>285</v>
      </c>
    </row>
    <row r="336" spans="2:5" ht="14.5">
      <c r="B336" s="136" t="s">
        <v>8084</v>
      </c>
      <c r="C336" s="463">
        <v>278</v>
      </c>
      <c r="D336" s="463"/>
      <c r="E336" s="463">
        <v>278</v>
      </c>
    </row>
    <row r="337" spans="2:5" ht="14.5">
      <c r="B337" s="725" t="s">
        <v>8081</v>
      </c>
      <c r="C337" s="726">
        <v>270</v>
      </c>
      <c r="D337" s="726"/>
      <c r="E337" s="726">
        <v>270</v>
      </c>
    </row>
    <row r="338" spans="2:5" ht="14.5">
      <c r="B338" s="136" t="s">
        <v>234</v>
      </c>
      <c r="C338" s="463">
        <v>266</v>
      </c>
      <c r="D338" s="463"/>
      <c r="E338" s="463">
        <v>266</v>
      </c>
    </row>
    <row r="339" spans="2:5" ht="14.5">
      <c r="B339" s="725" t="s">
        <v>281</v>
      </c>
      <c r="C339" s="726">
        <v>255</v>
      </c>
      <c r="D339" s="726"/>
      <c r="E339" s="726">
        <v>255</v>
      </c>
    </row>
    <row r="340" spans="2:5" ht="14.5">
      <c r="B340" s="136" t="s">
        <v>7079</v>
      </c>
      <c r="C340" s="463">
        <v>254</v>
      </c>
      <c r="D340" s="463"/>
      <c r="E340" s="463">
        <v>254</v>
      </c>
    </row>
    <row r="341" spans="2:5" ht="14.5">
      <c r="B341" s="725" t="s">
        <v>7103</v>
      </c>
      <c r="C341" s="726">
        <v>252</v>
      </c>
      <c r="D341" s="726"/>
      <c r="E341" s="726">
        <v>252</v>
      </c>
    </row>
    <row r="342" spans="2:5" ht="14.5">
      <c r="B342" s="136" t="s">
        <v>5687</v>
      </c>
      <c r="C342" s="463">
        <v>248</v>
      </c>
      <c r="D342" s="463"/>
      <c r="E342" s="463">
        <v>248</v>
      </c>
    </row>
    <row r="343" spans="2:5" ht="14.5">
      <c r="B343" s="725" t="s">
        <v>219</v>
      </c>
      <c r="C343" s="726">
        <v>243</v>
      </c>
      <c r="D343" s="726"/>
      <c r="E343" s="726">
        <v>243</v>
      </c>
    </row>
    <row r="344" spans="2:5" ht="14.5">
      <c r="B344" s="136" t="s">
        <v>7145</v>
      </c>
      <c r="C344" s="463">
        <v>243</v>
      </c>
      <c r="D344" s="463"/>
      <c r="E344" s="463">
        <v>243</v>
      </c>
    </row>
    <row r="345" spans="2:5" ht="14.5">
      <c r="B345" s="725" t="s">
        <v>7134</v>
      </c>
      <c r="C345" s="726">
        <v>238</v>
      </c>
      <c r="D345" s="726"/>
      <c r="E345" s="726">
        <v>238</v>
      </c>
    </row>
    <row r="346" spans="2:5" ht="14.5">
      <c r="B346" s="136" t="s">
        <v>7135</v>
      </c>
      <c r="C346" s="463">
        <v>238</v>
      </c>
      <c r="D346" s="463"/>
      <c r="E346" s="463">
        <v>238</v>
      </c>
    </row>
    <row r="347" spans="2:5" ht="14.5">
      <c r="B347" s="725" t="s">
        <v>216</v>
      </c>
      <c r="C347" s="726">
        <v>229</v>
      </c>
      <c r="D347" s="726"/>
      <c r="E347" s="726">
        <v>229</v>
      </c>
    </row>
    <row r="348" spans="2:5" ht="14.5">
      <c r="B348" s="136" t="s">
        <v>8037</v>
      </c>
      <c r="C348" s="463">
        <v>229</v>
      </c>
      <c r="D348" s="463"/>
      <c r="E348" s="463">
        <v>229</v>
      </c>
    </row>
    <row r="349" spans="2:5" ht="14.5">
      <c r="B349" s="725" t="s">
        <v>7988</v>
      </c>
      <c r="C349" s="726">
        <v>216</v>
      </c>
      <c r="D349" s="726"/>
      <c r="E349" s="726">
        <v>216</v>
      </c>
    </row>
    <row r="350" spans="2:5" ht="14.5">
      <c r="B350" s="136" t="s">
        <v>7136</v>
      </c>
      <c r="C350" s="463">
        <v>210</v>
      </c>
      <c r="D350" s="463"/>
      <c r="E350" s="463">
        <v>210</v>
      </c>
    </row>
    <row r="351" spans="2:5" ht="14.5">
      <c r="B351" s="725" t="s">
        <v>1405</v>
      </c>
      <c r="C351" s="726">
        <v>205</v>
      </c>
      <c r="D351" s="726"/>
      <c r="E351" s="726">
        <v>205</v>
      </c>
    </row>
    <row r="352" spans="2:5" ht="14.5">
      <c r="B352" s="136" t="s">
        <v>1023</v>
      </c>
      <c r="C352" s="463">
        <v>201</v>
      </c>
      <c r="D352" s="463"/>
      <c r="E352" s="463">
        <v>201</v>
      </c>
    </row>
    <row r="353" spans="2:5" ht="14.5">
      <c r="B353" s="725" t="s">
        <v>7955</v>
      </c>
      <c r="C353" s="726">
        <v>198</v>
      </c>
      <c r="D353" s="726"/>
      <c r="E353" s="726">
        <v>198</v>
      </c>
    </row>
    <row r="354" spans="2:5" ht="14.5">
      <c r="B354" s="136" t="s">
        <v>8016</v>
      </c>
      <c r="C354" s="463">
        <v>190</v>
      </c>
      <c r="D354" s="463"/>
      <c r="E354" s="463">
        <v>190</v>
      </c>
    </row>
    <row r="355" spans="2:5" ht="14.5">
      <c r="B355" s="725" t="s">
        <v>7174</v>
      </c>
      <c r="C355" s="726">
        <v>188</v>
      </c>
      <c r="D355" s="726"/>
      <c r="E355" s="726">
        <v>188</v>
      </c>
    </row>
    <row r="356" spans="2:5" ht="14.5">
      <c r="B356" s="136" t="s">
        <v>274</v>
      </c>
      <c r="C356" s="463">
        <v>185</v>
      </c>
      <c r="D356" s="463"/>
      <c r="E356" s="463">
        <v>185</v>
      </c>
    </row>
    <row r="357" spans="2:5" ht="14.5">
      <c r="B357" s="725" t="s">
        <v>7153</v>
      </c>
      <c r="C357" s="726">
        <v>166</v>
      </c>
      <c r="D357" s="726"/>
      <c r="E357" s="726">
        <v>166</v>
      </c>
    </row>
    <row r="358" spans="2:5" ht="14.5">
      <c r="B358" s="136" t="s">
        <v>228</v>
      </c>
      <c r="C358" s="463">
        <v>166</v>
      </c>
      <c r="D358" s="463"/>
      <c r="E358" s="463">
        <v>166</v>
      </c>
    </row>
    <row r="359" spans="2:5" ht="14.5">
      <c r="B359" s="725" t="s">
        <v>7141</v>
      </c>
      <c r="C359" s="726">
        <v>157</v>
      </c>
      <c r="D359" s="726"/>
      <c r="E359" s="726">
        <v>157</v>
      </c>
    </row>
    <row r="360" spans="2:5" ht="14.5">
      <c r="B360" s="136" t="s">
        <v>7142</v>
      </c>
      <c r="C360" s="463">
        <v>156</v>
      </c>
      <c r="D360" s="463"/>
      <c r="E360" s="463">
        <v>156</v>
      </c>
    </row>
    <row r="361" spans="2:5" ht="14.5">
      <c r="B361" s="725" t="s">
        <v>1025</v>
      </c>
      <c r="C361" s="726">
        <v>150</v>
      </c>
      <c r="D361" s="726"/>
      <c r="E361" s="726">
        <v>150</v>
      </c>
    </row>
    <row r="362" spans="2:5" ht="14.5">
      <c r="B362" s="136" t="s">
        <v>8085</v>
      </c>
      <c r="C362" s="463">
        <v>148</v>
      </c>
      <c r="D362" s="463"/>
      <c r="E362" s="463">
        <v>148</v>
      </c>
    </row>
    <row r="363" spans="2:5" ht="14.5">
      <c r="B363" s="725" t="s">
        <v>8019</v>
      </c>
      <c r="C363" s="726">
        <v>147</v>
      </c>
      <c r="D363" s="726"/>
      <c r="E363" s="726">
        <v>147</v>
      </c>
    </row>
    <row r="364" spans="2:5" ht="14.5">
      <c r="B364" s="136" t="s">
        <v>235</v>
      </c>
      <c r="C364" s="463">
        <v>143</v>
      </c>
      <c r="D364" s="463"/>
      <c r="E364" s="463">
        <v>143</v>
      </c>
    </row>
    <row r="365" spans="2:5" ht="14.5">
      <c r="B365" s="725" t="s">
        <v>456</v>
      </c>
      <c r="C365" s="726">
        <v>136</v>
      </c>
      <c r="D365" s="726"/>
      <c r="E365" s="726">
        <v>136</v>
      </c>
    </row>
    <row r="366" spans="2:5" ht="14.5">
      <c r="B366" s="136" t="s">
        <v>7958</v>
      </c>
      <c r="C366" s="463">
        <v>134</v>
      </c>
      <c r="D366" s="463"/>
      <c r="E366" s="463">
        <v>134</v>
      </c>
    </row>
    <row r="367" spans="2:5" ht="14.5">
      <c r="B367" s="725" t="s">
        <v>357</v>
      </c>
      <c r="C367" s="726">
        <v>133</v>
      </c>
      <c r="D367" s="726"/>
      <c r="E367" s="726">
        <v>133</v>
      </c>
    </row>
    <row r="368" spans="2:5" ht="14.5">
      <c r="B368" s="136" t="s">
        <v>311</v>
      </c>
      <c r="C368" s="463">
        <v>122</v>
      </c>
      <c r="D368" s="463"/>
      <c r="E368" s="463">
        <v>122</v>
      </c>
    </row>
    <row r="369" spans="2:5" ht="14.5">
      <c r="B369" s="725" t="s">
        <v>7131</v>
      </c>
      <c r="C369" s="726">
        <v>121</v>
      </c>
      <c r="D369" s="726"/>
      <c r="E369" s="726">
        <v>121</v>
      </c>
    </row>
    <row r="370" spans="2:5" ht="14.5">
      <c r="B370" s="136" t="s">
        <v>7171</v>
      </c>
      <c r="C370" s="463">
        <v>119</v>
      </c>
      <c r="D370" s="463"/>
      <c r="E370" s="463">
        <v>119</v>
      </c>
    </row>
    <row r="371" spans="2:5" ht="14.5">
      <c r="B371" s="725" t="s">
        <v>1041</v>
      </c>
      <c r="C371" s="726">
        <v>119</v>
      </c>
      <c r="D371" s="726"/>
      <c r="E371" s="726">
        <v>119</v>
      </c>
    </row>
    <row r="372" spans="2:5" ht="14.5">
      <c r="B372" s="136" t="s">
        <v>285</v>
      </c>
      <c r="C372" s="463">
        <v>119</v>
      </c>
      <c r="D372" s="463"/>
      <c r="E372" s="463">
        <v>119</v>
      </c>
    </row>
    <row r="373" spans="2:5" ht="14.5">
      <c r="B373" s="725" t="s">
        <v>5741</v>
      </c>
      <c r="C373" s="726">
        <v>114</v>
      </c>
      <c r="D373" s="726"/>
      <c r="E373" s="726">
        <v>114</v>
      </c>
    </row>
    <row r="374" spans="2:5" ht="14.5">
      <c r="B374" s="136" t="s">
        <v>378</v>
      </c>
      <c r="C374" s="463">
        <v>111</v>
      </c>
      <c r="D374" s="463"/>
      <c r="E374" s="463">
        <v>111</v>
      </c>
    </row>
    <row r="375" spans="2:5" ht="14.5">
      <c r="B375" s="725" t="s">
        <v>345</v>
      </c>
      <c r="C375" s="726">
        <v>108</v>
      </c>
      <c r="D375" s="726"/>
      <c r="E375" s="726">
        <v>108</v>
      </c>
    </row>
    <row r="376" spans="2:5" ht="14.5">
      <c r="B376" s="136" t="s">
        <v>5702</v>
      </c>
      <c r="C376" s="463">
        <v>108</v>
      </c>
      <c r="D376" s="463"/>
      <c r="E376" s="463">
        <v>108</v>
      </c>
    </row>
    <row r="377" spans="2:5" ht="14.5">
      <c r="B377" s="725" t="s">
        <v>337</v>
      </c>
      <c r="C377" s="726">
        <v>106</v>
      </c>
      <c r="D377" s="726"/>
      <c r="E377" s="726">
        <v>106</v>
      </c>
    </row>
    <row r="378" spans="2:5" ht="14.5">
      <c r="B378" s="136" t="s">
        <v>5710</v>
      </c>
      <c r="C378" s="463">
        <v>104</v>
      </c>
      <c r="D378" s="463"/>
      <c r="E378" s="463">
        <v>104</v>
      </c>
    </row>
    <row r="379" spans="2:5" ht="14.5">
      <c r="B379" s="725" t="s">
        <v>8023</v>
      </c>
      <c r="C379" s="726">
        <v>98</v>
      </c>
      <c r="D379" s="726"/>
      <c r="E379" s="726">
        <v>98</v>
      </c>
    </row>
    <row r="380" spans="2:5" ht="14.5">
      <c r="B380" s="136" t="s">
        <v>1058</v>
      </c>
      <c r="C380" s="463">
        <v>96</v>
      </c>
      <c r="D380" s="463"/>
      <c r="E380" s="463">
        <v>96</v>
      </c>
    </row>
    <row r="381" spans="2:5" ht="14.5">
      <c r="B381" s="725" t="s">
        <v>8020</v>
      </c>
      <c r="C381" s="726">
        <v>95</v>
      </c>
      <c r="D381" s="726"/>
      <c r="E381" s="726">
        <v>95</v>
      </c>
    </row>
    <row r="382" spans="2:5" ht="14.5">
      <c r="B382" s="136" t="s">
        <v>7173</v>
      </c>
      <c r="C382" s="463">
        <v>95</v>
      </c>
      <c r="D382" s="463"/>
      <c r="E382" s="463">
        <v>95</v>
      </c>
    </row>
    <row r="383" spans="2:5" ht="14.5">
      <c r="B383" s="725" t="s">
        <v>7952</v>
      </c>
      <c r="C383" s="726">
        <v>93</v>
      </c>
      <c r="D383" s="726"/>
      <c r="E383" s="726">
        <v>93</v>
      </c>
    </row>
    <row r="384" spans="2:5" ht="14.5">
      <c r="B384" s="136" t="s">
        <v>7150</v>
      </c>
      <c r="C384" s="463">
        <v>93</v>
      </c>
      <c r="D384" s="463"/>
      <c r="E384" s="463">
        <v>93</v>
      </c>
    </row>
    <row r="385" spans="2:5" ht="14.5">
      <c r="B385" s="725" t="s">
        <v>7152</v>
      </c>
      <c r="C385" s="726">
        <v>89</v>
      </c>
      <c r="D385" s="726"/>
      <c r="E385" s="726">
        <v>89</v>
      </c>
    </row>
    <row r="386" spans="2:5" ht="14.5">
      <c r="B386" s="136" t="s">
        <v>5731</v>
      </c>
      <c r="C386" s="463">
        <v>88</v>
      </c>
      <c r="D386" s="463"/>
      <c r="E386" s="463">
        <v>88</v>
      </c>
    </row>
    <row r="387" spans="2:5" ht="14.5">
      <c r="B387" s="725" t="s">
        <v>342</v>
      </c>
      <c r="C387" s="726">
        <v>86</v>
      </c>
      <c r="D387" s="726"/>
      <c r="E387" s="726">
        <v>86</v>
      </c>
    </row>
    <row r="388" spans="2:5" ht="14.5">
      <c r="B388" s="136" t="s">
        <v>7956</v>
      </c>
      <c r="C388" s="463">
        <v>85</v>
      </c>
      <c r="D388" s="463"/>
      <c r="E388" s="463">
        <v>85</v>
      </c>
    </row>
    <row r="389" spans="2:5" ht="14.5">
      <c r="B389" s="725" t="s">
        <v>8011</v>
      </c>
      <c r="C389" s="726">
        <v>83</v>
      </c>
      <c r="D389" s="726"/>
      <c r="E389" s="726">
        <v>83</v>
      </c>
    </row>
    <row r="390" spans="2:5" ht="14.5">
      <c r="B390" s="136" t="s">
        <v>7154</v>
      </c>
      <c r="C390" s="463">
        <v>82</v>
      </c>
      <c r="D390" s="463"/>
      <c r="E390" s="463">
        <v>82</v>
      </c>
    </row>
    <row r="391" spans="2:5" ht="14.5">
      <c r="B391" s="725" t="s">
        <v>375</v>
      </c>
      <c r="C391" s="726">
        <v>80</v>
      </c>
      <c r="D391" s="726"/>
      <c r="E391" s="726">
        <v>80</v>
      </c>
    </row>
    <row r="392" spans="2:5" ht="14.5">
      <c r="B392" s="136" t="s">
        <v>5706</v>
      </c>
      <c r="C392" s="463">
        <v>79</v>
      </c>
      <c r="D392" s="463"/>
      <c r="E392" s="463">
        <v>79</v>
      </c>
    </row>
    <row r="393" spans="2:5" ht="14.5">
      <c r="B393" s="725" t="s">
        <v>8022</v>
      </c>
      <c r="C393" s="726">
        <v>78</v>
      </c>
      <c r="D393" s="726"/>
      <c r="E393" s="726">
        <v>78</v>
      </c>
    </row>
    <row r="394" spans="2:5" ht="14.5">
      <c r="B394" s="136" t="s">
        <v>7987</v>
      </c>
      <c r="C394" s="463">
        <v>76</v>
      </c>
      <c r="D394" s="463"/>
      <c r="E394" s="463">
        <v>76</v>
      </c>
    </row>
    <row r="395" spans="2:5" ht="14.5">
      <c r="B395" s="725" t="s">
        <v>7176</v>
      </c>
      <c r="C395" s="726">
        <v>76</v>
      </c>
      <c r="D395" s="726"/>
      <c r="E395" s="726">
        <v>76</v>
      </c>
    </row>
    <row r="396" spans="2:5" ht="14.5">
      <c r="B396" s="136" t="s">
        <v>7157</v>
      </c>
      <c r="C396" s="463">
        <v>76</v>
      </c>
      <c r="D396" s="463"/>
      <c r="E396" s="463">
        <v>76</v>
      </c>
    </row>
    <row r="397" spans="2:5" ht="14.5">
      <c r="B397" s="725" t="s">
        <v>8042</v>
      </c>
      <c r="C397" s="726">
        <v>76</v>
      </c>
      <c r="D397" s="726"/>
      <c r="E397" s="726">
        <v>76</v>
      </c>
    </row>
    <row r="398" spans="2:5" ht="14.5">
      <c r="B398" s="136" t="s">
        <v>8089</v>
      </c>
      <c r="C398" s="463">
        <v>74</v>
      </c>
      <c r="D398" s="463"/>
      <c r="E398" s="463">
        <v>74</v>
      </c>
    </row>
    <row r="399" spans="2:5" ht="14.5">
      <c r="B399" s="725" t="s">
        <v>7158</v>
      </c>
      <c r="C399" s="726">
        <v>74</v>
      </c>
      <c r="D399" s="726"/>
      <c r="E399" s="726">
        <v>74</v>
      </c>
    </row>
    <row r="400" spans="2:5" ht="14.5">
      <c r="B400" s="136" t="s">
        <v>7160</v>
      </c>
      <c r="C400" s="463">
        <v>73</v>
      </c>
      <c r="D400" s="463"/>
      <c r="E400" s="463">
        <v>73</v>
      </c>
    </row>
    <row r="401" spans="2:5" ht="14.5">
      <c r="B401" s="725" t="s">
        <v>7961</v>
      </c>
      <c r="C401" s="726">
        <v>73</v>
      </c>
      <c r="D401" s="726"/>
      <c r="E401" s="726">
        <v>73</v>
      </c>
    </row>
    <row r="402" spans="2:5" ht="14.5">
      <c r="B402" s="136" t="s">
        <v>7161</v>
      </c>
      <c r="C402" s="463">
        <v>72</v>
      </c>
      <c r="D402" s="463"/>
      <c r="E402" s="463">
        <v>72</v>
      </c>
    </row>
    <row r="403" spans="2:5" ht="14.5">
      <c r="B403" s="725" t="s">
        <v>5738</v>
      </c>
      <c r="C403" s="726">
        <v>72</v>
      </c>
      <c r="D403" s="726"/>
      <c r="E403" s="726">
        <v>72</v>
      </c>
    </row>
    <row r="404" spans="2:5" ht="14.5">
      <c r="B404" s="136" t="s">
        <v>8028</v>
      </c>
      <c r="C404" s="463">
        <v>69</v>
      </c>
      <c r="D404" s="463"/>
      <c r="E404" s="463">
        <v>69</v>
      </c>
    </row>
    <row r="405" spans="2:5" ht="14.5">
      <c r="B405" s="725" t="s">
        <v>8025</v>
      </c>
      <c r="C405" s="726">
        <v>64</v>
      </c>
      <c r="D405" s="726"/>
      <c r="E405" s="726">
        <v>64</v>
      </c>
    </row>
    <row r="406" spans="2:5" ht="14.5">
      <c r="B406" s="136" t="s">
        <v>336</v>
      </c>
      <c r="C406" s="463">
        <v>64</v>
      </c>
      <c r="D406" s="463"/>
      <c r="E406" s="463">
        <v>64</v>
      </c>
    </row>
    <row r="407" spans="2:5" ht="14.5">
      <c r="B407" s="725" t="s">
        <v>7166</v>
      </c>
      <c r="C407" s="726">
        <v>64</v>
      </c>
      <c r="D407" s="726"/>
      <c r="E407" s="726">
        <v>64</v>
      </c>
    </row>
    <row r="408" spans="2:5" ht="14.5">
      <c r="B408" s="136" t="s">
        <v>7168</v>
      </c>
      <c r="C408" s="463">
        <v>63</v>
      </c>
      <c r="D408" s="463"/>
      <c r="E408" s="463">
        <v>63</v>
      </c>
    </row>
    <row r="409" spans="2:5" ht="14.5">
      <c r="B409" s="725" t="s">
        <v>8033</v>
      </c>
      <c r="C409" s="726">
        <v>62</v>
      </c>
      <c r="D409" s="726"/>
      <c r="E409" s="726">
        <v>62</v>
      </c>
    </row>
    <row r="410" spans="2:5" ht="14.5">
      <c r="B410" s="136" t="s">
        <v>7997</v>
      </c>
      <c r="C410" s="463">
        <v>62</v>
      </c>
      <c r="D410" s="463"/>
      <c r="E410" s="463">
        <v>62</v>
      </c>
    </row>
    <row r="411" spans="2:5" ht="14.5">
      <c r="B411" s="725" t="s">
        <v>7170</v>
      </c>
      <c r="C411" s="726">
        <v>61</v>
      </c>
      <c r="D411" s="726"/>
      <c r="E411" s="726">
        <v>61</v>
      </c>
    </row>
    <row r="412" spans="2:5" ht="14.5">
      <c r="B412" s="136" t="s">
        <v>7179</v>
      </c>
      <c r="C412" s="463">
        <v>59</v>
      </c>
      <c r="D412" s="463"/>
      <c r="E412" s="463">
        <v>59</v>
      </c>
    </row>
    <row r="413" spans="2:5" ht="14.5">
      <c r="B413" s="725" t="s">
        <v>380</v>
      </c>
      <c r="C413" s="726">
        <v>58</v>
      </c>
      <c r="D413" s="726"/>
      <c r="E413" s="726">
        <v>58</v>
      </c>
    </row>
    <row r="414" spans="2:5" ht="14.5">
      <c r="B414" s="136" t="s">
        <v>8077</v>
      </c>
      <c r="C414" s="463">
        <v>56</v>
      </c>
      <c r="D414" s="463"/>
      <c r="E414" s="463">
        <v>56</v>
      </c>
    </row>
    <row r="415" spans="2:5" ht="14.5">
      <c r="B415" s="725" t="s">
        <v>1715</v>
      </c>
      <c r="C415" s="726">
        <v>48</v>
      </c>
      <c r="D415" s="726"/>
      <c r="E415" s="726">
        <v>48</v>
      </c>
    </row>
    <row r="416" spans="2:5" ht="14.5">
      <c r="B416" s="136" t="s">
        <v>7108</v>
      </c>
      <c r="C416" s="463">
        <v>48</v>
      </c>
      <c r="D416" s="463"/>
      <c r="E416" s="463">
        <v>48</v>
      </c>
    </row>
    <row r="417" spans="2:5" ht="14.5">
      <c r="B417" s="725" t="s">
        <v>8021</v>
      </c>
      <c r="C417" s="726">
        <v>48</v>
      </c>
      <c r="D417" s="726"/>
      <c r="E417" s="726">
        <v>48</v>
      </c>
    </row>
    <row r="418" spans="2:5" ht="14.5">
      <c r="B418" s="136" t="s">
        <v>309</v>
      </c>
      <c r="C418" s="463">
        <v>44</v>
      </c>
      <c r="D418" s="463"/>
      <c r="E418" s="463">
        <v>44</v>
      </c>
    </row>
    <row r="419" spans="2:5" ht="14.5">
      <c r="B419" s="725" t="s">
        <v>5728</v>
      </c>
      <c r="C419" s="726">
        <v>44</v>
      </c>
      <c r="D419" s="726"/>
      <c r="E419" s="726">
        <v>44</v>
      </c>
    </row>
    <row r="420" spans="2:5" ht="14.5">
      <c r="B420" s="136" t="s">
        <v>5709</v>
      </c>
      <c r="C420" s="463">
        <v>39</v>
      </c>
      <c r="D420" s="463"/>
      <c r="E420" s="463">
        <v>39</v>
      </c>
    </row>
    <row r="421" spans="2:5" ht="14.5">
      <c r="B421" s="725" t="s">
        <v>7049</v>
      </c>
      <c r="C421" s="726">
        <v>39</v>
      </c>
      <c r="D421" s="726"/>
      <c r="E421" s="726">
        <v>39</v>
      </c>
    </row>
    <row r="422" spans="2:5" ht="14.5">
      <c r="B422" s="136" t="s">
        <v>7991</v>
      </c>
      <c r="C422" s="463">
        <v>34</v>
      </c>
      <c r="D422" s="463"/>
      <c r="E422" s="463">
        <v>34</v>
      </c>
    </row>
    <row r="423" spans="2:5" ht="14.5">
      <c r="B423" s="725" t="s">
        <v>317</v>
      </c>
      <c r="C423" s="726">
        <v>34</v>
      </c>
      <c r="D423" s="726"/>
      <c r="E423" s="726">
        <v>34</v>
      </c>
    </row>
    <row r="424" spans="2:5" ht="14.5">
      <c r="B424" s="136" t="s">
        <v>8044</v>
      </c>
      <c r="C424" s="463">
        <v>33</v>
      </c>
      <c r="D424" s="463"/>
      <c r="E424" s="463">
        <v>33</v>
      </c>
    </row>
    <row r="425" spans="2:5" ht="14.5">
      <c r="B425" s="725" t="s">
        <v>7085</v>
      </c>
      <c r="C425" s="726">
        <v>33</v>
      </c>
      <c r="D425" s="726"/>
      <c r="E425" s="726">
        <v>33</v>
      </c>
    </row>
    <row r="426" spans="2:5" ht="14.5">
      <c r="B426" s="136" t="s">
        <v>7178</v>
      </c>
      <c r="C426" s="463">
        <v>31</v>
      </c>
      <c r="D426" s="463"/>
      <c r="E426" s="463">
        <v>31</v>
      </c>
    </row>
    <row r="427" spans="2:5" ht="14.5">
      <c r="B427" s="725" t="s">
        <v>7953</v>
      </c>
      <c r="C427" s="726">
        <v>29</v>
      </c>
      <c r="D427" s="726"/>
      <c r="E427" s="726">
        <v>29</v>
      </c>
    </row>
    <row r="428" spans="2:5" ht="14.5">
      <c r="B428" s="136" t="s">
        <v>1891</v>
      </c>
      <c r="C428" s="463">
        <v>29</v>
      </c>
      <c r="D428" s="463"/>
      <c r="E428" s="463">
        <v>29</v>
      </c>
    </row>
    <row r="429" spans="2:5" ht="14.5">
      <c r="B429" s="725" t="s">
        <v>360</v>
      </c>
      <c r="C429" s="726">
        <v>29</v>
      </c>
      <c r="D429" s="726"/>
      <c r="E429" s="726">
        <v>29</v>
      </c>
    </row>
    <row r="430" spans="2:5" ht="14.5">
      <c r="B430" s="136" t="s">
        <v>8015</v>
      </c>
      <c r="C430" s="463">
        <v>27</v>
      </c>
      <c r="D430" s="463"/>
      <c r="E430" s="463">
        <v>27</v>
      </c>
    </row>
    <row r="431" spans="2:5" ht="14.5">
      <c r="B431" s="725" t="s">
        <v>8045</v>
      </c>
      <c r="C431" s="726">
        <v>26</v>
      </c>
      <c r="D431" s="726"/>
      <c r="E431" s="726">
        <v>26</v>
      </c>
    </row>
    <row r="432" spans="2:5" ht="14.5">
      <c r="B432" s="136" t="s">
        <v>7094</v>
      </c>
      <c r="C432" s="463">
        <v>24</v>
      </c>
      <c r="D432" s="463"/>
      <c r="E432" s="463">
        <v>24</v>
      </c>
    </row>
    <row r="433" spans="2:5" ht="14.5">
      <c r="B433" s="725" t="s">
        <v>8091</v>
      </c>
      <c r="C433" s="726">
        <v>22</v>
      </c>
      <c r="D433" s="726"/>
      <c r="E433" s="726">
        <v>22</v>
      </c>
    </row>
    <row r="434" spans="2:5" ht="14.5">
      <c r="B434" s="136" t="s">
        <v>217</v>
      </c>
      <c r="C434" s="463">
        <v>20</v>
      </c>
      <c r="D434" s="463"/>
      <c r="E434" s="463">
        <v>20</v>
      </c>
    </row>
    <row r="435" spans="2:5" ht="14.5">
      <c r="B435" s="725" t="s">
        <v>7959</v>
      </c>
      <c r="C435" s="726">
        <v>20</v>
      </c>
      <c r="D435" s="726"/>
      <c r="E435" s="726">
        <v>20</v>
      </c>
    </row>
    <row r="436" spans="2:5" ht="14.5">
      <c r="B436" s="136" t="s">
        <v>7151</v>
      </c>
      <c r="C436" s="463">
        <v>19</v>
      </c>
      <c r="D436" s="463"/>
      <c r="E436" s="463">
        <v>19</v>
      </c>
    </row>
    <row r="437" spans="2:5" ht="14.5">
      <c r="B437" s="725" t="s">
        <v>316</v>
      </c>
      <c r="C437" s="726">
        <v>19</v>
      </c>
      <c r="D437" s="726"/>
      <c r="E437" s="726">
        <v>19</v>
      </c>
    </row>
    <row r="438" spans="2:5" ht="14.5">
      <c r="B438" s="136" t="s">
        <v>8046</v>
      </c>
      <c r="C438" s="463">
        <v>18</v>
      </c>
      <c r="D438" s="463"/>
      <c r="E438" s="463">
        <v>18</v>
      </c>
    </row>
    <row r="439" spans="2:5" ht="14.5">
      <c r="B439" s="725" t="s">
        <v>10195</v>
      </c>
      <c r="C439" s="726">
        <v>18</v>
      </c>
      <c r="D439" s="726"/>
      <c r="E439" s="726">
        <v>18</v>
      </c>
    </row>
    <row r="440" spans="2:5" ht="14.5">
      <c r="B440" s="136" t="s">
        <v>783</v>
      </c>
      <c r="C440" s="463">
        <v>18</v>
      </c>
      <c r="D440" s="463"/>
      <c r="E440" s="463">
        <v>18</v>
      </c>
    </row>
    <row r="441" spans="2:5" ht="14.5">
      <c r="B441" s="725" t="s">
        <v>7985</v>
      </c>
      <c r="C441" s="726">
        <v>17</v>
      </c>
      <c r="D441" s="726"/>
      <c r="E441" s="726">
        <v>17</v>
      </c>
    </row>
    <row r="442" spans="2:5" ht="14.5">
      <c r="B442" s="136" t="s">
        <v>7185</v>
      </c>
      <c r="C442" s="463">
        <v>16</v>
      </c>
      <c r="D442" s="463"/>
      <c r="E442" s="463">
        <v>16</v>
      </c>
    </row>
    <row r="443" spans="2:5" ht="14.5">
      <c r="B443" s="725" t="s">
        <v>7188</v>
      </c>
      <c r="C443" s="726">
        <v>14</v>
      </c>
      <c r="D443" s="726"/>
      <c r="E443" s="726">
        <v>14</v>
      </c>
    </row>
    <row r="444" spans="2:5" ht="14.5">
      <c r="B444" s="136" t="s">
        <v>7186</v>
      </c>
      <c r="C444" s="463">
        <v>13</v>
      </c>
      <c r="D444" s="463"/>
      <c r="E444" s="463">
        <v>13</v>
      </c>
    </row>
    <row r="445" spans="2:5" ht="14.5">
      <c r="B445" s="725" t="s">
        <v>7187</v>
      </c>
      <c r="C445" s="726">
        <v>13</v>
      </c>
      <c r="D445" s="726"/>
      <c r="E445" s="726">
        <v>13</v>
      </c>
    </row>
    <row r="446" spans="2:5" ht="14.5">
      <c r="B446" s="136" t="s">
        <v>5737</v>
      </c>
      <c r="C446" s="463">
        <v>9</v>
      </c>
      <c r="D446" s="463"/>
      <c r="E446" s="463">
        <v>9</v>
      </c>
    </row>
    <row r="447" spans="2:5" ht="14.5">
      <c r="B447" s="725" t="s">
        <v>6888</v>
      </c>
      <c r="C447" s="726">
        <v>8</v>
      </c>
      <c r="D447" s="726"/>
      <c r="E447" s="726">
        <v>8</v>
      </c>
    </row>
    <row r="448" spans="2:5" ht="14.5">
      <c r="B448" s="136" t="s">
        <v>1894</v>
      </c>
      <c r="C448" s="463">
        <v>7</v>
      </c>
      <c r="D448" s="463"/>
      <c r="E448" s="463">
        <v>7</v>
      </c>
    </row>
    <row r="449" spans="2:5" ht="14.5">
      <c r="B449" s="725" t="s">
        <v>7990</v>
      </c>
      <c r="C449" s="726">
        <v>7</v>
      </c>
      <c r="D449" s="726"/>
      <c r="E449" s="726">
        <v>7</v>
      </c>
    </row>
    <row r="450" spans="2:5" ht="14.5">
      <c r="B450" s="136" t="s">
        <v>7191</v>
      </c>
      <c r="C450" s="463">
        <v>7</v>
      </c>
      <c r="D450" s="463"/>
      <c r="E450" s="463">
        <v>7</v>
      </c>
    </row>
    <row r="451" spans="2:5" ht="14.5">
      <c r="B451" s="725" t="s">
        <v>7951</v>
      </c>
      <c r="C451" s="726">
        <v>6</v>
      </c>
      <c r="D451" s="726"/>
      <c r="E451" s="726">
        <v>6</v>
      </c>
    </row>
    <row r="452" spans="2:5" ht="14.5">
      <c r="B452" s="136" t="s">
        <v>7195</v>
      </c>
      <c r="C452" s="463">
        <v>6</v>
      </c>
      <c r="D452" s="463"/>
      <c r="E452" s="463">
        <v>6</v>
      </c>
    </row>
    <row r="453" spans="2:5" ht="14.5">
      <c r="B453" s="725" t="s">
        <v>8092</v>
      </c>
      <c r="C453" s="726">
        <v>5</v>
      </c>
      <c r="D453" s="726"/>
      <c r="E453" s="726">
        <v>5</v>
      </c>
    </row>
    <row r="454" spans="2:5" ht="14.5">
      <c r="B454" s="136" t="s">
        <v>8008</v>
      </c>
      <c r="C454" s="463">
        <v>5</v>
      </c>
      <c r="D454" s="463"/>
      <c r="E454" s="463">
        <v>5</v>
      </c>
    </row>
    <row r="455" spans="2:5" ht="14.5">
      <c r="B455" s="725" t="s">
        <v>5723</v>
      </c>
      <c r="C455" s="726">
        <v>4</v>
      </c>
      <c r="D455" s="726"/>
      <c r="E455" s="726">
        <v>4</v>
      </c>
    </row>
    <row r="456" spans="2:5" ht="14.5">
      <c r="B456" s="136" t="s">
        <v>8000</v>
      </c>
      <c r="C456" s="463">
        <v>4</v>
      </c>
      <c r="D456" s="463"/>
      <c r="E456" s="463">
        <v>4</v>
      </c>
    </row>
    <row r="457" spans="2:5" ht="14.5">
      <c r="B457" s="725" t="s">
        <v>7993</v>
      </c>
      <c r="C457" s="726">
        <v>4</v>
      </c>
      <c r="D457" s="726"/>
      <c r="E457" s="726">
        <v>4</v>
      </c>
    </row>
    <row r="458" spans="2:5" ht="14.5">
      <c r="B458" s="136" t="s">
        <v>5732</v>
      </c>
      <c r="C458" s="463">
        <v>4</v>
      </c>
      <c r="D458" s="463"/>
      <c r="E458" s="463">
        <v>4</v>
      </c>
    </row>
    <row r="459" spans="2:5" ht="14.5">
      <c r="B459" s="725" t="s">
        <v>8012</v>
      </c>
      <c r="C459" s="726">
        <v>4</v>
      </c>
      <c r="D459" s="726"/>
      <c r="E459" s="726">
        <v>4</v>
      </c>
    </row>
    <row r="460" spans="2:5" ht="14.5">
      <c r="B460" s="136" t="s">
        <v>8009</v>
      </c>
      <c r="C460" s="463">
        <v>4</v>
      </c>
      <c r="D460" s="463"/>
      <c r="E460" s="463">
        <v>4</v>
      </c>
    </row>
    <row r="461" spans="2:5" ht="14.5">
      <c r="B461" s="725" t="s">
        <v>7091</v>
      </c>
      <c r="C461" s="726">
        <v>4</v>
      </c>
      <c r="D461" s="726"/>
      <c r="E461" s="726">
        <v>4</v>
      </c>
    </row>
    <row r="462" spans="2:5" ht="14.5">
      <c r="B462" s="136" t="s">
        <v>7198</v>
      </c>
      <c r="C462" s="463">
        <v>3</v>
      </c>
      <c r="D462" s="463"/>
      <c r="E462" s="463">
        <v>3</v>
      </c>
    </row>
    <row r="463" spans="2:5" ht="14.5">
      <c r="B463" s="725" t="s">
        <v>7106</v>
      </c>
      <c r="C463" s="726">
        <v>3</v>
      </c>
      <c r="D463" s="726"/>
      <c r="E463" s="726">
        <v>3</v>
      </c>
    </row>
    <row r="464" spans="2:5" ht="14.5">
      <c r="B464" s="136" t="s">
        <v>6878</v>
      </c>
      <c r="C464" s="463">
        <v>3</v>
      </c>
      <c r="D464" s="463"/>
      <c r="E464" s="463">
        <v>3</v>
      </c>
    </row>
    <row r="465" spans="2:5" ht="14.5">
      <c r="B465" s="725" t="s">
        <v>7050</v>
      </c>
      <c r="C465" s="726">
        <v>2</v>
      </c>
      <c r="D465" s="726"/>
      <c r="E465" s="726">
        <v>2</v>
      </c>
    </row>
    <row r="466" spans="2:5" ht="14.5">
      <c r="B466" s="136" t="s">
        <v>5704</v>
      </c>
      <c r="C466" s="463">
        <v>2</v>
      </c>
      <c r="D466" s="463"/>
      <c r="E466" s="463">
        <v>2</v>
      </c>
    </row>
    <row r="467" spans="2:5" ht="14.5">
      <c r="B467" s="725" t="s">
        <v>8029</v>
      </c>
      <c r="C467" s="726">
        <v>2</v>
      </c>
      <c r="D467" s="726"/>
      <c r="E467" s="726">
        <v>2</v>
      </c>
    </row>
    <row r="468" spans="2:5" ht="14.5">
      <c r="B468" s="187" t="s">
        <v>8062</v>
      </c>
      <c r="C468" s="727">
        <f>SUM(C5:C467)</f>
        <v>3898789586</v>
      </c>
      <c r="D468" s="727">
        <f>SUM(D5:D467)</f>
        <v>221390257</v>
      </c>
      <c r="E468" s="727">
        <f>SUM(E5:E467)</f>
        <v>4120179843</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0EFD1-E2A6-4DB6-872A-E5568EEACBA5}">
  <sheetPr>
    <tabColor rgb="FF92D050"/>
  </sheetPr>
  <dimension ref="A2:C462"/>
  <sheetViews>
    <sheetView topLeftCell="A424" zoomScale="80" zoomScaleNormal="80" workbookViewId="0">
      <selection activeCell="C1" sqref="C1"/>
    </sheetView>
  </sheetViews>
  <sheetFormatPr baseColWidth="10" defaultColWidth="11.5" defaultRowHeight="14"/>
  <cols>
    <col min="2" max="2" width="75" bestFit="1" customWidth="1"/>
    <col min="3" max="3" width="17.75" bestFit="1" customWidth="1"/>
  </cols>
  <sheetData>
    <row r="2" spans="1:3" ht="15.5">
      <c r="A2" s="7" t="s">
        <v>7913</v>
      </c>
    </row>
    <row r="4" spans="1:3">
      <c r="B4" s="200" t="s">
        <v>881</v>
      </c>
      <c r="C4" s="200" t="s">
        <v>8125</v>
      </c>
    </row>
    <row r="5" spans="1:3">
      <c r="B5" s="181" t="s">
        <v>534</v>
      </c>
      <c r="C5" s="542">
        <v>675363238</v>
      </c>
    </row>
    <row r="6" spans="1:3">
      <c r="B6" s="148" t="s">
        <v>69</v>
      </c>
      <c r="C6" s="530">
        <v>505133255</v>
      </c>
    </row>
    <row r="7" spans="1:3">
      <c r="B7" s="181" t="s">
        <v>558</v>
      </c>
      <c r="C7" s="542">
        <v>352924676</v>
      </c>
    </row>
    <row r="8" spans="1:3">
      <c r="B8" s="148" t="s">
        <v>957</v>
      </c>
      <c r="C8" s="530">
        <v>200602524</v>
      </c>
    </row>
    <row r="9" spans="1:3">
      <c r="B9" s="181" t="s">
        <v>553</v>
      </c>
      <c r="C9" s="542">
        <v>171031041</v>
      </c>
    </row>
    <row r="10" spans="1:3">
      <c r="B10" s="148" t="s">
        <v>544</v>
      </c>
      <c r="C10" s="530">
        <v>167248641</v>
      </c>
    </row>
    <row r="11" spans="1:3">
      <c r="B11" s="181" t="s">
        <v>539</v>
      </c>
      <c r="C11" s="542">
        <v>166163461</v>
      </c>
    </row>
    <row r="12" spans="1:3">
      <c r="B12" s="148" t="s">
        <v>2980</v>
      </c>
      <c r="C12" s="530">
        <v>140459937</v>
      </c>
    </row>
    <row r="13" spans="1:3">
      <c r="B13" s="181" t="s">
        <v>578</v>
      </c>
      <c r="C13" s="542">
        <v>129818171</v>
      </c>
    </row>
    <row r="14" spans="1:3">
      <c r="B14" s="148" t="s">
        <v>2793</v>
      </c>
      <c r="C14" s="530">
        <v>126498152</v>
      </c>
    </row>
    <row r="15" spans="1:3">
      <c r="B15" s="181" t="s">
        <v>968</v>
      </c>
      <c r="C15" s="542">
        <v>121558790</v>
      </c>
    </row>
    <row r="16" spans="1:3">
      <c r="B16" s="148" t="s">
        <v>562</v>
      </c>
      <c r="C16" s="530">
        <v>81185231</v>
      </c>
    </row>
    <row r="17" spans="2:3">
      <c r="B17" s="181" t="s">
        <v>961</v>
      </c>
      <c r="C17" s="542">
        <v>73130267</v>
      </c>
    </row>
    <row r="18" spans="2:3">
      <c r="B18" s="148" t="s">
        <v>5411</v>
      </c>
      <c r="C18" s="530">
        <v>66777359</v>
      </c>
    </row>
    <row r="19" spans="2:3">
      <c r="B19" s="181" t="s">
        <v>68</v>
      </c>
      <c r="C19" s="542">
        <v>58339194</v>
      </c>
    </row>
    <row r="20" spans="2:3">
      <c r="B20" s="148" t="s">
        <v>960</v>
      </c>
      <c r="C20" s="530">
        <v>58002264</v>
      </c>
    </row>
    <row r="21" spans="2:3">
      <c r="B21" s="181" t="s">
        <v>618</v>
      </c>
      <c r="C21" s="542">
        <v>49288559</v>
      </c>
    </row>
    <row r="22" spans="2:3">
      <c r="B22" s="148" t="s">
        <v>74</v>
      </c>
      <c r="C22" s="530">
        <v>47886926</v>
      </c>
    </row>
    <row r="23" spans="2:3">
      <c r="B23" s="181" t="s">
        <v>607</v>
      </c>
      <c r="C23" s="542">
        <v>37467248</v>
      </c>
    </row>
    <row r="24" spans="2:3">
      <c r="B24" s="148" t="s">
        <v>622</v>
      </c>
      <c r="C24" s="530">
        <v>36862125</v>
      </c>
    </row>
    <row r="25" spans="2:3">
      <c r="B25" s="181" t="s">
        <v>599</v>
      </c>
      <c r="C25" s="542">
        <v>36697940</v>
      </c>
    </row>
    <row r="26" spans="2:3">
      <c r="B26" s="148" t="s">
        <v>190</v>
      </c>
      <c r="C26" s="530">
        <v>32840295</v>
      </c>
    </row>
    <row r="27" spans="2:3">
      <c r="B27" s="181" t="s">
        <v>99</v>
      </c>
      <c r="C27" s="542">
        <v>31581857</v>
      </c>
    </row>
    <row r="28" spans="2:3">
      <c r="B28" s="148" t="s">
        <v>973</v>
      </c>
      <c r="C28" s="530">
        <v>31384227</v>
      </c>
    </row>
    <row r="29" spans="2:3">
      <c r="B29" s="181" t="s">
        <v>651</v>
      </c>
      <c r="C29" s="542">
        <v>31062493</v>
      </c>
    </row>
    <row r="30" spans="2:3">
      <c r="B30" s="148" t="s">
        <v>87</v>
      </c>
      <c r="C30" s="530">
        <v>30832801</v>
      </c>
    </row>
    <row r="31" spans="2:3">
      <c r="B31" s="181" t="s">
        <v>662</v>
      </c>
      <c r="C31" s="542">
        <v>30033942</v>
      </c>
    </row>
    <row r="32" spans="2:3">
      <c r="B32" s="148" t="s">
        <v>2773</v>
      </c>
      <c r="C32" s="530">
        <v>23699316</v>
      </c>
    </row>
    <row r="33" spans="2:3">
      <c r="B33" s="181" t="s">
        <v>130</v>
      </c>
      <c r="C33" s="542">
        <v>22348999</v>
      </c>
    </row>
    <row r="34" spans="2:3">
      <c r="B34" s="148" t="s">
        <v>646</v>
      </c>
      <c r="C34" s="530">
        <v>21137304</v>
      </c>
    </row>
    <row r="35" spans="2:3">
      <c r="B35" s="181" t="s">
        <v>2477</v>
      </c>
      <c r="C35" s="542">
        <v>21124100</v>
      </c>
    </row>
    <row r="36" spans="2:3">
      <c r="B36" s="148" t="s">
        <v>1847</v>
      </c>
      <c r="C36" s="530">
        <v>21036634</v>
      </c>
    </row>
    <row r="37" spans="2:3">
      <c r="B37" s="181" t="s">
        <v>140</v>
      </c>
      <c r="C37" s="542">
        <v>20043624</v>
      </c>
    </row>
    <row r="38" spans="2:3">
      <c r="B38" s="148" t="s">
        <v>673</v>
      </c>
      <c r="C38" s="530">
        <v>19940918</v>
      </c>
    </row>
    <row r="39" spans="2:3">
      <c r="B39" s="181" t="s">
        <v>176</v>
      </c>
      <c r="C39" s="542">
        <v>19783686</v>
      </c>
    </row>
    <row r="40" spans="2:3">
      <c r="B40" s="148" t="s">
        <v>7936</v>
      </c>
      <c r="C40" s="530">
        <v>19547186</v>
      </c>
    </row>
    <row r="41" spans="2:3">
      <c r="B41" s="181" t="s">
        <v>659</v>
      </c>
      <c r="C41" s="542">
        <v>18875669</v>
      </c>
    </row>
    <row r="42" spans="2:3">
      <c r="B42" s="148" t="s">
        <v>188</v>
      </c>
      <c r="C42" s="530">
        <v>18159299</v>
      </c>
    </row>
    <row r="43" spans="2:3">
      <c r="B43" s="181" t="s">
        <v>141</v>
      </c>
      <c r="C43" s="542">
        <v>17869574</v>
      </c>
    </row>
    <row r="44" spans="2:3">
      <c r="B44" s="148" t="s">
        <v>462</v>
      </c>
      <c r="C44" s="530">
        <v>14887498</v>
      </c>
    </row>
    <row r="45" spans="2:3">
      <c r="B45" s="181" t="s">
        <v>967</v>
      </c>
      <c r="C45" s="542">
        <v>11334626</v>
      </c>
    </row>
    <row r="46" spans="2:3">
      <c r="B46" s="148" t="s">
        <v>676</v>
      </c>
      <c r="C46" s="530">
        <v>10684472</v>
      </c>
    </row>
    <row r="47" spans="2:3">
      <c r="B47" s="181" t="s">
        <v>1251</v>
      </c>
      <c r="C47" s="542">
        <v>9683213</v>
      </c>
    </row>
    <row r="48" spans="2:3">
      <c r="B48" s="148" t="s">
        <v>6971</v>
      </c>
      <c r="C48" s="530">
        <v>9403675</v>
      </c>
    </row>
    <row r="49" spans="2:3">
      <c r="B49" s="181" t="s">
        <v>6968</v>
      </c>
      <c r="C49" s="542">
        <v>9000377</v>
      </c>
    </row>
    <row r="50" spans="2:3">
      <c r="B50" s="148" t="s">
        <v>7209</v>
      </c>
      <c r="C50" s="530">
        <v>8571682</v>
      </c>
    </row>
    <row r="51" spans="2:3">
      <c r="B51" s="181" t="s">
        <v>6970</v>
      </c>
      <c r="C51" s="542">
        <v>8478569</v>
      </c>
    </row>
    <row r="52" spans="2:3">
      <c r="B52" s="148" t="s">
        <v>111</v>
      </c>
      <c r="C52" s="530">
        <v>6512550</v>
      </c>
    </row>
    <row r="53" spans="2:3">
      <c r="B53" s="181" t="s">
        <v>701</v>
      </c>
      <c r="C53" s="542">
        <v>6460171</v>
      </c>
    </row>
    <row r="54" spans="2:3">
      <c r="B54" s="148" t="s">
        <v>7939</v>
      </c>
      <c r="C54" s="530">
        <v>6268490</v>
      </c>
    </row>
    <row r="55" spans="2:3">
      <c r="B55" s="181" t="s">
        <v>6973</v>
      </c>
      <c r="C55" s="542">
        <v>5243754</v>
      </c>
    </row>
    <row r="56" spans="2:3">
      <c r="B56" s="148" t="s">
        <v>978</v>
      </c>
      <c r="C56" s="530">
        <v>4721617</v>
      </c>
    </row>
    <row r="57" spans="2:3">
      <c r="B57" s="181" t="s">
        <v>6972</v>
      </c>
      <c r="C57" s="542">
        <v>4708814</v>
      </c>
    </row>
    <row r="58" spans="2:3">
      <c r="B58" s="148" t="s">
        <v>6975</v>
      </c>
      <c r="C58" s="530">
        <v>4568926</v>
      </c>
    </row>
    <row r="59" spans="2:3">
      <c r="B59" s="181" t="s">
        <v>138</v>
      </c>
      <c r="C59" s="542">
        <v>4321799</v>
      </c>
    </row>
    <row r="60" spans="2:3">
      <c r="B60" s="148" t="s">
        <v>6974</v>
      </c>
      <c r="C60" s="530">
        <v>4243451</v>
      </c>
    </row>
    <row r="61" spans="2:3">
      <c r="B61" s="181" t="s">
        <v>5729</v>
      </c>
      <c r="C61" s="542">
        <v>3351062</v>
      </c>
    </row>
    <row r="62" spans="2:3">
      <c r="B62" s="148" t="s">
        <v>990</v>
      </c>
      <c r="C62" s="530">
        <v>2671125</v>
      </c>
    </row>
    <row r="63" spans="2:3">
      <c r="B63" s="181" t="s">
        <v>75</v>
      </c>
      <c r="C63" s="542">
        <v>2405729</v>
      </c>
    </row>
    <row r="64" spans="2:3">
      <c r="B64" s="148" t="s">
        <v>6980</v>
      </c>
      <c r="C64" s="530">
        <v>2046041</v>
      </c>
    </row>
    <row r="65" spans="2:3">
      <c r="B65" s="181" t="s">
        <v>6984</v>
      </c>
      <c r="C65" s="542">
        <v>1936998</v>
      </c>
    </row>
    <row r="66" spans="2:3">
      <c r="B66" s="148" t="s">
        <v>6979</v>
      </c>
      <c r="C66" s="530">
        <v>1906839</v>
      </c>
    </row>
    <row r="67" spans="2:3">
      <c r="B67" s="181" t="s">
        <v>5707</v>
      </c>
      <c r="C67" s="542">
        <v>1868342</v>
      </c>
    </row>
    <row r="68" spans="2:3">
      <c r="B68" s="148" t="s">
        <v>692</v>
      </c>
      <c r="C68" s="530">
        <v>1428103</v>
      </c>
    </row>
    <row r="69" spans="2:3">
      <c r="B69" s="181" t="s">
        <v>6981</v>
      </c>
      <c r="C69" s="542">
        <v>1310234</v>
      </c>
    </row>
    <row r="70" spans="2:3">
      <c r="B70" s="148" t="s">
        <v>985</v>
      </c>
      <c r="C70" s="530">
        <v>1207161</v>
      </c>
    </row>
    <row r="71" spans="2:3">
      <c r="B71" s="181" t="s">
        <v>6987</v>
      </c>
      <c r="C71" s="542">
        <v>914954</v>
      </c>
    </row>
    <row r="72" spans="2:3">
      <c r="B72" s="148" t="s">
        <v>6988</v>
      </c>
      <c r="C72" s="530">
        <v>866194</v>
      </c>
    </row>
    <row r="73" spans="2:3">
      <c r="B73" s="181" t="s">
        <v>8054</v>
      </c>
      <c r="C73" s="542">
        <v>796660</v>
      </c>
    </row>
    <row r="74" spans="2:3">
      <c r="B74" s="148" t="s">
        <v>6985</v>
      </c>
      <c r="C74" s="530">
        <v>780886</v>
      </c>
    </row>
    <row r="75" spans="2:3">
      <c r="B75" s="181" t="s">
        <v>453</v>
      </c>
      <c r="C75" s="542">
        <v>608670</v>
      </c>
    </row>
    <row r="76" spans="2:3">
      <c r="B76" s="148" t="s">
        <v>8067</v>
      </c>
      <c r="C76" s="530">
        <v>579423</v>
      </c>
    </row>
    <row r="77" spans="2:3">
      <c r="B77" s="181" t="s">
        <v>25</v>
      </c>
      <c r="C77" s="542">
        <v>512899</v>
      </c>
    </row>
    <row r="78" spans="2:3">
      <c r="B78" s="148" t="s">
        <v>6998</v>
      </c>
      <c r="C78" s="530">
        <v>435329</v>
      </c>
    </row>
    <row r="79" spans="2:3">
      <c r="B79" s="181" t="s">
        <v>709</v>
      </c>
      <c r="C79" s="542">
        <v>395077</v>
      </c>
    </row>
    <row r="80" spans="2:3">
      <c r="B80" s="148" t="s">
        <v>8055</v>
      </c>
      <c r="C80" s="530">
        <v>365217</v>
      </c>
    </row>
    <row r="81" spans="2:3">
      <c r="B81" s="181" t="s">
        <v>269</v>
      </c>
      <c r="C81" s="542">
        <v>361768</v>
      </c>
    </row>
    <row r="82" spans="2:3">
      <c r="B82" s="148" t="s">
        <v>714</v>
      </c>
      <c r="C82" s="530">
        <v>325051</v>
      </c>
    </row>
    <row r="83" spans="2:3">
      <c r="B83" s="181" t="s">
        <v>62</v>
      </c>
      <c r="C83" s="542">
        <v>289131</v>
      </c>
    </row>
    <row r="84" spans="2:3">
      <c r="B84" s="148" t="s">
        <v>55</v>
      </c>
      <c r="C84" s="530">
        <v>284457</v>
      </c>
    </row>
    <row r="85" spans="2:3">
      <c r="B85" s="181" t="s">
        <v>8038</v>
      </c>
      <c r="C85" s="542">
        <v>270922</v>
      </c>
    </row>
    <row r="86" spans="2:3">
      <c r="B86" s="148" t="s">
        <v>404</v>
      </c>
      <c r="C86" s="530">
        <v>265454</v>
      </c>
    </row>
    <row r="87" spans="2:3">
      <c r="B87" s="181" t="s">
        <v>161</v>
      </c>
      <c r="C87" s="542">
        <v>260419</v>
      </c>
    </row>
    <row r="88" spans="2:3">
      <c r="B88" s="148" t="s">
        <v>7004</v>
      </c>
      <c r="C88" s="530">
        <v>233704</v>
      </c>
    </row>
    <row r="89" spans="2:3">
      <c r="B89" s="181" t="s">
        <v>7965</v>
      </c>
      <c r="C89" s="542">
        <v>229251</v>
      </c>
    </row>
    <row r="90" spans="2:3">
      <c r="B90" s="148" t="s">
        <v>79</v>
      </c>
      <c r="C90" s="530">
        <v>228791</v>
      </c>
    </row>
    <row r="91" spans="2:3">
      <c r="B91" s="181" t="s">
        <v>8063</v>
      </c>
      <c r="C91" s="542">
        <v>223633</v>
      </c>
    </row>
    <row r="92" spans="2:3">
      <c r="B92" s="148" t="s">
        <v>1858</v>
      </c>
      <c r="C92" s="530">
        <v>214787</v>
      </c>
    </row>
    <row r="93" spans="2:3">
      <c r="B93" s="181" t="s">
        <v>7010</v>
      </c>
      <c r="C93" s="542">
        <v>213215</v>
      </c>
    </row>
    <row r="94" spans="2:3">
      <c r="B94" s="148" t="s">
        <v>8036</v>
      </c>
      <c r="C94" s="530">
        <v>212659</v>
      </c>
    </row>
    <row r="95" spans="2:3">
      <c r="B95" s="181" t="s">
        <v>50</v>
      </c>
      <c r="C95" s="542">
        <v>207017</v>
      </c>
    </row>
    <row r="96" spans="2:3">
      <c r="B96" s="148" t="s">
        <v>149</v>
      </c>
      <c r="C96" s="530">
        <v>200500</v>
      </c>
    </row>
    <row r="97" spans="2:3">
      <c r="B97" s="181" t="s">
        <v>8032</v>
      </c>
      <c r="C97" s="542">
        <v>196773</v>
      </c>
    </row>
    <row r="98" spans="2:3">
      <c r="B98" s="148" t="s">
        <v>7002</v>
      </c>
      <c r="C98" s="530">
        <v>189206</v>
      </c>
    </row>
    <row r="99" spans="2:3">
      <c r="B99" s="181" t="s">
        <v>7941</v>
      </c>
      <c r="C99" s="542">
        <v>183507</v>
      </c>
    </row>
    <row r="100" spans="2:3">
      <c r="B100" s="148" t="s">
        <v>8035</v>
      </c>
      <c r="C100" s="530">
        <v>182245</v>
      </c>
    </row>
    <row r="101" spans="2:3">
      <c r="B101" s="181" t="s">
        <v>7945</v>
      </c>
      <c r="C101" s="542">
        <v>172621</v>
      </c>
    </row>
    <row r="102" spans="2:3">
      <c r="B102" s="148" t="s">
        <v>88</v>
      </c>
      <c r="C102" s="530">
        <v>171690</v>
      </c>
    </row>
    <row r="103" spans="2:3">
      <c r="B103" s="181" t="s">
        <v>7006</v>
      </c>
      <c r="C103" s="542">
        <v>144248</v>
      </c>
    </row>
    <row r="104" spans="2:3">
      <c r="B104" s="148" t="s">
        <v>1004</v>
      </c>
      <c r="C104" s="530">
        <v>128990</v>
      </c>
    </row>
    <row r="105" spans="2:3">
      <c r="B105" s="181" t="s">
        <v>1265</v>
      </c>
      <c r="C105" s="542">
        <v>126031</v>
      </c>
    </row>
    <row r="106" spans="2:3">
      <c r="B106" s="148" t="s">
        <v>6982</v>
      </c>
      <c r="C106" s="530">
        <v>125824</v>
      </c>
    </row>
    <row r="107" spans="2:3">
      <c r="B107" s="181" t="s">
        <v>7008</v>
      </c>
      <c r="C107" s="542">
        <v>122941</v>
      </c>
    </row>
    <row r="108" spans="2:3">
      <c r="B108" s="148" t="s">
        <v>6991</v>
      </c>
      <c r="C108" s="530">
        <v>122378</v>
      </c>
    </row>
    <row r="109" spans="2:3">
      <c r="B109" s="181" t="s">
        <v>1898</v>
      </c>
      <c r="C109" s="542">
        <v>121916</v>
      </c>
    </row>
    <row r="110" spans="2:3">
      <c r="B110" s="148" t="s">
        <v>392</v>
      </c>
      <c r="C110" s="530">
        <v>120152</v>
      </c>
    </row>
    <row r="111" spans="2:3">
      <c r="B111" s="181" t="s">
        <v>8041</v>
      </c>
      <c r="C111" s="542">
        <v>117257</v>
      </c>
    </row>
    <row r="112" spans="2:3">
      <c r="B112" s="148" t="s">
        <v>7017</v>
      </c>
      <c r="C112" s="530">
        <v>104519</v>
      </c>
    </row>
    <row r="113" spans="2:3">
      <c r="B113" s="181" t="s">
        <v>7026</v>
      </c>
      <c r="C113" s="542">
        <v>99994</v>
      </c>
    </row>
    <row r="114" spans="2:3">
      <c r="B114" s="148" t="s">
        <v>8053</v>
      </c>
      <c r="C114" s="530">
        <v>96939</v>
      </c>
    </row>
    <row r="115" spans="2:3">
      <c r="B115" s="181" t="s">
        <v>446</v>
      </c>
      <c r="C115" s="542">
        <v>94521</v>
      </c>
    </row>
    <row r="116" spans="2:3">
      <c r="B116" s="148" t="s">
        <v>7963</v>
      </c>
      <c r="C116" s="530">
        <v>94329</v>
      </c>
    </row>
    <row r="117" spans="2:3">
      <c r="B117" s="181" t="s">
        <v>1273</v>
      </c>
      <c r="C117" s="542">
        <v>87727</v>
      </c>
    </row>
    <row r="118" spans="2:3">
      <c r="B118" s="148" t="s">
        <v>7962</v>
      </c>
      <c r="C118" s="530">
        <v>83621</v>
      </c>
    </row>
    <row r="119" spans="2:3">
      <c r="B119" s="181" t="s">
        <v>7014</v>
      </c>
      <c r="C119" s="542">
        <v>83598</v>
      </c>
    </row>
    <row r="120" spans="2:3">
      <c r="B120" s="148" t="s">
        <v>137</v>
      </c>
      <c r="C120" s="530">
        <v>83574</v>
      </c>
    </row>
    <row r="121" spans="2:3">
      <c r="B121" s="181" t="s">
        <v>8065</v>
      </c>
      <c r="C121" s="542">
        <v>77823</v>
      </c>
    </row>
    <row r="122" spans="2:3">
      <c r="B122" s="148" t="s">
        <v>7031</v>
      </c>
      <c r="C122" s="530">
        <v>77658</v>
      </c>
    </row>
    <row r="123" spans="2:3">
      <c r="B123" s="181" t="s">
        <v>412</v>
      </c>
      <c r="C123" s="542">
        <v>75300</v>
      </c>
    </row>
    <row r="124" spans="2:3">
      <c r="B124" s="148" t="s">
        <v>8007</v>
      </c>
      <c r="C124" s="530">
        <v>68137</v>
      </c>
    </row>
    <row r="125" spans="2:3">
      <c r="B125" s="181" t="s">
        <v>7937</v>
      </c>
      <c r="C125" s="542">
        <v>67195</v>
      </c>
    </row>
    <row r="126" spans="2:3">
      <c r="B126" s="148" t="s">
        <v>7978</v>
      </c>
      <c r="C126" s="530">
        <v>63392</v>
      </c>
    </row>
    <row r="127" spans="2:3">
      <c r="B127" s="181" t="s">
        <v>7980</v>
      </c>
      <c r="C127" s="542">
        <v>60189</v>
      </c>
    </row>
    <row r="128" spans="2:3">
      <c r="B128" s="148" t="s">
        <v>7022</v>
      </c>
      <c r="C128" s="530">
        <v>58248</v>
      </c>
    </row>
    <row r="129" spans="2:3">
      <c r="B129" s="181" t="s">
        <v>7974</v>
      </c>
      <c r="C129" s="542">
        <v>55588</v>
      </c>
    </row>
    <row r="130" spans="2:3">
      <c r="B130" s="148" t="s">
        <v>7972</v>
      </c>
      <c r="C130" s="530">
        <v>54484</v>
      </c>
    </row>
    <row r="131" spans="2:3">
      <c r="B131" s="181" t="s">
        <v>1279</v>
      </c>
      <c r="C131" s="542">
        <v>53712</v>
      </c>
    </row>
    <row r="132" spans="2:3">
      <c r="B132" s="148" t="s">
        <v>7946</v>
      </c>
      <c r="C132" s="530">
        <v>53583</v>
      </c>
    </row>
    <row r="133" spans="2:3">
      <c r="B133" s="181" t="s">
        <v>1028</v>
      </c>
      <c r="C133" s="542">
        <v>53336</v>
      </c>
    </row>
    <row r="134" spans="2:3">
      <c r="B134" s="148" t="s">
        <v>1047</v>
      </c>
      <c r="C134" s="530">
        <v>51425</v>
      </c>
    </row>
    <row r="135" spans="2:3">
      <c r="B135" s="181" t="s">
        <v>1033</v>
      </c>
      <c r="C135" s="542">
        <v>51401</v>
      </c>
    </row>
    <row r="136" spans="2:3">
      <c r="B136" s="148" t="s">
        <v>8031</v>
      </c>
      <c r="C136" s="530">
        <v>49454</v>
      </c>
    </row>
    <row r="137" spans="2:3">
      <c r="B137" s="181" t="s">
        <v>8057</v>
      </c>
      <c r="C137" s="542">
        <v>46988</v>
      </c>
    </row>
    <row r="138" spans="2:3">
      <c r="B138" s="148" t="s">
        <v>7996</v>
      </c>
      <c r="C138" s="530">
        <v>44470</v>
      </c>
    </row>
    <row r="139" spans="2:3">
      <c r="B139" s="181" t="s">
        <v>995</v>
      </c>
      <c r="C139" s="542">
        <v>39366</v>
      </c>
    </row>
    <row r="140" spans="2:3">
      <c r="B140" s="148" t="s">
        <v>7032</v>
      </c>
      <c r="C140" s="530">
        <v>37031</v>
      </c>
    </row>
    <row r="141" spans="2:3">
      <c r="B141" s="181" t="s">
        <v>7947</v>
      </c>
      <c r="C141" s="542">
        <v>36916</v>
      </c>
    </row>
    <row r="142" spans="2:3">
      <c r="B142" s="148" t="s">
        <v>7033</v>
      </c>
      <c r="C142" s="530">
        <v>36803</v>
      </c>
    </row>
    <row r="143" spans="2:3">
      <c r="B143" s="181" t="s">
        <v>998</v>
      </c>
      <c r="C143" s="542">
        <v>36237</v>
      </c>
    </row>
    <row r="144" spans="2:3">
      <c r="B144" s="148" t="s">
        <v>7973</v>
      </c>
      <c r="C144" s="530">
        <v>35267</v>
      </c>
    </row>
    <row r="145" spans="2:3">
      <c r="B145" s="181" t="s">
        <v>6881</v>
      </c>
      <c r="C145" s="542">
        <v>34962</v>
      </c>
    </row>
    <row r="146" spans="2:3">
      <c r="B146" s="148" t="s">
        <v>7992</v>
      </c>
      <c r="C146" s="530">
        <v>34832</v>
      </c>
    </row>
    <row r="147" spans="2:3">
      <c r="B147" s="181" t="s">
        <v>7005</v>
      </c>
      <c r="C147" s="542">
        <v>33637</v>
      </c>
    </row>
    <row r="148" spans="2:3">
      <c r="B148" s="148" t="s">
        <v>997</v>
      </c>
      <c r="C148" s="530">
        <v>33403</v>
      </c>
    </row>
    <row r="149" spans="2:3">
      <c r="B149" s="181" t="s">
        <v>7024</v>
      </c>
      <c r="C149" s="542">
        <v>32944</v>
      </c>
    </row>
    <row r="150" spans="2:3">
      <c r="B150" s="148" t="s">
        <v>84</v>
      </c>
      <c r="C150" s="530">
        <v>31367</v>
      </c>
    </row>
    <row r="151" spans="2:3">
      <c r="B151" s="181" t="s">
        <v>7013</v>
      </c>
      <c r="C151" s="542">
        <v>30795</v>
      </c>
    </row>
    <row r="152" spans="2:3">
      <c r="B152" s="148" t="s">
        <v>166</v>
      </c>
      <c r="C152" s="530">
        <v>30120</v>
      </c>
    </row>
    <row r="153" spans="2:3">
      <c r="B153" s="181" t="s">
        <v>152</v>
      </c>
      <c r="C153" s="542">
        <v>27986</v>
      </c>
    </row>
    <row r="154" spans="2:3">
      <c r="B154" s="148" t="s">
        <v>8034</v>
      </c>
      <c r="C154" s="530">
        <v>25685</v>
      </c>
    </row>
    <row r="155" spans="2:3">
      <c r="B155" s="181" t="s">
        <v>7041</v>
      </c>
      <c r="C155" s="542">
        <v>25025</v>
      </c>
    </row>
    <row r="156" spans="2:3">
      <c r="B156" s="148" t="s">
        <v>8074</v>
      </c>
      <c r="C156" s="530">
        <v>24055</v>
      </c>
    </row>
    <row r="157" spans="2:3">
      <c r="B157" s="181" t="s">
        <v>8017</v>
      </c>
      <c r="C157" s="542">
        <v>21392</v>
      </c>
    </row>
    <row r="158" spans="2:3">
      <c r="B158" s="148" t="s">
        <v>7070</v>
      </c>
      <c r="C158" s="530">
        <v>20481</v>
      </c>
    </row>
    <row r="159" spans="2:3">
      <c r="B159" s="181" t="s">
        <v>7051</v>
      </c>
      <c r="C159" s="542">
        <v>20416</v>
      </c>
    </row>
    <row r="160" spans="2:3">
      <c r="B160" s="148" t="s">
        <v>238</v>
      </c>
      <c r="C160" s="530">
        <v>20346</v>
      </c>
    </row>
    <row r="161" spans="2:3">
      <c r="B161" s="181" t="s">
        <v>104</v>
      </c>
      <c r="C161" s="542">
        <v>19139</v>
      </c>
    </row>
    <row r="162" spans="2:3">
      <c r="B162" s="148" t="s">
        <v>7040</v>
      </c>
      <c r="C162" s="530">
        <v>18914</v>
      </c>
    </row>
    <row r="163" spans="2:3">
      <c r="B163" s="181" t="s">
        <v>7038</v>
      </c>
      <c r="C163" s="542">
        <v>17875</v>
      </c>
    </row>
    <row r="164" spans="2:3">
      <c r="B164" s="148" t="s">
        <v>8024</v>
      </c>
      <c r="C164" s="530">
        <v>17543</v>
      </c>
    </row>
    <row r="165" spans="2:3">
      <c r="B165" s="181" t="s">
        <v>7981</v>
      </c>
      <c r="C165" s="542">
        <v>17309</v>
      </c>
    </row>
    <row r="166" spans="2:3">
      <c r="B166" s="148" t="s">
        <v>8058</v>
      </c>
      <c r="C166" s="530">
        <v>16927</v>
      </c>
    </row>
    <row r="167" spans="2:3">
      <c r="B167" s="181" t="s">
        <v>186</v>
      </c>
      <c r="C167" s="542">
        <v>16847</v>
      </c>
    </row>
    <row r="168" spans="2:3">
      <c r="B168" s="148" t="s">
        <v>988</v>
      </c>
      <c r="C168" s="530">
        <v>16676</v>
      </c>
    </row>
    <row r="169" spans="2:3">
      <c r="B169" s="181" t="s">
        <v>996</v>
      </c>
      <c r="C169" s="542">
        <v>15145</v>
      </c>
    </row>
    <row r="170" spans="2:3">
      <c r="B170" s="148" t="s">
        <v>7969</v>
      </c>
      <c r="C170" s="530">
        <v>14614</v>
      </c>
    </row>
    <row r="171" spans="2:3">
      <c r="B171" s="181" t="s">
        <v>170</v>
      </c>
      <c r="C171" s="542">
        <v>14393</v>
      </c>
    </row>
    <row r="172" spans="2:3">
      <c r="B172" s="148" t="s">
        <v>8068</v>
      </c>
      <c r="C172" s="530">
        <v>14204</v>
      </c>
    </row>
    <row r="173" spans="2:3">
      <c r="B173" s="181" t="s">
        <v>7061</v>
      </c>
      <c r="C173" s="542">
        <v>13801</v>
      </c>
    </row>
    <row r="174" spans="2:3">
      <c r="B174" s="148" t="s">
        <v>162</v>
      </c>
      <c r="C174" s="530">
        <v>13436</v>
      </c>
    </row>
    <row r="175" spans="2:3">
      <c r="B175" s="181" t="s">
        <v>7979</v>
      </c>
      <c r="C175" s="542">
        <v>12403</v>
      </c>
    </row>
    <row r="176" spans="2:3">
      <c r="B176" s="148" t="s">
        <v>8049</v>
      </c>
      <c r="C176" s="530">
        <v>12026</v>
      </c>
    </row>
    <row r="177" spans="2:3">
      <c r="B177" s="181" t="s">
        <v>7046</v>
      </c>
      <c r="C177" s="542">
        <v>11911</v>
      </c>
    </row>
    <row r="178" spans="2:3">
      <c r="B178" s="148" t="s">
        <v>98</v>
      </c>
      <c r="C178" s="530">
        <v>11586</v>
      </c>
    </row>
    <row r="179" spans="2:3">
      <c r="B179" s="181" t="s">
        <v>208</v>
      </c>
      <c r="C179" s="542">
        <v>11531</v>
      </c>
    </row>
    <row r="180" spans="2:3">
      <c r="B180" s="148" t="s">
        <v>8087</v>
      </c>
      <c r="C180" s="530">
        <v>11252</v>
      </c>
    </row>
    <row r="181" spans="2:3">
      <c r="B181" s="181" t="s">
        <v>8004</v>
      </c>
      <c r="C181" s="542">
        <v>11060</v>
      </c>
    </row>
    <row r="182" spans="2:3">
      <c r="B182" s="148" t="s">
        <v>7954</v>
      </c>
      <c r="C182" s="530">
        <v>11020</v>
      </c>
    </row>
    <row r="183" spans="2:3">
      <c r="B183" s="181" t="s">
        <v>7984</v>
      </c>
      <c r="C183" s="542">
        <v>10910</v>
      </c>
    </row>
    <row r="184" spans="2:3">
      <c r="B184" s="148" t="s">
        <v>278</v>
      </c>
      <c r="C184" s="530">
        <v>10738</v>
      </c>
    </row>
    <row r="185" spans="2:3">
      <c r="B185" s="181" t="s">
        <v>327</v>
      </c>
      <c r="C185" s="542">
        <v>10410</v>
      </c>
    </row>
    <row r="186" spans="2:3">
      <c r="B186" s="148" t="s">
        <v>7986</v>
      </c>
      <c r="C186" s="530">
        <v>10304</v>
      </c>
    </row>
    <row r="187" spans="2:3">
      <c r="B187" s="181" t="s">
        <v>1014</v>
      </c>
      <c r="C187" s="542">
        <v>10280</v>
      </c>
    </row>
    <row r="188" spans="2:3">
      <c r="B188" s="148" t="s">
        <v>8030</v>
      </c>
      <c r="C188" s="530">
        <v>10052</v>
      </c>
    </row>
    <row r="189" spans="2:3">
      <c r="B189" s="181" t="s">
        <v>8039</v>
      </c>
      <c r="C189" s="542">
        <v>10032</v>
      </c>
    </row>
    <row r="190" spans="2:3">
      <c r="B190" s="148" t="s">
        <v>8043</v>
      </c>
      <c r="C190" s="530">
        <v>9992</v>
      </c>
    </row>
    <row r="191" spans="2:3">
      <c r="B191" s="181" t="s">
        <v>369</v>
      </c>
      <c r="C191" s="542">
        <v>9761</v>
      </c>
    </row>
    <row r="192" spans="2:3">
      <c r="B192" s="148" t="s">
        <v>236</v>
      </c>
      <c r="C192" s="530">
        <v>9007</v>
      </c>
    </row>
    <row r="193" spans="2:3">
      <c r="B193" s="181" t="s">
        <v>1657</v>
      </c>
      <c r="C193" s="542">
        <v>8932</v>
      </c>
    </row>
    <row r="194" spans="2:3">
      <c r="B194" s="148" t="s">
        <v>409</v>
      </c>
      <c r="C194" s="530">
        <v>8878</v>
      </c>
    </row>
    <row r="195" spans="2:3">
      <c r="B195" s="181" t="s">
        <v>257</v>
      </c>
      <c r="C195" s="542">
        <v>8797</v>
      </c>
    </row>
    <row r="196" spans="2:3">
      <c r="B196" s="148" t="s">
        <v>7982</v>
      </c>
      <c r="C196" s="530">
        <v>8209</v>
      </c>
    </row>
    <row r="197" spans="2:3">
      <c r="B197" s="181" t="s">
        <v>1010</v>
      </c>
      <c r="C197" s="542">
        <v>8136</v>
      </c>
    </row>
    <row r="198" spans="2:3">
      <c r="B198" s="148" t="s">
        <v>1011</v>
      </c>
      <c r="C198" s="530">
        <v>8087</v>
      </c>
    </row>
    <row r="199" spans="2:3">
      <c r="B199" s="181" t="s">
        <v>7971</v>
      </c>
      <c r="C199" s="542">
        <v>6938</v>
      </c>
    </row>
    <row r="200" spans="2:3">
      <c r="B200" s="148" t="s">
        <v>7120</v>
      </c>
      <c r="C200" s="530">
        <v>6832</v>
      </c>
    </row>
    <row r="201" spans="2:3">
      <c r="B201" s="181" t="s">
        <v>248</v>
      </c>
      <c r="C201" s="542">
        <v>6537</v>
      </c>
    </row>
    <row r="202" spans="2:3">
      <c r="B202" s="148" t="s">
        <v>1007</v>
      </c>
      <c r="C202" s="530">
        <v>6407</v>
      </c>
    </row>
    <row r="203" spans="2:3">
      <c r="B203" s="181" t="s">
        <v>7081</v>
      </c>
      <c r="C203" s="542">
        <v>6348</v>
      </c>
    </row>
    <row r="204" spans="2:3">
      <c r="B204" s="148" t="s">
        <v>261</v>
      </c>
      <c r="C204" s="530">
        <v>6299</v>
      </c>
    </row>
    <row r="205" spans="2:3">
      <c r="B205" s="181" t="s">
        <v>8070</v>
      </c>
      <c r="C205" s="542">
        <v>6170</v>
      </c>
    </row>
    <row r="206" spans="2:3">
      <c r="B206" s="148" t="s">
        <v>7994</v>
      </c>
      <c r="C206" s="530">
        <v>6150</v>
      </c>
    </row>
    <row r="207" spans="2:3">
      <c r="B207" s="181" t="s">
        <v>7074</v>
      </c>
      <c r="C207" s="542">
        <v>5751</v>
      </c>
    </row>
    <row r="208" spans="2:3">
      <c r="B208" s="148" t="s">
        <v>7098</v>
      </c>
      <c r="C208" s="530">
        <v>5696</v>
      </c>
    </row>
    <row r="209" spans="2:3">
      <c r="B209" s="181" t="s">
        <v>7977</v>
      </c>
      <c r="C209" s="542">
        <v>5633</v>
      </c>
    </row>
    <row r="210" spans="2:3">
      <c r="B210" s="148" t="s">
        <v>179</v>
      </c>
      <c r="C210" s="530">
        <v>5280</v>
      </c>
    </row>
    <row r="211" spans="2:3">
      <c r="B211" s="181" t="s">
        <v>1794</v>
      </c>
      <c r="C211" s="542">
        <v>5248</v>
      </c>
    </row>
    <row r="212" spans="2:3">
      <c r="B212" s="148" t="s">
        <v>391</v>
      </c>
      <c r="C212" s="530">
        <v>5186</v>
      </c>
    </row>
    <row r="213" spans="2:3">
      <c r="B213" s="181" t="s">
        <v>993</v>
      </c>
      <c r="C213" s="542">
        <v>5018</v>
      </c>
    </row>
    <row r="214" spans="2:3">
      <c r="B214" s="148" t="s">
        <v>8002</v>
      </c>
      <c r="C214" s="530">
        <v>5000</v>
      </c>
    </row>
    <row r="215" spans="2:3">
      <c r="B215" s="181" t="s">
        <v>264</v>
      </c>
      <c r="C215" s="542">
        <v>4989</v>
      </c>
    </row>
    <row r="216" spans="2:3">
      <c r="B216" s="148" t="s">
        <v>222</v>
      </c>
      <c r="C216" s="530">
        <v>4982</v>
      </c>
    </row>
    <row r="217" spans="2:3">
      <c r="B217" s="181" t="s">
        <v>8059</v>
      </c>
      <c r="C217" s="542">
        <v>4778</v>
      </c>
    </row>
    <row r="218" spans="2:3">
      <c r="B218" s="148" t="s">
        <v>7970</v>
      </c>
      <c r="C218" s="530">
        <v>4778</v>
      </c>
    </row>
    <row r="219" spans="2:3">
      <c r="B219" s="181" t="s">
        <v>7076</v>
      </c>
      <c r="C219" s="542">
        <v>4728</v>
      </c>
    </row>
    <row r="220" spans="2:3">
      <c r="B220" s="148" t="s">
        <v>155</v>
      </c>
      <c r="C220" s="530">
        <v>4602</v>
      </c>
    </row>
    <row r="221" spans="2:3">
      <c r="B221" s="181" t="s">
        <v>8073</v>
      </c>
      <c r="C221" s="542">
        <v>4600</v>
      </c>
    </row>
    <row r="222" spans="2:3">
      <c r="B222" s="148" t="s">
        <v>1832</v>
      </c>
      <c r="C222" s="530">
        <v>4541</v>
      </c>
    </row>
    <row r="223" spans="2:3">
      <c r="B223" s="181" t="s">
        <v>5686</v>
      </c>
      <c r="C223" s="542">
        <v>4274</v>
      </c>
    </row>
    <row r="224" spans="2:3">
      <c r="B224" s="148" t="s">
        <v>7090</v>
      </c>
      <c r="C224" s="530">
        <v>3974</v>
      </c>
    </row>
    <row r="225" spans="2:3">
      <c r="B225" s="181" t="s">
        <v>7975</v>
      </c>
      <c r="C225" s="542">
        <v>3947</v>
      </c>
    </row>
    <row r="226" spans="2:3">
      <c r="B226" s="148" t="s">
        <v>251</v>
      </c>
      <c r="C226" s="530">
        <v>3927</v>
      </c>
    </row>
    <row r="227" spans="2:3">
      <c r="B227" s="181" t="s">
        <v>415</v>
      </c>
      <c r="C227" s="542">
        <v>3908</v>
      </c>
    </row>
    <row r="228" spans="2:3">
      <c r="B228" s="148" t="s">
        <v>8040</v>
      </c>
      <c r="C228" s="530">
        <v>3901</v>
      </c>
    </row>
    <row r="229" spans="2:3">
      <c r="B229" s="181" t="s">
        <v>240</v>
      </c>
      <c r="C229" s="542">
        <v>3778</v>
      </c>
    </row>
    <row r="230" spans="2:3">
      <c r="B230" s="148" t="s">
        <v>8006</v>
      </c>
      <c r="C230" s="530">
        <v>3671</v>
      </c>
    </row>
    <row r="231" spans="2:3">
      <c r="B231" s="181" t="s">
        <v>204</v>
      </c>
      <c r="C231" s="542">
        <v>3487</v>
      </c>
    </row>
    <row r="232" spans="2:3">
      <c r="B232" s="148" t="s">
        <v>8003</v>
      </c>
      <c r="C232" s="530">
        <v>3283</v>
      </c>
    </row>
    <row r="233" spans="2:3">
      <c r="B233" s="181" t="s">
        <v>7095</v>
      </c>
      <c r="C233" s="542">
        <v>3067</v>
      </c>
    </row>
    <row r="234" spans="2:3">
      <c r="B234" s="148" t="s">
        <v>206</v>
      </c>
      <c r="C234" s="530">
        <v>3044</v>
      </c>
    </row>
    <row r="235" spans="2:3">
      <c r="B235" s="181" t="s">
        <v>292</v>
      </c>
      <c r="C235" s="542">
        <v>2998</v>
      </c>
    </row>
    <row r="236" spans="2:3">
      <c r="B236" s="148" t="s">
        <v>7960</v>
      </c>
      <c r="C236" s="530">
        <v>2973</v>
      </c>
    </row>
    <row r="237" spans="2:3">
      <c r="B237" s="181" t="s">
        <v>1040</v>
      </c>
      <c r="C237" s="542">
        <v>2906</v>
      </c>
    </row>
    <row r="238" spans="2:3">
      <c r="B238" s="148" t="s">
        <v>131</v>
      </c>
      <c r="C238" s="530">
        <v>2684</v>
      </c>
    </row>
    <row r="239" spans="2:3">
      <c r="B239" s="181" t="s">
        <v>8075</v>
      </c>
      <c r="C239" s="542">
        <v>2646</v>
      </c>
    </row>
    <row r="240" spans="2:3">
      <c r="B240" s="148" t="s">
        <v>1031</v>
      </c>
      <c r="C240" s="530">
        <v>2588</v>
      </c>
    </row>
    <row r="241" spans="2:3">
      <c r="B241" s="181" t="s">
        <v>1052</v>
      </c>
      <c r="C241" s="542">
        <v>2581</v>
      </c>
    </row>
    <row r="242" spans="2:3">
      <c r="B242" s="148" t="s">
        <v>243</v>
      </c>
      <c r="C242" s="530">
        <v>2497</v>
      </c>
    </row>
    <row r="243" spans="2:3">
      <c r="B243" s="181" t="s">
        <v>8001</v>
      </c>
      <c r="C243" s="542">
        <v>2472</v>
      </c>
    </row>
    <row r="244" spans="2:3">
      <c r="B244" s="148" t="s">
        <v>8026</v>
      </c>
      <c r="C244" s="530">
        <v>2345</v>
      </c>
    </row>
    <row r="245" spans="2:3">
      <c r="B245" s="181" t="s">
        <v>1046</v>
      </c>
      <c r="C245" s="542">
        <v>2332</v>
      </c>
    </row>
    <row r="246" spans="2:3">
      <c r="B246" s="148" t="s">
        <v>7101</v>
      </c>
      <c r="C246" s="530">
        <v>2300</v>
      </c>
    </row>
    <row r="247" spans="2:3">
      <c r="B247" s="181" t="s">
        <v>7062</v>
      </c>
      <c r="C247" s="542">
        <v>2049</v>
      </c>
    </row>
    <row r="248" spans="2:3">
      <c r="B248" s="148" t="s">
        <v>331</v>
      </c>
      <c r="C248" s="530">
        <v>2038</v>
      </c>
    </row>
    <row r="249" spans="2:3">
      <c r="B249" s="181" t="s">
        <v>1038</v>
      </c>
      <c r="C249" s="542">
        <v>2035</v>
      </c>
    </row>
    <row r="250" spans="2:3">
      <c r="B250" s="148" t="s">
        <v>1012</v>
      </c>
      <c r="C250" s="530">
        <v>1955</v>
      </c>
    </row>
    <row r="251" spans="2:3">
      <c r="B251" s="181" t="s">
        <v>8076</v>
      </c>
      <c r="C251" s="542">
        <v>1940</v>
      </c>
    </row>
    <row r="252" spans="2:3">
      <c r="B252" s="148" t="s">
        <v>1771</v>
      </c>
      <c r="C252" s="530">
        <v>1790</v>
      </c>
    </row>
    <row r="253" spans="2:3">
      <c r="B253" s="181" t="s">
        <v>8014</v>
      </c>
      <c r="C253" s="542">
        <v>1734</v>
      </c>
    </row>
    <row r="254" spans="2:3">
      <c r="B254" s="148" t="s">
        <v>224</v>
      </c>
      <c r="C254" s="530">
        <v>1620</v>
      </c>
    </row>
    <row r="255" spans="2:3">
      <c r="B255" s="181" t="s">
        <v>8069</v>
      </c>
      <c r="C255" s="542">
        <v>1600</v>
      </c>
    </row>
    <row r="256" spans="2:3">
      <c r="B256" s="148" t="s">
        <v>356</v>
      </c>
      <c r="C256" s="530">
        <v>1533</v>
      </c>
    </row>
    <row r="257" spans="2:3">
      <c r="B257" s="181" t="s">
        <v>126</v>
      </c>
      <c r="C257" s="542">
        <v>1533</v>
      </c>
    </row>
    <row r="258" spans="2:3">
      <c r="B258" s="148" t="s">
        <v>443</v>
      </c>
      <c r="C258" s="530">
        <v>1498</v>
      </c>
    </row>
    <row r="259" spans="2:3">
      <c r="B259" s="181" t="s">
        <v>7107</v>
      </c>
      <c r="C259" s="542">
        <v>1474</v>
      </c>
    </row>
    <row r="260" spans="2:3">
      <c r="B260" s="148" t="s">
        <v>221</v>
      </c>
      <c r="C260" s="530">
        <v>1427</v>
      </c>
    </row>
    <row r="261" spans="2:3">
      <c r="B261" s="181" t="s">
        <v>1019</v>
      </c>
      <c r="C261" s="542">
        <v>1391</v>
      </c>
    </row>
    <row r="262" spans="2:3">
      <c r="B262" s="148" t="s">
        <v>1022</v>
      </c>
      <c r="C262" s="530">
        <v>1362</v>
      </c>
    </row>
    <row r="263" spans="2:3">
      <c r="B263" s="181" t="s">
        <v>268</v>
      </c>
      <c r="C263" s="542">
        <v>1330</v>
      </c>
    </row>
    <row r="264" spans="2:3">
      <c r="B264" s="148" t="s">
        <v>3805</v>
      </c>
      <c r="C264" s="530">
        <v>1259</v>
      </c>
    </row>
    <row r="265" spans="2:3">
      <c r="B265" s="181" t="s">
        <v>8018</v>
      </c>
      <c r="C265" s="542">
        <v>1250</v>
      </c>
    </row>
    <row r="266" spans="2:3">
      <c r="B266" s="148" t="s">
        <v>7093</v>
      </c>
      <c r="C266" s="530">
        <v>1235</v>
      </c>
    </row>
    <row r="267" spans="2:3">
      <c r="B267" s="181" t="s">
        <v>275</v>
      </c>
      <c r="C267" s="542">
        <v>1190</v>
      </c>
    </row>
    <row r="268" spans="2:3">
      <c r="B268" s="148" t="s">
        <v>237</v>
      </c>
      <c r="C268" s="530">
        <v>1189</v>
      </c>
    </row>
    <row r="269" spans="2:3">
      <c r="B269" s="181" t="s">
        <v>242</v>
      </c>
      <c r="C269" s="542">
        <v>1189</v>
      </c>
    </row>
    <row r="270" spans="2:3">
      <c r="B270" s="148" t="s">
        <v>1045</v>
      </c>
      <c r="C270" s="530">
        <v>1152</v>
      </c>
    </row>
    <row r="271" spans="2:3">
      <c r="B271" s="181" t="s">
        <v>7983</v>
      </c>
      <c r="C271" s="542">
        <v>1150</v>
      </c>
    </row>
    <row r="272" spans="2:3">
      <c r="B272" s="148" t="s">
        <v>1048</v>
      </c>
      <c r="C272" s="530">
        <v>1075</v>
      </c>
    </row>
    <row r="273" spans="2:3">
      <c r="B273" s="181" t="s">
        <v>232</v>
      </c>
      <c r="C273" s="542">
        <v>1022</v>
      </c>
    </row>
    <row r="274" spans="2:3">
      <c r="B274" s="148" t="s">
        <v>8005</v>
      </c>
      <c r="C274" s="530">
        <v>1000</v>
      </c>
    </row>
    <row r="275" spans="2:3">
      <c r="B275" s="181" t="s">
        <v>8010</v>
      </c>
      <c r="C275" s="542">
        <v>1000</v>
      </c>
    </row>
    <row r="276" spans="2:3">
      <c r="B276" s="148" t="s">
        <v>7966</v>
      </c>
      <c r="C276" s="530">
        <v>943</v>
      </c>
    </row>
    <row r="277" spans="2:3">
      <c r="B277" s="181" t="s">
        <v>7124</v>
      </c>
      <c r="C277" s="542">
        <v>941</v>
      </c>
    </row>
    <row r="278" spans="2:3">
      <c r="B278" s="148" t="s">
        <v>7114</v>
      </c>
      <c r="C278" s="530">
        <v>878</v>
      </c>
    </row>
    <row r="279" spans="2:3">
      <c r="B279" s="181" t="s">
        <v>8079</v>
      </c>
      <c r="C279" s="542">
        <v>831</v>
      </c>
    </row>
    <row r="280" spans="2:3">
      <c r="B280" s="148" t="s">
        <v>7115</v>
      </c>
      <c r="C280" s="530">
        <v>787</v>
      </c>
    </row>
    <row r="281" spans="2:3">
      <c r="B281" s="181" t="s">
        <v>7967</v>
      </c>
      <c r="C281" s="542">
        <v>779</v>
      </c>
    </row>
    <row r="282" spans="2:3">
      <c r="B282" s="148" t="s">
        <v>7989</v>
      </c>
      <c r="C282" s="530">
        <v>767</v>
      </c>
    </row>
    <row r="283" spans="2:3">
      <c r="B283" s="181" t="s">
        <v>178</v>
      </c>
      <c r="C283" s="542">
        <v>760</v>
      </c>
    </row>
    <row r="284" spans="2:3">
      <c r="B284" s="148" t="s">
        <v>7957</v>
      </c>
      <c r="C284" s="530">
        <v>721</v>
      </c>
    </row>
    <row r="285" spans="2:3">
      <c r="B285" s="181" t="s">
        <v>1900</v>
      </c>
      <c r="C285" s="542">
        <v>691</v>
      </c>
    </row>
    <row r="286" spans="2:3">
      <c r="B286" s="148" t="s">
        <v>7075</v>
      </c>
      <c r="C286" s="530">
        <v>660</v>
      </c>
    </row>
    <row r="287" spans="2:3">
      <c r="B287" s="181" t="s">
        <v>7078</v>
      </c>
      <c r="C287" s="542">
        <v>657</v>
      </c>
    </row>
    <row r="288" spans="2:3">
      <c r="B288" s="148" t="s">
        <v>7968</v>
      </c>
      <c r="C288" s="530">
        <v>657</v>
      </c>
    </row>
    <row r="289" spans="2:3">
      <c r="B289" s="181" t="s">
        <v>259</v>
      </c>
      <c r="C289" s="542">
        <v>642</v>
      </c>
    </row>
    <row r="290" spans="2:3">
      <c r="B290" s="148" t="s">
        <v>168</v>
      </c>
      <c r="C290" s="530">
        <v>640</v>
      </c>
    </row>
    <row r="291" spans="2:3">
      <c r="B291" s="181" t="s">
        <v>377</v>
      </c>
      <c r="C291" s="542">
        <v>608</v>
      </c>
    </row>
    <row r="292" spans="2:3">
      <c r="B292" s="148" t="s">
        <v>300</v>
      </c>
      <c r="C292" s="530">
        <v>596</v>
      </c>
    </row>
    <row r="293" spans="2:3">
      <c r="B293" s="181" t="s">
        <v>267</v>
      </c>
      <c r="C293" s="542">
        <v>574</v>
      </c>
    </row>
    <row r="294" spans="2:3">
      <c r="B294" s="148" t="s">
        <v>1049</v>
      </c>
      <c r="C294" s="530">
        <v>570</v>
      </c>
    </row>
    <row r="295" spans="2:3">
      <c r="B295" s="181" t="s">
        <v>7122</v>
      </c>
      <c r="C295" s="542">
        <v>560</v>
      </c>
    </row>
    <row r="296" spans="2:3">
      <c r="B296" s="148" t="s">
        <v>8027</v>
      </c>
      <c r="C296" s="530">
        <v>547</v>
      </c>
    </row>
    <row r="297" spans="2:3">
      <c r="B297" s="181" t="s">
        <v>335</v>
      </c>
      <c r="C297" s="542">
        <v>520</v>
      </c>
    </row>
    <row r="298" spans="2:3">
      <c r="B298" s="148" t="s">
        <v>214</v>
      </c>
      <c r="C298" s="530">
        <v>496</v>
      </c>
    </row>
    <row r="299" spans="2:3">
      <c r="B299" s="181" t="s">
        <v>7998</v>
      </c>
      <c r="C299" s="542">
        <v>493</v>
      </c>
    </row>
    <row r="300" spans="2:3">
      <c r="B300" s="148" t="s">
        <v>1056</v>
      </c>
      <c r="C300" s="530">
        <v>493</v>
      </c>
    </row>
    <row r="301" spans="2:3">
      <c r="B301" s="181" t="s">
        <v>1784</v>
      </c>
      <c r="C301" s="542">
        <v>476</v>
      </c>
    </row>
    <row r="302" spans="2:3">
      <c r="B302" s="148" t="s">
        <v>8080</v>
      </c>
      <c r="C302" s="530">
        <v>476</v>
      </c>
    </row>
    <row r="303" spans="2:3">
      <c r="B303" s="181" t="s">
        <v>8086</v>
      </c>
      <c r="C303" s="542">
        <v>476</v>
      </c>
    </row>
    <row r="304" spans="2:3">
      <c r="B304" s="148" t="s">
        <v>986</v>
      </c>
      <c r="C304" s="530">
        <v>456</v>
      </c>
    </row>
    <row r="305" spans="2:3">
      <c r="B305" s="181" t="s">
        <v>305</v>
      </c>
      <c r="C305" s="542">
        <v>439</v>
      </c>
    </row>
    <row r="306" spans="2:3">
      <c r="B306" s="148" t="s">
        <v>194</v>
      </c>
      <c r="C306" s="530">
        <v>438</v>
      </c>
    </row>
    <row r="307" spans="2:3">
      <c r="B307" s="181" t="s">
        <v>1021</v>
      </c>
      <c r="C307" s="542">
        <v>438</v>
      </c>
    </row>
    <row r="308" spans="2:3">
      <c r="B308" s="148" t="s">
        <v>207</v>
      </c>
      <c r="C308" s="530">
        <v>429</v>
      </c>
    </row>
    <row r="309" spans="2:3">
      <c r="B309" s="181" t="s">
        <v>454</v>
      </c>
      <c r="C309" s="542">
        <v>428</v>
      </c>
    </row>
    <row r="310" spans="2:3">
      <c r="B310" s="148" t="s">
        <v>7999</v>
      </c>
      <c r="C310" s="530">
        <v>422</v>
      </c>
    </row>
    <row r="311" spans="2:3">
      <c r="B311" s="181" t="s">
        <v>421</v>
      </c>
      <c r="C311" s="542">
        <v>416</v>
      </c>
    </row>
    <row r="312" spans="2:3">
      <c r="B312" s="148" t="s">
        <v>7137</v>
      </c>
      <c r="C312" s="530">
        <v>405</v>
      </c>
    </row>
    <row r="313" spans="2:3">
      <c r="B313" s="181" t="s">
        <v>7139</v>
      </c>
      <c r="C313" s="542">
        <v>395</v>
      </c>
    </row>
    <row r="314" spans="2:3">
      <c r="B314" s="148" t="s">
        <v>8013</v>
      </c>
      <c r="C314" s="530">
        <v>392</v>
      </c>
    </row>
    <row r="315" spans="2:3">
      <c r="B315" s="181" t="s">
        <v>1051</v>
      </c>
      <c r="C315" s="542">
        <v>380</v>
      </c>
    </row>
    <row r="316" spans="2:3">
      <c r="B316" s="148" t="s">
        <v>312</v>
      </c>
      <c r="C316" s="530">
        <v>380</v>
      </c>
    </row>
    <row r="317" spans="2:3">
      <c r="B317" s="181" t="s">
        <v>197</v>
      </c>
      <c r="C317" s="542">
        <v>359</v>
      </c>
    </row>
    <row r="318" spans="2:3">
      <c r="B318" s="148" t="s">
        <v>7976</v>
      </c>
      <c r="C318" s="530">
        <v>353</v>
      </c>
    </row>
    <row r="319" spans="2:3">
      <c r="B319" s="181" t="s">
        <v>7123</v>
      </c>
      <c r="C319" s="542">
        <v>352</v>
      </c>
    </row>
    <row r="320" spans="2:3">
      <c r="B320" s="148" t="s">
        <v>7140</v>
      </c>
      <c r="C320" s="530">
        <v>344</v>
      </c>
    </row>
    <row r="321" spans="2:3">
      <c r="B321" s="181" t="s">
        <v>172</v>
      </c>
      <c r="C321" s="542">
        <v>334</v>
      </c>
    </row>
    <row r="322" spans="2:3">
      <c r="B322" s="148" t="s">
        <v>7112</v>
      </c>
      <c r="C322" s="530">
        <v>328</v>
      </c>
    </row>
    <row r="323" spans="2:3">
      <c r="B323" s="181" t="s">
        <v>313</v>
      </c>
      <c r="C323" s="542">
        <v>319</v>
      </c>
    </row>
    <row r="324" spans="2:3">
      <c r="B324" s="148" t="s">
        <v>249</v>
      </c>
      <c r="C324" s="530">
        <v>309</v>
      </c>
    </row>
    <row r="325" spans="2:3">
      <c r="B325" s="181" t="s">
        <v>7995</v>
      </c>
      <c r="C325" s="542">
        <v>309</v>
      </c>
    </row>
    <row r="326" spans="2:3">
      <c r="B326" s="148" t="s">
        <v>1039</v>
      </c>
      <c r="C326" s="530">
        <v>307</v>
      </c>
    </row>
    <row r="327" spans="2:3">
      <c r="B327" s="181" t="s">
        <v>8082</v>
      </c>
      <c r="C327" s="542">
        <v>304</v>
      </c>
    </row>
    <row r="328" spans="2:3">
      <c r="B328" s="148" t="s">
        <v>7129</v>
      </c>
      <c r="C328" s="530">
        <v>285</v>
      </c>
    </row>
    <row r="329" spans="2:3">
      <c r="B329" s="181" t="s">
        <v>8084</v>
      </c>
      <c r="C329" s="542">
        <v>278</v>
      </c>
    </row>
    <row r="330" spans="2:3">
      <c r="B330" s="148" t="s">
        <v>8081</v>
      </c>
      <c r="C330" s="530">
        <v>270</v>
      </c>
    </row>
    <row r="331" spans="2:3">
      <c r="B331" s="181" t="s">
        <v>234</v>
      </c>
      <c r="C331" s="542">
        <v>266</v>
      </c>
    </row>
    <row r="332" spans="2:3">
      <c r="B332" s="148" t="s">
        <v>281</v>
      </c>
      <c r="C332" s="530">
        <v>255</v>
      </c>
    </row>
    <row r="333" spans="2:3">
      <c r="B333" s="181" t="s">
        <v>7079</v>
      </c>
      <c r="C333" s="542">
        <v>254</v>
      </c>
    </row>
    <row r="334" spans="2:3">
      <c r="B334" s="148" t="s">
        <v>7103</v>
      </c>
      <c r="C334" s="530">
        <v>252</v>
      </c>
    </row>
    <row r="335" spans="2:3">
      <c r="B335" s="181" t="s">
        <v>5687</v>
      </c>
      <c r="C335" s="542">
        <v>248</v>
      </c>
    </row>
    <row r="336" spans="2:3">
      <c r="B336" s="148" t="s">
        <v>7145</v>
      </c>
      <c r="C336" s="530">
        <v>243</v>
      </c>
    </row>
    <row r="337" spans="2:3">
      <c r="B337" s="181" t="s">
        <v>219</v>
      </c>
      <c r="C337" s="542">
        <v>243</v>
      </c>
    </row>
    <row r="338" spans="2:3">
      <c r="B338" s="148" t="s">
        <v>7134</v>
      </c>
      <c r="C338" s="530">
        <v>238</v>
      </c>
    </row>
    <row r="339" spans="2:3">
      <c r="B339" s="181" t="s">
        <v>7135</v>
      </c>
      <c r="C339" s="542">
        <v>238</v>
      </c>
    </row>
    <row r="340" spans="2:3">
      <c r="B340" s="148" t="s">
        <v>8037</v>
      </c>
      <c r="C340" s="530">
        <v>229</v>
      </c>
    </row>
    <row r="341" spans="2:3">
      <c r="B341" s="181" t="s">
        <v>216</v>
      </c>
      <c r="C341" s="542">
        <v>229</v>
      </c>
    </row>
    <row r="342" spans="2:3">
      <c r="B342" s="148" t="s">
        <v>7988</v>
      </c>
      <c r="C342" s="530">
        <v>216</v>
      </c>
    </row>
    <row r="343" spans="2:3">
      <c r="B343" s="181" t="s">
        <v>7136</v>
      </c>
      <c r="C343" s="542">
        <v>210</v>
      </c>
    </row>
    <row r="344" spans="2:3">
      <c r="B344" s="148" t="s">
        <v>1405</v>
      </c>
      <c r="C344" s="530">
        <v>205</v>
      </c>
    </row>
    <row r="345" spans="2:3">
      <c r="B345" s="181" t="s">
        <v>1023</v>
      </c>
      <c r="C345" s="542">
        <v>201</v>
      </c>
    </row>
    <row r="346" spans="2:3">
      <c r="B346" s="148" t="s">
        <v>7955</v>
      </c>
      <c r="C346" s="530">
        <v>198</v>
      </c>
    </row>
    <row r="347" spans="2:3">
      <c r="B347" s="181" t="s">
        <v>8016</v>
      </c>
      <c r="C347" s="542">
        <v>190</v>
      </c>
    </row>
    <row r="348" spans="2:3">
      <c r="B348" s="148" t="s">
        <v>7174</v>
      </c>
      <c r="C348" s="530">
        <v>188</v>
      </c>
    </row>
    <row r="349" spans="2:3">
      <c r="B349" s="181" t="s">
        <v>274</v>
      </c>
      <c r="C349" s="542">
        <v>185</v>
      </c>
    </row>
    <row r="350" spans="2:3">
      <c r="B350" s="148" t="s">
        <v>7153</v>
      </c>
      <c r="C350" s="530">
        <v>166</v>
      </c>
    </row>
    <row r="351" spans="2:3">
      <c r="B351" s="181" t="s">
        <v>228</v>
      </c>
      <c r="C351" s="542">
        <v>166</v>
      </c>
    </row>
    <row r="352" spans="2:3">
      <c r="B352" s="148" t="s">
        <v>7141</v>
      </c>
      <c r="C352" s="530">
        <v>157</v>
      </c>
    </row>
    <row r="353" spans="2:3">
      <c r="B353" s="181" t="s">
        <v>7142</v>
      </c>
      <c r="C353" s="542">
        <v>156</v>
      </c>
    </row>
    <row r="354" spans="2:3">
      <c r="B354" s="148" t="s">
        <v>1025</v>
      </c>
      <c r="C354" s="530">
        <v>150</v>
      </c>
    </row>
    <row r="355" spans="2:3">
      <c r="B355" s="181" t="s">
        <v>8085</v>
      </c>
      <c r="C355" s="542">
        <v>148</v>
      </c>
    </row>
    <row r="356" spans="2:3">
      <c r="B356" s="148" t="s">
        <v>8019</v>
      </c>
      <c r="C356" s="530">
        <v>147</v>
      </c>
    </row>
    <row r="357" spans="2:3">
      <c r="B357" s="181" t="s">
        <v>235</v>
      </c>
      <c r="C357" s="542">
        <v>143</v>
      </c>
    </row>
    <row r="358" spans="2:3">
      <c r="B358" s="148" t="s">
        <v>456</v>
      </c>
      <c r="C358" s="530">
        <v>136</v>
      </c>
    </row>
    <row r="359" spans="2:3">
      <c r="B359" s="181" t="s">
        <v>7958</v>
      </c>
      <c r="C359" s="542">
        <v>134</v>
      </c>
    </row>
    <row r="360" spans="2:3">
      <c r="B360" s="148" t="s">
        <v>357</v>
      </c>
      <c r="C360" s="530">
        <v>133</v>
      </c>
    </row>
    <row r="361" spans="2:3">
      <c r="B361" s="181" t="s">
        <v>311</v>
      </c>
      <c r="C361" s="542">
        <v>122</v>
      </c>
    </row>
    <row r="362" spans="2:3">
      <c r="B362" s="148" t="s">
        <v>7131</v>
      </c>
      <c r="C362" s="530">
        <v>121</v>
      </c>
    </row>
    <row r="363" spans="2:3">
      <c r="B363" s="181" t="s">
        <v>285</v>
      </c>
      <c r="C363" s="542">
        <v>119</v>
      </c>
    </row>
    <row r="364" spans="2:3">
      <c r="B364" s="148" t="s">
        <v>7171</v>
      </c>
      <c r="C364" s="530">
        <v>119</v>
      </c>
    </row>
    <row r="365" spans="2:3">
      <c r="B365" s="181" t="s">
        <v>1041</v>
      </c>
      <c r="C365" s="542">
        <v>119</v>
      </c>
    </row>
    <row r="366" spans="2:3">
      <c r="B366" s="148" t="s">
        <v>5741</v>
      </c>
      <c r="C366" s="530">
        <v>114</v>
      </c>
    </row>
    <row r="367" spans="2:3">
      <c r="B367" s="181" t="s">
        <v>378</v>
      </c>
      <c r="C367" s="542">
        <v>111</v>
      </c>
    </row>
    <row r="368" spans="2:3">
      <c r="B368" s="148" t="s">
        <v>5702</v>
      </c>
      <c r="C368" s="530">
        <v>108</v>
      </c>
    </row>
    <row r="369" spans="2:3">
      <c r="B369" s="181" t="s">
        <v>345</v>
      </c>
      <c r="C369" s="542">
        <v>108</v>
      </c>
    </row>
    <row r="370" spans="2:3">
      <c r="B370" s="148" t="s">
        <v>337</v>
      </c>
      <c r="C370" s="530">
        <v>106</v>
      </c>
    </row>
    <row r="371" spans="2:3">
      <c r="B371" s="181" t="s">
        <v>5710</v>
      </c>
      <c r="C371" s="542">
        <v>104</v>
      </c>
    </row>
    <row r="372" spans="2:3">
      <c r="B372" s="148" t="s">
        <v>8023</v>
      </c>
      <c r="C372" s="530">
        <v>98</v>
      </c>
    </row>
    <row r="373" spans="2:3">
      <c r="B373" s="181" t="s">
        <v>1058</v>
      </c>
      <c r="C373" s="542">
        <v>96</v>
      </c>
    </row>
    <row r="374" spans="2:3">
      <c r="B374" s="148" t="s">
        <v>8020</v>
      </c>
      <c r="C374" s="530">
        <v>95</v>
      </c>
    </row>
    <row r="375" spans="2:3">
      <c r="B375" s="181" t="s">
        <v>7173</v>
      </c>
      <c r="C375" s="542">
        <v>95</v>
      </c>
    </row>
    <row r="376" spans="2:3">
      <c r="B376" s="148" t="s">
        <v>7150</v>
      </c>
      <c r="C376" s="530">
        <v>93</v>
      </c>
    </row>
    <row r="377" spans="2:3">
      <c r="B377" s="181" t="s">
        <v>7952</v>
      </c>
      <c r="C377" s="542">
        <v>93</v>
      </c>
    </row>
    <row r="378" spans="2:3">
      <c r="B378" s="148" t="s">
        <v>7152</v>
      </c>
      <c r="C378" s="530">
        <v>89</v>
      </c>
    </row>
    <row r="379" spans="2:3">
      <c r="B379" s="181" t="s">
        <v>5731</v>
      </c>
      <c r="C379" s="542">
        <v>88</v>
      </c>
    </row>
    <row r="380" spans="2:3">
      <c r="B380" s="148" t="s">
        <v>342</v>
      </c>
      <c r="C380" s="530">
        <v>86</v>
      </c>
    </row>
    <row r="381" spans="2:3">
      <c r="B381" s="181" t="s">
        <v>7956</v>
      </c>
      <c r="C381" s="542">
        <v>85</v>
      </c>
    </row>
    <row r="382" spans="2:3">
      <c r="B382" s="148" t="s">
        <v>8011</v>
      </c>
      <c r="C382" s="530">
        <v>83</v>
      </c>
    </row>
    <row r="383" spans="2:3">
      <c r="B383" s="181" t="s">
        <v>7154</v>
      </c>
      <c r="C383" s="542">
        <v>82</v>
      </c>
    </row>
    <row r="384" spans="2:3">
      <c r="B384" s="148" t="s">
        <v>375</v>
      </c>
      <c r="C384" s="530">
        <v>80</v>
      </c>
    </row>
    <row r="385" spans="2:3">
      <c r="B385" s="181" t="s">
        <v>5706</v>
      </c>
      <c r="C385" s="542">
        <v>79</v>
      </c>
    </row>
    <row r="386" spans="2:3">
      <c r="B386" s="148" t="s">
        <v>8022</v>
      </c>
      <c r="C386" s="530">
        <v>78</v>
      </c>
    </row>
    <row r="387" spans="2:3">
      <c r="B387" s="181" t="s">
        <v>7157</v>
      </c>
      <c r="C387" s="542">
        <v>76</v>
      </c>
    </row>
    <row r="388" spans="2:3">
      <c r="B388" s="148" t="s">
        <v>7987</v>
      </c>
      <c r="C388" s="530">
        <v>76</v>
      </c>
    </row>
    <row r="389" spans="2:3">
      <c r="B389" s="181" t="s">
        <v>8042</v>
      </c>
      <c r="C389" s="542">
        <v>76</v>
      </c>
    </row>
    <row r="390" spans="2:3">
      <c r="B390" s="148" t="s">
        <v>7176</v>
      </c>
      <c r="C390" s="530">
        <v>76</v>
      </c>
    </row>
    <row r="391" spans="2:3">
      <c r="B391" s="181" t="s">
        <v>7158</v>
      </c>
      <c r="C391" s="542">
        <v>74</v>
      </c>
    </row>
    <row r="392" spans="2:3">
      <c r="B392" s="148" t="s">
        <v>8089</v>
      </c>
      <c r="C392" s="530">
        <v>74</v>
      </c>
    </row>
    <row r="393" spans="2:3">
      <c r="B393" s="181" t="s">
        <v>7160</v>
      </c>
      <c r="C393" s="542">
        <v>73</v>
      </c>
    </row>
    <row r="394" spans="2:3">
      <c r="B394" s="148" t="s">
        <v>7961</v>
      </c>
      <c r="C394" s="530">
        <v>73</v>
      </c>
    </row>
    <row r="395" spans="2:3">
      <c r="B395" s="181" t="s">
        <v>5738</v>
      </c>
      <c r="C395" s="542">
        <v>72</v>
      </c>
    </row>
    <row r="396" spans="2:3">
      <c r="B396" s="148" t="s">
        <v>7161</v>
      </c>
      <c r="C396" s="530">
        <v>72</v>
      </c>
    </row>
    <row r="397" spans="2:3">
      <c r="B397" s="181" t="s">
        <v>8028</v>
      </c>
      <c r="C397" s="542">
        <v>69</v>
      </c>
    </row>
    <row r="398" spans="2:3">
      <c r="B398" s="148" t="s">
        <v>8025</v>
      </c>
      <c r="C398" s="530">
        <v>64</v>
      </c>
    </row>
    <row r="399" spans="2:3">
      <c r="B399" s="181" t="s">
        <v>336</v>
      </c>
      <c r="C399" s="542">
        <v>64</v>
      </c>
    </row>
    <row r="400" spans="2:3">
      <c r="B400" s="148" t="s">
        <v>7166</v>
      </c>
      <c r="C400" s="530">
        <v>64</v>
      </c>
    </row>
    <row r="401" spans="2:3">
      <c r="B401" s="181" t="s">
        <v>7168</v>
      </c>
      <c r="C401" s="542">
        <v>63</v>
      </c>
    </row>
    <row r="402" spans="2:3">
      <c r="B402" s="148" t="s">
        <v>7997</v>
      </c>
      <c r="C402" s="530">
        <v>62</v>
      </c>
    </row>
    <row r="403" spans="2:3">
      <c r="B403" s="181" t="s">
        <v>8033</v>
      </c>
      <c r="C403" s="542">
        <v>62</v>
      </c>
    </row>
    <row r="404" spans="2:3">
      <c r="B404" s="148" t="s">
        <v>7170</v>
      </c>
      <c r="C404" s="530">
        <v>61</v>
      </c>
    </row>
    <row r="405" spans="2:3">
      <c r="B405" s="181" t="s">
        <v>7179</v>
      </c>
      <c r="C405" s="542">
        <v>59</v>
      </c>
    </row>
    <row r="406" spans="2:3">
      <c r="B406" s="148" t="s">
        <v>380</v>
      </c>
      <c r="C406" s="530">
        <v>58</v>
      </c>
    </row>
    <row r="407" spans="2:3">
      <c r="B407" s="181" t="s">
        <v>8077</v>
      </c>
      <c r="C407" s="542">
        <v>56</v>
      </c>
    </row>
    <row r="408" spans="2:3">
      <c r="B408" s="148" t="s">
        <v>7108</v>
      </c>
      <c r="C408" s="530">
        <v>48</v>
      </c>
    </row>
    <row r="409" spans="2:3">
      <c r="B409" s="181" t="s">
        <v>8021</v>
      </c>
      <c r="C409" s="542">
        <v>48</v>
      </c>
    </row>
    <row r="410" spans="2:3">
      <c r="B410" s="148" t="s">
        <v>1715</v>
      </c>
      <c r="C410" s="530">
        <v>48</v>
      </c>
    </row>
    <row r="411" spans="2:3">
      <c r="B411" s="181" t="s">
        <v>5728</v>
      </c>
      <c r="C411" s="542">
        <v>44</v>
      </c>
    </row>
    <row r="412" spans="2:3">
      <c r="B412" s="148" t="s">
        <v>309</v>
      </c>
      <c r="C412" s="530">
        <v>44</v>
      </c>
    </row>
    <row r="413" spans="2:3">
      <c r="B413" s="181" t="s">
        <v>7049</v>
      </c>
      <c r="C413" s="542">
        <v>39</v>
      </c>
    </row>
    <row r="414" spans="2:3">
      <c r="B414" s="148" t="s">
        <v>5709</v>
      </c>
      <c r="C414" s="530">
        <v>39</v>
      </c>
    </row>
    <row r="415" spans="2:3">
      <c r="B415" s="181" t="s">
        <v>7991</v>
      </c>
      <c r="C415" s="542">
        <v>34</v>
      </c>
    </row>
    <row r="416" spans="2:3">
      <c r="B416" s="148" t="s">
        <v>317</v>
      </c>
      <c r="C416" s="530">
        <v>34</v>
      </c>
    </row>
    <row r="417" spans="2:3">
      <c r="B417" s="181" t="s">
        <v>8044</v>
      </c>
      <c r="C417" s="542">
        <v>33</v>
      </c>
    </row>
    <row r="418" spans="2:3">
      <c r="B418" s="148" t="s">
        <v>7085</v>
      </c>
      <c r="C418" s="530">
        <v>33</v>
      </c>
    </row>
    <row r="419" spans="2:3">
      <c r="B419" s="181" t="s">
        <v>7178</v>
      </c>
      <c r="C419" s="542">
        <v>31</v>
      </c>
    </row>
    <row r="420" spans="2:3">
      <c r="B420" s="148" t="s">
        <v>360</v>
      </c>
      <c r="C420" s="530">
        <v>29</v>
      </c>
    </row>
    <row r="421" spans="2:3">
      <c r="B421" s="181" t="s">
        <v>1891</v>
      </c>
      <c r="C421" s="542">
        <v>29</v>
      </c>
    </row>
    <row r="422" spans="2:3">
      <c r="B422" s="148" t="s">
        <v>7953</v>
      </c>
      <c r="C422" s="530">
        <v>29</v>
      </c>
    </row>
    <row r="423" spans="2:3">
      <c r="B423" s="181" t="s">
        <v>8015</v>
      </c>
      <c r="C423" s="542">
        <v>27</v>
      </c>
    </row>
    <row r="424" spans="2:3">
      <c r="B424" s="148" t="s">
        <v>8045</v>
      </c>
      <c r="C424" s="530">
        <v>26</v>
      </c>
    </row>
    <row r="425" spans="2:3">
      <c r="B425" s="181" t="s">
        <v>7094</v>
      </c>
      <c r="C425" s="542">
        <v>24</v>
      </c>
    </row>
    <row r="426" spans="2:3">
      <c r="B426" s="148" t="s">
        <v>8091</v>
      </c>
      <c r="C426" s="530">
        <v>22</v>
      </c>
    </row>
    <row r="427" spans="2:3">
      <c r="B427" s="181" t="s">
        <v>7959</v>
      </c>
      <c r="C427" s="542">
        <v>20</v>
      </c>
    </row>
    <row r="428" spans="2:3">
      <c r="B428" s="148" t="s">
        <v>217</v>
      </c>
      <c r="C428" s="530">
        <v>20</v>
      </c>
    </row>
    <row r="429" spans="2:3">
      <c r="B429" s="181" t="s">
        <v>7151</v>
      </c>
      <c r="C429" s="542">
        <v>19</v>
      </c>
    </row>
    <row r="430" spans="2:3">
      <c r="B430" s="148" t="s">
        <v>316</v>
      </c>
      <c r="C430" s="530">
        <v>19</v>
      </c>
    </row>
    <row r="431" spans="2:3">
      <c r="B431" s="181" t="s">
        <v>10195</v>
      </c>
      <c r="C431" s="542">
        <v>18</v>
      </c>
    </row>
    <row r="432" spans="2:3">
      <c r="B432" s="148" t="s">
        <v>8046</v>
      </c>
      <c r="C432" s="530">
        <v>18</v>
      </c>
    </row>
    <row r="433" spans="2:3">
      <c r="B433" s="181" t="s">
        <v>783</v>
      </c>
      <c r="C433" s="542">
        <v>18</v>
      </c>
    </row>
    <row r="434" spans="2:3">
      <c r="B434" s="148" t="s">
        <v>7985</v>
      </c>
      <c r="C434" s="530">
        <v>17</v>
      </c>
    </row>
    <row r="435" spans="2:3">
      <c r="B435" s="181" t="s">
        <v>7185</v>
      </c>
      <c r="C435" s="542">
        <v>16</v>
      </c>
    </row>
    <row r="436" spans="2:3">
      <c r="B436" s="148" t="s">
        <v>7188</v>
      </c>
      <c r="C436" s="530">
        <v>14</v>
      </c>
    </row>
    <row r="437" spans="2:3">
      <c r="B437" s="181" t="s">
        <v>7187</v>
      </c>
      <c r="C437" s="542">
        <v>13</v>
      </c>
    </row>
    <row r="438" spans="2:3">
      <c r="B438" s="148" t="s">
        <v>7186</v>
      </c>
      <c r="C438" s="530">
        <v>13</v>
      </c>
    </row>
    <row r="439" spans="2:3">
      <c r="B439" s="181" t="s">
        <v>5737</v>
      </c>
      <c r="C439" s="542">
        <v>9</v>
      </c>
    </row>
    <row r="440" spans="2:3">
      <c r="B440" s="148" t="s">
        <v>6888</v>
      </c>
      <c r="C440" s="530">
        <v>8</v>
      </c>
    </row>
    <row r="441" spans="2:3">
      <c r="B441" s="181" t="s">
        <v>7191</v>
      </c>
      <c r="C441" s="542">
        <v>7</v>
      </c>
    </row>
    <row r="442" spans="2:3">
      <c r="B442" s="148" t="s">
        <v>7990</v>
      </c>
      <c r="C442" s="530">
        <v>7</v>
      </c>
    </row>
    <row r="443" spans="2:3">
      <c r="B443" s="181" t="s">
        <v>1894</v>
      </c>
      <c r="C443" s="542">
        <v>7</v>
      </c>
    </row>
    <row r="444" spans="2:3">
      <c r="B444" s="148" t="s">
        <v>7951</v>
      </c>
      <c r="C444" s="530">
        <v>6</v>
      </c>
    </row>
    <row r="445" spans="2:3">
      <c r="B445" s="181" t="s">
        <v>7195</v>
      </c>
      <c r="C445" s="542">
        <v>6</v>
      </c>
    </row>
    <row r="446" spans="2:3">
      <c r="B446" s="148" t="s">
        <v>8092</v>
      </c>
      <c r="C446" s="530">
        <v>5</v>
      </c>
    </row>
    <row r="447" spans="2:3">
      <c r="B447" s="181" t="s">
        <v>8008</v>
      </c>
      <c r="C447" s="542">
        <v>5</v>
      </c>
    </row>
    <row r="448" spans="2:3">
      <c r="B448" s="148" t="s">
        <v>5732</v>
      </c>
      <c r="C448" s="530">
        <v>4</v>
      </c>
    </row>
    <row r="449" spans="2:3">
      <c r="B449" s="181" t="s">
        <v>8009</v>
      </c>
      <c r="C449" s="542">
        <v>4</v>
      </c>
    </row>
    <row r="450" spans="2:3">
      <c r="B450" s="148" t="s">
        <v>7993</v>
      </c>
      <c r="C450" s="530">
        <v>4</v>
      </c>
    </row>
    <row r="451" spans="2:3">
      <c r="B451" s="181" t="s">
        <v>8012</v>
      </c>
      <c r="C451" s="542">
        <v>4</v>
      </c>
    </row>
    <row r="452" spans="2:3">
      <c r="B452" s="148" t="s">
        <v>8000</v>
      </c>
      <c r="C452" s="530">
        <v>4</v>
      </c>
    </row>
    <row r="453" spans="2:3">
      <c r="B453" s="181" t="s">
        <v>5723</v>
      </c>
      <c r="C453" s="542">
        <v>4</v>
      </c>
    </row>
    <row r="454" spans="2:3">
      <c r="B454" s="148" t="s">
        <v>7091</v>
      </c>
      <c r="C454" s="530">
        <v>4</v>
      </c>
    </row>
    <row r="455" spans="2:3">
      <c r="B455" s="181" t="s">
        <v>7198</v>
      </c>
      <c r="C455" s="542">
        <v>3</v>
      </c>
    </row>
    <row r="456" spans="2:3">
      <c r="B456" s="148" t="s">
        <v>6878</v>
      </c>
      <c r="C456" s="530">
        <v>3</v>
      </c>
    </row>
    <row r="457" spans="2:3">
      <c r="B457" s="181" t="s">
        <v>7106</v>
      </c>
      <c r="C457" s="542">
        <v>3</v>
      </c>
    </row>
    <row r="458" spans="2:3">
      <c r="B458" s="148" t="s">
        <v>5704</v>
      </c>
      <c r="C458" s="530">
        <v>2</v>
      </c>
    </row>
    <row r="459" spans="2:3">
      <c r="B459" s="181" t="s">
        <v>7050</v>
      </c>
      <c r="C459" s="542">
        <v>2</v>
      </c>
    </row>
    <row r="460" spans="2:3">
      <c r="B460" s="148" t="s">
        <v>8029</v>
      </c>
      <c r="C460" s="530">
        <v>2</v>
      </c>
    </row>
    <row r="461" spans="2:3">
      <c r="B461" s="191" t="s">
        <v>8062</v>
      </c>
      <c r="C461" s="543">
        <f>SUM(C5:C460)</f>
        <v>3898789586</v>
      </c>
    </row>
    <row r="462" spans="2:3">
      <c r="B462" s="148"/>
      <c r="C462" s="530">
        <f>C461-'Annexe 33'!C468</f>
        <v>0</v>
      </c>
    </row>
  </sheetData>
  <autoFilter ref="B4:C461" xr:uid="{27C47CA6-9FF9-4F0C-BCB3-63C89ABE9B95}"/>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01FA3-1092-4A24-A31C-5920DA7CC40C}">
  <sheetPr>
    <tabColor rgb="FF92D050"/>
  </sheetPr>
  <dimension ref="A2:C27"/>
  <sheetViews>
    <sheetView topLeftCell="A12" zoomScale="80" zoomScaleNormal="80" workbookViewId="0">
      <selection activeCell="E1" sqref="E1"/>
    </sheetView>
  </sheetViews>
  <sheetFormatPr baseColWidth="10" defaultColWidth="11.5" defaultRowHeight="14"/>
  <cols>
    <col min="2" max="2" width="81.25" bestFit="1" customWidth="1"/>
    <col min="3" max="3" width="17.75" bestFit="1" customWidth="1"/>
  </cols>
  <sheetData>
    <row r="2" spans="1:3" ht="15.5">
      <c r="A2" s="7" t="s">
        <v>7914</v>
      </c>
    </row>
    <row r="4" spans="1:3">
      <c r="B4" s="200" t="s">
        <v>7927</v>
      </c>
      <c r="C4" s="200" t="s">
        <v>8125</v>
      </c>
    </row>
    <row r="5" spans="1:3">
      <c r="B5" s="181" t="s">
        <v>7944</v>
      </c>
      <c r="C5" s="542">
        <v>1096711743</v>
      </c>
    </row>
    <row r="6" spans="1:3">
      <c r="B6" s="148" t="s">
        <v>8061</v>
      </c>
      <c r="C6" s="530">
        <v>813975208</v>
      </c>
    </row>
    <row r="7" spans="1:3">
      <c r="B7" s="181" t="s">
        <v>8052</v>
      </c>
      <c r="C7" s="542">
        <v>512316454</v>
      </c>
    </row>
    <row r="8" spans="1:3">
      <c r="B8" s="148" t="s">
        <v>7935</v>
      </c>
      <c r="C8" s="530">
        <v>480163998</v>
      </c>
    </row>
    <row r="9" spans="1:3">
      <c r="B9" s="181" t="s">
        <v>8095</v>
      </c>
      <c r="C9" s="542">
        <v>342909324</v>
      </c>
    </row>
    <row r="10" spans="1:3">
      <c r="B10" s="148" t="s">
        <v>7948</v>
      </c>
      <c r="C10" s="530">
        <v>242660898</v>
      </c>
    </row>
    <row r="11" spans="1:3">
      <c r="B11" s="181" t="s">
        <v>7942</v>
      </c>
      <c r="C11" s="542">
        <v>113743366</v>
      </c>
    </row>
    <row r="12" spans="1:3">
      <c r="B12" s="148" t="s">
        <v>7943</v>
      </c>
      <c r="C12" s="530">
        <v>90643335</v>
      </c>
    </row>
    <row r="13" spans="1:3">
      <c r="B13" s="181" t="s">
        <v>8056</v>
      </c>
      <c r="C13" s="542">
        <v>40487902</v>
      </c>
    </row>
    <row r="14" spans="1:3">
      <c r="B14" s="148" t="s">
        <v>10196</v>
      </c>
      <c r="C14" s="530">
        <v>32900544</v>
      </c>
    </row>
    <row r="15" spans="1:3">
      <c r="B15" s="181" t="s">
        <v>8060</v>
      </c>
      <c r="C15" s="542">
        <v>32802733</v>
      </c>
    </row>
    <row r="16" spans="1:3">
      <c r="B16" s="148" t="s">
        <v>7940</v>
      </c>
      <c r="C16" s="530">
        <v>31745880</v>
      </c>
    </row>
    <row r="17" spans="2:3">
      <c r="B17" s="181" t="s">
        <v>1062</v>
      </c>
      <c r="C17" s="542">
        <v>24891382</v>
      </c>
    </row>
    <row r="18" spans="2:3">
      <c r="B18" s="148" t="s">
        <v>7950</v>
      </c>
      <c r="C18" s="530">
        <v>12643659</v>
      </c>
    </row>
    <row r="19" spans="2:3">
      <c r="B19" s="181" t="s">
        <v>10200</v>
      </c>
      <c r="C19" s="542">
        <v>12549946</v>
      </c>
    </row>
    <row r="20" spans="2:3">
      <c r="B20" s="148" t="s">
        <v>1065</v>
      </c>
      <c r="C20" s="530">
        <v>5200077</v>
      </c>
    </row>
    <row r="21" spans="2:3">
      <c r="B21" s="181" t="s">
        <v>1071</v>
      </c>
      <c r="C21" s="542">
        <v>4169951</v>
      </c>
    </row>
    <row r="22" spans="2:3">
      <c r="B22" s="148" t="s">
        <v>8048</v>
      </c>
      <c r="C22" s="530">
        <v>2867323</v>
      </c>
    </row>
    <row r="23" spans="2:3">
      <c r="B23" s="181" t="s">
        <v>7949</v>
      </c>
      <c r="C23" s="542">
        <v>2502976</v>
      </c>
    </row>
    <row r="24" spans="2:3">
      <c r="B24" s="148" t="s">
        <v>8051</v>
      </c>
      <c r="C24" s="530">
        <v>1657913</v>
      </c>
    </row>
    <row r="25" spans="2:3">
      <c r="B25" s="181" t="s">
        <v>8047</v>
      </c>
      <c r="C25" s="542">
        <v>1244974</v>
      </c>
    </row>
    <row r="26" spans="2:3">
      <c r="B26" s="191" t="s">
        <v>8062</v>
      </c>
      <c r="C26" s="543">
        <f>SUM(C5:C25)</f>
        <v>3898789586</v>
      </c>
    </row>
    <row r="27" spans="2:3">
      <c r="C27" s="529">
        <f>C26-'Annexe 34'!C461</f>
        <v>0</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6DF97-FFD8-4443-A7CD-9814A9E0E654}">
  <sheetPr>
    <tabColor rgb="FF92D050"/>
  </sheetPr>
  <dimension ref="A2:K439"/>
  <sheetViews>
    <sheetView topLeftCell="A39" zoomScale="60" zoomScaleNormal="60" workbookViewId="0">
      <selection activeCell="D1" sqref="D1"/>
    </sheetView>
  </sheetViews>
  <sheetFormatPr baseColWidth="10" defaultColWidth="11.5" defaultRowHeight="14"/>
  <cols>
    <col min="2" max="2" width="111.1640625" bestFit="1" customWidth="1"/>
    <col min="3" max="3" width="16.5" bestFit="1" customWidth="1"/>
    <col min="4" max="4" width="13.75" bestFit="1" customWidth="1"/>
    <col min="5" max="5" width="15.83203125" bestFit="1" customWidth="1"/>
    <col min="6" max="6" width="12.4140625" bestFit="1" customWidth="1"/>
    <col min="7" max="7" width="78.25" bestFit="1" customWidth="1"/>
    <col min="8" max="8" width="16.5" bestFit="1" customWidth="1"/>
    <col min="9" max="9" width="17.5" bestFit="1" customWidth="1"/>
    <col min="10" max="10" width="16" bestFit="1" customWidth="1"/>
  </cols>
  <sheetData>
    <row r="2" spans="1:11" ht="15.5">
      <c r="A2" s="7" t="s">
        <v>8129</v>
      </c>
    </row>
    <row r="3" spans="1:11" ht="15.5">
      <c r="A3" s="7"/>
    </row>
    <row r="4" spans="1:11">
      <c r="B4" s="178" t="s">
        <v>8132</v>
      </c>
      <c r="C4" s="178"/>
      <c r="D4" s="178"/>
      <c r="G4" s="178" t="s">
        <v>8133</v>
      </c>
      <c r="H4" s="178"/>
      <c r="I4" s="178"/>
    </row>
    <row r="5" spans="1:11">
      <c r="B5" s="137" t="s">
        <v>7927</v>
      </c>
      <c r="C5" s="137" t="s">
        <v>1135</v>
      </c>
      <c r="D5" s="137" t="s">
        <v>1136</v>
      </c>
      <c r="E5" s="137" t="s">
        <v>8130</v>
      </c>
      <c r="G5" s="137" t="s">
        <v>8131</v>
      </c>
      <c r="H5" s="137" t="s">
        <v>1135</v>
      </c>
      <c r="I5" s="137" t="s">
        <v>1136</v>
      </c>
      <c r="J5" s="137" t="s">
        <v>8130</v>
      </c>
    </row>
    <row r="6" spans="1:11">
      <c r="B6" s="537" t="s">
        <v>8061</v>
      </c>
      <c r="C6" s="728">
        <v>41608798</v>
      </c>
      <c r="D6" s="537"/>
      <c r="E6" s="538">
        <v>41608798</v>
      </c>
      <c r="G6" s="537" t="s">
        <v>967</v>
      </c>
      <c r="H6" s="728">
        <v>17081539</v>
      </c>
      <c r="I6" s="537"/>
      <c r="J6" s="538">
        <v>17081539</v>
      </c>
    </row>
    <row r="7" spans="1:11">
      <c r="B7" t="s">
        <v>8052</v>
      </c>
      <c r="C7" s="546">
        <v>30198338</v>
      </c>
      <c r="E7" s="529">
        <v>30198338</v>
      </c>
      <c r="G7" t="s">
        <v>8059</v>
      </c>
      <c r="H7" s="546">
        <v>15958398</v>
      </c>
      <c r="J7" s="529">
        <v>15958398</v>
      </c>
      <c r="K7" s="529"/>
    </row>
    <row r="8" spans="1:11">
      <c r="B8" s="537" t="s">
        <v>10197</v>
      </c>
      <c r="C8" s="728">
        <v>16676665</v>
      </c>
      <c r="D8" s="537"/>
      <c r="E8" s="538">
        <v>16676665</v>
      </c>
      <c r="G8" s="537" t="s">
        <v>6968</v>
      </c>
      <c r="H8" s="728">
        <v>15304686</v>
      </c>
      <c r="I8" s="537"/>
      <c r="J8" s="538">
        <v>15304686</v>
      </c>
    </row>
    <row r="9" spans="1:11">
      <c r="B9" t="s">
        <v>8095</v>
      </c>
      <c r="C9" s="546">
        <v>14920372</v>
      </c>
      <c r="E9" s="529">
        <v>14920372</v>
      </c>
      <c r="G9" t="s">
        <v>1251</v>
      </c>
      <c r="H9" s="546">
        <v>13754049</v>
      </c>
      <c r="J9" s="529">
        <v>13754049</v>
      </c>
    </row>
    <row r="10" spans="1:11">
      <c r="B10" s="537" t="s">
        <v>7948</v>
      </c>
      <c r="C10" s="728">
        <v>9829923</v>
      </c>
      <c r="D10" s="537"/>
      <c r="E10" s="538">
        <v>9829923</v>
      </c>
      <c r="G10" s="537" t="s">
        <v>6970</v>
      </c>
      <c r="H10" s="728">
        <v>13483454</v>
      </c>
      <c r="I10" s="537"/>
      <c r="J10" s="538">
        <v>13483454</v>
      </c>
    </row>
    <row r="11" spans="1:11">
      <c r="B11" t="s">
        <v>7944</v>
      </c>
      <c r="C11" s="546">
        <v>9520718</v>
      </c>
      <c r="E11" s="529">
        <v>9520718</v>
      </c>
      <c r="G11" t="s">
        <v>7209</v>
      </c>
      <c r="H11" s="546">
        <v>11243989</v>
      </c>
      <c r="J11" s="529">
        <v>11243989</v>
      </c>
    </row>
    <row r="12" spans="1:11">
      <c r="B12" s="537" t="s">
        <v>8096</v>
      </c>
      <c r="C12" s="728">
        <v>8191801</v>
      </c>
      <c r="D12" s="537"/>
      <c r="E12" s="538">
        <v>8191801</v>
      </c>
      <c r="G12" s="537" t="s">
        <v>6971</v>
      </c>
      <c r="H12" s="728">
        <v>9457912</v>
      </c>
      <c r="I12" s="537"/>
      <c r="J12" s="538">
        <v>9457912</v>
      </c>
    </row>
    <row r="13" spans="1:11">
      <c r="B13" t="s">
        <v>7935</v>
      </c>
      <c r="C13" s="546">
        <v>8159618</v>
      </c>
      <c r="E13" s="529">
        <v>8159618</v>
      </c>
      <c r="G13" t="s">
        <v>111</v>
      </c>
      <c r="H13" s="546">
        <v>8985407</v>
      </c>
      <c r="J13" s="529">
        <v>8985407</v>
      </c>
    </row>
    <row r="14" spans="1:11">
      <c r="B14" s="537" t="s">
        <v>8100</v>
      </c>
      <c r="C14" s="728">
        <v>7048561</v>
      </c>
      <c r="D14" s="537"/>
      <c r="E14" s="538">
        <v>7048561</v>
      </c>
      <c r="G14" s="537" t="s">
        <v>701</v>
      </c>
      <c r="H14" s="728">
        <v>8930750</v>
      </c>
      <c r="I14" s="537"/>
      <c r="J14" s="538">
        <v>8930750</v>
      </c>
    </row>
    <row r="15" spans="1:11">
      <c r="B15" t="s">
        <v>8101</v>
      </c>
      <c r="C15" s="546">
        <v>6913263</v>
      </c>
      <c r="E15" s="529">
        <v>6913263</v>
      </c>
      <c r="G15" t="s">
        <v>6973</v>
      </c>
      <c r="H15" s="546">
        <v>7864766</v>
      </c>
      <c r="J15" s="529">
        <v>7864766</v>
      </c>
    </row>
    <row r="16" spans="1:11">
      <c r="B16" s="537" t="s">
        <v>8099</v>
      </c>
      <c r="C16" s="728">
        <v>6667303</v>
      </c>
      <c r="D16" s="537"/>
      <c r="E16" s="538">
        <v>6667303</v>
      </c>
      <c r="G16" s="537" t="s">
        <v>6974</v>
      </c>
      <c r="H16" s="728">
        <v>7490852</v>
      </c>
      <c r="I16" s="537"/>
      <c r="J16" s="538">
        <v>7490852</v>
      </c>
    </row>
    <row r="17" spans="2:10">
      <c r="B17" t="s">
        <v>8109</v>
      </c>
      <c r="C17" s="546">
        <v>6527595</v>
      </c>
      <c r="E17" s="529">
        <v>6527595</v>
      </c>
      <c r="G17" t="s">
        <v>6972</v>
      </c>
      <c r="H17" s="546">
        <v>6889143</v>
      </c>
      <c r="J17" s="529">
        <v>6889143</v>
      </c>
    </row>
    <row r="18" spans="2:10">
      <c r="B18" s="537" t="s">
        <v>7950</v>
      </c>
      <c r="C18" s="728">
        <v>6389842</v>
      </c>
      <c r="D18" s="537"/>
      <c r="E18" s="538">
        <v>6389842</v>
      </c>
      <c r="G18" s="537" t="s">
        <v>978</v>
      </c>
      <c r="H18" s="728">
        <v>5955071</v>
      </c>
      <c r="I18" s="537"/>
      <c r="J18" s="538">
        <v>5955071</v>
      </c>
    </row>
    <row r="19" spans="2:10">
      <c r="B19" t="s">
        <v>7933</v>
      </c>
      <c r="D19" s="546">
        <v>5859109</v>
      </c>
      <c r="E19" s="529">
        <v>5859109</v>
      </c>
      <c r="G19" t="s">
        <v>7932</v>
      </c>
      <c r="I19" s="546">
        <v>5859109</v>
      </c>
      <c r="J19" s="529">
        <v>5859109</v>
      </c>
    </row>
    <row r="20" spans="2:10">
      <c r="B20" s="537" t="s">
        <v>7938</v>
      </c>
      <c r="C20" s="728">
        <v>4457914</v>
      </c>
      <c r="D20" s="537"/>
      <c r="E20" s="538">
        <v>4457914</v>
      </c>
      <c r="G20" s="537" t="s">
        <v>6975</v>
      </c>
      <c r="H20" s="728">
        <v>4568926</v>
      </c>
      <c r="I20" s="537"/>
      <c r="J20" s="538">
        <v>4568926</v>
      </c>
    </row>
    <row r="21" spans="2:10">
      <c r="B21" t="s">
        <v>7940</v>
      </c>
      <c r="C21" s="546">
        <v>4219544</v>
      </c>
      <c r="E21" s="529">
        <v>4219544</v>
      </c>
      <c r="G21" t="s">
        <v>75</v>
      </c>
      <c r="H21" s="546">
        <v>4506201</v>
      </c>
      <c r="J21" s="529">
        <v>4506201</v>
      </c>
    </row>
    <row r="22" spans="2:10">
      <c r="B22" s="537" t="s">
        <v>8114</v>
      </c>
      <c r="C22" s="728">
        <v>3474735</v>
      </c>
      <c r="D22" s="537"/>
      <c r="E22" s="538">
        <v>3474735</v>
      </c>
      <c r="G22" s="537" t="s">
        <v>138</v>
      </c>
      <c r="H22" s="728">
        <v>4342134</v>
      </c>
      <c r="I22" s="537"/>
      <c r="J22" s="538">
        <v>4342134</v>
      </c>
    </row>
    <row r="23" spans="2:10">
      <c r="B23" t="s">
        <v>8102</v>
      </c>
      <c r="C23" s="546">
        <v>2524022</v>
      </c>
      <c r="E23" s="529">
        <v>2524022</v>
      </c>
      <c r="G23" t="s">
        <v>5729</v>
      </c>
      <c r="H23" s="546">
        <v>3616713</v>
      </c>
      <c r="J23" s="529">
        <v>3616713</v>
      </c>
    </row>
    <row r="24" spans="2:10">
      <c r="B24" s="537" t="s">
        <v>8103</v>
      </c>
      <c r="C24" s="728">
        <v>2083437</v>
      </c>
      <c r="D24" s="537"/>
      <c r="E24" s="538">
        <v>2083437</v>
      </c>
      <c r="G24" s="537" t="s">
        <v>990</v>
      </c>
      <c r="H24" s="728">
        <v>3275397</v>
      </c>
      <c r="I24" s="537"/>
      <c r="J24" s="538">
        <v>3275397</v>
      </c>
    </row>
    <row r="25" spans="2:10">
      <c r="B25" t="s">
        <v>10198</v>
      </c>
      <c r="C25" s="546">
        <v>1977003</v>
      </c>
      <c r="E25" s="529">
        <v>1977003</v>
      </c>
      <c r="G25" t="s">
        <v>985</v>
      </c>
      <c r="H25" s="546">
        <v>3179721</v>
      </c>
      <c r="J25" s="529">
        <v>3179721</v>
      </c>
    </row>
    <row r="26" spans="2:10">
      <c r="B26" s="537" t="s">
        <v>1061</v>
      </c>
      <c r="C26" s="728">
        <v>1969410</v>
      </c>
      <c r="D26" s="537"/>
      <c r="E26" s="538">
        <v>1969410</v>
      </c>
      <c r="G26" s="537" t="s">
        <v>6980</v>
      </c>
      <c r="H26" s="728">
        <v>2563974</v>
      </c>
      <c r="I26" s="537"/>
      <c r="J26" s="538">
        <v>2563974</v>
      </c>
    </row>
    <row r="27" spans="2:10">
      <c r="B27" t="s">
        <v>8115</v>
      </c>
      <c r="C27" s="546">
        <v>1616522</v>
      </c>
      <c r="E27" s="529">
        <v>1616522</v>
      </c>
      <c r="G27" t="s">
        <v>6979</v>
      </c>
      <c r="H27" s="546">
        <v>2343895</v>
      </c>
      <c r="J27" s="529">
        <v>2343895</v>
      </c>
    </row>
    <row r="28" spans="2:10">
      <c r="B28" s="537" t="s">
        <v>7942</v>
      </c>
      <c r="C28" s="728">
        <v>1581028</v>
      </c>
      <c r="D28" s="537"/>
      <c r="E28" s="538">
        <v>1581028</v>
      </c>
      <c r="G28" s="537" t="s">
        <v>6984</v>
      </c>
      <c r="H28" s="728">
        <v>2067625</v>
      </c>
      <c r="I28" s="537"/>
      <c r="J28" s="538">
        <v>2067625</v>
      </c>
    </row>
    <row r="29" spans="2:10">
      <c r="B29" t="s">
        <v>8105</v>
      </c>
      <c r="C29" s="546">
        <v>1467613</v>
      </c>
      <c r="E29" s="529">
        <v>1467613</v>
      </c>
      <c r="G29" t="s">
        <v>5707</v>
      </c>
      <c r="H29" s="546">
        <v>1939342</v>
      </c>
      <c r="J29" s="529">
        <v>1939342</v>
      </c>
    </row>
    <row r="30" spans="2:10">
      <c r="B30" s="537" t="s">
        <v>10199</v>
      </c>
      <c r="C30" s="728">
        <v>911975</v>
      </c>
      <c r="D30" s="537"/>
      <c r="E30" s="538">
        <v>911975</v>
      </c>
      <c r="G30" s="537" t="s">
        <v>6981</v>
      </c>
      <c r="H30" s="728">
        <v>1879927</v>
      </c>
      <c r="I30" s="537"/>
      <c r="J30" s="538">
        <v>1879927</v>
      </c>
    </row>
    <row r="31" spans="2:10">
      <c r="B31" t="s">
        <v>8108</v>
      </c>
      <c r="C31" s="546">
        <v>908765</v>
      </c>
      <c r="E31" s="529">
        <v>908765</v>
      </c>
      <c r="G31" t="s">
        <v>6988</v>
      </c>
      <c r="H31" s="546">
        <v>1387414</v>
      </c>
      <c r="J31" s="529">
        <v>1387414</v>
      </c>
    </row>
    <row r="32" spans="2:10">
      <c r="B32" s="537" t="s">
        <v>8056</v>
      </c>
      <c r="C32" s="728">
        <v>850514</v>
      </c>
      <c r="D32" s="537"/>
      <c r="E32" s="538">
        <v>850514</v>
      </c>
      <c r="G32" s="537" t="s">
        <v>6985</v>
      </c>
      <c r="H32" s="728">
        <v>1330014</v>
      </c>
      <c r="I32" s="537"/>
      <c r="J32" s="538">
        <v>1330014</v>
      </c>
    </row>
    <row r="33" spans="2:10">
      <c r="B33" t="s">
        <v>1066</v>
      </c>
      <c r="C33" s="546">
        <v>849282</v>
      </c>
      <c r="E33" s="529">
        <v>849282</v>
      </c>
      <c r="G33" t="s">
        <v>7945</v>
      </c>
      <c r="H33" s="546">
        <v>1216416</v>
      </c>
      <c r="J33" s="529">
        <v>1216416</v>
      </c>
    </row>
    <row r="34" spans="2:10">
      <c r="B34" s="537" t="s">
        <v>8051</v>
      </c>
      <c r="C34" s="728">
        <v>685564</v>
      </c>
      <c r="D34" s="537"/>
      <c r="E34" s="538">
        <v>685564</v>
      </c>
      <c r="G34" s="537" t="s">
        <v>8063</v>
      </c>
      <c r="H34" s="728">
        <v>1166752</v>
      </c>
      <c r="I34" s="537"/>
      <c r="J34" s="538">
        <v>1166752</v>
      </c>
    </row>
    <row r="35" spans="2:10">
      <c r="B35" t="s">
        <v>10200</v>
      </c>
      <c r="C35" s="546">
        <v>666505</v>
      </c>
      <c r="E35" s="529">
        <v>666505</v>
      </c>
      <c r="G35" t="s">
        <v>6987</v>
      </c>
      <c r="H35" s="546">
        <v>1109438</v>
      </c>
      <c r="J35" s="529">
        <v>1109438</v>
      </c>
    </row>
    <row r="36" spans="2:10">
      <c r="B36" s="537" t="s">
        <v>8113</v>
      </c>
      <c r="C36" s="728">
        <v>560777</v>
      </c>
      <c r="D36" s="537"/>
      <c r="E36" s="538">
        <v>560777</v>
      </c>
      <c r="G36" s="537" t="s">
        <v>8054</v>
      </c>
      <c r="H36" s="728">
        <v>1061133</v>
      </c>
      <c r="I36" s="537"/>
      <c r="J36" s="538">
        <v>1061133</v>
      </c>
    </row>
    <row r="37" spans="2:10">
      <c r="B37" t="s">
        <v>8104</v>
      </c>
      <c r="C37" s="546">
        <v>540441</v>
      </c>
      <c r="E37" s="529">
        <v>540441</v>
      </c>
      <c r="G37" t="s">
        <v>6991</v>
      </c>
      <c r="H37" s="546">
        <v>909913</v>
      </c>
      <c r="J37" s="529">
        <v>909913</v>
      </c>
    </row>
    <row r="38" spans="2:10">
      <c r="B38" s="537" t="s">
        <v>8060</v>
      </c>
      <c r="C38" s="728">
        <v>517719</v>
      </c>
      <c r="D38" s="537"/>
      <c r="E38" s="538">
        <v>517719</v>
      </c>
      <c r="G38" s="537" t="s">
        <v>7970</v>
      </c>
      <c r="H38" s="728">
        <v>867442</v>
      </c>
      <c r="I38" s="537"/>
      <c r="J38" s="538">
        <v>867442</v>
      </c>
    </row>
    <row r="39" spans="2:10">
      <c r="B39" t="s">
        <v>8110</v>
      </c>
      <c r="C39" s="546">
        <v>500000</v>
      </c>
      <c r="E39" s="529">
        <v>500000</v>
      </c>
      <c r="G39" t="s">
        <v>5745</v>
      </c>
      <c r="H39" s="546">
        <v>800000</v>
      </c>
      <c r="J39" s="529">
        <v>800000</v>
      </c>
    </row>
    <row r="40" spans="2:10">
      <c r="B40" s="537" t="s">
        <v>1062</v>
      </c>
      <c r="C40" s="728">
        <v>471106</v>
      </c>
      <c r="D40" s="537"/>
      <c r="E40" s="538">
        <v>471106</v>
      </c>
      <c r="G40" s="537" t="s">
        <v>8041</v>
      </c>
      <c r="H40" s="728">
        <v>720944</v>
      </c>
      <c r="I40" s="537"/>
      <c r="J40" s="538">
        <v>720944</v>
      </c>
    </row>
    <row r="41" spans="2:10">
      <c r="B41" t="s">
        <v>8048</v>
      </c>
      <c r="C41" s="546">
        <v>432853</v>
      </c>
      <c r="E41" s="529">
        <v>432853</v>
      </c>
      <c r="G41" t="s">
        <v>453</v>
      </c>
      <c r="H41" s="546">
        <v>622343</v>
      </c>
      <c r="J41" s="529">
        <v>622343</v>
      </c>
    </row>
    <row r="42" spans="2:10">
      <c r="B42" s="537" t="s">
        <v>8117</v>
      </c>
      <c r="C42" s="728">
        <v>425000</v>
      </c>
      <c r="D42" s="537"/>
      <c r="E42" s="538">
        <v>425000</v>
      </c>
      <c r="G42" s="537" t="s">
        <v>25</v>
      </c>
      <c r="H42" s="728">
        <v>599859</v>
      </c>
      <c r="I42" s="537"/>
      <c r="J42" s="538">
        <v>599859</v>
      </c>
    </row>
    <row r="43" spans="2:10">
      <c r="B43" t="s">
        <v>8111</v>
      </c>
      <c r="C43" s="546">
        <v>402996</v>
      </c>
      <c r="E43" s="529">
        <v>402996</v>
      </c>
      <c r="G43" t="s">
        <v>8067</v>
      </c>
      <c r="H43" s="546">
        <v>595908</v>
      </c>
      <c r="J43" s="529">
        <v>595908</v>
      </c>
    </row>
    <row r="44" spans="2:10">
      <c r="B44" s="537" t="s">
        <v>8118</v>
      </c>
      <c r="C44" s="728">
        <v>300000</v>
      </c>
      <c r="D44" s="537"/>
      <c r="E44" s="538">
        <v>300000</v>
      </c>
      <c r="G44" s="537" t="s">
        <v>62</v>
      </c>
      <c r="H44" s="728">
        <v>579762</v>
      </c>
      <c r="I44" s="537"/>
      <c r="J44" s="538">
        <v>579762</v>
      </c>
    </row>
    <row r="45" spans="2:10">
      <c r="B45" t="s">
        <v>1065</v>
      </c>
      <c r="C45" s="546">
        <v>249359</v>
      </c>
      <c r="E45" s="529">
        <v>249359</v>
      </c>
      <c r="G45" t="s">
        <v>55</v>
      </c>
      <c r="H45" s="546">
        <v>568914</v>
      </c>
      <c r="J45" s="529">
        <v>568914</v>
      </c>
    </row>
    <row r="46" spans="2:10">
      <c r="B46" s="537" t="s">
        <v>8098</v>
      </c>
      <c r="C46" s="728">
        <v>140502</v>
      </c>
      <c r="D46" s="537"/>
      <c r="E46" s="538">
        <v>140502</v>
      </c>
      <c r="G46" s="537" t="s">
        <v>8055</v>
      </c>
      <c r="H46" s="728">
        <v>532560</v>
      </c>
      <c r="I46" s="537"/>
      <c r="J46" s="538">
        <v>532560</v>
      </c>
    </row>
    <row r="47" spans="2:10">
      <c r="B47" t="s">
        <v>7949</v>
      </c>
      <c r="C47" s="546">
        <v>126018</v>
      </c>
      <c r="E47" s="529">
        <v>126018</v>
      </c>
      <c r="G47" t="s">
        <v>161</v>
      </c>
      <c r="H47" s="546">
        <v>505896</v>
      </c>
      <c r="J47" s="529">
        <v>505896</v>
      </c>
    </row>
    <row r="48" spans="2:10">
      <c r="B48" s="537" t="s">
        <v>1067</v>
      </c>
      <c r="C48" s="728">
        <v>114333</v>
      </c>
      <c r="D48" s="537"/>
      <c r="E48" s="538">
        <v>114333</v>
      </c>
      <c r="G48" s="537" t="s">
        <v>6998</v>
      </c>
      <c r="H48" s="728">
        <v>464515</v>
      </c>
      <c r="I48" s="537"/>
      <c r="J48" s="538">
        <v>464515</v>
      </c>
    </row>
    <row r="49" spans="2:10">
      <c r="B49" t="s">
        <v>1071</v>
      </c>
      <c r="C49" s="546">
        <v>99815</v>
      </c>
      <c r="E49" s="529">
        <v>99815</v>
      </c>
      <c r="G49" t="s">
        <v>50</v>
      </c>
      <c r="H49" s="546">
        <v>446034</v>
      </c>
      <c r="J49" s="529">
        <v>446034</v>
      </c>
    </row>
    <row r="50" spans="2:10">
      <c r="B50" s="537" t="s">
        <v>8120</v>
      </c>
      <c r="C50" s="728">
        <v>50000</v>
      </c>
      <c r="D50" s="537"/>
      <c r="E50" s="538">
        <v>50000</v>
      </c>
      <c r="G50" s="537" t="s">
        <v>88</v>
      </c>
      <c r="H50" s="728">
        <v>421402</v>
      </c>
      <c r="I50" s="537"/>
      <c r="J50" s="538">
        <v>421402</v>
      </c>
    </row>
    <row r="51" spans="2:10">
      <c r="B51" t="s">
        <v>8122</v>
      </c>
      <c r="C51" s="546">
        <v>41000</v>
      </c>
      <c r="E51" s="529">
        <v>41000</v>
      </c>
      <c r="G51" t="s">
        <v>8007</v>
      </c>
      <c r="H51" s="546">
        <v>415974</v>
      </c>
      <c r="J51" s="529">
        <v>415974</v>
      </c>
    </row>
    <row r="52" spans="2:10">
      <c r="B52" s="537" t="s">
        <v>1069</v>
      </c>
      <c r="C52" s="728">
        <v>32531</v>
      </c>
      <c r="D52" s="537"/>
      <c r="E52" s="538">
        <v>32531</v>
      </c>
      <c r="G52" s="537" t="s">
        <v>149</v>
      </c>
      <c r="H52" s="728">
        <v>401000</v>
      </c>
      <c r="I52" s="537"/>
      <c r="J52" s="538">
        <v>401000</v>
      </c>
    </row>
    <row r="53" spans="2:10">
      <c r="B53" t="s">
        <v>8124</v>
      </c>
      <c r="C53" s="546">
        <v>14683</v>
      </c>
      <c r="E53" s="529">
        <v>14683</v>
      </c>
      <c r="G53" t="s">
        <v>269</v>
      </c>
      <c r="H53" s="546">
        <v>399647</v>
      </c>
      <c r="J53" s="529">
        <v>399647</v>
      </c>
    </row>
    <row r="54" spans="2:10">
      <c r="B54" s="537" t="s">
        <v>8121</v>
      </c>
      <c r="C54" s="728">
        <v>11148</v>
      </c>
      <c r="D54" s="537"/>
      <c r="E54" s="538">
        <v>11148</v>
      </c>
      <c r="G54" s="537" t="s">
        <v>988</v>
      </c>
      <c r="H54" s="728">
        <v>394391</v>
      </c>
      <c r="I54" s="537"/>
      <c r="J54" s="538">
        <v>394391</v>
      </c>
    </row>
    <row r="55" spans="2:10">
      <c r="B55" t="s">
        <v>8119</v>
      </c>
      <c r="C55" s="546">
        <v>10606</v>
      </c>
      <c r="E55" s="529">
        <v>10606</v>
      </c>
      <c r="G55" t="s">
        <v>79</v>
      </c>
      <c r="H55" s="546">
        <v>383670</v>
      </c>
      <c r="J55" s="529">
        <v>383670</v>
      </c>
    </row>
    <row r="56" spans="2:10">
      <c r="B56" s="537" t="s">
        <v>8123</v>
      </c>
      <c r="C56" s="728">
        <v>6100</v>
      </c>
      <c r="D56" s="537"/>
      <c r="E56" s="538">
        <v>6100</v>
      </c>
      <c r="G56" s="537" t="s">
        <v>446</v>
      </c>
      <c r="H56" s="728">
        <v>372787</v>
      </c>
      <c r="I56" s="537"/>
      <c r="J56" s="538">
        <v>372787</v>
      </c>
    </row>
    <row r="57" spans="2:10">
      <c r="B57" s="178" t="s">
        <v>8062</v>
      </c>
      <c r="C57" s="539">
        <f>SUM(C6:C56)</f>
        <v>207943617</v>
      </c>
      <c r="D57" s="539">
        <f>SUM(D6:D56)</f>
        <v>5859109</v>
      </c>
      <c r="E57" s="539">
        <f>SUM(E6:E56)</f>
        <v>213802726</v>
      </c>
      <c r="G57" t="s">
        <v>7008</v>
      </c>
      <c r="H57" s="546">
        <v>369349</v>
      </c>
      <c r="J57" s="529">
        <v>369349</v>
      </c>
    </row>
    <row r="58" spans="2:10">
      <c r="C58" s="529">
        <f>C57-H439</f>
        <v>0</v>
      </c>
      <c r="D58" s="529">
        <f>D57-I439</f>
        <v>0</v>
      </c>
      <c r="E58" s="529">
        <f>E57-J439</f>
        <v>0</v>
      </c>
      <c r="G58" s="537" t="s">
        <v>1898</v>
      </c>
      <c r="H58" s="728">
        <v>354832</v>
      </c>
      <c r="I58" s="537"/>
      <c r="J58" s="538">
        <v>354832</v>
      </c>
    </row>
    <row r="59" spans="2:10">
      <c r="G59" t="s">
        <v>7941</v>
      </c>
      <c r="H59" s="546">
        <v>350631</v>
      </c>
      <c r="J59" s="529">
        <v>350631</v>
      </c>
    </row>
    <row r="60" spans="2:10">
      <c r="G60" s="537" t="s">
        <v>404</v>
      </c>
      <c r="H60" s="728">
        <v>344020</v>
      </c>
      <c r="I60" s="537"/>
      <c r="J60" s="538">
        <v>344020</v>
      </c>
    </row>
    <row r="61" spans="2:10">
      <c r="G61" t="s">
        <v>7002</v>
      </c>
      <c r="H61" s="546">
        <v>341938</v>
      </c>
      <c r="J61" s="529">
        <v>341938</v>
      </c>
    </row>
    <row r="62" spans="2:10">
      <c r="G62" s="537" t="s">
        <v>7006</v>
      </c>
      <c r="H62" s="728">
        <v>330519</v>
      </c>
      <c r="I62" s="537"/>
      <c r="J62" s="538">
        <v>330519</v>
      </c>
    </row>
    <row r="63" spans="2:10">
      <c r="G63" t="s">
        <v>7004</v>
      </c>
      <c r="H63" s="546">
        <v>312354</v>
      </c>
      <c r="J63" s="529">
        <v>312354</v>
      </c>
    </row>
    <row r="64" spans="2:10">
      <c r="G64" s="537" t="s">
        <v>7965</v>
      </c>
      <c r="H64" s="728">
        <v>311274</v>
      </c>
      <c r="I64" s="537"/>
      <c r="J64" s="538">
        <v>311274</v>
      </c>
    </row>
    <row r="65" spans="7:10">
      <c r="G65" t="s">
        <v>8036</v>
      </c>
      <c r="H65" s="546">
        <v>283198</v>
      </c>
      <c r="J65" s="529">
        <v>283198</v>
      </c>
    </row>
    <row r="66" spans="7:10">
      <c r="G66" s="537" t="s">
        <v>5706</v>
      </c>
      <c r="H66" s="728">
        <v>272159</v>
      </c>
      <c r="I66" s="537"/>
      <c r="J66" s="538">
        <v>272159</v>
      </c>
    </row>
    <row r="67" spans="7:10">
      <c r="G67" t="s">
        <v>8038</v>
      </c>
      <c r="H67" s="546">
        <v>270922</v>
      </c>
      <c r="J67" s="529">
        <v>270922</v>
      </c>
    </row>
    <row r="68" spans="7:10">
      <c r="G68" s="537" t="s">
        <v>7010</v>
      </c>
      <c r="H68" s="728">
        <v>255338</v>
      </c>
      <c r="I68" s="537"/>
      <c r="J68" s="538">
        <v>255338</v>
      </c>
    </row>
    <row r="69" spans="7:10">
      <c r="G69" t="s">
        <v>7013</v>
      </c>
      <c r="H69" s="546">
        <v>241203</v>
      </c>
      <c r="J69" s="529">
        <v>241203</v>
      </c>
    </row>
    <row r="70" spans="7:10">
      <c r="G70" s="537" t="s">
        <v>392</v>
      </c>
      <c r="H70" s="728">
        <v>240304</v>
      </c>
      <c r="I70" s="537"/>
      <c r="J70" s="538">
        <v>240304</v>
      </c>
    </row>
    <row r="71" spans="7:10">
      <c r="G71" t="s">
        <v>1279</v>
      </c>
      <c r="H71" s="546">
        <v>236978</v>
      </c>
      <c r="J71" s="529">
        <v>236978</v>
      </c>
    </row>
    <row r="72" spans="7:10">
      <c r="G72" s="537" t="s">
        <v>8044</v>
      </c>
      <c r="H72" s="728">
        <v>225066</v>
      </c>
      <c r="I72" s="537"/>
      <c r="J72" s="538">
        <v>225066</v>
      </c>
    </row>
    <row r="73" spans="7:10">
      <c r="G73" t="s">
        <v>449</v>
      </c>
      <c r="H73" s="546">
        <v>202426</v>
      </c>
      <c r="J73" s="529">
        <v>202426</v>
      </c>
    </row>
    <row r="74" spans="7:10">
      <c r="G74" s="537" t="s">
        <v>5741</v>
      </c>
      <c r="H74" s="728">
        <v>193278</v>
      </c>
      <c r="I74" s="537"/>
      <c r="J74" s="538">
        <v>193278</v>
      </c>
    </row>
    <row r="75" spans="7:10">
      <c r="G75" t="s">
        <v>7978</v>
      </c>
      <c r="H75" s="546">
        <v>192048</v>
      </c>
      <c r="J75" s="529">
        <v>192048</v>
      </c>
    </row>
    <row r="76" spans="7:10">
      <c r="G76" s="537" t="s">
        <v>8035</v>
      </c>
      <c r="H76" s="728">
        <v>182245</v>
      </c>
      <c r="I76" s="537"/>
      <c r="J76" s="538">
        <v>182245</v>
      </c>
    </row>
    <row r="77" spans="7:10">
      <c r="G77" t="s">
        <v>1004</v>
      </c>
      <c r="H77" s="546">
        <v>175748</v>
      </c>
      <c r="J77" s="529">
        <v>175748</v>
      </c>
    </row>
    <row r="78" spans="7:10">
      <c r="G78" s="537" t="s">
        <v>1273</v>
      </c>
      <c r="H78" s="728">
        <v>175457</v>
      </c>
      <c r="I78" s="537"/>
      <c r="J78" s="538">
        <v>175457</v>
      </c>
    </row>
    <row r="79" spans="7:10">
      <c r="G79" t="s">
        <v>240</v>
      </c>
      <c r="H79" s="546">
        <v>172956</v>
      </c>
      <c r="J79" s="529">
        <v>172956</v>
      </c>
    </row>
    <row r="80" spans="7:10">
      <c r="G80" s="537" t="s">
        <v>7014</v>
      </c>
      <c r="H80" s="728">
        <v>167186</v>
      </c>
      <c r="I80" s="537"/>
      <c r="J80" s="538">
        <v>167186</v>
      </c>
    </row>
    <row r="81" spans="7:10">
      <c r="G81" t="s">
        <v>137</v>
      </c>
      <c r="H81" s="546">
        <v>167148</v>
      </c>
      <c r="J81" s="529">
        <v>167148</v>
      </c>
    </row>
    <row r="82" spans="7:10">
      <c r="G82" s="537" t="s">
        <v>7022</v>
      </c>
      <c r="H82" s="728">
        <v>165917</v>
      </c>
      <c r="I82" s="537"/>
      <c r="J82" s="538">
        <v>165917</v>
      </c>
    </row>
    <row r="83" spans="7:10">
      <c r="G83" t="s">
        <v>8065</v>
      </c>
      <c r="H83" s="546">
        <v>159323</v>
      </c>
      <c r="J83" s="529">
        <v>159323</v>
      </c>
    </row>
    <row r="84" spans="7:10">
      <c r="G84" s="537" t="s">
        <v>248</v>
      </c>
      <c r="H84" s="728">
        <v>150074</v>
      </c>
      <c r="I84" s="537"/>
      <c r="J84" s="538">
        <v>150074</v>
      </c>
    </row>
    <row r="85" spans="7:10">
      <c r="G85" t="s">
        <v>7969</v>
      </c>
      <c r="H85" s="546">
        <v>150061</v>
      </c>
      <c r="J85" s="529">
        <v>150061</v>
      </c>
    </row>
    <row r="86" spans="7:10">
      <c r="G86" s="537" t="s">
        <v>993</v>
      </c>
      <c r="H86" s="728">
        <v>149413</v>
      </c>
      <c r="I86" s="537"/>
      <c r="J86" s="538">
        <v>149413</v>
      </c>
    </row>
    <row r="87" spans="7:10">
      <c r="G87" t="s">
        <v>7017</v>
      </c>
      <c r="H87" s="546">
        <v>146339</v>
      </c>
      <c r="J87" s="529">
        <v>146339</v>
      </c>
    </row>
    <row r="88" spans="7:10">
      <c r="G88" s="537" t="s">
        <v>8053</v>
      </c>
      <c r="H88" s="728">
        <v>126817</v>
      </c>
      <c r="I88" s="537"/>
      <c r="J88" s="538">
        <v>126817</v>
      </c>
    </row>
    <row r="89" spans="7:10">
      <c r="G89" t="s">
        <v>1265</v>
      </c>
      <c r="H89" s="546">
        <v>126031</v>
      </c>
      <c r="J89" s="529">
        <v>126031</v>
      </c>
    </row>
    <row r="90" spans="7:10">
      <c r="G90" s="537" t="s">
        <v>6982</v>
      </c>
      <c r="H90" s="728">
        <v>125824</v>
      </c>
      <c r="I90" s="537"/>
      <c r="J90" s="538">
        <v>125824</v>
      </c>
    </row>
    <row r="91" spans="7:10">
      <c r="G91" t="s">
        <v>7974</v>
      </c>
      <c r="H91" s="546">
        <v>123864</v>
      </c>
      <c r="J91" s="529">
        <v>123864</v>
      </c>
    </row>
    <row r="92" spans="7:10">
      <c r="G92" s="537" t="s">
        <v>7963</v>
      </c>
      <c r="H92" s="728">
        <v>122226</v>
      </c>
      <c r="I92" s="537"/>
      <c r="J92" s="538">
        <v>122226</v>
      </c>
    </row>
    <row r="93" spans="7:10">
      <c r="G93" t="s">
        <v>8023</v>
      </c>
      <c r="H93" s="546">
        <v>121196</v>
      </c>
      <c r="J93" s="529">
        <v>121196</v>
      </c>
    </row>
    <row r="94" spans="7:10">
      <c r="G94" s="537" t="s">
        <v>7980</v>
      </c>
      <c r="H94" s="728">
        <v>120378</v>
      </c>
      <c r="I94" s="537"/>
      <c r="J94" s="538">
        <v>120378</v>
      </c>
    </row>
    <row r="95" spans="7:10">
      <c r="G95" t="s">
        <v>7962</v>
      </c>
      <c r="H95" s="546">
        <v>117567</v>
      </c>
      <c r="J95" s="529">
        <v>117567</v>
      </c>
    </row>
    <row r="96" spans="7:10">
      <c r="G96" s="537" t="s">
        <v>412</v>
      </c>
      <c r="H96" s="728">
        <v>113780</v>
      </c>
      <c r="I96" s="537"/>
      <c r="J96" s="538">
        <v>113780</v>
      </c>
    </row>
    <row r="97" spans="7:10">
      <c r="G97" t="s">
        <v>7972</v>
      </c>
      <c r="H97" s="546">
        <v>108968</v>
      </c>
      <c r="J97" s="529">
        <v>108968</v>
      </c>
    </row>
    <row r="98" spans="7:10">
      <c r="G98" s="537" t="s">
        <v>170</v>
      </c>
      <c r="H98" s="728">
        <v>107680</v>
      </c>
      <c r="I98" s="537"/>
      <c r="J98" s="538">
        <v>107680</v>
      </c>
    </row>
    <row r="99" spans="7:10">
      <c r="G99" t="s">
        <v>7026</v>
      </c>
      <c r="H99" s="546">
        <v>99994</v>
      </c>
      <c r="J99" s="529">
        <v>99994</v>
      </c>
    </row>
    <row r="100" spans="7:10">
      <c r="G100" s="537" t="s">
        <v>8031</v>
      </c>
      <c r="H100" s="728">
        <v>98908</v>
      </c>
      <c r="I100" s="537"/>
      <c r="J100" s="538">
        <v>98908</v>
      </c>
    </row>
    <row r="101" spans="7:10">
      <c r="G101" t="s">
        <v>327</v>
      </c>
      <c r="H101" s="546">
        <v>96550</v>
      </c>
      <c r="J101" s="529">
        <v>96550</v>
      </c>
    </row>
    <row r="102" spans="7:10">
      <c r="G102" s="537" t="s">
        <v>7996</v>
      </c>
      <c r="H102" s="728">
        <v>88940</v>
      </c>
      <c r="I102" s="537"/>
      <c r="J102" s="538">
        <v>88940</v>
      </c>
    </row>
    <row r="103" spans="7:10">
      <c r="G103" t="s">
        <v>6881</v>
      </c>
      <c r="H103" s="546">
        <v>85742</v>
      </c>
      <c r="J103" s="529">
        <v>85742</v>
      </c>
    </row>
    <row r="104" spans="7:10">
      <c r="G104" s="537" t="s">
        <v>84</v>
      </c>
      <c r="H104" s="728">
        <v>84573</v>
      </c>
      <c r="I104" s="537"/>
      <c r="J104" s="538">
        <v>84573</v>
      </c>
    </row>
    <row r="105" spans="7:10">
      <c r="G105" t="s">
        <v>8057</v>
      </c>
      <c r="H105" s="546">
        <v>82274</v>
      </c>
      <c r="J105" s="529">
        <v>82274</v>
      </c>
    </row>
    <row r="106" spans="7:10">
      <c r="G106" s="537" t="s">
        <v>7040</v>
      </c>
      <c r="H106" s="728">
        <v>80391</v>
      </c>
      <c r="I106" s="537"/>
      <c r="J106" s="538">
        <v>80391</v>
      </c>
    </row>
    <row r="107" spans="7:10">
      <c r="G107" t="s">
        <v>7031</v>
      </c>
      <c r="H107" s="546">
        <v>78954</v>
      </c>
      <c r="J107" s="529">
        <v>78954</v>
      </c>
    </row>
    <row r="108" spans="7:10">
      <c r="G108" s="537" t="s">
        <v>5702</v>
      </c>
      <c r="H108" s="728">
        <v>78316</v>
      </c>
      <c r="I108" s="537"/>
      <c r="J108" s="538">
        <v>78316</v>
      </c>
    </row>
    <row r="109" spans="7:10">
      <c r="G109" t="s">
        <v>1047</v>
      </c>
      <c r="H109" s="546">
        <v>77617</v>
      </c>
      <c r="J109" s="529">
        <v>77617</v>
      </c>
    </row>
    <row r="110" spans="7:10">
      <c r="G110" s="537" t="s">
        <v>7033</v>
      </c>
      <c r="H110" s="728">
        <v>77416</v>
      </c>
      <c r="I110" s="537"/>
      <c r="J110" s="538">
        <v>77416</v>
      </c>
    </row>
    <row r="111" spans="7:10">
      <c r="G111" t="s">
        <v>5731</v>
      </c>
      <c r="H111" s="546">
        <v>75425</v>
      </c>
      <c r="J111" s="529">
        <v>75425</v>
      </c>
    </row>
    <row r="112" spans="7:10">
      <c r="G112" s="537" t="s">
        <v>1033</v>
      </c>
      <c r="H112" s="728">
        <v>74387</v>
      </c>
      <c r="I112" s="537"/>
      <c r="J112" s="538">
        <v>74387</v>
      </c>
    </row>
    <row r="113" spans="7:10">
      <c r="G113" t="s">
        <v>1000</v>
      </c>
      <c r="H113" s="546">
        <v>74373</v>
      </c>
      <c r="J113" s="529">
        <v>74373</v>
      </c>
    </row>
    <row r="114" spans="7:10">
      <c r="G114" s="537" t="s">
        <v>7973</v>
      </c>
      <c r="H114" s="728">
        <v>70534</v>
      </c>
      <c r="I114" s="537"/>
      <c r="J114" s="538">
        <v>70534</v>
      </c>
    </row>
    <row r="115" spans="7:10">
      <c r="G115" t="s">
        <v>166</v>
      </c>
      <c r="H115" s="546">
        <v>66797</v>
      </c>
      <c r="J115" s="529">
        <v>66797</v>
      </c>
    </row>
    <row r="116" spans="7:10">
      <c r="G116" s="537" t="s">
        <v>7024</v>
      </c>
      <c r="H116" s="728">
        <v>66068</v>
      </c>
      <c r="I116" s="537"/>
      <c r="J116" s="538">
        <v>66068</v>
      </c>
    </row>
    <row r="117" spans="7:10">
      <c r="G117" t="s">
        <v>7090</v>
      </c>
      <c r="H117" s="546">
        <v>60313</v>
      </c>
      <c r="J117" s="529">
        <v>60313</v>
      </c>
    </row>
    <row r="118" spans="7:10">
      <c r="G118" s="537" t="s">
        <v>995</v>
      </c>
      <c r="H118" s="728">
        <v>59477</v>
      </c>
      <c r="I118" s="537"/>
      <c r="J118" s="538">
        <v>59477</v>
      </c>
    </row>
    <row r="119" spans="7:10">
      <c r="G119" t="s">
        <v>8027</v>
      </c>
      <c r="H119" s="546">
        <v>56579</v>
      </c>
      <c r="J119" s="529">
        <v>56579</v>
      </c>
    </row>
    <row r="120" spans="7:10">
      <c r="G120" s="537" t="s">
        <v>152</v>
      </c>
      <c r="H120" s="728">
        <v>55972</v>
      </c>
      <c r="I120" s="537"/>
      <c r="J120" s="538">
        <v>55972</v>
      </c>
    </row>
    <row r="121" spans="7:10">
      <c r="G121" t="s">
        <v>998</v>
      </c>
      <c r="H121" s="546">
        <v>55017</v>
      </c>
      <c r="J121" s="529">
        <v>55017</v>
      </c>
    </row>
    <row r="122" spans="7:10">
      <c r="G122" s="537" t="s">
        <v>7038</v>
      </c>
      <c r="H122" s="728">
        <v>53917</v>
      </c>
      <c r="I122" s="537"/>
      <c r="J122" s="538">
        <v>53917</v>
      </c>
    </row>
    <row r="123" spans="7:10">
      <c r="G123" t="s">
        <v>1028</v>
      </c>
      <c r="H123" s="546">
        <v>53336</v>
      </c>
      <c r="J123" s="529">
        <v>53336</v>
      </c>
    </row>
    <row r="124" spans="7:10">
      <c r="G124" s="537" t="s">
        <v>7041</v>
      </c>
      <c r="H124" s="728">
        <v>50050</v>
      </c>
      <c r="I124" s="537"/>
      <c r="J124" s="538">
        <v>50050</v>
      </c>
    </row>
    <row r="125" spans="7:10">
      <c r="G125" t="s">
        <v>7043</v>
      </c>
      <c r="H125" s="546">
        <v>50000</v>
      </c>
      <c r="J125" s="529">
        <v>50000</v>
      </c>
    </row>
    <row r="126" spans="7:10">
      <c r="G126" s="537" t="s">
        <v>7027</v>
      </c>
      <c r="H126" s="728">
        <v>50000</v>
      </c>
      <c r="I126" s="537"/>
      <c r="J126" s="538">
        <v>50000</v>
      </c>
    </row>
    <row r="127" spans="7:10">
      <c r="G127" t="s">
        <v>369</v>
      </c>
      <c r="H127" s="546">
        <v>44522</v>
      </c>
      <c r="J127" s="529">
        <v>44522</v>
      </c>
    </row>
    <row r="128" spans="7:10">
      <c r="G128" s="537" t="s">
        <v>1010</v>
      </c>
      <c r="H128" s="728">
        <v>43772</v>
      </c>
      <c r="I128" s="537"/>
      <c r="J128" s="538">
        <v>43772</v>
      </c>
    </row>
    <row r="129" spans="7:10">
      <c r="G129" t="s">
        <v>221</v>
      </c>
      <c r="H129" s="546">
        <v>43058</v>
      </c>
      <c r="J129" s="529">
        <v>43058</v>
      </c>
    </row>
    <row r="130" spans="7:10">
      <c r="G130" s="537" t="s">
        <v>104</v>
      </c>
      <c r="H130" s="728">
        <v>41141</v>
      </c>
      <c r="I130" s="537"/>
      <c r="J130" s="538">
        <v>41141</v>
      </c>
    </row>
    <row r="131" spans="7:10">
      <c r="G131" t="s">
        <v>7051</v>
      </c>
      <c r="H131" s="546">
        <v>40812</v>
      </c>
      <c r="J131" s="529">
        <v>40812</v>
      </c>
    </row>
    <row r="132" spans="7:10">
      <c r="G132" s="537" t="s">
        <v>7971</v>
      </c>
      <c r="H132" s="728">
        <v>40807</v>
      </c>
      <c r="I132" s="537"/>
      <c r="J132" s="538">
        <v>40807</v>
      </c>
    </row>
    <row r="133" spans="7:10">
      <c r="G133" t="s">
        <v>238</v>
      </c>
      <c r="H133" s="546">
        <v>40692</v>
      </c>
      <c r="J133" s="529">
        <v>40692</v>
      </c>
    </row>
    <row r="134" spans="7:10">
      <c r="G134" s="537" t="s">
        <v>7952</v>
      </c>
      <c r="H134" s="728">
        <v>38198</v>
      </c>
      <c r="I134" s="537"/>
      <c r="J134" s="538">
        <v>38198</v>
      </c>
    </row>
    <row r="135" spans="7:10">
      <c r="G135" t="s">
        <v>39</v>
      </c>
      <c r="H135" s="546">
        <v>37475</v>
      </c>
      <c r="J135" s="529">
        <v>37475</v>
      </c>
    </row>
    <row r="136" spans="7:10">
      <c r="G136" s="537" t="s">
        <v>8066</v>
      </c>
      <c r="H136" s="728">
        <v>37048</v>
      </c>
      <c r="I136" s="537"/>
      <c r="J136" s="538">
        <v>37048</v>
      </c>
    </row>
    <row r="137" spans="7:10">
      <c r="G137" t="s">
        <v>7032</v>
      </c>
      <c r="H137" s="546">
        <v>37031</v>
      </c>
      <c r="J137" s="529">
        <v>37031</v>
      </c>
    </row>
    <row r="138" spans="7:10">
      <c r="G138" s="537" t="s">
        <v>7947</v>
      </c>
      <c r="H138" s="728">
        <v>36916</v>
      </c>
      <c r="I138" s="537"/>
      <c r="J138" s="538">
        <v>36916</v>
      </c>
    </row>
    <row r="139" spans="7:10">
      <c r="G139" t="s">
        <v>997</v>
      </c>
      <c r="H139" s="546">
        <v>35844</v>
      </c>
      <c r="J139" s="529">
        <v>35844</v>
      </c>
    </row>
    <row r="140" spans="7:10">
      <c r="G140" s="537" t="s">
        <v>8024</v>
      </c>
      <c r="H140" s="728">
        <v>35066</v>
      </c>
      <c r="I140" s="537"/>
      <c r="J140" s="538">
        <v>35066</v>
      </c>
    </row>
    <row r="141" spans="7:10">
      <c r="G141" t="s">
        <v>7992</v>
      </c>
      <c r="H141" s="546">
        <v>34832</v>
      </c>
      <c r="J141" s="529">
        <v>34832</v>
      </c>
    </row>
    <row r="142" spans="7:10">
      <c r="G142" s="537" t="s">
        <v>7981</v>
      </c>
      <c r="H142" s="728">
        <v>34618</v>
      </c>
      <c r="I142" s="537"/>
      <c r="J142" s="538">
        <v>34618</v>
      </c>
    </row>
    <row r="143" spans="7:10">
      <c r="G143" t="s">
        <v>186</v>
      </c>
      <c r="H143" s="546">
        <v>33713</v>
      </c>
      <c r="J143" s="529">
        <v>33713</v>
      </c>
    </row>
    <row r="144" spans="7:10">
      <c r="G144" s="537" t="s">
        <v>7005</v>
      </c>
      <c r="H144" s="728">
        <v>33637</v>
      </c>
      <c r="I144" s="537"/>
      <c r="J144" s="538">
        <v>33637</v>
      </c>
    </row>
    <row r="145" spans="7:10">
      <c r="G145" t="s">
        <v>7070</v>
      </c>
      <c r="H145" s="546">
        <v>31215</v>
      </c>
      <c r="J145" s="529">
        <v>31215</v>
      </c>
    </row>
    <row r="146" spans="7:10">
      <c r="G146" s="537" t="s">
        <v>8058</v>
      </c>
      <c r="H146" s="728">
        <v>30403</v>
      </c>
      <c r="I146" s="537"/>
      <c r="J146" s="538">
        <v>30403</v>
      </c>
    </row>
    <row r="147" spans="7:10">
      <c r="G147" t="s">
        <v>996</v>
      </c>
      <c r="H147" s="546">
        <v>30288</v>
      </c>
      <c r="J147" s="529">
        <v>30288</v>
      </c>
    </row>
    <row r="148" spans="7:10">
      <c r="G148" s="537" t="s">
        <v>8039</v>
      </c>
      <c r="H148" s="728">
        <v>30274</v>
      </c>
      <c r="I148" s="537"/>
      <c r="J148" s="538">
        <v>30274</v>
      </c>
    </row>
    <row r="149" spans="7:10">
      <c r="G149" t="s">
        <v>6888</v>
      </c>
      <c r="H149" s="546">
        <v>30066</v>
      </c>
      <c r="J149" s="529">
        <v>30066</v>
      </c>
    </row>
    <row r="150" spans="7:10">
      <c r="G150" s="537" t="s">
        <v>162</v>
      </c>
      <c r="H150" s="728">
        <v>29760</v>
      </c>
      <c r="I150" s="537"/>
      <c r="J150" s="538">
        <v>29760</v>
      </c>
    </row>
    <row r="151" spans="7:10">
      <c r="G151" t="s">
        <v>7982</v>
      </c>
      <c r="H151" s="546">
        <v>29500</v>
      </c>
      <c r="J151" s="529">
        <v>29500</v>
      </c>
    </row>
    <row r="152" spans="7:10">
      <c r="G152" s="537" t="s">
        <v>8068</v>
      </c>
      <c r="H152" s="728">
        <v>28405</v>
      </c>
      <c r="I152" s="537"/>
      <c r="J152" s="538">
        <v>28405</v>
      </c>
    </row>
    <row r="153" spans="7:10">
      <c r="G153" t="s">
        <v>1657</v>
      </c>
      <c r="H153" s="546">
        <v>28108</v>
      </c>
      <c r="J153" s="529">
        <v>28108</v>
      </c>
    </row>
    <row r="154" spans="7:10">
      <c r="G154" s="537" t="s">
        <v>8074</v>
      </c>
      <c r="H154" s="728">
        <v>27869</v>
      </c>
      <c r="I154" s="537"/>
      <c r="J154" s="538">
        <v>27869</v>
      </c>
    </row>
    <row r="155" spans="7:10">
      <c r="G155" t="s">
        <v>179</v>
      </c>
      <c r="H155" s="546">
        <v>27860</v>
      </c>
      <c r="J155" s="529">
        <v>27860</v>
      </c>
    </row>
    <row r="156" spans="7:10">
      <c r="G156" s="537" t="s">
        <v>1007</v>
      </c>
      <c r="H156" s="728">
        <v>27811</v>
      </c>
      <c r="I156" s="537"/>
      <c r="J156" s="538">
        <v>27811</v>
      </c>
    </row>
    <row r="157" spans="7:10">
      <c r="G157" t="s">
        <v>7061</v>
      </c>
      <c r="H157" s="546">
        <v>27602</v>
      </c>
      <c r="J157" s="529">
        <v>27602</v>
      </c>
    </row>
    <row r="158" spans="7:10">
      <c r="G158" s="537" t="s">
        <v>7994</v>
      </c>
      <c r="H158" s="728">
        <v>27300</v>
      </c>
      <c r="I158" s="537"/>
      <c r="J158" s="538">
        <v>27300</v>
      </c>
    </row>
    <row r="159" spans="7:10">
      <c r="G159" t="s">
        <v>7062</v>
      </c>
      <c r="H159" s="546">
        <v>26148</v>
      </c>
      <c r="J159" s="529">
        <v>26148</v>
      </c>
    </row>
    <row r="160" spans="7:10">
      <c r="G160" s="537" t="s">
        <v>8034</v>
      </c>
      <c r="H160" s="728">
        <v>25685</v>
      </c>
      <c r="I160" s="537"/>
      <c r="J160" s="538">
        <v>25685</v>
      </c>
    </row>
    <row r="161" spans="7:10">
      <c r="G161" t="s">
        <v>380</v>
      </c>
      <c r="H161" s="546">
        <v>25116</v>
      </c>
      <c r="J161" s="529">
        <v>25116</v>
      </c>
    </row>
    <row r="162" spans="7:10">
      <c r="G162" s="537" t="s">
        <v>7979</v>
      </c>
      <c r="H162" s="728">
        <v>24806</v>
      </c>
      <c r="I162" s="537"/>
      <c r="J162" s="538">
        <v>24806</v>
      </c>
    </row>
    <row r="163" spans="7:10">
      <c r="G163" t="s">
        <v>1892</v>
      </c>
      <c r="H163" s="546">
        <v>23642</v>
      </c>
      <c r="J163" s="529">
        <v>23642</v>
      </c>
    </row>
    <row r="164" spans="7:10">
      <c r="G164" s="537" t="s">
        <v>208</v>
      </c>
      <c r="H164" s="728">
        <v>23061</v>
      </c>
      <c r="I164" s="537"/>
      <c r="J164" s="538">
        <v>23061</v>
      </c>
    </row>
    <row r="165" spans="7:10">
      <c r="G165" t="s">
        <v>8004</v>
      </c>
      <c r="H165" s="546">
        <v>22100</v>
      </c>
      <c r="J165" s="529">
        <v>22100</v>
      </c>
    </row>
    <row r="166" spans="7:10">
      <c r="G166" s="537" t="s">
        <v>7954</v>
      </c>
      <c r="H166" s="728">
        <v>22020</v>
      </c>
      <c r="I166" s="537"/>
      <c r="J166" s="538">
        <v>22020</v>
      </c>
    </row>
    <row r="167" spans="7:10">
      <c r="G167" t="s">
        <v>7984</v>
      </c>
      <c r="H167" s="546">
        <v>21820</v>
      </c>
      <c r="J167" s="529">
        <v>21820</v>
      </c>
    </row>
    <row r="168" spans="7:10">
      <c r="G168" s="537" t="s">
        <v>260</v>
      </c>
      <c r="H168" s="728">
        <v>21776</v>
      </c>
      <c r="I168" s="537"/>
      <c r="J168" s="538">
        <v>21776</v>
      </c>
    </row>
    <row r="169" spans="7:10">
      <c r="G169" t="s">
        <v>8017</v>
      </c>
      <c r="H169" s="546">
        <v>21392</v>
      </c>
      <c r="J169" s="529">
        <v>21392</v>
      </c>
    </row>
    <row r="170" spans="7:10">
      <c r="G170" s="537" t="s">
        <v>7986</v>
      </c>
      <c r="H170" s="728">
        <v>20697</v>
      </c>
      <c r="I170" s="537"/>
      <c r="J170" s="538">
        <v>20697</v>
      </c>
    </row>
    <row r="171" spans="7:10">
      <c r="G171" t="s">
        <v>1014</v>
      </c>
      <c r="H171" s="546">
        <v>20560</v>
      </c>
      <c r="J171" s="529">
        <v>20560</v>
      </c>
    </row>
    <row r="172" spans="7:10">
      <c r="G172" s="537" t="s">
        <v>8046</v>
      </c>
      <c r="H172" s="728">
        <v>20136</v>
      </c>
      <c r="I172" s="537"/>
      <c r="J172" s="538">
        <v>20136</v>
      </c>
    </row>
    <row r="173" spans="7:10">
      <c r="G173" t="s">
        <v>8030</v>
      </c>
      <c r="H173" s="546">
        <v>20104</v>
      </c>
      <c r="J173" s="529">
        <v>20104</v>
      </c>
    </row>
    <row r="174" spans="7:10">
      <c r="G174" s="537" t="s">
        <v>8093</v>
      </c>
      <c r="H174" s="728">
        <v>20000</v>
      </c>
      <c r="I174" s="537"/>
      <c r="J174" s="538">
        <v>20000</v>
      </c>
    </row>
    <row r="175" spans="7:10">
      <c r="G175" t="s">
        <v>8078</v>
      </c>
      <c r="H175" s="546">
        <v>19811</v>
      </c>
      <c r="J175" s="529">
        <v>19811</v>
      </c>
    </row>
    <row r="176" spans="7:10">
      <c r="G176" s="537" t="s">
        <v>1794</v>
      </c>
      <c r="H176" s="728">
        <v>19510</v>
      </c>
      <c r="I176" s="537"/>
      <c r="J176" s="538">
        <v>19510</v>
      </c>
    </row>
    <row r="177" spans="7:10">
      <c r="G177" t="s">
        <v>236</v>
      </c>
      <c r="H177" s="546">
        <v>18015</v>
      </c>
      <c r="J177" s="529">
        <v>18015</v>
      </c>
    </row>
    <row r="178" spans="7:10">
      <c r="G178" s="537" t="s">
        <v>5732</v>
      </c>
      <c r="H178" s="728">
        <v>18008</v>
      </c>
      <c r="I178" s="537"/>
      <c r="J178" s="538">
        <v>18008</v>
      </c>
    </row>
    <row r="179" spans="7:10">
      <c r="G179" t="s">
        <v>1832</v>
      </c>
      <c r="H179" s="546">
        <v>17983</v>
      </c>
      <c r="J179" s="529">
        <v>17983</v>
      </c>
    </row>
    <row r="180" spans="7:10">
      <c r="G180" s="537" t="s">
        <v>257</v>
      </c>
      <c r="H180" s="728">
        <v>17592</v>
      </c>
      <c r="I180" s="537"/>
      <c r="J180" s="538">
        <v>17592</v>
      </c>
    </row>
    <row r="181" spans="7:10">
      <c r="G181" t="s">
        <v>206</v>
      </c>
      <c r="H181" s="546">
        <v>17567</v>
      </c>
      <c r="J181" s="529">
        <v>17567</v>
      </c>
    </row>
    <row r="182" spans="7:10">
      <c r="G182" s="537" t="s">
        <v>7074</v>
      </c>
      <c r="H182" s="728">
        <v>17002</v>
      </c>
      <c r="I182" s="537"/>
      <c r="J182" s="538">
        <v>17002</v>
      </c>
    </row>
    <row r="183" spans="7:10">
      <c r="G183" t="s">
        <v>1011</v>
      </c>
      <c r="H183" s="546">
        <v>16997</v>
      </c>
      <c r="J183" s="529">
        <v>16997</v>
      </c>
    </row>
    <row r="184" spans="7:10">
      <c r="G184" s="537" t="s">
        <v>278</v>
      </c>
      <c r="H184" s="728">
        <v>16382</v>
      </c>
      <c r="I184" s="537"/>
      <c r="J184" s="538">
        <v>16382</v>
      </c>
    </row>
    <row r="185" spans="7:10">
      <c r="G185" t="s">
        <v>7065</v>
      </c>
      <c r="H185" s="546">
        <v>16364</v>
      </c>
      <c r="J185" s="529">
        <v>16364</v>
      </c>
    </row>
    <row r="186" spans="7:10">
      <c r="G186" s="537" t="s">
        <v>330</v>
      </c>
      <c r="H186" s="728">
        <v>16210</v>
      </c>
      <c r="I186" s="537"/>
      <c r="J186" s="538">
        <v>16210</v>
      </c>
    </row>
    <row r="187" spans="7:10">
      <c r="G187" t="s">
        <v>7078</v>
      </c>
      <c r="H187" s="546">
        <v>15314</v>
      </c>
      <c r="J187" s="529">
        <v>15314</v>
      </c>
    </row>
    <row r="188" spans="7:10">
      <c r="G188" s="537" t="s">
        <v>7079</v>
      </c>
      <c r="H188" s="728">
        <v>14554</v>
      </c>
      <c r="I188" s="537"/>
      <c r="J188" s="538">
        <v>14554</v>
      </c>
    </row>
    <row r="189" spans="7:10">
      <c r="G189" t="s">
        <v>7120</v>
      </c>
      <c r="H189" s="546">
        <v>13914</v>
      </c>
      <c r="J189" s="529">
        <v>13914</v>
      </c>
    </row>
    <row r="190" spans="7:10">
      <c r="G190" s="537" t="s">
        <v>7960</v>
      </c>
      <c r="H190" s="728">
        <v>13094</v>
      </c>
      <c r="I190" s="537"/>
      <c r="J190" s="538">
        <v>13094</v>
      </c>
    </row>
    <row r="191" spans="7:10">
      <c r="G191" t="s">
        <v>1019</v>
      </c>
      <c r="H191" s="546">
        <v>12775</v>
      </c>
      <c r="J191" s="529">
        <v>12775</v>
      </c>
    </row>
    <row r="192" spans="7:10">
      <c r="G192" s="537" t="s">
        <v>7081</v>
      </c>
      <c r="H192" s="728">
        <v>12696</v>
      </c>
      <c r="I192" s="537"/>
      <c r="J192" s="538">
        <v>12696</v>
      </c>
    </row>
    <row r="193" spans="7:10">
      <c r="G193" t="s">
        <v>7977</v>
      </c>
      <c r="H193" s="546">
        <v>12633</v>
      </c>
      <c r="J193" s="529">
        <v>12633</v>
      </c>
    </row>
    <row r="194" spans="7:10">
      <c r="G194" s="537" t="s">
        <v>261</v>
      </c>
      <c r="H194" s="728">
        <v>12598</v>
      </c>
      <c r="I194" s="537"/>
      <c r="J194" s="538">
        <v>12598</v>
      </c>
    </row>
    <row r="195" spans="7:10">
      <c r="G195" t="s">
        <v>7967</v>
      </c>
      <c r="H195" s="546">
        <v>12558</v>
      </c>
      <c r="J195" s="529">
        <v>12558</v>
      </c>
    </row>
    <row r="196" spans="7:10">
      <c r="G196" s="537" t="s">
        <v>8070</v>
      </c>
      <c r="H196" s="728">
        <v>12349</v>
      </c>
      <c r="I196" s="537"/>
      <c r="J196" s="538">
        <v>12349</v>
      </c>
    </row>
    <row r="197" spans="7:10">
      <c r="G197" t="s">
        <v>7085</v>
      </c>
      <c r="H197" s="546">
        <v>12266</v>
      </c>
      <c r="J197" s="529">
        <v>12266</v>
      </c>
    </row>
    <row r="198" spans="7:10">
      <c r="G198" s="537" t="s">
        <v>378</v>
      </c>
      <c r="H198" s="728">
        <v>12222</v>
      </c>
      <c r="I198" s="537"/>
      <c r="J198" s="538">
        <v>12222</v>
      </c>
    </row>
    <row r="199" spans="7:10">
      <c r="G199" t="s">
        <v>8049</v>
      </c>
      <c r="H199" s="546">
        <v>12026</v>
      </c>
      <c r="J199" s="529">
        <v>12026</v>
      </c>
    </row>
    <row r="200" spans="7:10">
      <c r="G200" s="537" t="s">
        <v>7046</v>
      </c>
      <c r="H200" s="728">
        <v>11911</v>
      </c>
      <c r="I200" s="537"/>
      <c r="J200" s="538">
        <v>11911</v>
      </c>
    </row>
    <row r="201" spans="7:10">
      <c r="G201" t="s">
        <v>7961</v>
      </c>
      <c r="H201" s="546">
        <v>11647</v>
      </c>
      <c r="J201" s="529">
        <v>11647</v>
      </c>
    </row>
    <row r="202" spans="7:10">
      <c r="G202" s="537" t="s">
        <v>98</v>
      </c>
      <c r="H202" s="728">
        <v>11586</v>
      </c>
      <c r="I202" s="537"/>
      <c r="J202" s="538">
        <v>11586</v>
      </c>
    </row>
    <row r="203" spans="7:10">
      <c r="G203" t="s">
        <v>8087</v>
      </c>
      <c r="H203" s="546">
        <v>11359</v>
      </c>
      <c r="J203" s="529">
        <v>11359</v>
      </c>
    </row>
    <row r="204" spans="7:10">
      <c r="G204" s="537" t="s">
        <v>204</v>
      </c>
      <c r="H204" s="728">
        <v>11342</v>
      </c>
      <c r="I204" s="537"/>
      <c r="J204" s="538">
        <v>11342</v>
      </c>
    </row>
    <row r="205" spans="7:10">
      <c r="G205" t="s">
        <v>7997</v>
      </c>
      <c r="H205" s="546">
        <v>11171</v>
      </c>
      <c r="J205" s="529">
        <v>11171</v>
      </c>
    </row>
    <row r="206" spans="7:10">
      <c r="G206" s="537" t="s">
        <v>5737</v>
      </c>
      <c r="H206" s="728">
        <v>11063</v>
      </c>
      <c r="I206" s="537"/>
      <c r="J206" s="538">
        <v>11063</v>
      </c>
    </row>
    <row r="207" spans="7:10">
      <c r="G207" t="s">
        <v>409</v>
      </c>
      <c r="H207" s="546">
        <v>10972</v>
      </c>
      <c r="J207" s="529">
        <v>10972</v>
      </c>
    </row>
    <row r="208" spans="7:10">
      <c r="G208" s="537" t="s">
        <v>375</v>
      </c>
      <c r="H208" s="728">
        <v>10643</v>
      </c>
      <c r="I208" s="537"/>
      <c r="J208" s="538">
        <v>10643</v>
      </c>
    </row>
    <row r="209" spans="7:10">
      <c r="G209" t="s">
        <v>391</v>
      </c>
      <c r="H209" s="546">
        <v>10372</v>
      </c>
      <c r="J209" s="529">
        <v>10372</v>
      </c>
    </row>
    <row r="210" spans="7:10">
      <c r="G210" s="537" t="s">
        <v>7091</v>
      </c>
      <c r="H210" s="728">
        <v>10106</v>
      </c>
      <c r="I210" s="537"/>
      <c r="J210" s="538">
        <v>10106</v>
      </c>
    </row>
    <row r="211" spans="7:10">
      <c r="G211" t="s">
        <v>8043</v>
      </c>
      <c r="H211" s="546">
        <v>9992</v>
      </c>
      <c r="J211" s="529">
        <v>9992</v>
      </c>
    </row>
    <row r="212" spans="7:10">
      <c r="G212" s="537" t="s">
        <v>222</v>
      </c>
      <c r="H212" s="728">
        <v>9970</v>
      </c>
      <c r="I212" s="537"/>
      <c r="J212" s="538">
        <v>9970</v>
      </c>
    </row>
    <row r="213" spans="7:10">
      <c r="G213" t="s">
        <v>7076</v>
      </c>
      <c r="H213" s="546">
        <v>9456</v>
      </c>
      <c r="J213" s="529">
        <v>9456</v>
      </c>
    </row>
    <row r="214" spans="7:10">
      <c r="G214" s="537" t="s">
        <v>155</v>
      </c>
      <c r="H214" s="728">
        <v>9204</v>
      </c>
      <c r="I214" s="537"/>
      <c r="J214" s="538">
        <v>9204</v>
      </c>
    </row>
    <row r="215" spans="7:10">
      <c r="G215" t="s">
        <v>8073</v>
      </c>
      <c r="H215" s="546">
        <v>9200</v>
      </c>
      <c r="J215" s="529">
        <v>9200</v>
      </c>
    </row>
    <row r="216" spans="7:10">
      <c r="G216" s="537" t="s">
        <v>8069</v>
      </c>
      <c r="H216" s="728">
        <v>8950</v>
      </c>
      <c r="I216" s="537"/>
      <c r="J216" s="538">
        <v>8950</v>
      </c>
    </row>
    <row r="217" spans="7:10">
      <c r="G217" t="s">
        <v>7964</v>
      </c>
      <c r="H217" s="546">
        <v>8844</v>
      </c>
      <c r="J217" s="529">
        <v>8844</v>
      </c>
    </row>
    <row r="218" spans="7:10">
      <c r="G218" s="537" t="s">
        <v>7975</v>
      </c>
      <c r="H218" s="728">
        <v>7894</v>
      </c>
      <c r="I218" s="537"/>
      <c r="J218" s="538">
        <v>7894</v>
      </c>
    </row>
    <row r="219" spans="7:10">
      <c r="G219" t="s">
        <v>251</v>
      </c>
      <c r="H219" s="546">
        <v>7854</v>
      </c>
      <c r="J219" s="529">
        <v>7854</v>
      </c>
    </row>
    <row r="220" spans="7:10">
      <c r="G220" s="537" t="s">
        <v>415</v>
      </c>
      <c r="H220" s="728">
        <v>7816</v>
      </c>
      <c r="I220" s="537"/>
      <c r="J220" s="538">
        <v>7816</v>
      </c>
    </row>
    <row r="221" spans="7:10">
      <c r="G221" t="s">
        <v>8013</v>
      </c>
      <c r="H221" s="546">
        <v>7784</v>
      </c>
      <c r="J221" s="529">
        <v>7784</v>
      </c>
    </row>
    <row r="222" spans="7:10">
      <c r="G222" s="537" t="s">
        <v>7958</v>
      </c>
      <c r="H222" s="728">
        <v>7768</v>
      </c>
      <c r="I222" s="537"/>
      <c r="J222" s="538">
        <v>7768</v>
      </c>
    </row>
    <row r="223" spans="7:10">
      <c r="G223" t="s">
        <v>7174</v>
      </c>
      <c r="H223" s="546">
        <v>7525</v>
      </c>
      <c r="J223" s="529">
        <v>7525</v>
      </c>
    </row>
    <row r="224" spans="7:10">
      <c r="G224" s="537" t="s">
        <v>8006</v>
      </c>
      <c r="H224" s="728">
        <v>6792</v>
      </c>
      <c r="I224" s="537"/>
      <c r="J224" s="538">
        <v>6792</v>
      </c>
    </row>
    <row r="225" spans="7:10">
      <c r="G225" t="s">
        <v>8003</v>
      </c>
      <c r="H225" s="546">
        <v>6566</v>
      </c>
      <c r="J225" s="529">
        <v>6566</v>
      </c>
    </row>
    <row r="226" spans="7:10">
      <c r="G226" s="537" t="s">
        <v>168</v>
      </c>
      <c r="H226" s="728">
        <v>6278</v>
      </c>
      <c r="I226" s="537"/>
      <c r="J226" s="538">
        <v>6278</v>
      </c>
    </row>
    <row r="227" spans="7:10">
      <c r="G227" t="s">
        <v>292</v>
      </c>
      <c r="H227" s="546">
        <v>6246</v>
      </c>
      <c r="J227" s="529">
        <v>6246</v>
      </c>
    </row>
    <row r="228" spans="7:10">
      <c r="G228" s="537" t="s">
        <v>7095</v>
      </c>
      <c r="H228" s="728">
        <v>6134</v>
      </c>
      <c r="I228" s="537"/>
      <c r="J228" s="538">
        <v>6134</v>
      </c>
    </row>
    <row r="229" spans="7:10">
      <c r="G229" t="s">
        <v>264</v>
      </c>
      <c r="H229" s="546">
        <v>6059</v>
      </c>
      <c r="J229" s="529">
        <v>6059</v>
      </c>
    </row>
    <row r="230" spans="7:10">
      <c r="G230" s="537" t="s">
        <v>217</v>
      </c>
      <c r="H230" s="728">
        <v>6041</v>
      </c>
      <c r="I230" s="537"/>
      <c r="J230" s="538">
        <v>6041</v>
      </c>
    </row>
    <row r="231" spans="7:10">
      <c r="G231" t="s">
        <v>281</v>
      </c>
      <c r="H231" s="546">
        <v>6009</v>
      </c>
      <c r="J231" s="529">
        <v>6009</v>
      </c>
    </row>
    <row r="232" spans="7:10">
      <c r="G232" s="537" t="s">
        <v>7137</v>
      </c>
      <c r="H232" s="728">
        <v>5905</v>
      </c>
      <c r="I232" s="537"/>
      <c r="J232" s="538">
        <v>5905</v>
      </c>
    </row>
    <row r="233" spans="7:10">
      <c r="G233" t="s">
        <v>1021</v>
      </c>
      <c r="H233" s="546">
        <v>5874</v>
      </c>
      <c r="J233" s="529">
        <v>5874</v>
      </c>
    </row>
    <row r="234" spans="7:10">
      <c r="G234" s="537" t="s">
        <v>7098</v>
      </c>
      <c r="H234" s="728">
        <v>5696</v>
      </c>
      <c r="I234" s="537"/>
      <c r="J234" s="538">
        <v>5696</v>
      </c>
    </row>
    <row r="235" spans="7:10">
      <c r="G235" t="s">
        <v>8071</v>
      </c>
      <c r="H235" s="546">
        <v>5500</v>
      </c>
      <c r="J235" s="529">
        <v>5500</v>
      </c>
    </row>
    <row r="236" spans="7:10">
      <c r="G236" s="537" t="s">
        <v>1023</v>
      </c>
      <c r="H236" s="728">
        <v>5402</v>
      </c>
      <c r="I236" s="537"/>
      <c r="J236" s="538">
        <v>5402</v>
      </c>
    </row>
    <row r="237" spans="7:10">
      <c r="G237" t="s">
        <v>131</v>
      </c>
      <c r="H237" s="546">
        <v>5368</v>
      </c>
      <c r="J237" s="529">
        <v>5368</v>
      </c>
    </row>
    <row r="238" spans="7:10">
      <c r="G238" s="537" t="s">
        <v>1025</v>
      </c>
      <c r="H238" s="728">
        <v>5300</v>
      </c>
      <c r="I238" s="537"/>
      <c r="J238" s="538">
        <v>5300</v>
      </c>
    </row>
    <row r="239" spans="7:10">
      <c r="G239" t="s">
        <v>8075</v>
      </c>
      <c r="H239" s="546">
        <v>5291</v>
      </c>
      <c r="J239" s="529">
        <v>5291</v>
      </c>
    </row>
    <row r="240" spans="7:10">
      <c r="G240" s="537" t="s">
        <v>1031</v>
      </c>
      <c r="H240" s="728">
        <v>5176</v>
      </c>
      <c r="I240" s="537"/>
      <c r="J240" s="538">
        <v>5176</v>
      </c>
    </row>
    <row r="241" spans="7:10">
      <c r="G241" t="s">
        <v>1056</v>
      </c>
      <c r="H241" s="546">
        <v>5164</v>
      </c>
      <c r="J241" s="529">
        <v>5164</v>
      </c>
    </row>
    <row r="242" spans="7:10">
      <c r="G242" s="537" t="s">
        <v>1052</v>
      </c>
      <c r="H242" s="728">
        <v>5162</v>
      </c>
      <c r="I242" s="537"/>
      <c r="J242" s="538">
        <v>5162</v>
      </c>
    </row>
    <row r="243" spans="7:10">
      <c r="G243" t="s">
        <v>8072</v>
      </c>
      <c r="H243" s="546">
        <v>5000</v>
      </c>
      <c r="J243" s="529">
        <v>5000</v>
      </c>
    </row>
    <row r="244" spans="7:10">
      <c r="G244" s="537" t="s">
        <v>8002</v>
      </c>
      <c r="H244" s="728">
        <v>5000</v>
      </c>
      <c r="I244" s="537"/>
      <c r="J244" s="538">
        <v>5000</v>
      </c>
    </row>
    <row r="245" spans="7:10">
      <c r="G245" t="s">
        <v>243</v>
      </c>
      <c r="H245" s="546">
        <v>4993</v>
      </c>
      <c r="J245" s="529">
        <v>4993</v>
      </c>
    </row>
    <row r="246" spans="7:10">
      <c r="G246" s="537" t="s">
        <v>8026</v>
      </c>
      <c r="H246" s="728">
        <v>4670</v>
      </c>
      <c r="I246" s="537"/>
      <c r="J246" s="538">
        <v>4670</v>
      </c>
    </row>
    <row r="247" spans="7:10">
      <c r="G247" t="s">
        <v>7101</v>
      </c>
      <c r="H247" s="546">
        <v>4600</v>
      </c>
      <c r="J247" s="529">
        <v>4600</v>
      </c>
    </row>
    <row r="248" spans="7:10">
      <c r="G248" s="537" t="s">
        <v>986</v>
      </c>
      <c r="H248" s="728">
        <v>4412</v>
      </c>
      <c r="I248" s="537"/>
      <c r="J248" s="538">
        <v>4412</v>
      </c>
    </row>
    <row r="249" spans="7:10">
      <c r="G249" t="s">
        <v>5686</v>
      </c>
      <c r="H249" s="546">
        <v>4319</v>
      </c>
      <c r="J249" s="529">
        <v>4319</v>
      </c>
    </row>
    <row r="250" spans="7:10">
      <c r="G250" s="537" t="s">
        <v>5704</v>
      </c>
      <c r="H250" s="728">
        <v>4054</v>
      </c>
      <c r="I250" s="537"/>
      <c r="J250" s="538">
        <v>4054</v>
      </c>
    </row>
    <row r="251" spans="7:10">
      <c r="G251" t="s">
        <v>1012</v>
      </c>
      <c r="H251" s="546">
        <v>3910</v>
      </c>
      <c r="J251" s="529">
        <v>3910</v>
      </c>
    </row>
    <row r="252" spans="7:10">
      <c r="G252" s="537" t="s">
        <v>8040</v>
      </c>
      <c r="H252" s="728">
        <v>3901</v>
      </c>
      <c r="I252" s="537"/>
      <c r="J252" s="538">
        <v>3901</v>
      </c>
    </row>
    <row r="253" spans="7:10">
      <c r="G253" t="s">
        <v>8076</v>
      </c>
      <c r="H253" s="546">
        <v>3880</v>
      </c>
      <c r="J253" s="529">
        <v>3880</v>
      </c>
    </row>
    <row r="254" spans="7:10">
      <c r="G254" s="537" t="s">
        <v>5738</v>
      </c>
      <c r="H254" s="728">
        <v>3644</v>
      </c>
      <c r="I254" s="537"/>
      <c r="J254" s="538">
        <v>3644</v>
      </c>
    </row>
    <row r="255" spans="7:10">
      <c r="G255" t="s">
        <v>331</v>
      </c>
      <c r="H255" s="546">
        <v>3618</v>
      </c>
      <c r="J255" s="529">
        <v>3618</v>
      </c>
    </row>
    <row r="256" spans="7:10">
      <c r="G256" s="537" t="s">
        <v>1771</v>
      </c>
      <c r="H256" s="728">
        <v>3579</v>
      </c>
      <c r="I256" s="537"/>
      <c r="J256" s="538">
        <v>3579</v>
      </c>
    </row>
    <row r="257" spans="7:10">
      <c r="G257" t="s">
        <v>8014</v>
      </c>
      <c r="H257" s="546">
        <v>3468</v>
      </c>
      <c r="J257" s="529">
        <v>3468</v>
      </c>
    </row>
    <row r="258" spans="7:10">
      <c r="G258" s="537" t="s">
        <v>224</v>
      </c>
      <c r="H258" s="728">
        <v>3235</v>
      </c>
      <c r="I258" s="537"/>
      <c r="J258" s="538">
        <v>3235</v>
      </c>
    </row>
    <row r="259" spans="7:10">
      <c r="G259" t="s">
        <v>377</v>
      </c>
      <c r="H259" s="546">
        <v>3216</v>
      </c>
      <c r="J259" s="529">
        <v>3216</v>
      </c>
    </row>
    <row r="260" spans="7:10">
      <c r="G260" s="537" t="s">
        <v>1040</v>
      </c>
      <c r="H260" s="728">
        <v>3191</v>
      </c>
      <c r="I260" s="537"/>
      <c r="J260" s="538">
        <v>3191</v>
      </c>
    </row>
    <row r="261" spans="7:10">
      <c r="G261" t="s">
        <v>1046</v>
      </c>
      <c r="H261" s="546">
        <v>3099</v>
      </c>
      <c r="J261" s="529">
        <v>3099</v>
      </c>
    </row>
    <row r="262" spans="7:10">
      <c r="G262" s="537" t="s">
        <v>356</v>
      </c>
      <c r="H262" s="728">
        <v>3071</v>
      </c>
      <c r="I262" s="537"/>
      <c r="J262" s="538">
        <v>3071</v>
      </c>
    </row>
    <row r="263" spans="7:10">
      <c r="G263" t="s">
        <v>126</v>
      </c>
      <c r="H263" s="546">
        <v>3066</v>
      </c>
      <c r="J263" s="529">
        <v>3066</v>
      </c>
    </row>
    <row r="264" spans="7:10">
      <c r="G264" s="537" t="s">
        <v>8015</v>
      </c>
      <c r="H264" s="728">
        <v>3053</v>
      </c>
      <c r="I264" s="537"/>
      <c r="J264" s="538">
        <v>3053</v>
      </c>
    </row>
    <row r="265" spans="7:10">
      <c r="G265" t="s">
        <v>7106</v>
      </c>
      <c r="H265" s="546">
        <v>3003</v>
      </c>
      <c r="J265" s="529">
        <v>3003</v>
      </c>
    </row>
    <row r="266" spans="7:10">
      <c r="G266" s="537" t="s">
        <v>443</v>
      </c>
      <c r="H266" s="728">
        <v>2998</v>
      </c>
      <c r="I266" s="537"/>
      <c r="J266" s="538">
        <v>2998</v>
      </c>
    </row>
    <row r="267" spans="7:10">
      <c r="G267" t="s">
        <v>7107</v>
      </c>
      <c r="H267" s="546">
        <v>2948</v>
      </c>
      <c r="J267" s="529">
        <v>2948</v>
      </c>
    </row>
    <row r="268" spans="7:10">
      <c r="G268" s="537" t="s">
        <v>1036</v>
      </c>
      <c r="H268" s="728">
        <v>2825</v>
      </c>
      <c r="I268" s="537"/>
      <c r="J268" s="538">
        <v>2825</v>
      </c>
    </row>
    <row r="269" spans="7:10">
      <c r="G269" t="s">
        <v>1405</v>
      </c>
      <c r="H269" s="546">
        <v>2821</v>
      </c>
      <c r="J269" s="529">
        <v>2821</v>
      </c>
    </row>
    <row r="270" spans="7:10">
      <c r="G270" s="537" t="s">
        <v>8010</v>
      </c>
      <c r="H270" s="728">
        <v>2770</v>
      </c>
      <c r="I270" s="537"/>
      <c r="J270" s="538">
        <v>2770</v>
      </c>
    </row>
    <row r="271" spans="7:10">
      <c r="G271" t="s">
        <v>1022</v>
      </c>
      <c r="H271" s="546">
        <v>2724</v>
      </c>
      <c r="J271" s="529">
        <v>2724</v>
      </c>
    </row>
    <row r="272" spans="7:10">
      <c r="G272" s="537" t="s">
        <v>300</v>
      </c>
      <c r="H272" s="728">
        <v>2689</v>
      </c>
      <c r="I272" s="537"/>
      <c r="J272" s="538">
        <v>2689</v>
      </c>
    </row>
    <row r="273" spans="7:10">
      <c r="G273" t="s">
        <v>268</v>
      </c>
      <c r="H273" s="546">
        <v>2660</v>
      </c>
      <c r="J273" s="529">
        <v>2660</v>
      </c>
    </row>
    <row r="274" spans="7:10">
      <c r="G274" s="537" t="s">
        <v>7983</v>
      </c>
      <c r="H274" s="728">
        <v>2563</v>
      </c>
      <c r="I274" s="537"/>
      <c r="J274" s="538">
        <v>2563</v>
      </c>
    </row>
    <row r="275" spans="7:10">
      <c r="G275" t="s">
        <v>8001</v>
      </c>
      <c r="H275" s="546">
        <v>2472</v>
      </c>
      <c r="J275" s="529">
        <v>2472</v>
      </c>
    </row>
    <row r="276" spans="7:10">
      <c r="G276" s="537" t="s">
        <v>237</v>
      </c>
      <c r="H276" s="728">
        <v>2378</v>
      </c>
      <c r="I276" s="537"/>
      <c r="J276" s="538">
        <v>2378</v>
      </c>
    </row>
    <row r="277" spans="7:10">
      <c r="G277" t="s">
        <v>275</v>
      </c>
      <c r="H277" s="546">
        <v>2378</v>
      </c>
      <c r="J277" s="529">
        <v>2378</v>
      </c>
    </row>
    <row r="278" spans="7:10">
      <c r="G278" s="537" t="s">
        <v>242</v>
      </c>
      <c r="H278" s="728">
        <v>2378</v>
      </c>
      <c r="I278" s="537"/>
      <c r="J278" s="538">
        <v>2378</v>
      </c>
    </row>
    <row r="279" spans="7:10">
      <c r="G279" t="s">
        <v>1045</v>
      </c>
      <c r="H279" s="546">
        <v>2304</v>
      </c>
      <c r="J279" s="529">
        <v>2304</v>
      </c>
    </row>
    <row r="280" spans="7:10">
      <c r="G280" s="537" t="s">
        <v>1038</v>
      </c>
      <c r="H280" s="728">
        <v>2280</v>
      </c>
      <c r="I280" s="537"/>
      <c r="J280" s="538">
        <v>2280</v>
      </c>
    </row>
    <row r="281" spans="7:10">
      <c r="G281" t="s">
        <v>7112</v>
      </c>
      <c r="H281" s="546">
        <v>2156</v>
      </c>
      <c r="J281" s="529">
        <v>2156</v>
      </c>
    </row>
    <row r="282" spans="7:10">
      <c r="G282" s="537" t="s">
        <v>232</v>
      </c>
      <c r="H282" s="728">
        <v>2044</v>
      </c>
      <c r="I282" s="537"/>
      <c r="J282" s="538">
        <v>2044</v>
      </c>
    </row>
    <row r="283" spans="7:10">
      <c r="G283" t="s">
        <v>7966</v>
      </c>
      <c r="H283" s="546">
        <v>1886</v>
      </c>
      <c r="J283" s="529">
        <v>1886</v>
      </c>
    </row>
    <row r="284" spans="7:10">
      <c r="G284" s="537" t="s">
        <v>7114</v>
      </c>
      <c r="H284" s="728">
        <v>1756</v>
      </c>
      <c r="I284" s="537"/>
      <c r="J284" s="538">
        <v>1756</v>
      </c>
    </row>
    <row r="285" spans="7:10">
      <c r="G285" t="s">
        <v>8079</v>
      </c>
      <c r="H285" s="546">
        <v>1662</v>
      </c>
      <c r="J285" s="529">
        <v>1662</v>
      </c>
    </row>
    <row r="286" spans="7:10">
      <c r="G286" s="537" t="s">
        <v>7115</v>
      </c>
      <c r="H286" s="728">
        <v>1573</v>
      </c>
      <c r="I286" s="537"/>
      <c r="J286" s="538">
        <v>1573</v>
      </c>
    </row>
    <row r="287" spans="7:10">
      <c r="G287" t="s">
        <v>8018</v>
      </c>
      <c r="H287" s="546">
        <v>1534</v>
      </c>
      <c r="J287" s="529">
        <v>1534</v>
      </c>
    </row>
    <row r="288" spans="7:10">
      <c r="G288" s="537" t="s">
        <v>7989</v>
      </c>
      <c r="H288" s="728">
        <v>1534</v>
      </c>
      <c r="I288" s="537"/>
      <c r="J288" s="538">
        <v>1534</v>
      </c>
    </row>
    <row r="289" spans="7:10">
      <c r="G289" t="s">
        <v>178</v>
      </c>
      <c r="H289" s="546">
        <v>1520</v>
      </c>
      <c r="J289" s="529">
        <v>1520</v>
      </c>
    </row>
    <row r="290" spans="7:10">
      <c r="G290" s="537" t="s">
        <v>8077</v>
      </c>
      <c r="H290" s="728">
        <v>1499</v>
      </c>
      <c r="I290" s="537"/>
      <c r="J290" s="538">
        <v>1499</v>
      </c>
    </row>
    <row r="291" spans="7:10">
      <c r="G291" t="s">
        <v>7957</v>
      </c>
      <c r="H291" s="546">
        <v>1442</v>
      </c>
      <c r="J291" s="529">
        <v>1442</v>
      </c>
    </row>
    <row r="292" spans="7:10">
      <c r="G292" s="537" t="s">
        <v>214</v>
      </c>
      <c r="H292" s="728">
        <v>1425</v>
      </c>
      <c r="I292" s="537"/>
      <c r="J292" s="538">
        <v>1425</v>
      </c>
    </row>
    <row r="293" spans="7:10">
      <c r="G293" t="s">
        <v>1900</v>
      </c>
      <c r="H293" s="546">
        <v>1382</v>
      </c>
      <c r="J293" s="529">
        <v>1382</v>
      </c>
    </row>
    <row r="294" spans="7:10">
      <c r="G294" s="537" t="s">
        <v>7968</v>
      </c>
      <c r="H294" s="728">
        <v>1314</v>
      </c>
      <c r="I294" s="537"/>
      <c r="J294" s="538">
        <v>1314</v>
      </c>
    </row>
    <row r="295" spans="7:10">
      <c r="G295" t="s">
        <v>259</v>
      </c>
      <c r="H295" s="546">
        <v>1284</v>
      </c>
      <c r="J295" s="529">
        <v>1284</v>
      </c>
    </row>
    <row r="296" spans="7:10">
      <c r="G296" s="537" t="s">
        <v>3805</v>
      </c>
      <c r="H296" s="728">
        <v>1259</v>
      </c>
      <c r="I296" s="537"/>
      <c r="J296" s="538">
        <v>1259</v>
      </c>
    </row>
    <row r="297" spans="7:10">
      <c r="G297" t="s">
        <v>8080</v>
      </c>
      <c r="H297" s="546">
        <v>1252</v>
      </c>
      <c r="J297" s="529">
        <v>1252</v>
      </c>
    </row>
    <row r="298" spans="7:10">
      <c r="G298" s="537" t="s">
        <v>7093</v>
      </c>
      <c r="H298" s="728">
        <v>1235</v>
      </c>
      <c r="I298" s="537"/>
      <c r="J298" s="538">
        <v>1235</v>
      </c>
    </row>
    <row r="299" spans="7:10">
      <c r="G299" t="s">
        <v>1049</v>
      </c>
      <c r="H299" s="546">
        <v>1191</v>
      </c>
      <c r="J299" s="529">
        <v>1191</v>
      </c>
    </row>
    <row r="300" spans="7:10">
      <c r="G300" s="537" t="s">
        <v>267</v>
      </c>
      <c r="H300" s="728">
        <v>1148</v>
      </c>
      <c r="I300" s="537"/>
      <c r="J300" s="538">
        <v>1148</v>
      </c>
    </row>
    <row r="301" spans="7:10">
      <c r="G301" t="s">
        <v>335</v>
      </c>
      <c r="H301" s="546">
        <v>1104</v>
      </c>
      <c r="J301" s="529">
        <v>1104</v>
      </c>
    </row>
    <row r="302" spans="7:10">
      <c r="G302" s="537" t="s">
        <v>7122</v>
      </c>
      <c r="H302" s="728">
        <v>1083</v>
      </c>
      <c r="I302" s="537"/>
      <c r="J302" s="538">
        <v>1083</v>
      </c>
    </row>
    <row r="303" spans="7:10">
      <c r="G303" t="s">
        <v>1048</v>
      </c>
      <c r="H303" s="546">
        <v>1075</v>
      </c>
      <c r="J303" s="529">
        <v>1075</v>
      </c>
    </row>
    <row r="304" spans="7:10">
      <c r="G304" s="537" t="s">
        <v>7995</v>
      </c>
      <c r="H304" s="728">
        <v>1038</v>
      </c>
      <c r="I304" s="537"/>
      <c r="J304" s="538">
        <v>1038</v>
      </c>
    </row>
    <row r="305" spans="7:10">
      <c r="G305" t="s">
        <v>8005</v>
      </c>
      <c r="H305" s="546">
        <v>1000</v>
      </c>
      <c r="J305" s="529">
        <v>1000</v>
      </c>
    </row>
    <row r="306" spans="7:10">
      <c r="G306" s="537" t="s">
        <v>7998</v>
      </c>
      <c r="H306" s="537">
        <v>986</v>
      </c>
      <c r="I306" s="537"/>
      <c r="J306" s="538">
        <v>986</v>
      </c>
    </row>
    <row r="307" spans="7:10">
      <c r="G307" t="s">
        <v>7123</v>
      </c>
      <c r="H307">
        <v>965</v>
      </c>
      <c r="J307" s="529">
        <v>965</v>
      </c>
    </row>
    <row r="308" spans="7:10">
      <c r="G308" s="537" t="s">
        <v>8086</v>
      </c>
      <c r="H308" s="537">
        <v>952</v>
      </c>
      <c r="I308" s="537"/>
      <c r="J308" s="538">
        <v>952</v>
      </c>
    </row>
    <row r="309" spans="7:10">
      <c r="G309" t="s">
        <v>1784</v>
      </c>
      <c r="H309">
        <v>952</v>
      </c>
      <c r="J309" s="529">
        <v>952</v>
      </c>
    </row>
    <row r="310" spans="7:10">
      <c r="G310" s="537" t="s">
        <v>7124</v>
      </c>
      <c r="H310" s="537">
        <v>941</v>
      </c>
      <c r="I310" s="537"/>
      <c r="J310" s="538">
        <v>941</v>
      </c>
    </row>
    <row r="311" spans="7:10">
      <c r="G311" t="s">
        <v>8081</v>
      </c>
      <c r="H311">
        <v>889</v>
      </c>
      <c r="J311" s="529">
        <v>889</v>
      </c>
    </row>
    <row r="312" spans="7:10">
      <c r="G312" s="537" t="s">
        <v>305</v>
      </c>
      <c r="H312" s="537">
        <v>878</v>
      </c>
      <c r="I312" s="537"/>
      <c r="J312" s="538">
        <v>878</v>
      </c>
    </row>
    <row r="313" spans="7:10">
      <c r="G313" t="s">
        <v>194</v>
      </c>
      <c r="H313">
        <v>876</v>
      </c>
      <c r="J313" s="529">
        <v>876</v>
      </c>
    </row>
    <row r="314" spans="7:10">
      <c r="G314" s="537" t="s">
        <v>207</v>
      </c>
      <c r="H314" s="537">
        <v>858</v>
      </c>
      <c r="I314" s="537"/>
      <c r="J314" s="538">
        <v>858</v>
      </c>
    </row>
    <row r="315" spans="7:10">
      <c r="G315" t="s">
        <v>454</v>
      </c>
      <c r="H315">
        <v>856</v>
      </c>
      <c r="J315" s="529">
        <v>856</v>
      </c>
    </row>
    <row r="316" spans="7:10">
      <c r="G316" s="537" t="s">
        <v>7999</v>
      </c>
      <c r="H316" s="537">
        <v>844</v>
      </c>
      <c r="I316" s="537"/>
      <c r="J316" s="538">
        <v>844</v>
      </c>
    </row>
    <row r="317" spans="7:10">
      <c r="G317" t="s">
        <v>1051</v>
      </c>
      <c r="H317">
        <v>761</v>
      </c>
      <c r="J317" s="529">
        <v>761</v>
      </c>
    </row>
    <row r="318" spans="7:10">
      <c r="G318" s="537" t="s">
        <v>312</v>
      </c>
      <c r="H318" s="537">
        <v>759</v>
      </c>
      <c r="I318" s="537"/>
      <c r="J318" s="538">
        <v>759</v>
      </c>
    </row>
    <row r="319" spans="7:10">
      <c r="G319" t="s">
        <v>311</v>
      </c>
      <c r="H319">
        <v>742</v>
      </c>
      <c r="J319" s="529">
        <v>742</v>
      </c>
    </row>
    <row r="320" spans="7:10">
      <c r="G320" s="537" t="s">
        <v>197</v>
      </c>
      <c r="H320" s="537">
        <v>718</v>
      </c>
      <c r="I320" s="537"/>
      <c r="J320" s="538">
        <v>718</v>
      </c>
    </row>
    <row r="321" spans="7:10">
      <c r="G321" t="s">
        <v>7976</v>
      </c>
      <c r="H321">
        <v>706</v>
      </c>
      <c r="J321" s="529">
        <v>706</v>
      </c>
    </row>
    <row r="322" spans="7:10">
      <c r="G322" s="537" t="s">
        <v>132</v>
      </c>
      <c r="H322" s="537">
        <v>698</v>
      </c>
      <c r="I322" s="537"/>
      <c r="J322" s="538">
        <v>698</v>
      </c>
    </row>
    <row r="323" spans="7:10">
      <c r="G323" t="s">
        <v>7140</v>
      </c>
      <c r="H323">
        <v>687</v>
      </c>
      <c r="J323" s="529">
        <v>687</v>
      </c>
    </row>
    <row r="324" spans="7:10">
      <c r="G324" s="537" t="s">
        <v>172</v>
      </c>
      <c r="H324" s="537">
        <v>668</v>
      </c>
      <c r="I324" s="537"/>
      <c r="J324" s="538">
        <v>668</v>
      </c>
    </row>
    <row r="325" spans="7:10">
      <c r="G325" t="s">
        <v>7075</v>
      </c>
      <c r="H325">
        <v>660</v>
      </c>
      <c r="J325" s="529">
        <v>660</v>
      </c>
    </row>
    <row r="326" spans="7:10">
      <c r="G326" s="537" t="s">
        <v>313</v>
      </c>
      <c r="H326" s="537">
        <v>638</v>
      </c>
      <c r="I326" s="537"/>
      <c r="J326" s="538">
        <v>638</v>
      </c>
    </row>
    <row r="327" spans="7:10">
      <c r="G327" t="s">
        <v>249</v>
      </c>
      <c r="H327">
        <v>618</v>
      </c>
      <c r="J327" s="529">
        <v>618</v>
      </c>
    </row>
    <row r="328" spans="7:10">
      <c r="G328" s="537" t="s">
        <v>1039</v>
      </c>
      <c r="H328" s="537">
        <v>614</v>
      </c>
      <c r="I328" s="537"/>
      <c r="J328" s="538">
        <v>614</v>
      </c>
    </row>
    <row r="329" spans="7:10">
      <c r="G329" t="s">
        <v>8082</v>
      </c>
      <c r="H329">
        <v>608</v>
      </c>
      <c r="J329" s="529">
        <v>608</v>
      </c>
    </row>
    <row r="330" spans="7:10">
      <c r="G330" s="537" t="s">
        <v>1041</v>
      </c>
      <c r="H330" s="537">
        <v>592</v>
      </c>
      <c r="I330" s="537"/>
      <c r="J330" s="538">
        <v>592</v>
      </c>
    </row>
    <row r="331" spans="7:10">
      <c r="G331" t="s">
        <v>8016</v>
      </c>
      <c r="H331">
        <v>570</v>
      </c>
      <c r="J331" s="529">
        <v>570</v>
      </c>
    </row>
    <row r="332" spans="7:10">
      <c r="G332" s="537" t="s">
        <v>8084</v>
      </c>
      <c r="H332" s="537">
        <v>556</v>
      </c>
      <c r="I332" s="537"/>
      <c r="J332" s="538">
        <v>556</v>
      </c>
    </row>
    <row r="333" spans="7:10">
      <c r="G333" t="s">
        <v>234</v>
      </c>
      <c r="H333">
        <v>532</v>
      </c>
      <c r="J333" s="529">
        <v>532</v>
      </c>
    </row>
    <row r="334" spans="7:10">
      <c r="G334" s="537" t="s">
        <v>421</v>
      </c>
      <c r="H334" s="537">
        <v>510</v>
      </c>
      <c r="I334" s="537"/>
      <c r="J334" s="538">
        <v>510</v>
      </c>
    </row>
    <row r="335" spans="7:10">
      <c r="G335" t="s">
        <v>7103</v>
      </c>
      <c r="H335">
        <v>505</v>
      </c>
      <c r="J335" s="529">
        <v>505</v>
      </c>
    </row>
    <row r="336" spans="7:10">
      <c r="G336" s="537" t="s">
        <v>5687</v>
      </c>
      <c r="H336" s="537">
        <v>496</v>
      </c>
      <c r="I336" s="537"/>
      <c r="J336" s="538">
        <v>496</v>
      </c>
    </row>
    <row r="337" spans="7:10">
      <c r="G337" t="s">
        <v>7145</v>
      </c>
      <c r="H337">
        <v>486</v>
      </c>
      <c r="J337" s="529">
        <v>486</v>
      </c>
    </row>
    <row r="338" spans="7:10">
      <c r="G338" s="537" t="s">
        <v>7134</v>
      </c>
      <c r="H338" s="537">
        <v>476</v>
      </c>
      <c r="I338" s="537"/>
      <c r="J338" s="538">
        <v>476</v>
      </c>
    </row>
    <row r="339" spans="7:10">
      <c r="G339" t="s">
        <v>7135</v>
      </c>
      <c r="H339">
        <v>476</v>
      </c>
      <c r="J339" s="529">
        <v>476</v>
      </c>
    </row>
    <row r="340" spans="7:10">
      <c r="G340" s="537" t="s">
        <v>216</v>
      </c>
      <c r="H340" s="537">
        <v>458</v>
      </c>
      <c r="I340" s="537"/>
      <c r="J340" s="538">
        <v>458</v>
      </c>
    </row>
    <row r="341" spans="7:10">
      <c r="G341" t="s">
        <v>7988</v>
      </c>
      <c r="H341">
        <v>432</v>
      </c>
      <c r="J341" s="529">
        <v>432</v>
      </c>
    </row>
    <row r="342" spans="7:10">
      <c r="G342" s="537" t="s">
        <v>7136</v>
      </c>
      <c r="H342" s="537">
        <v>420</v>
      </c>
      <c r="I342" s="537"/>
      <c r="J342" s="538">
        <v>420</v>
      </c>
    </row>
    <row r="343" spans="7:10">
      <c r="G343" t="s">
        <v>7139</v>
      </c>
      <c r="H343">
        <v>395</v>
      </c>
      <c r="J343" s="529">
        <v>395</v>
      </c>
    </row>
    <row r="344" spans="7:10">
      <c r="G344" s="537" t="s">
        <v>7955</v>
      </c>
      <c r="H344" s="537">
        <v>395</v>
      </c>
      <c r="I344" s="537"/>
      <c r="J344" s="538">
        <v>395</v>
      </c>
    </row>
    <row r="345" spans="7:10">
      <c r="G345" t="s">
        <v>228</v>
      </c>
      <c r="H345">
        <v>332</v>
      </c>
      <c r="J345" s="529">
        <v>332</v>
      </c>
    </row>
    <row r="346" spans="7:10">
      <c r="G346" s="537" t="s">
        <v>7141</v>
      </c>
      <c r="H346" s="537">
        <v>314</v>
      </c>
      <c r="I346" s="537"/>
      <c r="J346" s="538">
        <v>314</v>
      </c>
    </row>
    <row r="347" spans="7:10">
      <c r="G347" t="s">
        <v>7142</v>
      </c>
      <c r="H347">
        <v>312</v>
      </c>
      <c r="J347" s="529">
        <v>312</v>
      </c>
    </row>
    <row r="348" spans="7:10">
      <c r="G348" s="537" t="s">
        <v>8083</v>
      </c>
      <c r="H348" s="537">
        <v>299</v>
      </c>
      <c r="I348" s="537"/>
      <c r="J348" s="538">
        <v>299</v>
      </c>
    </row>
    <row r="349" spans="7:10">
      <c r="G349" t="s">
        <v>8085</v>
      </c>
      <c r="H349">
        <v>296</v>
      </c>
      <c r="J349" s="529">
        <v>296</v>
      </c>
    </row>
    <row r="350" spans="7:10">
      <c r="G350" s="537" t="s">
        <v>8019</v>
      </c>
      <c r="H350" s="537">
        <v>294</v>
      </c>
      <c r="I350" s="537"/>
      <c r="J350" s="538">
        <v>294</v>
      </c>
    </row>
    <row r="351" spans="7:10">
      <c r="G351" t="s">
        <v>235</v>
      </c>
      <c r="H351">
        <v>286</v>
      </c>
      <c r="J351" s="529">
        <v>286</v>
      </c>
    </row>
    <row r="352" spans="7:10">
      <c r="G352" s="537" t="s">
        <v>7129</v>
      </c>
      <c r="H352" s="537">
        <v>285</v>
      </c>
      <c r="I352" s="537"/>
      <c r="J352" s="538">
        <v>285</v>
      </c>
    </row>
    <row r="353" spans="7:10">
      <c r="G353" t="s">
        <v>456</v>
      </c>
      <c r="H353">
        <v>272</v>
      </c>
      <c r="J353" s="529">
        <v>272</v>
      </c>
    </row>
    <row r="354" spans="7:10">
      <c r="G354" s="537" t="s">
        <v>357</v>
      </c>
      <c r="H354" s="537">
        <v>266</v>
      </c>
      <c r="I354" s="537"/>
      <c r="J354" s="538">
        <v>266</v>
      </c>
    </row>
    <row r="355" spans="7:10">
      <c r="G355" t="s">
        <v>1715</v>
      </c>
      <c r="H355">
        <v>263</v>
      </c>
      <c r="J355" s="529">
        <v>263</v>
      </c>
    </row>
    <row r="356" spans="7:10">
      <c r="G356" s="537" t="s">
        <v>219</v>
      </c>
      <c r="H356" s="537">
        <v>243</v>
      </c>
      <c r="I356" s="537"/>
      <c r="J356" s="538">
        <v>243</v>
      </c>
    </row>
    <row r="357" spans="7:10">
      <c r="G357" t="s">
        <v>7131</v>
      </c>
      <c r="H357">
        <v>242</v>
      </c>
      <c r="J357" s="529">
        <v>242</v>
      </c>
    </row>
    <row r="358" spans="7:10">
      <c r="G358" s="537" t="s">
        <v>203</v>
      </c>
      <c r="H358" s="537">
        <v>238</v>
      </c>
      <c r="I358" s="537"/>
      <c r="J358" s="538">
        <v>238</v>
      </c>
    </row>
    <row r="359" spans="7:10">
      <c r="G359" t="s">
        <v>285</v>
      </c>
      <c r="H359">
        <v>238</v>
      </c>
      <c r="J359" s="529">
        <v>238</v>
      </c>
    </row>
    <row r="360" spans="7:10">
      <c r="G360" s="537" t="s">
        <v>7171</v>
      </c>
      <c r="H360" s="537">
        <v>238</v>
      </c>
      <c r="I360" s="537"/>
      <c r="J360" s="538">
        <v>238</v>
      </c>
    </row>
    <row r="361" spans="7:10">
      <c r="G361" t="s">
        <v>6878</v>
      </c>
      <c r="H361">
        <v>234</v>
      </c>
      <c r="J361" s="529">
        <v>234</v>
      </c>
    </row>
    <row r="362" spans="7:10">
      <c r="G362" s="537" t="s">
        <v>8037</v>
      </c>
      <c r="H362" s="537">
        <v>229</v>
      </c>
      <c r="I362" s="537"/>
      <c r="J362" s="538">
        <v>229</v>
      </c>
    </row>
    <row r="363" spans="7:10">
      <c r="G363" t="s">
        <v>1057</v>
      </c>
      <c r="H363">
        <v>229</v>
      </c>
      <c r="J363" s="529">
        <v>229</v>
      </c>
    </row>
    <row r="364" spans="7:10">
      <c r="G364" s="537" t="s">
        <v>345</v>
      </c>
      <c r="H364" s="537">
        <v>216</v>
      </c>
      <c r="I364" s="537"/>
      <c r="J364" s="538">
        <v>216</v>
      </c>
    </row>
    <row r="365" spans="7:10">
      <c r="G365" t="s">
        <v>337</v>
      </c>
      <c r="H365">
        <v>213</v>
      </c>
      <c r="J365" s="529">
        <v>213</v>
      </c>
    </row>
    <row r="366" spans="7:10">
      <c r="G366" s="537" t="s">
        <v>5710</v>
      </c>
      <c r="H366" s="537">
        <v>207</v>
      </c>
      <c r="I366" s="537"/>
      <c r="J366" s="538">
        <v>207</v>
      </c>
    </row>
    <row r="367" spans="7:10">
      <c r="G367" t="s">
        <v>1058</v>
      </c>
      <c r="H367">
        <v>192</v>
      </c>
      <c r="J367" s="529">
        <v>192</v>
      </c>
    </row>
    <row r="368" spans="7:10">
      <c r="G368" s="537" t="s">
        <v>8020</v>
      </c>
      <c r="H368" s="537">
        <v>191</v>
      </c>
      <c r="I368" s="537"/>
      <c r="J368" s="538">
        <v>191</v>
      </c>
    </row>
    <row r="369" spans="7:10">
      <c r="G369" t="s">
        <v>7173</v>
      </c>
      <c r="H369">
        <v>190</v>
      </c>
      <c r="J369" s="529">
        <v>190</v>
      </c>
    </row>
    <row r="370" spans="7:10">
      <c r="G370" s="537" t="s">
        <v>7150</v>
      </c>
      <c r="H370" s="537">
        <v>186</v>
      </c>
      <c r="I370" s="537"/>
      <c r="J370" s="538">
        <v>186</v>
      </c>
    </row>
    <row r="371" spans="7:10">
      <c r="G371" t="s">
        <v>274</v>
      </c>
      <c r="H371">
        <v>185</v>
      </c>
      <c r="J371" s="529">
        <v>185</v>
      </c>
    </row>
    <row r="372" spans="7:10">
      <c r="G372" s="537" t="s">
        <v>342</v>
      </c>
      <c r="H372" s="537">
        <v>172</v>
      </c>
      <c r="I372" s="537"/>
      <c r="J372" s="538">
        <v>172</v>
      </c>
    </row>
    <row r="373" spans="7:10">
      <c r="G373" t="s">
        <v>7154</v>
      </c>
      <c r="H373">
        <v>167</v>
      </c>
      <c r="J373" s="529">
        <v>167</v>
      </c>
    </row>
    <row r="374" spans="7:10">
      <c r="G374" s="537" t="s">
        <v>7153</v>
      </c>
      <c r="H374" s="537">
        <v>166</v>
      </c>
      <c r="I374" s="537"/>
      <c r="J374" s="538">
        <v>166</v>
      </c>
    </row>
    <row r="375" spans="7:10">
      <c r="G375" t="s">
        <v>8011</v>
      </c>
      <c r="H375">
        <v>166</v>
      </c>
      <c r="J375" s="529">
        <v>166</v>
      </c>
    </row>
    <row r="376" spans="7:10">
      <c r="G376" s="537" t="s">
        <v>8088</v>
      </c>
      <c r="H376" s="537">
        <v>163</v>
      </c>
      <c r="I376" s="537"/>
      <c r="J376" s="538">
        <v>163</v>
      </c>
    </row>
    <row r="377" spans="7:10">
      <c r="G377" t="s">
        <v>8022</v>
      </c>
      <c r="H377">
        <v>156</v>
      </c>
      <c r="J377" s="529">
        <v>156</v>
      </c>
    </row>
    <row r="378" spans="7:10">
      <c r="G378" s="537" t="s">
        <v>7987</v>
      </c>
      <c r="H378" s="537">
        <v>152</v>
      </c>
      <c r="I378" s="537"/>
      <c r="J378" s="538">
        <v>152</v>
      </c>
    </row>
    <row r="379" spans="7:10">
      <c r="G379" t="s">
        <v>8042</v>
      </c>
      <c r="H379">
        <v>152</v>
      </c>
      <c r="J379" s="529">
        <v>152</v>
      </c>
    </row>
    <row r="380" spans="7:10">
      <c r="G380" s="537" t="s">
        <v>7157</v>
      </c>
      <c r="H380" s="537">
        <v>151</v>
      </c>
      <c r="I380" s="537"/>
      <c r="J380" s="538">
        <v>151</v>
      </c>
    </row>
    <row r="381" spans="7:10">
      <c r="G381" t="s">
        <v>7158</v>
      </c>
      <c r="H381">
        <v>148</v>
      </c>
      <c r="J381" s="529">
        <v>148</v>
      </c>
    </row>
    <row r="382" spans="7:10">
      <c r="G382" s="537" t="s">
        <v>8089</v>
      </c>
      <c r="H382" s="537">
        <v>147</v>
      </c>
      <c r="I382" s="537"/>
      <c r="J382" s="538">
        <v>147</v>
      </c>
    </row>
    <row r="383" spans="7:10">
      <c r="G383" t="s">
        <v>7160</v>
      </c>
      <c r="H383">
        <v>147</v>
      </c>
      <c r="J383" s="529">
        <v>147</v>
      </c>
    </row>
    <row r="384" spans="7:10">
      <c r="G384" s="537" t="s">
        <v>8028</v>
      </c>
      <c r="H384" s="537">
        <v>138</v>
      </c>
      <c r="I384" s="537"/>
      <c r="J384" s="538">
        <v>138</v>
      </c>
    </row>
    <row r="385" spans="7:10">
      <c r="G385" t="s">
        <v>336</v>
      </c>
      <c r="H385">
        <v>133</v>
      </c>
      <c r="J385" s="529">
        <v>133</v>
      </c>
    </row>
    <row r="386" spans="7:10">
      <c r="G386" s="537" t="s">
        <v>8025</v>
      </c>
      <c r="H386" s="537">
        <v>128</v>
      </c>
      <c r="I386" s="537"/>
      <c r="J386" s="538">
        <v>128</v>
      </c>
    </row>
    <row r="387" spans="7:10">
      <c r="G387" t="s">
        <v>7166</v>
      </c>
      <c r="H387">
        <v>128</v>
      </c>
      <c r="J387" s="529">
        <v>128</v>
      </c>
    </row>
    <row r="388" spans="7:10">
      <c r="G388" s="537" t="s">
        <v>7168</v>
      </c>
      <c r="H388" s="537">
        <v>126</v>
      </c>
      <c r="I388" s="537"/>
      <c r="J388" s="538">
        <v>126</v>
      </c>
    </row>
    <row r="389" spans="7:10">
      <c r="G389" t="s">
        <v>7170</v>
      </c>
      <c r="H389">
        <v>120</v>
      </c>
      <c r="J389" s="529">
        <v>120</v>
      </c>
    </row>
    <row r="390" spans="7:10">
      <c r="G390" s="537" t="s">
        <v>7108</v>
      </c>
      <c r="H390" s="537">
        <v>96</v>
      </c>
      <c r="I390" s="537"/>
      <c r="J390" s="538">
        <v>96</v>
      </c>
    </row>
    <row r="391" spans="7:10">
      <c r="G391" t="s">
        <v>411</v>
      </c>
      <c r="H391">
        <v>95</v>
      </c>
      <c r="J391" s="529">
        <v>95</v>
      </c>
    </row>
    <row r="392" spans="7:10">
      <c r="G392" s="537" t="s">
        <v>7152</v>
      </c>
      <c r="H392" s="537">
        <v>89</v>
      </c>
      <c r="I392" s="537"/>
      <c r="J392" s="538">
        <v>89</v>
      </c>
    </row>
    <row r="393" spans="7:10">
      <c r="G393" t="s">
        <v>5728</v>
      </c>
      <c r="H393">
        <v>88</v>
      </c>
      <c r="J393" s="529">
        <v>88</v>
      </c>
    </row>
    <row r="394" spans="7:10">
      <c r="G394" s="537" t="s">
        <v>309</v>
      </c>
      <c r="H394" s="537">
        <v>87</v>
      </c>
      <c r="I394" s="537"/>
      <c r="J394" s="538">
        <v>87</v>
      </c>
    </row>
    <row r="395" spans="7:10">
      <c r="G395" t="s">
        <v>7956</v>
      </c>
      <c r="H395">
        <v>85</v>
      </c>
      <c r="J395" s="529">
        <v>85</v>
      </c>
    </row>
    <row r="396" spans="7:10">
      <c r="G396" s="537" t="s">
        <v>7176</v>
      </c>
      <c r="H396" s="537">
        <v>76</v>
      </c>
      <c r="I396" s="537"/>
      <c r="J396" s="538">
        <v>76</v>
      </c>
    </row>
    <row r="397" spans="7:10">
      <c r="G397" t="s">
        <v>8090</v>
      </c>
      <c r="H397">
        <v>72</v>
      </c>
      <c r="J397" s="529">
        <v>72</v>
      </c>
    </row>
    <row r="398" spans="7:10">
      <c r="G398" s="537" t="s">
        <v>7161</v>
      </c>
      <c r="H398" s="537">
        <v>72</v>
      </c>
      <c r="I398" s="537"/>
      <c r="J398" s="538">
        <v>72</v>
      </c>
    </row>
    <row r="399" spans="7:10">
      <c r="G399" t="s">
        <v>7094</v>
      </c>
      <c r="H399">
        <v>70</v>
      </c>
      <c r="J399" s="529">
        <v>70</v>
      </c>
    </row>
    <row r="400" spans="7:10">
      <c r="G400" s="537" t="s">
        <v>783</v>
      </c>
      <c r="H400" s="537">
        <v>69</v>
      </c>
      <c r="I400" s="537"/>
      <c r="J400" s="538">
        <v>69</v>
      </c>
    </row>
    <row r="401" spans="7:10">
      <c r="G401" t="s">
        <v>317</v>
      </c>
      <c r="H401">
        <v>68</v>
      </c>
      <c r="J401" s="529">
        <v>68</v>
      </c>
    </row>
    <row r="402" spans="7:10">
      <c r="G402" s="537" t="s">
        <v>7991</v>
      </c>
      <c r="H402" s="537">
        <v>68</v>
      </c>
      <c r="I402" s="537"/>
      <c r="J402" s="538">
        <v>68</v>
      </c>
    </row>
    <row r="403" spans="7:10">
      <c r="G403" t="s">
        <v>7178</v>
      </c>
      <c r="H403">
        <v>63</v>
      </c>
      <c r="J403" s="529">
        <v>63</v>
      </c>
    </row>
    <row r="404" spans="7:10">
      <c r="G404" s="537" t="s">
        <v>8033</v>
      </c>
      <c r="H404" s="537">
        <v>62</v>
      </c>
      <c r="I404" s="537"/>
      <c r="J404" s="538">
        <v>62</v>
      </c>
    </row>
    <row r="405" spans="7:10">
      <c r="G405" t="s">
        <v>318</v>
      </c>
      <c r="H405">
        <v>62</v>
      </c>
      <c r="J405" s="529">
        <v>62</v>
      </c>
    </row>
    <row r="406" spans="7:10">
      <c r="G406" s="537" t="s">
        <v>7179</v>
      </c>
      <c r="H406" s="537">
        <v>59</v>
      </c>
      <c r="I406" s="537"/>
      <c r="J406" s="538">
        <v>59</v>
      </c>
    </row>
    <row r="407" spans="7:10">
      <c r="G407" t="s">
        <v>7953</v>
      </c>
      <c r="H407">
        <v>58</v>
      </c>
      <c r="J407" s="529">
        <v>58</v>
      </c>
    </row>
    <row r="408" spans="7:10">
      <c r="G408" s="537" t="s">
        <v>1891</v>
      </c>
      <c r="H408" s="537">
        <v>58</v>
      </c>
      <c r="I408" s="537"/>
      <c r="J408" s="538">
        <v>58</v>
      </c>
    </row>
    <row r="409" spans="7:10">
      <c r="G409" t="s">
        <v>360</v>
      </c>
      <c r="H409">
        <v>56</v>
      </c>
      <c r="J409" s="529">
        <v>56</v>
      </c>
    </row>
    <row r="410" spans="7:10">
      <c r="G410" s="537" t="s">
        <v>8021</v>
      </c>
      <c r="H410" s="537">
        <v>48</v>
      </c>
      <c r="I410" s="537"/>
      <c r="J410" s="538">
        <v>48</v>
      </c>
    </row>
    <row r="411" spans="7:10">
      <c r="G411" t="s">
        <v>8091</v>
      </c>
      <c r="H411">
        <v>47</v>
      </c>
      <c r="J411" s="529">
        <v>47</v>
      </c>
    </row>
    <row r="412" spans="7:10">
      <c r="G412" s="537" t="s">
        <v>7959</v>
      </c>
      <c r="H412" s="537">
        <v>41</v>
      </c>
      <c r="I412" s="537"/>
      <c r="J412" s="538">
        <v>41</v>
      </c>
    </row>
    <row r="413" spans="7:10">
      <c r="G413" t="s">
        <v>5709</v>
      </c>
      <c r="H413">
        <v>39</v>
      </c>
      <c r="J413" s="529">
        <v>39</v>
      </c>
    </row>
    <row r="414" spans="7:10">
      <c r="G414" s="537" t="s">
        <v>7049</v>
      </c>
      <c r="H414" s="537">
        <v>39</v>
      </c>
      <c r="I414" s="537"/>
      <c r="J414" s="538">
        <v>39</v>
      </c>
    </row>
    <row r="415" spans="7:10">
      <c r="G415" t="s">
        <v>316</v>
      </c>
      <c r="H415">
        <v>37</v>
      </c>
      <c r="J415" s="529">
        <v>37</v>
      </c>
    </row>
    <row r="416" spans="7:10">
      <c r="G416" s="537" t="s">
        <v>10195</v>
      </c>
      <c r="H416" s="537">
        <v>36</v>
      </c>
      <c r="I416" s="537"/>
      <c r="J416" s="538">
        <v>36</v>
      </c>
    </row>
    <row r="417" spans="7:10">
      <c r="G417" t="s">
        <v>7985</v>
      </c>
      <c r="H417">
        <v>34</v>
      </c>
      <c r="J417" s="529">
        <v>34</v>
      </c>
    </row>
    <row r="418" spans="7:10">
      <c r="G418" s="537" t="s">
        <v>7185</v>
      </c>
      <c r="H418" s="537">
        <v>32</v>
      </c>
      <c r="I418" s="537"/>
      <c r="J418" s="538">
        <v>32</v>
      </c>
    </row>
    <row r="419" spans="7:10">
      <c r="G419" t="s">
        <v>8045</v>
      </c>
      <c r="H419">
        <v>26</v>
      </c>
      <c r="J419" s="529">
        <v>26</v>
      </c>
    </row>
    <row r="420" spans="7:10">
      <c r="G420" s="537" t="s">
        <v>7186</v>
      </c>
      <c r="H420" s="537">
        <v>26</v>
      </c>
      <c r="I420" s="537"/>
      <c r="J420" s="538">
        <v>26</v>
      </c>
    </row>
    <row r="421" spans="7:10">
      <c r="G421" t="s">
        <v>7187</v>
      </c>
      <c r="H421">
        <v>26</v>
      </c>
      <c r="J421" s="529">
        <v>26</v>
      </c>
    </row>
    <row r="422" spans="7:10">
      <c r="G422" s="537" t="s">
        <v>7151</v>
      </c>
      <c r="H422" s="537">
        <v>19</v>
      </c>
      <c r="I422" s="537"/>
      <c r="J422" s="538">
        <v>19</v>
      </c>
    </row>
    <row r="423" spans="7:10">
      <c r="G423" t="s">
        <v>7188</v>
      </c>
      <c r="H423">
        <v>14</v>
      </c>
      <c r="J423" s="529">
        <v>14</v>
      </c>
    </row>
    <row r="424" spans="7:10">
      <c r="G424" s="537" t="s">
        <v>7990</v>
      </c>
      <c r="H424" s="537">
        <v>13</v>
      </c>
      <c r="I424" s="537"/>
      <c r="J424" s="538">
        <v>13</v>
      </c>
    </row>
    <row r="425" spans="7:10">
      <c r="G425" t="s">
        <v>7191</v>
      </c>
      <c r="H425">
        <v>13</v>
      </c>
      <c r="J425" s="529">
        <v>13</v>
      </c>
    </row>
    <row r="426" spans="7:10">
      <c r="G426" s="537" t="s">
        <v>7195</v>
      </c>
      <c r="H426" s="537">
        <v>12</v>
      </c>
      <c r="I426" s="537"/>
      <c r="J426" s="538">
        <v>12</v>
      </c>
    </row>
    <row r="427" spans="7:10">
      <c r="G427" t="s">
        <v>1894</v>
      </c>
      <c r="H427">
        <v>12</v>
      </c>
      <c r="J427" s="529">
        <v>12</v>
      </c>
    </row>
    <row r="428" spans="7:10">
      <c r="G428" s="537" t="s">
        <v>7951</v>
      </c>
      <c r="H428" s="537">
        <v>11</v>
      </c>
      <c r="I428" s="537"/>
      <c r="J428" s="538">
        <v>11</v>
      </c>
    </row>
    <row r="429" spans="7:10">
      <c r="G429" t="s">
        <v>8008</v>
      </c>
      <c r="H429">
        <v>10</v>
      </c>
      <c r="J429" s="529">
        <v>10</v>
      </c>
    </row>
    <row r="430" spans="7:10">
      <c r="G430" s="537" t="s">
        <v>8009</v>
      </c>
      <c r="H430" s="537">
        <v>8</v>
      </c>
      <c r="I430" s="537"/>
      <c r="J430" s="538">
        <v>8</v>
      </c>
    </row>
    <row r="431" spans="7:10">
      <c r="G431" t="s">
        <v>5723</v>
      </c>
      <c r="H431">
        <v>8</v>
      </c>
      <c r="J431" s="529">
        <v>8</v>
      </c>
    </row>
    <row r="432" spans="7:10">
      <c r="G432" s="537" t="s">
        <v>8000</v>
      </c>
      <c r="H432" s="537">
        <v>8</v>
      </c>
      <c r="I432" s="537"/>
      <c r="J432" s="538">
        <v>8</v>
      </c>
    </row>
    <row r="433" spans="7:10">
      <c r="G433" t="s">
        <v>8092</v>
      </c>
      <c r="H433">
        <v>7</v>
      </c>
      <c r="J433" s="529">
        <v>7</v>
      </c>
    </row>
    <row r="434" spans="7:10">
      <c r="G434" s="537" t="s">
        <v>7198</v>
      </c>
      <c r="H434" s="537">
        <v>5</v>
      </c>
      <c r="I434" s="537"/>
      <c r="J434" s="538">
        <v>5</v>
      </c>
    </row>
    <row r="435" spans="7:10">
      <c r="G435" t="s">
        <v>8012</v>
      </c>
      <c r="H435">
        <v>4</v>
      </c>
      <c r="J435" s="529">
        <v>4</v>
      </c>
    </row>
    <row r="436" spans="7:10">
      <c r="G436" s="537" t="s">
        <v>7993</v>
      </c>
      <c r="H436" s="537">
        <v>4</v>
      </c>
      <c r="I436" s="537"/>
      <c r="J436" s="538">
        <v>4</v>
      </c>
    </row>
    <row r="437" spans="7:10">
      <c r="G437" t="s">
        <v>7050</v>
      </c>
      <c r="H437">
        <v>2</v>
      </c>
      <c r="J437" s="529">
        <v>2</v>
      </c>
    </row>
    <row r="438" spans="7:10">
      <c r="G438" s="537" t="s">
        <v>8029</v>
      </c>
      <c r="H438" s="537">
        <v>2</v>
      </c>
      <c r="I438" s="537"/>
      <c r="J438" s="538">
        <v>2</v>
      </c>
    </row>
    <row r="439" spans="7:10">
      <c r="G439" s="178" t="s">
        <v>8062</v>
      </c>
      <c r="H439" s="539">
        <f>SUM(H6:H438)</f>
        <v>207943617</v>
      </c>
      <c r="I439" s="539">
        <f>SUM(I6:I438)</f>
        <v>5859109</v>
      </c>
      <c r="J439" s="539">
        <f>SUM(J6:J438)</f>
        <v>213802726</v>
      </c>
    </row>
  </sheetData>
  <autoFilter ref="G5:J439" xr:uid="{3DF126AE-E9C0-4BBC-A2DD-CA7FFA16080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0032B-034B-435D-A577-80917AB9CB7A}">
  <sheetPr>
    <tabColor rgb="FF92D050"/>
  </sheetPr>
  <dimension ref="A1:H12"/>
  <sheetViews>
    <sheetView topLeftCell="A6" workbookViewId="0"/>
  </sheetViews>
  <sheetFormatPr baseColWidth="10" defaultColWidth="11.5" defaultRowHeight="14"/>
  <cols>
    <col min="3" max="3" width="19.25" customWidth="1"/>
    <col min="4" max="4" width="19.75" customWidth="1"/>
    <col min="5" max="5" width="19.25" customWidth="1"/>
    <col min="6" max="6" width="19.83203125" customWidth="1"/>
    <col min="7" max="7" width="16.83203125" customWidth="1"/>
    <col min="8" max="8" width="13.1640625" customWidth="1"/>
  </cols>
  <sheetData>
    <row r="1" spans="1:8" ht="15.5">
      <c r="A1" s="7" t="s">
        <v>7240</v>
      </c>
    </row>
    <row r="3" spans="1:8" ht="60.5" thickBot="1">
      <c r="B3" s="1" t="s">
        <v>1907</v>
      </c>
      <c r="C3" s="1" t="s">
        <v>1908</v>
      </c>
      <c r="D3" s="1" t="s">
        <v>1909</v>
      </c>
      <c r="E3" s="1" t="s">
        <v>1910</v>
      </c>
      <c r="F3" s="1" t="s">
        <v>1911</v>
      </c>
      <c r="G3" s="1" t="s">
        <v>1912</v>
      </c>
      <c r="H3" s="1" t="s">
        <v>516</v>
      </c>
    </row>
    <row r="4" spans="1:8" ht="192.5" thickTop="1">
      <c r="B4" s="167" t="s">
        <v>14</v>
      </c>
      <c r="C4" s="168" t="s">
        <v>7204</v>
      </c>
      <c r="D4" s="168" t="s">
        <v>7206</v>
      </c>
      <c r="E4" s="168" t="s">
        <v>7207</v>
      </c>
      <c r="F4" s="168" t="s">
        <v>7210</v>
      </c>
      <c r="G4" s="169" t="s">
        <v>1913</v>
      </c>
      <c r="H4" s="169">
        <v>39</v>
      </c>
    </row>
    <row r="5" spans="1:8" ht="84">
      <c r="B5" s="151" t="s">
        <v>16</v>
      </c>
      <c r="C5" s="170" t="s">
        <v>7203</v>
      </c>
      <c r="D5" s="170" t="s">
        <v>7205</v>
      </c>
      <c r="E5" s="482" t="s">
        <v>7208</v>
      </c>
      <c r="F5" s="170" t="s">
        <v>1914</v>
      </c>
      <c r="G5" s="171" t="s">
        <v>7209</v>
      </c>
      <c r="H5" s="171">
        <v>25</v>
      </c>
    </row>
    <row r="6" spans="1:8">
      <c r="B6" s="167" t="s">
        <v>1915</v>
      </c>
      <c r="C6" s="169" t="s">
        <v>1916</v>
      </c>
      <c r="D6" s="169">
        <v>0</v>
      </c>
      <c r="E6" s="169">
        <v>0</v>
      </c>
      <c r="F6" s="169">
        <v>0</v>
      </c>
      <c r="G6" s="169">
        <v>0</v>
      </c>
      <c r="H6" s="169">
        <v>1</v>
      </c>
    </row>
    <row r="7" spans="1:8">
      <c r="B7" s="151" t="s">
        <v>29</v>
      </c>
      <c r="C7" s="171" t="s">
        <v>1917</v>
      </c>
      <c r="D7" s="171">
        <v>0</v>
      </c>
      <c r="E7" s="171">
        <v>0</v>
      </c>
      <c r="F7" s="171">
        <v>0</v>
      </c>
      <c r="G7" s="171">
        <v>0</v>
      </c>
      <c r="H7" s="171">
        <v>1</v>
      </c>
    </row>
    <row r="8" spans="1:8">
      <c r="B8" s="167" t="s">
        <v>1918</v>
      </c>
      <c r="C8" s="169">
        <v>0</v>
      </c>
      <c r="D8" s="169">
        <v>0</v>
      </c>
      <c r="E8" s="169" t="s">
        <v>60</v>
      </c>
      <c r="F8" s="169">
        <v>0</v>
      </c>
      <c r="G8" s="169">
        <v>0</v>
      </c>
      <c r="H8" s="169">
        <v>1</v>
      </c>
    </row>
    <row r="9" spans="1:8">
      <c r="B9" s="151" t="s">
        <v>1919</v>
      </c>
      <c r="C9" s="171">
        <v>0</v>
      </c>
      <c r="D9" s="171">
        <v>0</v>
      </c>
      <c r="E9" s="171">
        <v>0</v>
      </c>
      <c r="F9" s="171">
        <v>0</v>
      </c>
      <c r="G9" s="171">
        <v>0</v>
      </c>
      <c r="H9" s="171">
        <v>0</v>
      </c>
    </row>
    <row r="10" spans="1:8">
      <c r="B10" s="167" t="s">
        <v>19</v>
      </c>
      <c r="C10" s="169" t="s">
        <v>1920</v>
      </c>
      <c r="D10" s="169">
        <v>0</v>
      </c>
      <c r="E10" s="169">
        <v>0</v>
      </c>
      <c r="F10" s="169">
        <v>0</v>
      </c>
      <c r="G10" s="169">
        <v>0</v>
      </c>
      <c r="H10" s="169">
        <v>1</v>
      </c>
    </row>
    <row r="11" spans="1:8">
      <c r="B11" s="162" t="s">
        <v>516</v>
      </c>
      <c r="C11" s="162">
        <f>16+7+3</f>
        <v>26</v>
      </c>
      <c r="D11" s="162">
        <v>26</v>
      </c>
      <c r="E11" s="162">
        <v>4</v>
      </c>
      <c r="F11" s="162">
        <v>10</v>
      </c>
      <c r="G11" s="162">
        <v>2</v>
      </c>
      <c r="H11" s="162">
        <f>+C11+D11+E11+F11+G11</f>
        <v>68</v>
      </c>
    </row>
    <row r="12" spans="1:8">
      <c r="B12" s="172"/>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8A787-8498-4DFA-8160-134C0597D5C4}">
  <sheetPr>
    <tabColor rgb="FF92D050"/>
  </sheetPr>
  <dimension ref="A2:W179"/>
  <sheetViews>
    <sheetView showGridLines="0" zoomScale="80" zoomScaleNormal="80" workbookViewId="0">
      <pane xSplit="2" ySplit="8" topLeftCell="J169" activePane="bottomRight" state="frozen"/>
      <selection activeCell="O86" activeCellId="8" sqref="S59 S12 O21 S115 O161 O173 O71 S78 O86"/>
      <selection pane="topRight" activeCell="O86" activeCellId="8" sqref="S59 S12 O21 S115 O161 O173 O71 S78 O86"/>
      <selection pane="bottomLeft" activeCell="O86" activeCellId="8" sqref="S59 S12 O21 S115 O161 O173 O71 S78 O86"/>
      <selection pane="bottomRight" activeCell="J189" sqref="J189"/>
    </sheetView>
  </sheetViews>
  <sheetFormatPr baseColWidth="10" defaultColWidth="11.5" defaultRowHeight="14"/>
  <cols>
    <col min="1" max="1" width="11.5" style="321"/>
    <col min="2" max="2" width="34.1640625" style="317" customWidth="1"/>
    <col min="3" max="3" width="53.4140625" style="318" bestFit="1" customWidth="1"/>
    <col min="4" max="4" width="30.75" style="318" customWidth="1"/>
    <col min="5" max="5" width="14.4140625" style="318" customWidth="1"/>
    <col min="6" max="6" width="21.75" style="318" customWidth="1"/>
    <col min="7" max="7" width="26.75" style="318" customWidth="1"/>
    <col min="8" max="8" width="15.83203125" style="318" customWidth="1"/>
    <col min="9" max="9" width="21.1640625" style="318" customWidth="1"/>
    <col min="10" max="10" width="39.25" style="318" bestFit="1" customWidth="1"/>
    <col min="11" max="11" width="13.25" style="319" customWidth="1"/>
    <col min="12" max="12" width="14.83203125" style="319" bestFit="1" customWidth="1"/>
    <col min="13" max="13" width="17" style="320" bestFit="1" customWidth="1"/>
    <col min="14" max="14" width="17.5" style="320" bestFit="1" customWidth="1"/>
    <col min="15" max="15" width="17.75" style="320" customWidth="1"/>
    <col min="16" max="16" width="11.5" style="319"/>
    <col min="17" max="17" width="14.83203125" style="319" customWidth="1"/>
    <col min="18" max="18" width="20.25" style="320" customWidth="1"/>
    <col min="19" max="19" width="18.4140625" style="320" bestFit="1" customWidth="1"/>
    <col min="20" max="20" width="30.75" style="321" customWidth="1"/>
    <col min="21" max="21" width="28.75" style="321" customWidth="1"/>
    <col min="22" max="22" width="15.75" style="321" customWidth="1"/>
    <col min="23" max="23" width="13.83203125" style="321" bestFit="1" customWidth="1"/>
    <col min="24" max="16384" width="11.5" style="321"/>
  </cols>
  <sheetData>
    <row r="2" spans="1:22" ht="18">
      <c r="A2" s="316" t="s">
        <v>7242</v>
      </c>
      <c r="D2" s="43" t="s">
        <v>516</v>
      </c>
      <c r="E2" s="43">
        <v>49</v>
      </c>
    </row>
    <row r="3" spans="1:22">
      <c r="D3" s="43" t="s">
        <v>788</v>
      </c>
      <c r="E3" s="43">
        <v>21</v>
      </c>
    </row>
    <row r="4" spans="1:22">
      <c r="D4" s="45" t="s">
        <v>789</v>
      </c>
      <c r="E4" s="45">
        <f>+E2-E3</f>
        <v>28</v>
      </c>
    </row>
    <row r="7" spans="1:22" s="323" customFormat="1">
      <c r="A7" s="985" t="s">
        <v>3</v>
      </c>
      <c r="B7" s="986" t="s">
        <v>0</v>
      </c>
      <c r="C7" s="986" t="s">
        <v>806</v>
      </c>
      <c r="D7" s="986" t="s">
        <v>807</v>
      </c>
      <c r="E7" s="986" t="s">
        <v>808</v>
      </c>
      <c r="F7" s="986" t="s">
        <v>809</v>
      </c>
      <c r="G7" s="986" t="s">
        <v>810</v>
      </c>
      <c r="H7" s="986" t="s">
        <v>811</v>
      </c>
      <c r="I7" s="986" t="s">
        <v>812</v>
      </c>
      <c r="J7" s="986" t="s">
        <v>813</v>
      </c>
      <c r="K7" s="985" t="s">
        <v>814</v>
      </c>
      <c r="L7" s="985"/>
      <c r="M7" s="985"/>
      <c r="N7" s="985"/>
      <c r="O7" s="985"/>
      <c r="P7" s="985" t="s">
        <v>815</v>
      </c>
      <c r="Q7" s="985"/>
      <c r="R7" s="985"/>
      <c r="S7" s="985"/>
      <c r="T7" s="985" t="s">
        <v>816</v>
      </c>
      <c r="U7" s="985"/>
      <c r="V7" s="985"/>
    </row>
    <row r="8" spans="1:22" s="323" customFormat="1" ht="52">
      <c r="A8" s="985"/>
      <c r="B8" s="986"/>
      <c r="C8" s="986"/>
      <c r="D8" s="986"/>
      <c r="E8" s="986"/>
      <c r="F8" s="986"/>
      <c r="G8" s="986"/>
      <c r="H8" s="986"/>
      <c r="I8" s="986"/>
      <c r="J8" s="986"/>
      <c r="K8" s="324" t="s">
        <v>817</v>
      </c>
      <c r="L8" s="324" t="s">
        <v>818</v>
      </c>
      <c r="M8" s="325" t="s">
        <v>819</v>
      </c>
      <c r="N8" s="325" t="s">
        <v>820</v>
      </c>
      <c r="O8" s="325" t="s">
        <v>2874</v>
      </c>
      <c r="P8" s="324" t="s">
        <v>821</v>
      </c>
      <c r="Q8" s="324" t="s">
        <v>822</v>
      </c>
      <c r="R8" s="325" t="s">
        <v>823</v>
      </c>
      <c r="S8" s="325" t="s">
        <v>2874</v>
      </c>
      <c r="T8" s="322" t="s">
        <v>824</v>
      </c>
      <c r="U8" s="322" t="s">
        <v>825</v>
      </c>
      <c r="V8" s="322" t="s">
        <v>826</v>
      </c>
    </row>
    <row r="9" spans="1:22" ht="30">
      <c r="A9" s="979">
        <v>1</v>
      </c>
      <c r="B9" s="973" t="s">
        <v>534</v>
      </c>
      <c r="C9" s="327" t="s">
        <v>827</v>
      </c>
      <c r="D9" s="327" t="s">
        <v>828</v>
      </c>
      <c r="E9" s="327" t="s">
        <v>2875</v>
      </c>
      <c r="F9" s="327" t="s">
        <v>829</v>
      </c>
      <c r="G9" s="327" t="s">
        <v>2875</v>
      </c>
      <c r="H9" s="327" t="s">
        <v>2875</v>
      </c>
      <c r="I9" s="327" t="s">
        <v>2875</v>
      </c>
      <c r="J9" s="327" t="s">
        <v>2876</v>
      </c>
      <c r="K9" s="328" t="s">
        <v>2877</v>
      </c>
      <c r="L9" s="328" t="s">
        <v>2877</v>
      </c>
      <c r="M9" s="328" t="s">
        <v>2877</v>
      </c>
      <c r="N9" s="328" t="s">
        <v>2877</v>
      </c>
      <c r="O9" s="329">
        <v>0</v>
      </c>
      <c r="P9" s="328" t="s">
        <v>2875</v>
      </c>
      <c r="Q9" s="328" t="s">
        <v>2875</v>
      </c>
      <c r="R9" s="329" t="s">
        <v>2875</v>
      </c>
      <c r="S9" s="329">
        <v>28021.510000000002</v>
      </c>
      <c r="T9" s="326" t="s">
        <v>2875</v>
      </c>
      <c r="U9" s="326" t="s">
        <v>2875</v>
      </c>
      <c r="V9" s="326" t="s">
        <v>2875</v>
      </c>
    </row>
    <row r="10" spans="1:22" ht="20">
      <c r="A10" s="979"/>
      <c r="B10" s="973"/>
      <c r="C10" s="327" t="s">
        <v>830</v>
      </c>
      <c r="D10" s="327" t="s">
        <v>831</v>
      </c>
      <c r="E10" s="327" t="s">
        <v>2875</v>
      </c>
      <c r="F10" s="327" t="s">
        <v>829</v>
      </c>
      <c r="G10" s="327" t="s">
        <v>2875</v>
      </c>
      <c r="H10" s="327" t="s">
        <v>2875</v>
      </c>
      <c r="I10" s="327" t="s">
        <v>2875</v>
      </c>
      <c r="J10" s="327" t="s">
        <v>832</v>
      </c>
      <c r="K10" s="328" t="s">
        <v>2877</v>
      </c>
      <c r="L10" s="328" t="s">
        <v>2877</v>
      </c>
      <c r="M10" s="328" t="s">
        <v>2877</v>
      </c>
      <c r="N10" s="328" t="s">
        <v>2877</v>
      </c>
      <c r="O10" s="329">
        <v>0</v>
      </c>
      <c r="P10" s="328" t="s">
        <v>2875</v>
      </c>
      <c r="Q10" s="328" t="s">
        <v>2875</v>
      </c>
      <c r="R10" s="329" t="s">
        <v>2875</v>
      </c>
      <c r="S10" s="329">
        <v>8128965.1400000025</v>
      </c>
      <c r="T10" s="326" t="s">
        <v>2875</v>
      </c>
      <c r="U10" s="326" t="s">
        <v>2875</v>
      </c>
      <c r="V10" s="326" t="s">
        <v>2875</v>
      </c>
    </row>
    <row r="11" spans="1:22" ht="20">
      <c r="A11" s="979"/>
      <c r="B11" s="973"/>
      <c r="C11" s="327" t="s">
        <v>2878</v>
      </c>
      <c r="D11" s="327" t="s">
        <v>2879</v>
      </c>
      <c r="E11" s="327" t="s">
        <v>2875</v>
      </c>
      <c r="F11" s="327" t="s">
        <v>829</v>
      </c>
      <c r="G11" s="327" t="s">
        <v>2875</v>
      </c>
      <c r="H11" s="327" t="s">
        <v>2875</v>
      </c>
      <c r="I11" s="327" t="s">
        <v>2875</v>
      </c>
      <c r="J11" s="327" t="s">
        <v>2880</v>
      </c>
      <c r="K11" s="328" t="s">
        <v>2877</v>
      </c>
      <c r="L11" s="328" t="s">
        <v>2877</v>
      </c>
      <c r="M11" s="328" t="s">
        <v>2877</v>
      </c>
      <c r="N11" s="328" t="s">
        <v>2877</v>
      </c>
      <c r="O11" s="329">
        <v>0</v>
      </c>
      <c r="P11" s="328" t="s">
        <v>2875</v>
      </c>
      <c r="Q11" s="328" t="s">
        <v>2875</v>
      </c>
      <c r="R11" s="329" t="s">
        <v>2875</v>
      </c>
      <c r="S11" s="329"/>
      <c r="T11" s="326" t="s">
        <v>2875</v>
      </c>
      <c r="U11" s="326" t="s">
        <v>2875</v>
      </c>
      <c r="V11" s="326" t="s">
        <v>2875</v>
      </c>
    </row>
    <row r="12" spans="1:22" s="335" customFormat="1">
      <c r="A12" s="330"/>
      <c r="B12" s="331" t="s">
        <v>2881</v>
      </c>
      <c r="C12" s="331"/>
      <c r="D12" s="331"/>
      <c r="E12" s="331"/>
      <c r="F12" s="331"/>
      <c r="G12" s="331"/>
      <c r="H12" s="331"/>
      <c r="I12" s="331"/>
      <c r="J12" s="331"/>
      <c r="K12" s="332"/>
      <c r="L12" s="332"/>
      <c r="M12" s="333"/>
      <c r="N12" s="333"/>
      <c r="O12" s="334">
        <f>SUM(O9:O11)</f>
        <v>0</v>
      </c>
      <c r="P12" s="332"/>
      <c r="Q12" s="332"/>
      <c r="R12" s="333"/>
      <c r="S12" s="334">
        <f>SUM(S9:S11)</f>
        <v>8156986.6500000022</v>
      </c>
      <c r="T12" s="330"/>
      <c r="U12" s="330"/>
      <c r="V12" s="330"/>
    </row>
    <row r="13" spans="1:22" s="342" customFormat="1" ht="20">
      <c r="A13" s="974">
        <v>2</v>
      </c>
      <c r="B13" s="975" t="s">
        <v>539</v>
      </c>
      <c r="C13" s="338" t="s">
        <v>2882</v>
      </c>
      <c r="D13" s="338" t="s">
        <v>561</v>
      </c>
      <c r="E13" s="339">
        <v>0.5</v>
      </c>
      <c r="F13" s="338" t="s">
        <v>2883</v>
      </c>
      <c r="G13" s="338" t="s">
        <v>2884</v>
      </c>
      <c r="H13" s="338" t="s">
        <v>2875</v>
      </c>
      <c r="I13" s="338" t="s">
        <v>2885</v>
      </c>
      <c r="J13" s="338" t="s">
        <v>834</v>
      </c>
      <c r="K13" s="340">
        <v>2022</v>
      </c>
      <c r="L13" s="340" t="s">
        <v>2886</v>
      </c>
      <c r="M13" s="341">
        <v>0</v>
      </c>
      <c r="N13" s="341">
        <v>106225</v>
      </c>
      <c r="O13" s="341">
        <v>56318</v>
      </c>
      <c r="P13" s="340" t="s">
        <v>2877</v>
      </c>
      <c r="Q13" s="340" t="s">
        <v>2877</v>
      </c>
      <c r="R13" s="341">
        <v>0</v>
      </c>
      <c r="S13" s="341">
        <v>0</v>
      </c>
      <c r="T13" s="336" t="s">
        <v>788</v>
      </c>
      <c r="U13" s="336" t="s">
        <v>2887</v>
      </c>
      <c r="V13" s="336"/>
    </row>
    <row r="14" spans="1:22" s="342" customFormat="1" ht="50">
      <c r="A14" s="974"/>
      <c r="B14" s="975"/>
      <c r="C14" s="338" t="s">
        <v>2888</v>
      </c>
      <c r="D14" s="338" t="s">
        <v>561</v>
      </c>
      <c r="E14" s="339">
        <v>0.8</v>
      </c>
      <c r="F14" s="338" t="s">
        <v>2889</v>
      </c>
      <c r="G14" s="338" t="s">
        <v>2890</v>
      </c>
      <c r="H14" s="338" t="s">
        <v>2875</v>
      </c>
      <c r="I14" s="338" t="s">
        <v>2885</v>
      </c>
      <c r="J14" s="338" t="s">
        <v>834</v>
      </c>
      <c r="K14" s="340">
        <v>2022</v>
      </c>
      <c r="L14" s="340">
        <v>2023</v>
      </c>
      <c r="M14" s="341">
        <v>0</v>
      </c>
      <c r="N14" s="341">
        <v>194316</v>
      </c>
      <c r="O14" s="341">
        <v>89638</v>
      </c>
      <c r="P14" s="340" t="s">
        <v>2877</v>
      </c>
      <c r="Q14" s="340" t="s">
        <v>2877</v>
      </c>
      <c r="R14" s="341">
        <v>0</v>
      </c>
      <c r="S14" s="341">
        <v>0</v>
      </c>
      <c r="T14" s="336" t="s">
        <v>2875</v>
      </c>
      <c r="U14" s="336" t="s">
        <v>2891</v>
      </c>
      <c r="V14" s="336"/>
    </row>
    <row r="15" spans="1:22" s="342" customFormat="1" ht="20">
      <c r="A15" s="974"/>
      <c r="B15" s="975"/>
      <c r="C15" s="338" t="s">
        <v>2892</v>
      </c>
      <c r="D15" s="338" t="s">
        <v>561</v>
      </c>
      <c r="E15" s="339">
        <v>0.5</v>
      </c>
      <c r="F15" s="338" t="s">
        <v>2893</v>
      </c>
      <c r="G15" s="338" t="s">
        <v>2894</v>
      </c>
      <c r="H15" s="338" t="s">
        <v>2875</v>
      </c>
      <c r="I15" s="338" t="s">
        <v>2885</v>
      </c>
      <c r="J15" s="338" t="s">
        <v>834</v>
      </c>
      <c r="K15" s="340">
        <v>2023</v>
      </c>
      <c r="L15" s="340">
        <v>2024</v>
      </c>
      <c r="M15" s="341">
        <v>0</v>
      </c>
      <c r="N15" s="341">
        <v>651200</v>
      </c>
      <c r="O15" s="341">
        <v>65200</v>
      </c>
      <c r="P15" s="340" t="s">
        <v>2877</v>
      </c>
      <c r="Q15" s="340" t="s">
        <v>2877</v>
      </c>
      <c r="R15" s="341">
        <v>0</v>
      </c>
      <c r="S15" s="341">
        <v>0</v>
      </c>
      <c r="T15" s="336" t="s">
        <v>2875</v>
      </c>
      <c r="U15" s="336" t="s">
        <v>2875</v>
      </c>
      <c r="V15" s="336"/>
    </row>
    <row r="16" spans="1:22" s="342" customFormat="1" ht="20">
      <c r="A16" s="974"/>
      <c r="B16" s="975"/>
      <c r="C16" s="338" t="s">
        <v>2895</v>
      </c>
      <c r="D16" s="338" t="s">
        <v>561</v>
      </c>
      <c r="E16" s="339">
        <v>0.8</v>
      </c>
      <c r="F16" s="338" t="s">
        <v>2896</v>
      </c>
      <c r="G16" s="338" t="s">
        <v>2897</v>
      </c>
      <c r="H16" s="338" t="s">
        <v>2875</v>
      </c>
      <c r="I16" s="338" t="s">
        <v>2885</v>
      </c>
      <c r="J16" s="338" t="s">
        <v>834</v>
      </c>
      <c r="K16" s="340">
        <v>2023</v>
      </c>
      <c r="L16" s="340">
        <v>2024</v>
      </c>
      <c r="M16" s="341">
        <v>0</v>
      </c>
      <c r="N16" s="341">
        <v>131757</v>
      </c>
      <c r="O16" s="341">
        <v>23200</v>
      </c>
      <c r="P16" s="340" t="s">
        <v>2877</v>
      </c>
      <c r="Q16" s="340" t="s">
        <v>2877</v>
      </c>
      <c r="R16" s="341">
        <v>0</v>
      </c>
      <c r="S16" s="341">
        <v>0</v>
      </c>
      <c r="T16" s="336" t="s">
        <v>2875</v>
      </c>
      <c r="U16" s="336" t="s">
        <v>2875</v>
      </c>
      <c r="V16" s="336"/>
    </row>
    <row r="17" spans="1:22" s="342" customFormat="1" ht="20">
      <c r="A17" s="974"/>
      <c r="B17" s="975"/>
      <c r="C17" s="338" t="s">
        <v>2892</v>
      </c>
      <c r="D17" s="338" t="s">
        <v>561</v>
      </c>
      <c r="E17" s="339">
        <v>0.5</v>
      </c>
      <c r="F17" s="338" t="s">
        <v>2898</v>
      </c>
      <c r="G17" s="338" t="s">
        <v>2898</v>
      </c>
      <c r="H17" s="338" t="s">
        <v>2875</v>
      </c>
      <c r="I17" s="338" t="s">
        <v>2885</v>
      </c>
      <c r="J17" s="338" t="s">
        <v>834</v>
      </c>
      <c r="K17" s="340">
        <v>2023</v>
      </c>
      <c r="L17" s="340">
        <v>2024</v>
      </c>
      <c r="M17" s="341">
        <v>0</v>
      </c>
      <c r="N17" s="341">
        <v>588200</v>
      </c>
      <c r="O17" s="341">
        <v>47000</v>
      </c>
      <c r="P17" s="340" t="s">
        <v>2877</v>
      </c>
      <c r="Q17" s="340" t="s">
        <v>2877</v>
      </c>
      <c r="R17" s="341">
        <v>0</v>
      </c>
      <c r="S17" s="341">
        <v>0</v>
      </c>
      <c r="T17" s="336" t="s">
        <v>2875</v>
      </c>
      <c r="U17" s="336" t="s">
        <v>2875</v>
      </c>
      <c r="V17" s="336"/>
    </row>
    <row r="18" spans="1:22" s="342" customFormat="1" ht="20">
      <c r="A18" s="974"/>
      <c r="B18" s="975"/>
      <c r="C18" s="338" t="s">
        <v>2899</v>
      </c>
      <c r="D18" s="338" t="s">
        <v>561</v>
      </c>
      <c r="E18" s="339">
        <v>0.8</v>
      </c>
      <c r="F18" s="338" t="s">
        <v>2883</v>
      </c>
      <c r="G18" s="338" t="s">
        <v>2883</v>
      </c>
      <c r="H18" s="338" t="s">
        <v>2875</v>
      </c>
      <c r="I18" s="338" t="s">
        <v>2885</v>
      </c>
      <c r="J18" s="338" t="s">
        <v>834</v>
      </c>
      <c r="K18" s="340">
        <v>2023</v>
      </c>
      <c r="L18" s="340">
        <v>2023</v>
      </c>
      <c r="M18" s="341">
        <v>0</v>
      </c>
      <c r="N18" s="341"/>
      <c r="O18" s="341">
        <v>2536</v>
      </c>
      <c r="P18" s="340" t="s">
        <v>2877</v>
      </c>
      <c r="Q18" s="340" t="s">
        <v>2877</v>
      </c>
      <c r="R18" s="341">
        <v>0</v>
      </c>
      <c r="S18" s="341">
        <v>0</v>
      </c>
      <c r="T18" s="336" t="s">
        <v>2875</v>
      </c>
      <c r="U18" s="336" t="s">
        <v>2875</v>
      </c>
      <c r="V18" s="336"/>
    </row>
    <row r="19" spans="1:22" s="342" customFormat="1" ht="20">
      <c r="A19" s="974"/>
      <c r="B19" s="975"/>
      <c r="C19" s="338" t="s">
        <v>2900</v>
      </c>
      <c r="D19" s="338" t="s">
        <v>561</v>
      </c>
      <c r="E19" s="339">
        <v>0.5</v>
      </c>
      <c r="F19" s="338" t="s">
        <v>2889</v>
      </c>
      <c r="G19" s="338" t="s">
        <v>2901</v>
      </c>
      <c r="H19" s="338" t="s">
        <v>2875</v>
      </c>
      <c r="I19" s="338" t="s">
        <v>2885</v>
      </c>
      <c r="J19" s="338" t="s">
        <v>834</v>
      </c>
      <c r="K19" s="340">
        <v>2023</v>
      </c>
      <c r="L19" s="340">
        <v>2023</v>
      </c>
      <c r="M19" s="341">
        <v>0</v>
      </c>
      <c r="N19" s="341">
        <v>142988</v>
      </c>
      <c r="O19" s="341">
        <v>142988</v>
      </c>
      <c r="P19" s="340" t="s">
        <v>2877</v>
      </c>
      <c r="Q19" s="340" t="s">
        <v>2877</v>
      </c>
      <c r="R19" s="341">
        <v>0</v>
      </c>
      <c r="S19" s="341">
        <v>0</v>
      </c>
      <c r="T19" s="336" t="s">
        <v>2875</v>
      </c>
      <c r="U19" s="336" t="s">
        <v>2875</v>
      </c>
      <c r="V19" s="336"/>
    </row>
    <row r="20" spans="1:22" s="342" customFormat="1" ht="70">
      <c r="A20" s="974"/>
      <c r="B20" s="975"/>
      <c r="C20" s="338" t="s">
        <v>2902</v>
      </c>
      <c r="D20" s="338" t="s">
        <v>561</v>
      </c>
      <c r="E20" s="339" t="s">
        <v>2875</v>
      </c>
      <c r="F20" s="338" t="s">
        <v>2903</v>
      </c>
      <c r="G20" s="338" t="s">
        <v>2904</v>
      </c>
      <c r="H20" s="338" t="s">
        <v>2875</v>
      </c>
      <c r="I20" s="338" t="s">
        <v>2885</v>
      </c>
      <c r="J20" s="338" t="s">
        <v>2905</v>
      </c>
      <c r="K20" s="340">
        <v>2018</v>
      </c>
      <c r="L20" s="340">
        <v>2023</v>
      </c>
      <c r="M20" s="341">
        <v>0</v>
      </c>
      <c r="N20" s="341">
        <v>13390254.359999999</v>
      </c>
      <c r="O20" s="341">
        <v>2957396.56</v>
      </c>
      <c r="P20" s="340" t="s">
        <v>2877</v>
      </c>
      <c r="Q20" s="340" t="s">
        <v>2877</v>
      </c>
      <c r="R20" s="341">
        <v>0</v>
      </c>
      <c r="S20" s="341">
        <v>0</v>
      </c>
      <c r="T20" s="336" t="s">
        <v>2875</v>
      </c>
      <c r="U20" s="336" t="s">
        <v>2875</v>
      </c>
      <c r="V20" s="336"/>
    </row>
    <row r="21" spans="1:22" s="342" customFormat="1">
      <c r="A21" s="343"/>
      <c r="B21" s="331" t="s">
        <v>2906</v>
      </c>
      <c r="C21" s="344"/>
      <c r="D21" s="344"/>
      <c r="E21" s="345"/>
      <c r="F21" s="344"/>
      <c r="G21" s="344"/>
      <c r="H21" s="344"/>
      <c r="I21" s="344"/>
      <c r="J21" s="344"/>
      <c r="K21" s="346"/>
      <c r="L21" s="346"/>
      <c r="M21" s="347"/>
      <c r="N21" s="347"/>
      <c r="O21" s="334">
        <f>SUM(O13:O20)</f>
        <v>3384276.56</v>
      </c>
      <c r="P21" s="332"/>
      <c r="Q21" s="332"/>
      <c r="R21" s="333"/>
      <c r="S21" s="334">
        <f>SUM(S13:S20)</f>
        <v>0</v>
      </c>
      <c r="T21" s="343"/>
      <c r="U21" s="343"/>
      <c r="V21" s="343"/>
    </row>
    <row r="22" spans="1:22" ht="20">
      <c r="A22" s="979">
        <v>3</v>
      </c>
      <c r="B22" s="973" t="s">
        <v>544</v>
      </c>
      <c r="C22" s="327" t="s">
        <v>2907</v>
      </c>
      <c r="D22" s="327" t="s">
        <v>835</v>
      </c>
      <c r="E22" s="327"/>
      <c r="F22" s="327" t="s">
        <v>2908</v>
      </c>
      <c r="G22" s="327" t="s">
        <v>2909</v>
      </c>
      <c r="H22" s="327" t="s">
        <v>836</v>
      </c>
      <c r="I22" s="327" t="s">
        <v>2910</v>
      </c>
      <c r="J22" s="327" t="s">
        <v>838</v>
      </c>
      <c r="K22" s="328" t="s">
        <v>839</v>
      </c>
      <c r="L22" s="328" t="s">
        <v>840</v>
      </c>
      <c r="M22" s="329">
        <v>130000</v>
      </c>
      <c r="N22" s="329">
        <v>130000</v>
      </c>
      <c r="O22" s="329">
        <v>67285</v>
      </c>
      <c r="P22" s="348" t="s">
        <v>2911</v>
      </c>
      <c r="Q22" s="348" t="s">
        <v>2911</v>
      </c>
      <c r="R22" s="349" t="s">
        <v>2911</v>
      </c>
      <c r="S22" s="349">
        <v>0</v>
      </c>
      <c r="T22" s="326" t="s">
        <v>2912</v>
      </c>
      <c r="U22" s="326"/>
      <c r="V22" s="326" t="s">
        <v>2913</v>
      </c>
    </row>
    <row r="23" spans="1:22" ht="20">
      <c r="A23" s="979"/>
      <c r="B23" s="973"/>
      <c r="C23" s="327" t="s">
        <v>2914</v>
      </c>
      <c r="D23" s="327" t="s">
        <v>2915</v>
      </c>
      <c r="E23" s="327"/>
      <c r="F23" s="327" t="s">
        <v>2908</v>
      </c>
      <c r="G23" s="327" t="s">
        <v>2909</v>
      </c>
      <c r="H23" s="327" t="s">
        <v>836</v>
      </c>
      <c r="I23" s="327" t="s">
        <v>2910</v>
      </c>
      <c r="J23" s="327" t="s">
        <v>838</v>
      </c>
      <c r="K23" s="328" t="s">
        <v>2916</v>
      </c>
      <c r="L23" s="328" t="s">
        <v>2917</v>
      </c>
      <c r="M23" s="329">
        <v>70000</v>
      </c>
      <c r="N23" s="329">
        <v>70000</v>
      </c>
      <c r="O23" s="329">
        <v>0</v>
      </c>
      <c r="P23" s="348" t="s">
        <v>2911</v>
      </c>
      <c r="Q23" s="348" t="s">
        <v>2911</v>
      </c>
      <c r="R23" s="349" t="s">
        <v>2911</v>
      </c>
      <c r="S23" s="349">
        <v>0</v>
      </c>
      <c r="T23" s="326" t="s">
        <v>2912</v>
      </c>
      <c r="U23" s="326"/>
      <c r="V23" s="326" t="s">
        <v>2913</v>
      </c>
    </row>
    <row r="24" spans="1:22" s="335" customFormat="1">
      <c r="A24" s="350"/>
      <c r="B24" s="351" t="s">
        <v>2918</v>
      </c>
      <c r="C24" s="351"/>
      <c r="D24" s="351"/>
      <c r="E24" s="351"/>
      <c r="F24" s="351"/>
      <c r="G24" s="351"/>
      <c r="H24" s="351"/>
      <c r="I24" s="351"/>
      <c r="J24" s="351"/>
      <c r="K24" s="352"/>
      <c r="L24" s="352"/>
      <c r="M24" s="353"/>
      <c r="N24" s="353"/>
      <c r="O24" s="334">
        <f>SUM(O22:O23)</f>
        <v>67285</v>
      </c>
      <c r="P24" s="354"/>
      <c r="Q24" s="354"/>
      <c r="R24" s="355"/>
      <c r="S24" s="356">
        <f>S22+S23</f>
        <v>0</v>
      </c>
      <c r="T24" s="350"/>
      <c r="U24" s="350"/>
      <c r="V24" s="350"/>
    </row>
    <row r="25" spans="1:22" ht="60">
      <c r="A25" s="357">
        <v>4</v>
      </c>
      <c r="B25" s="337" t="s">
        <v>553</v>
      </c>
      <c r="C25" s="338" t="s">
        <v>2919</v>
      </c>
      <c r="D25" s="338" t="s">
        <v>2920</v>
      </c>
      <c r="E25" s="358">
        <v>0.65</v>
      </c>
      <c r="F25" s="359" t="s">
        <v>2921</v>
      </c>
      <c r="G25" s="359" t="s">
        <v>2922</v>
      </c>
      <c r="H25" s="359" t="s">
        <v>2923</v>
      </c>
      <c r="I25" s="359" t="s">
        <v>2924</v>
      </c>
      <c r="J25" s="359" t="s">
        <v>841</v>
      </c>
      <c r="K25" s="360" t="s">
        <v>2875</v>
      </c>
      <c r="L25" s="360" t="s">
        <v>2875</v>
      </c>
      <c r="M25" s="361">
        <v>4335</v>
      </c>
      <c r="N25" s="361">
        <v>0</v>
      </c>
      <c r="O25" s="361">
        <v>0</v>
      </c>
      <c r="P25" s="360">
        <v>45114</v>
      </c>
      <c r="Q25" s="360">
        <v>45224</v>
      </c>
      <c r="R25" s="361">
        <v>0</v>
      </c>
      <c r="S25" s="361">
        <v>100930.52</v>
      </c>
      <c r="T25" s="357" t="s">
        <v>789</v>
      </c>
      <c r="U25" s="357" t="s">
        <v>2925</v>
      </c>
      <c r="V25" s="357" t="s">
        <v>2875</v>
      </c>
    </row>
    <row r="26" spans="1:22" s="335" customFormat="1">
      <c r="A26" s="350"/>
      <c r="B26" s="351" t="s">
        <v>2926</v>
      </c>
      <c r="C26" s="351"/>
      <c r="D26" s="351"/>
      <c r="E26" s="351"/>
      <c r="F26" s="351"/>
      <c r="G26" s="351"/>
      <c r="H26" s="351"/>
      <c r="I26" s="351"/>
      <c r="J26" s="351"/>
      <c r="K26" s="352"/>
      <c r="L26" s="352"/>
      <c r="M26" s="353"/>
      <c r="N26" s="353"/>
      <c r="O26" s="362">
        <f>O25</f>
        <v>0</v>
      </c>
      <c r="P26" s="354"/>
      <c r="Q26" s="354"/>
      <c r="R26" s="355"/>
      <c r="S26" s="356">
        <f>S25</f>
        <v>100930.52</v>
      </c>
      <c r="T26" s="350"/>
      <c r="U26" s="350"/>
      <c r="V26" s="350"/>
    </row>
    <row r="27" spans="1:22" ht="20">
      <c r="A27" s="979">
        <v>5</v>
      </c>
      <c r="B27" s="973" t="s">
        <v>558</v>
      </c>
      <c r="C27" s="327" t="s">
        <v>1922</v>
      </c>
      <c r="D27" s="327" t="s">
        <v>2927</v>
      </c>
      <c r="E27" s="363" t="s">
        <v>2875</v>
      </c>
      <c r="F27" s="364" t="s">
        <v>2928</v>
      </c>
      <c r="G27" s="364" t="s">
        <v>2875</v>
      </c>
      <c r="H27" s="364" t="s">
        <v>2875</v>
      </c>
      <c r="I27" s="364" t="s">
        <v>2875</v>
      </c>
      <c r="J27" s="364" t="s">
        <v>2875</v>
      </c>
      <c r="K27" s="348" t="s">
        <v>2875</v>
      </c>
      <c r="L27" s="348" t="s">
        <v>2875</v>
      </c>
      <c r="M27" s="349" t="s">
        <v>2875</v>
      </c>
      <c r="N27" s="349" t="s">
        <v>2875</v>
      </c>
      <c r="O27" s="349" t="s">
        <v>2875</v>
      </c>
      <c r="P27" s="348" t="s">
        <v>2875</v>
      </c>
      <c r="Q27" s="348" t="s">
        <v>2875</v>
      </c>
      <c r="R27" s="348" t="s">
        <v>2875</v>
      </c>
      <c r="S27" s="349">
        <v>4500</v>
      </c>
      <c r="T27" s="326" t="s">
        <v>2875</v>
      </c>
      <c r="U27" s="326" t="s">
        <v>2875</v>
      </c>
      <c r="V27" s="326" t="s">
        <v>2875</v>
      </c>
    </row>
    <row r="28" spans="1:22">
      <c r="A28" s="979"/>
      <c r="B28" s="973"/>
      <c r="C28" s="327" t="s">
        <v>2929</v>
      </c>
      <c r="D28" s="327" t="s">
        <v>2930</v>
      </c>
      <c r="E28" s="363" t="s">
        <v>2875</v>
      </c>
      <c r="F28" s="364" t="s">
        <v>2928</v>
      </c>
      <c r="G28" s="364" t="s">
        <v>2875</v>
      </c>
      <c r="H28" s="364" t="s">
        <v>2875</v>
      </c>
      <c r="I28" s="364" t="s">
        <v>2875</v>
      </c>
      <c r="J28" s="364" t="s">
        <v>2875</v>
      </c>
      <c r="K28" s="348" t="s">
        <v>2875</v>
      </c>
      <c r="L28" s="348" t="s">
        <v>2875</v>
      </c>
      <c r="M28" s="349" t="s">
        <v>2875</v>
      </c>
      <c r="N28" s="349" t="s">
        <v>2875</v>
      </c>
      <c r="O28" s="349" t="s">
        <v>2875</v>
      </c>
      <c r="P28" s="348" t="s">
        <v>2875</v>
      </c>
      <c r="Q28" s="348" t="s">
        <v>2875</v>
      </c>
      <c r="R28" s="349" t="s">
        <v>2875</v>
      </c>
      <c r="S28" s="349">
        <v>157000</v>
      </c>
      <c r="T28" s="326" t="s">
        <v>2875</v>
      </c>
      <c r="U28" s="326" t="s">
        <v>2875</v>
      </c>
      <c r="V28" s="326" t="s">
        <v>2875</v>
      </c>
    </row>
    <row r="29" spans="1:22">
      <c r="A29" s="979"/>
      <c r="B29" s="973"/>
      <c r="C29" s="327" t="s">
        <v>2931</v>
      </c>
      <c r="D29" s="327" t="s">
        <v>2930</v>
      </c>
      <c r="E29" s="363" t="s">
        <v>2875</v>
      </c>
      <c r="F29" s="364" t="s">
        <v>2928</v>
      </c>
      <c r="G29" s="364" t="s">
        <v>2875</v>
      </c>
      <c r="H29" s="364" t="s">
        <v>2875</v>
      </c>
      <c r="I29" s="364" t="s">
        <v>2875</v>
      </c>
      <c r="J29" s="364" t="s">
        <v>2875</v>
      </c>
      <c r="K29" s="348" t="s">
        <v>2875</v>
      </c>
      <c r="L29" s="348" t="s">
        <v>2875</v>
      </c>
      <c r="M29" s="349" t="s">
        <v>2875</v>
      </c>
      <c r="N29" s="349" t="s">
        <v>2875</v>
      </c>
      <c r="O29" s="349" t="s">
        <v>2875</v>
      </c>
      <c r="P29" s="348" t="s">
        <v>2875</v>
      </c>
      <c r="Q29" s="348" t="s">
        <v>2875</v>
      </c>
      <c r="R29" s="349" t="s">
        <v>2875</v>
      </c>
      <c r="S29" s="349">
        <v>68400</v>
      </c>
      <c r="T29" s="326" t="s">
        <v>2875</v>
      </c>
      <c r="U29" s="326" t="s">
        <v>2875</v>
      </c>
      <c r="V29" s="326" t="s">
        <v>2875</v>
      </c>
    </row>
    <row r="30" spans="1:22" ht="20">
      <c r="A30" s="979"/>
      <c r="B30" s="973"/>
      <c r="C30" s="327" t="s">
        <v>2932</v>
      </c>
      <c r="D30" s="327" t="s">
        <v>2933</v>
      </c>
      <c r="E30" s="363" t="s">
        <v>2875</v>
      </c>
      <c r="F30" s="364" t="s">
        <v>2928</v>
      </c>
      <c r="G30" s="364" t="s">
        <v>2875</v>
      </c>
      <c r="H30" s="364" t="s">
        <v>2875</v>
      </c>
      <c r="I30" s="364" t="s">
        <v>2875</v>
      </c>
      <c r="J30" s="364" t="s">
        <v>2875</v>
      </c>
      <c r="K30" s="348" t="s">
        <v>2875</v>
      </c>
      <c r="L30" s="348" t="s">
        <v>2875</v>
      </c>
      <c r="M30" s="349" t="s">
        <v>2875</v>
      </c>
      <c r="N30" s="349" t="s">
        <v>2875</v>
      </c>
      <c r="O30" s="349" t="s">
        <v>2875</v>
      </c>
      <c r="P30" s="348" t="s">
        <v>2875</v>
      </c>
      <c r="Q30" s="348" t="s">
        <v>2875</v>
      </c>
      <c r="R30" s="349" t="s">
        <v>2875</v>
      </c>
      <c r="S30" s="349">
        <v>260000</v>
      </c>
      <c r="T30" s="326" t="s">
        <v>2875</v>
      </c>
      <c r="U30" s="326" t="s">
        <v>2875</v>
      </c>
      <c r="V30" s="326" t="s">
        <v>2875</v>
      </c>
    </row>
    <row r="31" spans="1:22" ht="20">
      <c r="A31" s="979"/>
      <c r="B31" s="973"/>
      <c r="C31" s="327" t="s">
        <v>2934</v>
      </c>
      <c r="D31" s="327" t="s">
        <v>2933</v>
      </c>
      <c r="E31" s="363" t="s">
        <v>2875</v>
      </c>
      <c r="F31" s="364" t="s">
        <v>2928</v>
      </c>
      <c r="G31" s="364" t="s">
        <v>2875</v>
      </c>
      <c r="H31" s="364" t="s">
        <v>2875</v>
      </c>
      <c r="I31" s="364" t="s">
        <v>2875</v>
      </c>
      <c r="J31" s="364" t="s">
        <v>2875</v>
      </c>
      <c r="K31" s="348" t="s">
        <v>2875</v>
      </c>
      <c r="L31" s="348" t="s">
        <v>2875</v>
      </c>
      <c r="M31" s="349" t="s">
        <v>2875</v>
      </c>
      <c r="N31" s="349" t="s">
        <v>2875</v>
      </c>
      <c r="O31" s="349" t="s">
        <v>2875</v>
      </c>
      <c r="P31" s="348" t="s">
        <v>2875</v>
      </c>
      <c r="Q31" s="348" t="s">
        <v>2875</v>
      </c>
      <c r="R31" s="349" t="s">
        <v>2875</v>
      </c>
      <c r="S31" s="349">
        <v>273421</v>
      </c>
      <c r="T31" s="326" t="s">
        <v>2875</v>
      </c>
      <c r="U31" s="326" t="s">
        <v>2875</v>
      </c>
      <c r="V31" s="326" t="s">
        <v>2875</v>
      </c>
    </row>
    <row r="32" spans="1:22" ht="20">
      <c r="A32" s="979"/>
      <c r="B32" s="973"/>
      <c r="C32" s="327" t="s">
        <v>2935</v>
      </c>
      <c r="D32" s="327" t="s">
        <v>2936</v>
      </c>
      <c r="E32" s="363" t="s">
        <v>2875</v>
      </c>
      <c r="F32" s="364" t="s">
        <v>2928</v>
      </c>
      <c r="G32" s="364" t="s">
        <v>2875</v>
      </c>
      <c r="H32" s="364" t="s">
        <v>2875</v>
      </c>
      <c r="I32" s="364" t="s">
        <v>2875</v>
      </c>
      <c r="J32" s="364" t="s">
        <v>2875</v>
      </c>
      <c r="K32" s="348" t="s">
        <v>2875</v>
      </c>
      <c r="L32" s="348" t="s">
        <v>2875</v>
      </c>
      <c r="M32" s="349" t="s">
        <v>2875</v>
      </c>
      <c r="N32" s="349" t="s">
        <v>2875</v>
      </c>
      <c r="O32" s="349" t="s">
        <v>2875</v>
      </c>
      <c r="P32" s="348" t="s">
        <v>2875</v>
      </c>
      <c r="Q32" s="348" t="s">
        <v>2875</v>
      </c>
      <c r="R32" s="349" t="s">
        <v>2875</v>
      </c>
      <c r="S32" s="349">
        <v>145200</v>
      </c>
      <c r="T32" s="326" t="s">
        <v>2875</v>
      </c>
      <c r="U32" s="326" t="s">
        <v>2875</v>
      </c>
      <c r="V32" s="326" t="s">
        <v>2875</v>
      </c>
    </row>
    <row r="33" spans="1:22" ht="30">
      <c r="A33" s="979"/>
      <c r="B33" s="973"/>
      <c r="C33" s="327" t="s">
        <v>2937</v>
      </c>
      <c r="D33" s="327" t="s">
        <v>2938</v>
      </c>
      <c r="E33" s="363" t="s">
        <v>2875</v>
      </c>
      <c r="F33" s="364" t="s">
        <v>2928</v>
      </c>
      <c r="G33" s="364" t="s">
        <v>2875</v>
      </c>
      <c r="H33" s="364" t="s">
        <v>2875</v>
      </c>
      <c r="I33" s="364" t="s">
        <v>2875</v>
      </c>
      <c r="J33" s="364" t="s">
        <v>2875</v>
      </c>
      <c r="K33" s="348" t="s">
        <v>2875</v>
      </c>
      <c r="L33" s="348" t="s">
        <v>2875</v>
      </c>
      <c r="M33" s="349" t="s">
        <v>2875</v>
      </c>
      <c r="N33" s="349" t="s">
        <v>2875</v>
      </c>
      <c r="O33" s="349" t="s">
        <v>2875</v>
      </c>
      <c r="P33" s="348" t="s">
        <v>2875</v>
      </c>
      <c r="Q33" s="348" t="s">
        <v>2875</v>
      </c>
      <c r="R33" s="349" t="s">
        <v>2875</v>
      </c>
      <c r="S33" s="349">
        <v>1000</v>
      </c>
      <c r="T33" s="326" t="s">
        <v>2875</v>
      </c>
      <c r="U33" s="326" t="s">
        <v>2875</v>
      </c>
      <c r="V33" s="326" t="s">
        <v>2875</v>
      </c>
    </row>
    <row r="34" spans="1:22" ht="50">
      <c r="A34" s="979"/>
      <c r="B34" s="973"/>
      <c r="C34" s="327" t="s">
        <v>2939</v>
      </c>
      <c r="D34" s="327" t="s">
        <v>2940</v>
      </c>
      <c r="E34" s="363" t="s">
        <v>2875</v>
      </c>
      <c r="F34" s="364" t="s">
        <v>2928</v>
      </c>
      <c r="G34" s="364" t="s">
        <v>2875</v>
      </c>
      <c r="H34" s="364" t="s">
        <v>2875</v>
      </c>
      <c r="I34" s="364" t="s">
        <v>2875</v>
      </c>
      <c r="J34" s="364" t="s">
        <v>2875</v>
      </c>
      <c r="K34" s="348" t="s">
        <v>2875</v>
      </c>
      <c r="L34" s="348" t="s">
        <v>2875</v>
      </c>
      <c r="M34" s="349" t="s">
        <v>2875</v>
      </c>
      <c r="N34" s="349" t="s">
        <v>2875</v>
      </c>
      <c r="O34" s="349" t="s">
        <v>2875</v>
      </c>
      <c r="P34" s="348" t="s">
        <v>2875</v>
      </c>
      <c r="Q34" s="348" t="s">
        <v>2875</v>
      </c>
      <c r="R34" s="349" t="s">
        <v>2875</v>
      </c>
      <c r="S34" s="349">
        <v>1000</v>
      </c>
      <c r="T34" s="326" t="s">
        <v>2875</v>
      </c>
      <c r="U34" s="326" t="s">
        <v>2875</v>
      </c>
      <c r="V34" s="326" t="s">
        <v>2875</v>
      </c>
    </row>
    <row r="35" spans="1:22" ht="50">
      <c r="A35" s="979"/>
      <c r="B35" s="973"/>
      <c r="C35" s="327" t="s">
        <v>2941</v>
      </c>
      <c r="D35" s="327" t="s">
        <v>2942</v>
      </c>
      <c r="E35" s="363" t="s">
        <v>2875</v>
      </c>
      <c r="F35" s="364" t="s">
        <v>2928</v>
      </c>
      <c r="G35" s="364" t="s">
        <v>2875</v>
      </c>
      <c r="H35" s="364" t="s">
        <v>2875</v>
      </c>
      <c r="I35" s="364" t="s">
        <v>2875</v>
      </c>
      <c r="J35" s="364" t="s">
        <v>2875</v>
      </c>
      <c r="K35" s="348" t="s">
        <v>2875</v>
      </c>
      <c r="L35" s="348" t="s">
        <v>2875</v>
      </c>
      <c r="M35" s="349" t="s">
        <v>2875</v>
      </c>
      <c r="N35" s="349" t="s">
        <v>2875</v>
      </c>
      <c r="O35" s="349" t="s">
        <v>2875</v>
      </c>
      <c r="P35" s="348" t="s">
        <v>2875</v>
      </c>
      <c r="Q35" s="348" t="s">
        <v>2875</v>
      </c>
      <c r="R35" s="349" t="s">
        <v>2875</v>
      </c>
      <c r="S35" s="349">
        <v>330000</v>
      </c>
      <c r="T35" s="326" t="s">
        <v>2875</v>
      </c>
      <c r="U35" s="326" t="s">
        <v>2875</v>
      </c>
      <c r="V35" s="326" t="s">
        <v>2875</v>
      </c>
    </row>
    <row r="36" spans="1:22" ht="20">
      <c r="A36" s="979"/>
      <c r="B36" s="973"/>
      <c r="C36" s="327" t="s">
        <v>2943</v>
      </c>
      <c r="D36" s="327" t="s">
        <v>2944</v>
      </c>
      <c r="E36" s="363" t="s">
        <v>2875</v>
      </c>
      <c r="F36" s="364" t="s">
        <v>2928</v>
      </c>
      <c r="G36" s="364" t="s">
        <v>2875</v>
      </c>
      <c r="H36" s="364" t="s">
        <v>2875</v>
      </c>
      <c r="I36" s="364" t="s">
        <v>2875</v>
      </c>
      <c r="J36" s="364" t="s">
        <v>2875</v>
      </c>
      <c r="K36" s="348" t="s">
        <v>2875</v>
      </c>
      <c r="L36" s="348" t="s">
        <v>2875</v>
      </c>
      <c r="M36" s="349" t="s">
        <v>2875</v>
      </c>
      <c r="N36" s="349" t="s">
        <v>2875</v>
      </c>
      <c r="O36" s="349" t="s">
        <v>2875</v>
      </c>
      <c r="P36" s="348" t="s">
        <v>2875</v>
      </c>
      <c r="Q36" s="348" t="s">
        <v>2875</v>
      </c>
      <c r="R36" s="349" t="s">
        <v>2875</v>
      </c>
      <c r="S36" s="349">
        <v>900</v>
      </c>
      <c r="T36" s="326" t="s">
        <v>2875</v>
      </c>
      <c r="U36" s="326" t="s">
        <v>2875</v>
      </c>
      <c r="V36" s="326" t="s">
        <v>2875</v>
      </c>
    </row>
    <row r="37" spans="1:22" ht="30">
      <c r="A37" s="979"/>
      <c r="B37" s="973"/>
      <c r="C37" s="327" t="s">
        <v>2945</v>
      </c>
      <c r="D37" s="327" t="s">
        <v>2946</v>
      </c>
      <c r="E37" s="363" t="s">
        <v>2875</v>
      </c>
      <c r="F37" s="364" t="s">
        <v>2928</v>
      </c>
      <c r="G37" s="364" t="s">
        <v>2875</v>
      </c>
      <c r="H37" s="364" t="s">
        <v>2875</v>
      </c>
      <c r="I37" s="364" t="s">
        <v>2875</v>
      </c>
      <c r="J37" s="364" t="s">
        <v>2875</v>
      </c>
      <c r="K37" s="348" t="s">
        <v>2875</v>
      </c>
      <c r="L37" s="348" t="s">
        <v>2875</v>
      </c>
      <c r="M37" s="349" t="s">
        <v>2875</v>
      </c>
      <c r="N37" s="349" t="s">
        <v>2875</v>
      </c>
      <c r="O37" s="349" t="s">
        <v>2875</v>
      </c>
      <c r="P37" s="348" t="s">
        <v>2875</v>
      </c>
      <c r="Q37" s="348" t="s">
        <v>2875</v>
      </c>
      <c r="R37" s="349" t="s">
        <v>2875</v>
      </c>
      <c r="S37" s="349">
        <v>56025</v>
      </c>
      <c r="T37" s="326" t="s">
        <v>2875</v>
      </c>
      <c r="U37" s="326" t="s">
        <v>2875</v>
      </c>
      <c r="V37" s="326" t="s">
        <v>2875</v>
      </c>
    </row>
    <row r="38" spans="1:22">
      <c r="A38" s="979"/>
      <c r="B38" s="973"/>
      <c r="C38" s="327" t="s">
        <v>2947</v>
      </c>
      <c r="D38" s="327" t="s">
        <v>2948</v>
      </c>
      <c r="E38" s="363" t="s">
        <v>2875</v>
      </c>
      <c r="F38" s="364" t="s">
        <v>2928</v>
      </c>
      <c r="G38" s="364" t="s">
        <v>2875</v>
      </c>
      <c r="H38" s="364" t="s">
        <v>2875</v>
      </c>
      <c r="I38" s="364" t="s">
        <v>2875</v>
      </c>
      <c r="J38" s="364" t="s">
        <v>2875</v>
      </c>
      <c r="K38" s="348" t="s">
        <v>2875</v>
      </c>
      <c r="L38" s="348" t="s">
        <v>2875</v>
      </c>
      <c r="M38" s="349" t="s">
        <v>2875</v>
      </c>
      <c r="N38" s="349" t="s">
        <v>2875</v>
      </c>
      <c r="O38" s="349" t="s">
        <v>2875</v>
      </c>
      <c r="P38" s="348" t="s">
        <v>2875</v>
      </c>
      <c r="Q38" s="348" t="s">
        <v>2875</v>
      </c>
      <c r="R38" s="349" t="s">
        <v>2875</v>
      </c>
      <c r="S38" s="349">
        <v>1260</v>
      </c>
      <c r="T38" s="326" t="s">
        <v>2875</v>
      </c>
      <c r="U38" s="326" t="s">
        <v>2875</v>
      </c>
      <c r="V38" s="326" t="s">
        <v>2875</v>
      </c>
    </row>
    <row r="39" spans="1:22" ht="20">
      <c r="A39" s="979"/>
      <c r="B39" s="973"/>
      <c r="C39" s="327" t="s">
        <v>2949</v>
      </c>
      <c r="D39" s="327" t="s">
        <v>2950</v>
      </c>
      <c r="E39" s="363" t="s">
        <v>2875</v>
      </c>
      <c r="F39" s="364" t="s">
        <v>2928</v>
      </c>
      <c r="G39" s="364" t="s">
        <v>2875</v>
      </c>
      <c r="H39" s="364" t="s">
        <v>2875</v>
      </c>
      <c r="I39" s="364" t="s">
        <v>2875</v>
      </c>
      <c r="J39" s="364" t="s">
        <v>2875</v>
      </c>
      <c r="K39" s="348" t="s">
        <v>2875</v>
      </c>
      <c r="L39" s="348" t="s">
        <v>2875</v>
      </c>
      <c r="M39" s="349" t="s">
        <v>2875</v>
      </c>
      <c r="N39" s="349" t="s">
        <v>2875</v>
      </c>
      <c r="O39" s="349" t="s">
        <v>2875</v>
      </c>
      <c r="P39" s="348" t="s">
        <v>2875</v>
      </c>
      <c r="Q39" s="348" t="s">
        <v>2875</v>
      </c>
      <c r="R39" s="349" t="s">
        <v>2875</v>
      </c>
      <c r="S39" s="349">
        <v>2178</v>
      </c>
      <c r="T39" s="326" t="s">
        <v>2875</v>
      </c>
      <c r="U39" s="326" t="s">
        <v>2875</v>
      </c>
      <c r="V39" s="326" t="s">
        <v>2875</v>
      </c>
    </row>
    <row r="40" spans="1:22" ht="20">
      <c r="A40" s="979"/>
      <c r="B40" s="973"/>
      <c r="C40" s="327" t="s">
        <v>2951</v>
      </c>
      <c r="D40" s="327" t="s">
        <v>2952</v>
      </c>
      <c r="E40" s="363" t="s">
        <v>2875</v>
      </c>
      <c r="F40" s="364" t="s">
        <v>2928</v>
      </c>
      <c r="G40" s="364" t="s">
        <v>2875</v>
      </c>
      <c r="H40" s="364" t="s">
        <v>2875</v>
      </c>
      <c r="I40" s="364" t="s">
        <v>2875</v>
      </c>
      <c r="J40" s="364" t="s">
        <v>2875</v>
      </c>
      <c r="K40" s="348" t="s">
        <v>2875</v>
      </c>
      <c r="L40" s="348" t="s">
        <v>2875</v>
      </c>
      <c r="M40" s="349" t="s">
        <v>2875</v>
      </c>
      <c r="N40" s="349" t="s">
        <v>2875</v>
      </c>
      <c r="O40" s="349" t="s">
        <v>2875</v>
      </c>
      <c r="P40" s="348" t="s">
        <v>2875</v>
      </c>
      <c r="Q40" s="348" t="s">
        <v>2875</v>
      </c>
      <c r="R40" s="349" t="s">
        <v>2875</v>
      </c>
      <c r="S40" s="349">
        <v>267149.38</v>
      </c>
      <c r="T40" s="326" t="s">
        <v>2875</v>
      </c>
      <c r="U40" s="326" t="s">
        <v>2875</v>
      </c>
      <c r="V40" s="326" t="s">
        <v>2875</v>
      </c>
    </row>
    <row r="41" spans="1:22" ht="30">
      <c r="A41" s="979"/>
      <c r="B41" s="973"/>
      <c r="C41" s="327" t="s">
        <v>2953</v>
      </c>
      <c r="D41" s="327" t="s">
        <v>2954</v>
      </c>
      <c r="E41" s="363" t="s">
        <v>2875</v>
      </c>
      <c r="F41" s="364" t="s">
        <v>2928</v>
      </c>
      <c r="G41" s="364" t="s">
        <v>2875</v>
      </c>
      <c r="H41" s="364" t="s">
        <v>2875</v>
      </c>
      <c r="I41" s="364" t="s">
        <v>2875</v>
      </c>
      <c r="J41" s="364" t="s">
        <v>2875</v>
      </c>
      <c r="K41" s="348" t="s">
        <v>2875</v>
      </c>
      <c r="L41" s="348" t="s">
        <v>2875</v>
      </c>
      <c r="M41" s="349" t="s">
        <v>2875</v>
      </c>
      <c r="N41" s="349" t="s">
        <v>2875</v>
      </c>
      <c r="O41" s="349" t="s">
        <v>2875</v>
      </c>
      <c r="P41" s="348" t="s">
        <v>2875</v>
      </c>
      <c r="Q41" s="348" t="s">
        <v>2875</v>
      </c>
      <c r="R41" s="349" t="s">
        <v>2875</v>
      </c>
      <c r="S41" s="349">
        <v>22740</v>
      </c>
      <c r="T41" s="326" t="s">
        <v>2875</v>
      </c>
      <c r="U41" s="326" t="s">
        <v>2875</v>
      </c>
      <c r="V41" s="326" t="s">
        <v>2875</v>
      </c>
    </row>
    <row r="42" spans="1:22" ht="30">
      <c r="A42" s="979"/>
      <c r="B42" s="973"/>
      <c r="C42" s="327" t="s">
        <v>2955</v>
      </c>
      <c r="D42" s="327" t="s">
        <v>2956</v>
      </c>
      <c r="E42" s="363" t="s">
        <v>2875</v>
      </c>
      <c r="F42" s="364" t="s">
        <v>2928</v>
      </c>
      <c r="G42" s="364" t="s">
        <v>2875</v>
      </c>
      <c r="H42" s="364" t="s">
        <v>2875</v>
      </c>
      <c r="I42" s="364" t="s">
        <v>2875</v>
      </c>
      <c r="J42" s="364" t="s">
        <v>2875</v>
      </c>
      <c r="K42" s="348" t="s">
        <v>2875</v>
      </c>
      <c r="L42" s="348" t="s">
        <v>2875</v>
      </c>
      <c r="M42" s="349" t="s">
        <v>2875</v>
      </c>
      <c r="N42" s="349" t="s">
        <v>2875</v>
      </c>
      <c r="O42" s="349" t="s">
        <v>2875</v>
      </c>
      <c r="P42" s="348" t="s">
        <v>2875</v>
      </c>
      <c r="Q42" s="348" t="s">
        <v>2875</v>
      </c>
      <c r="R42" s="349" t="s">
        <v>2875</v>
      </c>
      <c r="S42" s="349">
        <v>324090</v>
      </c>
      <c r="T42" s="326" t="s">
        <v>2875</v>
      </c>
      <c r="U42" s="326" t="s">
        <v>2875</v>
      </c>
      <c r="V42" s="326" t="s">
        <v>2875</v>
      </c>
    </row>
    <row r="43" spans="1:22" ht="40">
      <c r="A43" s="979"/>
      <c r="B43" s="973"/>
      <c r="C43" s="327" t="s">
        <v>2957</v>
      </c>
      <c r="D43" s="327" t="s">
        <v>2958</v>
      </c>
      <c r="E43" s="363" t="s">
        <v>2875</v>
      </c>
      <c r="F43" s="364" t="s">
        <v>2928</v>
      </c>
      <c r="G43" s="364" t="s">
        <v>2875</v>
      </c>
      <c r="H43" s="364" t="s">
        <v>2875</v>
      </c>
      <c r="I43" s="364" t="s">
        <v>2875</v>
      </c>
      <c r="J43" s="364" t="s">
        <v>2875</v>
      </c>
      <c r="K43" s="348" t="s">
        <v>2875</v>
      </c>
      <c r="L43" s="348" t="s">
        <v>2875</v>
      </c>
      <c r="M43" s="349" t="s">
        <v>2875</v>
      </c>
      <c r="N43" s="349" t="s">
        <v>2875</v>
      </c>
      <c r="O43" s="349" t="s">
        <v>2875</v>
      </c>
      <c r="P43" s="348" t="s">
        <v>2875</v>
      </c>
      <c r="Q43" s="348" t="s">
        <v>2875</v>
      </c>
      <c r="R43" s="349" t="s">
        <v>2875</v>
      </c>
      <c r="S43" s="349">
        <v>19842.5</v>
      </c>
      <c r="T43" s="326" t="s">
        <v>2875</v>
      </c>
      <c r="U43" s="326" t="s">
        <v>2875</v>
      </c>
      <c r="V43" s="326" t="s">
        <v>2875</v>
      </c>
    </row>
    <row r="44" spans="1:22" ht="20">
      <c r="A44" s="979"/>
      <c r="B44" s="973"/>
      <c r="C44" s="327" t="s">
        <v>1922</v>
      </c>
      <c r="D44" s="327" t="s">
        <v>2959</v>
      </c>
      <c r="E44" s="363" t="s">
        <v>2875</v>
      </c>
      <c r="F44" s="364" t="s">
        <v>2960</v>
      </c>
      <c r="G44" s="364" t="s">
        <v>2875</v>
      </c>
      <c r="H44" s="364" t="s">
        <v>2875</v>
      </c>
      <c r="I44" s="364" t="s">
        <v>2875</v>
      </c>
      <c r="J44" s="364" t="s">
        <v>2875</v>
      </c>
      <c r="K44" s="348" t="s">
        <v>2875</v>
      </c>
      <c r="L44" s="348" t="s">
        <v>2875</v>
      </c>
      <c r="M44" s="349" t="s">
        <v>2875</v>
      </c>
      <c r="N44" s="349" t="s">
        <v>2875</v>
      </c>
      <c r="O44" s="349" t="s">
        <v>2875</v>
      </c>
      <c r="P44" s="348" t="s">
        <v>2875</v>
      </c>
      <c r="Q44" s="348" t="s">
        <v>2875</v>
      </c>
      <c r="R44" s="349" t="s">
        <v>2875</v>
      </c>
      <c r="S44" s="349">
        <v>4500</v>
      </c>
      <c r="T44" s="326" t="s">
        <v>2875</v>
      </c>
      <c r="U44" s="326" t="s">
        <v>2875</v>
      </c>
      <c r="V44" s="326" t="s">
        <v>2875</v>
      </c>
    </row>
    <row r="45" spans="1:22" ht="20">
      <c r="A45" s="979"/>
      <c r="B45" s="973"/>
      <c r="C45" s="327" t="s">
        <v>2961</v>
      </c>
      <c r="D45" s="327" t="s">
        <v>2962</v>
      </c>
      <c r="E45" s="363" t="s">
        <v>2875</v>
      </c>
      <c r="F45" s="364" t="s">
        <v>2960</v>
      </c>
      <c r="G45" s="364" t="s">
        <v>2875</v>
      </c>
      <c r="H45" s="364" t="s">
        <v>2875</v>
      </c>
      <c r="I45" s="364" t="s">
        <v>2875</v>
      </c>
      <c r="J45" s="364" t="s">
        <v>2875</v>
      </c>
      <c r="K45" s="348" t="s">
        <v>2875</v>
      </c>
      <c r="L45" s="348" t="s">
        <v>2875</v>
      </c>
      <c r="M45" s="349" t="s">
        <v>2875</v>
      </c>
      <c r="N45" s="349" t="s">
        <v>2875</v>
      </c>
      <c r="O45" s="349" t="s">
        <v>2875</v>
      </c>
      <c r="P45" s="348" t="s">
        <v>2875</v>
      </c>
      <c r="Q45" s="348" t="s">
        <v>2875</v>
      </c>
      <c r="R45" s="349" t="s">
        <v>2875</v>
      </c>
      <c r="S45" s="349">
        <v>16000</v>
      </c>
      <c r="T45" s="326" t="s">
        <v>2875</v>
      </c>
      <c r="U45" s="326" t="s">
        <v>2875</v>
      </c>
      <c r="V45" s="326" t="s">
        <v>2875</v>
      </c>
    </row>
    <row r="46" spans="1:22">
      <c r="A46" s="979"/>
      <c r="B46" s="973"/>
      <c r="C46" s="327" t="s">
        <v>2934</v>
      </c>
      <c r="D46" s="327" t="s">
        <v>2962</v>
      </c>
      <c r="E46" s="363" t="s">
        <v>2875</v>
      </c>
      <c r="F46" s="364" t="s">
        <v>2960</v>
      </c>
      <c r="G46" s="364" t="s">
        <v>2875</v>
      </c>
      <c r="H46" s="364" t="s">
        <v>2875</v>
      </c>
      <c r="I46" s="364" t="s">
        <v>2875</v>
      </c>
      <c r="J46" s="364" t="s">
        <v>2875</v>
      </c>
      <c r="K46" s="348" t="s">
        <v>2875</v>
      </c>
      <c r="L46" s="348" t="s">
        <v>2875</v>
      </c>
      <c r="M46" s="349" t="s">
        <v>2875</v>
      </c>
      <c r="N46" s="349" t="s">
        <v>2875</v>
      </c>
      <c r="O46" s="349" t="s">
        <v>2875</v>
      </c>
      <c r="P46" s="348" t="s">
        <v>2875</v>
      </c>
      <c r="Q46" s="348" t="s">
        <v>2875</v>
      </c>
      <c r="R46" s="349" t="s">
        <v>2875</v>
      </c>
      <c r="S46" s="349">
        <v>13860</v>
      </c>
      <c r="T46" s="326" t="s">
        <v>2875</v>
      </c>
      <c r="U46" s="326" t="s">
        <v>2875</v>
      </c>
      <c r="V46" s="326" t="s">
        <v>2875</v>
      </c>
    </row>
    <row r="47" spans="1:22" ht="20">
      <c r="A47" s="979"/>
      <c r="B47" s="973"/>
      <c r="C47" s="327" t="s">
        <v>2963</v>
      </c>
      <c r="D47" s="327" t="s">
        <v>2964</v>
      </c>
      <c r="E47" s="363" t="s">
        <v>2875</v>
      </c>
      <c r="F47" s="364" t="s">
        <v>2960</v>
      </c>
      <c r="G47" s="364" t="s">
        <v>2875</v>
      </c>
      <c r="H47" s="364" t="s">
        <v>2875</v>
      </c>
      <c r="I47" s="364" t="s">
        <v>2875</v>
      </c>
      <c r="J47" s="364" t="s">
        <v>2875</v>
      </c>
      <c r="K47" s="348" t="s">
        <v>2875</v>
      </c>
      <c r="L47" s="348" t="s">
        <v>2875</v>
      </c>
      <c r="M47" s="349" t="s">
        <v>2875</v>
      </c>
      <c r="N47" s="349" t="s">
        <v>2875</v>
      </c>
      <c r="O47" s="349" t="s">
        <v>2875</v>
      </c>
      <c r="P47" s="348" t="s">
        <v>2875</v>
      </c>
      <c r="Q47" s="348" t="s">
        <v>2875</v>
      </c>
      <c r="R47" s="349" t="s">
        <v>2875</v>
      </c>
      <c r="S47" s="349">
        <v>145200</v>
      </c>
      <c r="T47" s="326" t="s">
        <v>2875</v>
      </c>
      <c r="U47" s="326" t="s">
        <v>2875</v>
      </c>
      <c r="V47" s="326" t="s">
        <v>2875</v>
      </c>
    </row>
    <row r="48" spans="1:22" ht="20">
      <c r="A48" s="979"/>
      <c r="B48" s="973"/>
      <c r="C48" s="327" t="s">
        <v>2937</v>
      </c>
      <c r="D48" s="327" t="s">
        <v>2965</v>
      </c>
      <c r="E48" s="363" t="s">
        <v>2875</v>
      </c>
      <c r="F48" s="364" t="s">
        <v>2960</v>
      </c>
      <c r="G48" s="364" t="s">
        <v>2875</v>
      </c>
      <c r="H48" s="364" t="s">
        <v>2875</v>
      </c>
      <c r="I48" s="364" t="s">
        <v>2875</v>
      </c>
      <c r="J48" s="364" t="s">
        <v>2875</v>
      </c>
      <c r="K48" s="348" t="s">
        <v>2875</v>
      </c>
      <c r="L48" s="348" t="s">
        <v>2875</v>
      </c>
      <c r="M48" s="349" t="s">
        <v>2875</v>
      </c>
      <c r="N48" s="349" t="s">
        <v>2875</v>
      </c>
      <c r="O48" s="349" t="s">
        <v>2875</v>
      </c>
      <c r="P48" s="348" t="s">
        <v>2875</v>
      </c>
      <c r="Q48" s="348" t="s">
        <v>2875</v>
      </c>
      <c r="R48" s="349" t="s">
        <v>2875</v>
      </c>
      <c r="S48" s="349">
        <v>1500</v>
      </c>
      <c r="T48" s="326" t="s">
        <v>2875</v>
      </c>
      <c r="U48" s="326" t="s">
        <v>2875</v>
      </c>
      <c r="V48" s="326" t="s">
        <v>2875</v>
      </c>
    </row>
    <row r="49" spans="1:22" ht="40">
      <c r="A49" s="979"/>
      <c r="B49" s="973"/>
      <c r="C49" s="327" t="s">
        <v>2966</v>
      </c>
      <c r="D49" s="327" t="s">
        <v>2967</v>
      </c>
      <c r="E49" s="363" t="s">
        <v>2875</v>
      </c>
      <c r="F49" s="364" t="s">
        <v>2960</v>
      </c>
      <c r="G49" s="364" t="s">
        <v>2875</v>
      </c>
      <c r="H49" s="364" t="s">
        <v>2875</v>
      </c>
      <c r="I49" s="364" t="s">
        <v>2875</v>
      </c>
      <c r="J49" s="364" t="s">
        <v>2875</v>
      </c>
      <c r="K49" s="348" t="s">
        <v>2875</v>
      </c>
      <c r="L49" s="348" t="s">
        <v>2875</v>
      </c>
      <c r="M49" s="349" t="s">
        <v>2875</v>
      </c>
      <c r="N49" s="349" t="s">
        <v>2875</v>
      </c>
      <c r="O49" s="349" t="s">
        <v>2875</v>
      </c>
      <c r="P49" s="348" t="s">
        <v>2875</v>
      </c>
      <c r="Q49" s="348" t="s">
        <v>2875</v>
      </c>
      <c r="R49" s="349" t="s">
        <v>2875</v>
      </c>
      <c r="S49" s="349">
        <v>500</v>
      </c>
      <c r="T49" s="326" t="s">
        <v>2875</v>
      </c>
      <c r="U49" s="326" t="s">
        <v>2875</v>
      </c>
      <c r="V49" s="326" t="s">
        <v>2875</v>
      </c>
    </row>
    <row r="50" spans="1:22" ht="20">
      <c r="A50" s="979"/>
      <c r="B50" s="973"/>
      <c r="C50" s="327" t="s">
        <v>2941</v>
      </c>
      <c r="D50" s="327" t="s">
        <v>2968</v>
      </c>
      <c r="E50" s="363" t="s">
        <v>2875</v>
      </c>
      <c r="F50" s="364" t="s">
        <v>2960</v>
      </c>
      <c r="G50" s="364" t="s">
        <v>2875</v>
      </c>
      <c r="H50" s="364" t="s">
        <v>2875</v>
      </c>
      <c r="I50" s="364" t="s">
        <v>2875</v>
      </c>
      <c r="J50" s="364" t="s">
        <v>2875</v>
      </c>
      <c r="K50" s="348" t="s">
        <v>2875</v>
      </c>
      <c r="L50" s="348" t="s">
        <v>2875</v>
      </c>
      <c r="M50" s="349" t="s">
        <v>2875</v>
      </c>
      <c r="N50" s="349" t="s">
        <v>2875</v>
      </c>
      <c r="O50" s="349" t="s">
        <v>2875</v>
      </c>
      <c r="P50" s="348" t="s">
        <v>2875</v>
      </c>
      <c r="Q50" s="348" t="s">
        <v>2875</v>
      </c>
      <c r="R50" s="349" t="s">
        <v>2875</v>
      </c>
      <c r="S50" s="349">
        <v>180000</v>
      </c>
      <c r="T50" s="326" t="s">
        <v>2875</v>
      </c>
      <c r="U50" s="326" t="s">
        <v>2875</v>
      </c>
      <c r="V50" s="326" t="s">
        <v>2875</v>
      </c>
    </row>
    <row r="51" spans="1:22" ht="20">
      <c r="A51" s="979"/>
      <c r="B51" s="973"/>
      <c r="C51" s="327" t="s">
        <v>2943</v>
      </c>
      <c r="D51" s="327" t="s">
        <v>2944</v>
      </c>
      <c r="E51" s="363" t="s">
        <v>2875</v>
      </c>
      <c r="F51" s="364" t="s">
        <v>2960</v>
      </c>
      <c r="G51" s="364" t="s">
        <v>2875</v>
      </c>
      <c r="H51" s="364" t="s">
        <v>2875</v>
      </c>
      <c r="I51" s="364" t="s">
        <v>2875</v>
      </c>
      <c r="J51" s="364" t="s">
        <v>2875</v>
      </c>
      <c r="K51" s="348" t="s">
        <v>2875</v>
      </c>
      <c r="L51" s="348" t="s">
        <v>2875</v>
      </c>
      <c r="M51" s="349" t="s">
        <v>2875</v>
      </c>
      <c r="N51" s="349" t="s">
        <v>2875</v>
      </c>
      <c r="O51" s="349" t="s">
        <v>2875</v>
      </c>
      <c r="P51" s="348" t="s">
        <v>2875</v>
      </c>
      <c r="Q51" s="348" t="s">
        <v>2875</v>
      </c>
      <c r="R51" s="349" t="s">
        <v>2875</v>
      </c>
      <c r="S51" s="349">
        <v>900</v>
      </c>
      <c r="T51" s="326" t="s">
        <v>2875</v>
      </c>
      <c r="U51" s="326" t="s">
        <v>2875</v>
      </c>
      <c r="V51" s="326" t="s">
        <v>2875</v>
      </c>
    </row>
    <row r="52" spans="1:22" ht="20">
      <c r="A52" s="979"/>
      <c r="B52" s="973"/>
      <c r="C52" s="327" t="s">
        <v>2945</v>
      </c>
      <c r="D52" s="327" t="s">
        <v>2969</v>
      </c>
      <c r="E52" s="363" t="s">
        <v>2875</v>
      </c>
      <c r="F52" s="364" t="s">
        <v>2960</v>
      </c>
      <c r="G52" s="364" t="s">
        <v>2875</v>
      </c>
      <c r="H52" s="364" t="s">
        <v>2875</v>
      </c>
      <c r="I52" s="364" t="s">
        <v>2875</v>
      </c>
      <c r="J52" s="364" t="s">
        <v>2875</v>
      </c>
      <c r="K52" s="348" t="s">
        <v>2875</v>
      </c>
      <c r="L52" s="348" t="s">
        <v>2875</v>
      </c>
      <c r="M52" s="349" t="s">
        <v>2875</v>
      </c>
      <c r="N52" s="349" t="s">
        <v>2875</v>
      </c>
      <c r="O52" s="349" t="s">
        <v>2875</v>
      </c>
      <c r="P52" s="348" t="s">
        <v>2875</v>
      </c>
      <c r="Q52" s="348" t="s">
        <v>2875</v>
      </c>
      <c r="R52" s="349" t="s">
        <v>2875</v>
      </c>
      <c r="S52" s="349">
        <v>35663</v>
      </c>
      <c r="T52" s="326" t="s">
        <v>2875</v>
      </c>
      <c r="U52" s="326" t="s">
        <v>2875</v>
      </c>
      <c r="V52" s="326" t="s">
        <v>2875</v>
      </c>
    </row>
    <row r="53" spans="1:22">
      <c r="A53" s="979"/>
      <c r="B53" s="973"/>
      <c r="C53" s="327" t="s">
        <v>2970</v>
      </c>
      <c r="D53" s="327" t="s">
        <v>2971</v>
      </c>
      <c r="E53" s="363" t="s">
        <v>2875</v>
      </c>
      <c r="F53" s="364" t="s">
        <v>2960</v>
      </c>
      <c r="G53" s="364" t="s">
        <v>2875</v>
      </c>
      <c r="H53" s="364" t="s">
        <v>2875</v>
      </c>
      <c r="I53" s="364" t="s">
        <v>2875</v>
      </c>
      <c r="J53" s="364" t="s">
        <v>2875</v>
      </c>
      <c r="K53" s="348" t="s">
        <v>2875</v>
      </c>
      <c r="L53" s="348" t="s">
        <v>2875</v>
      </c>
      <c r="M53" s="349" t="s">
        <v>2875</v>
      </c>
      <c r="N53" s="349" t="s">
        <v>2875</v>
      </c>
      <c r="O53" s="349" t="s">
        <v>2875</v>
      </c>
      <c r="P53" s="348" t="s">
        <v>2875</v>
      </c>
      <c r="Q53" s="348" t="s">
        <v>2875</v>
      </c>
      <c r="R53" s="349" t="s">
        <v>2875</v>
      </c>
      <c r="S53" s="349">
        <v>1260</v>
      </c>
      <c r="T53" s="326" t="s">
        <v>2875</v>
      </c>
      <c r="U53" s="326" t="s">
        <v>2875</v>
      </c>
      <c r="V53" s="326" t="s">
        <v>2875</v>
      </c>
    </row>
    <row r="54" spans="1:22" ht="20">
      <c r="A54" s="979"/>
      <c r="B54" s="973"/>
      <c r="C54" s="327" t="s">
        <v>2949</v>
      </c>
      <c r="D54" s="327" t="s">
        <v>2972</v>
      </c>
      <c r="E54" s="363" t="s">
        <v>2875</v>
      </c>
      <c r="F54" s="364" t="s">
        <v>2960</v>
      </c>
      <c r="G54" s="364" t="s">
        <v>2875</v>
      </c>
      <c r="H54" s="364" t="s">
        <v>2875</v>
      </c>
      <c r="I54" s="364" t="s">
        <v>2875</v>
      </c>
      <c r="J54" s="364" t="s">
        <v>2875</v>
      </c>
      <c r="K54" s="348" t="s">
        <v>2875</v>
      </c>
      <c r="L54" s="348" t="s">
        <v>2875</v>
      </c>
      <c r="M54" s="349" t="s">
        <v>2875</v>
      </c>
      <c r="N54" s="349" t="s">
        <v>2875</v>
      </c>
      <c r="O54" s="349" t="s">
        <v>2875</v>
      </c>
      <c r="P54" s="348" t="s">
        <v>2875</v>
      </c>
      <c r="Q54" s="348" t="s">
        <v>2875</v>
      </c>
      <c r="R54" s="349" t="s">
        <v>2875</v>
      </c>
      <c r="S54" s="349">
        <v>2178</v>
      </c>
      <c r="T54" s="326" t="s">
        <v>2875</v>
      </c>
      <c r="U54" s="326" t="s">
        <v>2875</v>
      </c>
      <c r="V54" s="326" t="s">
        <v>2875</v>
      </c>
    </row>
    <row r="55" spans="1:22" ht="20">
      <c r="A55" s="979"/>
      <c r="B55" s="973"/>
      <c r="C55" s="327" t="s">
        <v>2951</v>
      </c>
      <c r="D55" s="327" t="s">
        <v>2973</v>
      </c>
      <c r="E55" s="363" t="s">
        <v>2875</v>
      </c>
      <c r="F55" s="364" t="s">
        <v>2960</v>
      </c>
      <c r="G55" s="364" t="s">
        <v>2875</v>
      </c>
      <c r="H55" s="364" t="s">
        <v>2875</v>
      </c>
      <c r="I55" s="364" t="s">
        <v>2875</v>
      </c>
      <c r="J55" s="364" t="s">
        <v>2875</v>
      </c>
      <c r="K55" s="348" t="s">
        <v>2875</v>
      </c>
      <c r="L55" s="348" t="s">
        <v>2875</v>
      </c>
      <c r="M55" s="349" t="s">
        <v>2875</v>
      </c>
      <c r="N55" s="349" t="s">
        <v>2875</v>
      </c>
      <c r="O55" s="349" t="s">
        <v>2875</v>
      </c>
      <c r="P55" s="348" t="s">
        <v>2875</v>
      </c>
      <c r="Q55" s="348" t="s">
        <v>2875</v>
      </c>
      <c r="R55" s="349" t="s">
        <v>2875</v>
      </c>
      <c r="S55" s="349">
        <v>276047.29000000004</v>
      </c>
      <c r="T55" s="326" t="s">
        <v>2875</v>
      </c>
      <c r="U55" s="326" t="s">
        <v>2875</v>
      </c>
      <c r="V55" s="326" t="s">
        <v>2875</v>
      </c>
    </row>
    <row r="56" spans="1:22" ht="30">
      <c r="A56" s="979"/>
      <c r="B56" s="973"/>
      <c r="C56" s="327" t="s">
        <v>2974</v>
      </c>
      <c r="D56" s="327" t="s">
        <v>2954</v>
      </c>
      <c r="E56" s="363" t="s">
        <v>2875</v>
      </c>
      <c r="F56" s="364" t="s">
        <v>2960</v>
      </c>
      <c r="G56" s="364" t="s">
        <v>2875</v>
      </c>
      <c r="H56" s="364" t="s">
        <v>2875</v>
      </c>
      <c r="I56" s="364" t="s">
        <v>2875</v>
      </c>
      <c r="J56" s="364" t="s">
        <v>2875</v>
      </c>
      <c r="K56" s="348" t="s">
        <v>2875</v>
      </c>
      <c r="L56" s="348" t="s">
        <v>2875</v>
      </c>
      <c r="M56" s="349" t="s">
        <v>2875</v>
      </c>
      <c r="N56" s="349" t="s">
        <v>2875</v>
      </c>
      <c r="O56" s="349" t="s">
        <v>2875</v>
      </c>
      <c r="P56" s="348" t="s">
        <v>2875</v>
      </c>
      <c r="Q56" s="348" t="s">
        <v>2875</v>
      </c>
      <c r="R56" s="349" t="s">
        <v>2875</v>
      </c>
      <c r="S56" s="349">
        <v>22740</v>
      </c>
      <c r="T56" s="326" t="s">
        <v>2875</v>
      </c>
      <c r="U56" s="326" t="s">
        <v>2875</v>
      </c>
      <c r="V56" s="326" t="s">
        <v>2875</v>
      </c>
    </row>
    <row r="57" spans="1:22" ht="20">
      <c r="A57" s="979"/>
      <c r="B57" s="973"/>
      <c r="C57" s="327" t="s">
        <v>2975</v>
      </c>
      <c r="D57" s="327" t="s">
        <v>2976</v>
      </c>
      <c r="E57" s="363" t="s">
        <v>2875</v>
      </c>
      <c r="F57" s="364" t="s">
        <v>2960</v>
      </c>
      <c r="G57" s="364" t="s">
        <v>2875</v>
      </c>
      <c r="H57" s="364" t="s">
        <v>2875</v>
      </c>
      <c r="I57" s="364" t="s">
        <v>2875</v>
      </c>
      <c r="J57" s="364" t="s">
        <v>2875</v>
      </c>
      <c r="K57" s="348" t="s">
        <v>2875</v>
      </c>
      <c r="L57" s="348" t="s">
        <v>2875</v>
      </c>
      <c r="M57" s="349" t="s">
        <v>2875</v>
      </c>
      <c r="N57" s="349" t="s">
        <v>2875</v>
      </c>
      <c r="O57" s="349" t="s">
        <v>2875</v>
      </c>
      <c r="P57" s="348" t="s">
        <v>2875</v>
      </c>
      <c r="Q57" s="348" t="s">
        <v>2875</v>
      </c>
      <c r="R57" s="349" t="s">
        <v>2875</v>
      </c>
      <c r="S57" s="349">
        <v>288412</v>
      </c>
      <c r="T57" s="326" t="s">
        <v>2875</v>
      </c>
      <c r="U57" s="326" t="s">
        <v>2875</v>
      </c>
      <c r="V57" s="326" t="s">
        <v>2875</v>
      </c>
    </row>
    <row r="58" spans="1:22" ht="40">
      <c r="A58" s="979"/>
      <c r="B58" s="973"/>
      <c r="C58" s="327" t="s">
        <v>2977</v>
      </c>
      <c r="D58" s="327" t="s">
        <v>2978</v>
      </c>
      <c r="E58" s="363" t="s">
        <v>2875</v>
      </c>
      <c r="F58" s="364" t="s">
        <v>2960</v>
      </c>
      <c r="G58" s="364" t="s">
        <v>2875</v>
      </c>
      <c r="H58" s="364" t="s">
        <v>2875</v>
      </c>
      <c r="I58" s="364" t="s">
        <v>2875</v>
      </c>
      <c r="J58" s="364" t="s">
        <v>2875</v>
      </c>
      <c r="K58" s="348" t="s">
        <v>2875</v>
      </c>
      <c r="L58" s="348" t="s">
        <v>2875</v>
      </c>
      <c r="M58" s="349" t="s">
        <v>2875</v>
      </c>
      <c r="N58" s="349" t="s">
        <v>2875</v>
      </c>
      <c r="O58" s="349" t="s">
        <v>2875</v>
      </c>
      <c r="P58" s="348" t="s">
        <v>2875</v>
      </c>
      <c r="Q58" s="348" t="s">
        <v>2875</v>
      </c>
      <c r="R58" s="349" t="s">
        <v>2875</v>
      </c>
      <c r="S58" s="349">
        <v>19842.5</v>
      </c>
      <c r="T58" s="326" t="s">
        <v>2875</v>
      </c>
      <c r="U58" s="326" t="s">
        <v>2875</v>
      </c>
      <c r="V58" s="326" t="s">
        <v>2875</v>
      </c>
    </row>
    <row r="59" spans="1:22">
      <c r="A59" s="365"/>
      <c r="B59" s="351" t="s">
        <v>2979</v>
      </c>
      <c r="C59" s="366"/>
      <c r="D59" s="366"/>
      <c r="E59" s="367"/>
      <c r="F59" s="368"/>
      <c r="G59" s="368"/>
      <c r="H59" s="368"/>
      <c r="I59" s="368"/>
      <c r="J59" s="368"/>
      <c r="K59" s="369"/>
      <c r="L59" s="369"/>
      <c r="M59" s="370"/>
      <c r="N59" s="370"/>
      <c r="O59" s="362">
        <f>SUM(O27:O58)</f>
        <v>0</v>
      </c>
      <c r="P59" s="369"/>
      <c r="Q59" s="369"/>
      <c r="R59" s="370">
        <f>SUM(R27:R58)</f>
        <v>0</v>
      </c>
      <c r="S59" s="356">
        <f>SUM(S27:S58)</f>
        <v>2943308.67</v>
      </c>
      <c r="T59" s="365"/>
      <c r="U59" s="365"/>
      <c r="V59" s="365"/>
    </row>
    <row r="60" spans="1:22">
      <c r="A60" s="980">
        <v>6</v>
      </c>
      <c r="B60" s="984" t="s">
        <v>2980</v>
      </c>
      <c r="C60" s="338" t="s">
        <v>2981</v>
      </c>
      <c r="D60" s="338" t="s">
        <v>2982</v>
      </c>
      <c r="E60" s="338" t="s">
        <v>2875</v>
      </c>
      <c r="F60" s="338" t="s">
        <v>2983</v>
      </c>
      <c r="G60" s="338" t="s">
        <v>2875</v>
      </c>
      <c r="H60" s="338" t="s">
        <v>2984</v>
      </c>
      <c r="I60" s="338" t="s">
        <v>2985</v>
      </c>
      <c r="J60" s="338" t="s">
        <v>2986</v>
      </c>
      <c r="K60" s="340" t="s">
        <v>2987</v>
      </c>
      <c r="L60" s="340" t="s">
        <v>2875</v>
      </c>
      <c r="M60" s="371">
        <v>200000</v>
      </c>
      <c r="N60" s="371" t="s">
        <v>2875</v>
      </c>
      <c r="O60" s="341">
        <v>116639.34</v>
      </c>
      <c r="P60" s="360" t="s">
        <v>2875</v>
      </c>
      <c r="Q60" s="360" t="s">
        <v>2875</v>
      </c>
      <c r="R60" s="361" t="s">
        <v>2875</v>
      </c>
      <c r="S60" s="361">
        <v>0</v>
      </c>
      <c r="T60" s="357" t="s">
        <v>2875</v>
      </c>
      <c r="U60" s="357" t="s">
        <v>2875</v>
      </c>
      <c r="V60" s="357" t="s">
        <v>2875</v>
      </c>
    </row>
    <row r="61" spans="1:22">
      <c r="A61" s="980"/>
      <c r="B61" s="984"/>
      <c r="C61" s="338" t="s">
        <v>2988</v>
      </c>
      <c r="D61" s="338" t="s">
        <v>2989</v>
      </c>
      <c r="E61" s="338" t="s">
        <v>2875</v>
      </c>
      <c r="F61" s="338" t="s">
        <v>2983</v>
      </c>
      <c r="G61" s="338" t="s">
        <v>2875</v>
      </c>
      <c r="H61" s="338" t="s">
        <v>2984</v>
      </c>
      <c r="I61" s="338" t="s">
        <v>2990</v>
      </c>
      <c r="J61" s="338" t="s">
        <v>2986</v>
      </c>
      <c r="K61" s="340" t="s">
        <v>2991</v>
      </c>
      <c r="L61" s="340" t="s">
        <v>2875</v>
      </c>
      <c r="M61" s="371">
        <v>100000</v>
      </c>
      <c r="N61" s="371">
        <v>81619.600000000006</v>
      </c>
      <c r="O61" s="341">
        <v>43258.39</v>
      </c>
      <c r="P61" s="360" t="s">
        <v>2875</v>
      </c>
      <c r="Q61" s="360" t="s">
        <v>2875</v>
      </c>
      <c r="R61" s="361" t="s">
        <v>2875</v>
      </c>
      <c r="S61" s="361">
        <v>0</v>
      </c>
      <c r="T61" s="357" t="s">
        <v>2875</v>
      </c>
      <c r="U61" s="357" t="s">
        <v>2875</v>
      </c>
      <c r="V61" s="357" t="s">
        <v>2875</v>
      </c>
    </row>
    <row r="62" spans="1:22">
      <c r="A62" s="980"/>
      <c r="B62" s="984"/>
      <c r="C62" s="338" t="s">
        <v>2992</v>
      </c>
      <c r="D62" s="338" t="s">
        <v>2993</v>
      </c>
      <c r="E62" s="338" t="s">
        <v>2875</v>
      </c>
      <c r="F62" s="338" t="s">
        <v>2994</v>
      </c>
      <c r="G62" s="338" t="s">
        <v>2875</v>
      </c>
      <c r="H62" s="338" t="s">
        <v>2984</v>
      </c>
      <c r="I62" s="338" t="s">
        <v>2995</v>
      </c>
      <c r="J62" s="338" t="s">
        <v>2986</v>
      </c>
      <c r="K62" s="340" t="s">
        <v>2987</v>
      </c>
      <c r="L62" s="340" t="s">
        <v>2875</v>
      </c>
      <c r="M62" s="371">
        <v>73000</v>
      </c>
      <c r="N62" s="371">
        <v>106106</v>
      </c>
      <c r="O62" s="341">
        <v>58047.92</v>
      </c>
      <c r="P62" s="360" t="s">
        <v>2875</v>
      </c>
      <c r="Q62" s="360" t="s">
        <v>2875</v>
      </c>
      <c r="R62" s="361" t="s">
        <v>2875</v>
      </c>
      <c r="S62" s="361">
        <v>0</v>
      </c>
      <c r="T62" s="357" t="s">
        <v>2875</v>
      </c>
      <c r="U62" s="357" t="s">
        <v>2875</v>
      </c>
      <c r="V62" s="357" t="s">
        <v>2875</v>
      </c>
    </row>
    <row r="63" spans="1:22" ht="20">
      <c r="A63" s="980"/>
      <c r="B63" s="984"/>
      <c r="C63" s="338" t="s">
        <v>2996</v>
      </c>
      <c r="D63" s="338" t="s">
        <v>894</v>
      </c>
      <c r="E63" s="338" t="s">
        <v>2875</v>
      </c>
      <c r="F63" s="338" t="s">
        <v>2997</v>
      </c>
      <c r="G63" s="338" t="s">
        <v>2875</v>
      </c>
      <c r="H63" s="338" t="s">
        <v>2984</v>
      </c>
      <c r="I63" s="338" t="s">
        <v>2998</v>
      </c>
      <c r="J63" s="338" t="s">
        <v>2986</v>
      </c>
      <c r="K63" s="340" t="s">
        <v>2991</v>
      </c>
      <c r="L63" s="340" t="s">
        <v>2875</v>
      </c>
      <c r="M63" s="372" t="s">
        <v>2875</v>
      </c>
      <c r="N63" s="371">
        <v>975567.24</v>
      </c>
      <c r="O63" s="341">
        <v>219636.24</v>
      </c>
      <c r="P63" s="360" t="s">
        <v>2875</v>
      </c>
      <c r="Q63" s="360" t="s">
        <v>2875</v>
      </c>
      <c r="R63" s="361" t="s">
        <v>2875</v>
      </c>
      <c r="S63" s="361">
        <v>0</v>
      </c>
      <c r="T63" s="357" t="s">
        <v>2875</v>
      </c>
      <c r="U63" s="357" t="s">
        <v>2875</v>
      </c>
      <c r="V63" s="357" t="s">
        <v>2875</v>
      </c>
    </row>
    <row r="64" spans="1:22">
      <c r="A64" s="980"/>
      <c r="B64" s="984"/>
      <c r="C64" s="338" t="s">
        <v>2999</v>
      </c>
      <c r="D64" s="338" t="s">
        <v>3000</v>
      </c>
      <c r="E64" s="338" t="s">
        <v>2875</v>
      </c>
      <c r="F64" s="338" t="s">
        <v>3001</v>
      </c>
      <c r="G64" s="338" t="s">
        <v>2875</v>
      </c>
      <c r="H64" s="338" t="s">
        <v>2984</v>
      </c>
      <c r="I64" s="338" t="s">
        <v>3002</v>
      </c>
      <c r="J64" s="338" t="s">
        <v>2986</v>
      </c>
      <c r="K64" s="340" t="s">
        <v>3003</v>
      </c>
      <c r="L64" s="340" t="s">
        <v>2875</v>
      </c>
      <c r="M64" s="371">
        <v>138080</v>
      </c>
      <c r="N64" s="371" t="s">
        <v>2875</v>
      </c>
      <c r="O64" s="341">
        <v>76668</v>
      </c>
      <c r="P64" s="360" t="s">
        <v>2875</v>
      </c>
      <c r="Q64" s="360" t="s">
        <v>2875</v>
      </c>
      <c r="R64" s="361" t="s">
        <v>2875</v>
      </c>
      <c r="S64" s="361">
        <v>0</v>
      </c>
      <c r="T64" s="357" t="s">
        <v>2875</v>
      </c>
      <c r="U64" s="357" t="s">
        <v>2875</v>
      </c>
      <c r="V64" s="357" t="s">
        <v>2875</v>
      </c>
    </row>
    <row r="65" spans="1:22" ht="40">
      <c r="A65" s="980"/>
      <c r="B65" s="984"/>
      <c r="C65" s="338" t="s">
        <v>3004</v>
      </c>
      <c r="D65" s="338" t="s">
        <v>3005</v>
      </c>
      <c r="E65" s="338" t="s">
        <v>2875</v>
      </c>
      <c r="F65" s="338" t="s">
        <v>3006</v>
      </c>
      <c r="G65" s="338" t="s">
        <v>2875</v>
      </c>
      <c r="H65" s="338" t="s">
        <v>2984</v>
      </c>
      <c r="I65" s="338" t="s">
        <v>3007</v>
      </c>
      <c r="J65" s="338" t="s">
        <v>2986</v>
      </c>
      <c r="K65" s="340" t="s">
        <v>3008</v>
      </c>
      <c r="L65" s="340" t="s">
        <v>2875</v>
      </c>
      <c r="M65" s="371">
        <v>214552</v>
      </c>
      <c r="N65" s="371" t="s">
        <v>2875</v>
      </c>
      <c r="O65" s="341">
        <v>290665</v>
      </c>
      <c r="P65" s="360" t="s">
        <v>2875</v>
      </c>
      <c r="Q65" s="360" t="s">
        <v>2875</v>
      </c>
      <c r="R65" s="361" t="s">
        <v>2875</v>
      </c>
      <c r="S65" s="361">
        <v>0</v>
      </c>
      <c r="T65" s="357" t="s">
        <v>2875</v>
      </c>
      <c r="U65" s="357" t="s">
        <v>2875</v>
      </c>
      <c r="V65" s="357" t="s">
        <v>2875</v>
      </c>
    </row>
    <row r="66" spans="1:22" ht="40">
      <c r="A66" s="980"/>
      <c r="B66" s="984"/>
      <c r="C66" s="338" t="s">
        <v>3009</v>
      </c>
      <c r="D66" s="338" t="s">
        <v>3010</v>
      </c>
      <c r="E66" s="338" t="s">
        <v>2875</v>
      </c>
      <c r="F66" s="338" t="s">
        <v>3011</v>
      </c>
      <c r="G66" s="338" t="s">
        <v>2875</v>
      </c>
      <c r="H66" s="338" t="s">
        <v>2984</v>
      </c>
      <c r="I66" s="338" t="s">
        <v>3012</v>
      </c>
      <c r="J66" s="338" t="s">
        <v>2986</v>
      </c>
      <c r="K66" s="340" t="s">
        <v>3013</v>
      </c>
      <c r="L66" s="340" t="s">
        <v>2875</v>
      </c>
      <c r="M66" s="371">
        <v>139616.4</v>
      </c>
      <c r="N66" s="371">
        <v>205995.51999999999</v>
      </c>
      <c r="O66" s="341">
        <v>136049</v>
      </c>
      <c r="P66" s="360" t="s">
        <v>2875</v>
      </c>
      <c r="Q66" s="360" t="s">
        <v>2875</v>
      </c>
      <c r="R66" s="361" t="s">
        <v>2875</v>
      </c>
      <c r="S66" s="361">
        <v>0</v>
      </c>
      <c r="T66" s="357" t="s">
        <v>2875</v>
      </c>
      <c r="U66" s="357" t="s">
        <v>2875</v>
      </c>
      <c r="V66" s="357" t="s">
        <v>2875</v>
      </c>
    </row>
    <row r="67" spans="1:22">
      <c r="A67" s="980"/>
      <c r="B67" s="984"/>
      <c r="C67" s="338" t="s">
        <v>3014</v>
      </c>
      <c r="D67" s="338" t="s">
        <v>3000</v>
      </c>
      <c r="E67" s="338" t="s">
        <v>2875</v>
      </c>
      <c r="F67" s="338" t="s">
        <v>3015</v>
      </c>
      <c r="G67" s="338" t="s">
        <v>2875</v>
      </c>
      <c r="H67" s="338" t="s">
        <v>2984</v>
      </c>
      <c r="I67" s="338" t="s">
        <v>3016</v>
      </c>
      <c r="J67" s="338" t="s">
        <v>2986</v>
      </c>
      <c r="K67" s="340" t="s">
        <v>3017</v>
      </c>
      <c r="L67" s="340" t="s">
        <v>2875</v>
      </c>
      <c r="M67" s="371">
        <v>436880</v>
      </c>
      <c r="N67" s="371" t="s">
        <v>2875</v>
      </c>
      <c r="O67" s="341">
        <v>79219</v>
      </c>
      <c r="P67" s="360" t="s">
        <v>2875</v>
      </c>
      <c r="Q67" s="360" t="s">
        <v>2875</v>
      </c>
      <c r="R67" s="361" t="s">
        <v>2875</v>
      </c>
      <c r="S67" s="361">
        <v>0</v>
      </c>
      <c r="T67" s="357" t="s">
        <v>2875</v>
      </c>
      <c r="U67" s="357" t="s">
        <v>2875</v>
      </c>
      <c r="V67" s="357" t="s">
        <v>2875</v>
      </c>
    </row>
    <row r="68" spans="1:22">
      <c r="A68" s="980"/>
      <c r="B68" s="984"/>
      <c r="C68" s="338" t="s">
        <v>3018</v>
      </c>
      <c r="D68" s="338" t="s">
        <v>3000</v>
      </c>
      <c r="E68" s="338" t="s">
        <v>2875</v>
      </c>
      <c r="F68" s="338" t="s">
        <v>2983</v>
      </c>
      <c r="G68" s="338" t="s">
        <v>2875</v>
      </c>
      <c r="H68" s="338" t="s">
        <v>2984</v>
      </c>
      <c r="I68" s="338" t="s">
        <v>3019</v>
      </c>
      <c r="J68" s="338" t="s">
        <v>2986</v>
      </c>
      <c r="K68" s="340" t="s">
        <v>3020</v>
      </c>
      <c r="L68" s="340" t="s">
        <v>2875</v>
      </c>
      <c r="M68" s="371">
        <v>200000</v>
      </c>
      <c r="N68" s="371">
        <v>347096.47</v>
      </c>
      <c r="O68" s="341">
        <v>12220</v>
      </c>
      <c r="P68" s="360" t="s">
        <v>2875</v>
      </c>
      <c r="Q68" s="360" t="s">
        <v>2875</v>
      </c>
      <c r="R68" s="361" t="s">
        <v>2875</v>
      </c>
      <c r="S68" s="361">
        <v>0</v>
      </c>
      <c r="T68" s="357" t="s">
        <v>2875</v>
      </c>
      <c r="U68" s="357" t="s">
        <v>2875</v>
      </c>
      <c r="V68" s="357" t="s">
        <v>2875</v>
      </c>
    </row>
    <row r="69" spans="1:22" ht="20">
      <c r="A69" s="980"/>
      <c r="B69" s="984"/>
      <c r="C69" s="338" t="s">
        <v>3021</v>
      </c>
      <c r="D69" s="338" t="s">
        <v>3000</v>
      </c>
      <c r="E69" s="338" t="s">
        <v>2875</v>
      </c>
      <c r="F69" s="338" t="s">
        <v>2983</v>
      </c>
      <c r="G69" s="338" t="s">
        <v>2875</v>
      </c>
      <c r="H69" s="338" t="s">
        <v>2984</v>
      </c>
      <c r="I69" s="338" t="s">
        <v>3022</v>
      </c>
      <c r="J69" s="338" t="s">
        <v>2986</v>
      </c>
      <c r="K69" s="340" t="s">
        <v>3013</v>
      </c>
      <c r="L69" s="340" t="s">
        <v>2875</v>
      </c>
      <c r="M69" s="371">
        <v>540000</v>
      </c>
      <c r="N69" s="371" t="s">
        <v>2875</v>
      </c>
      <c r="O69" s="341">
        <v>292356</v>
      </c>
      <c r="P69" s="360" t="s">
        <v>2875</v>
      </c>
      <c r="Q69" s="360" t="s">
        <v>2875</v>
      </c>
      <c r="R69" s="361" t="s">
        <v>2875</v>
      </c>
      <c r="S69" s="361">
        <v>0</v>
      </c>
      <c r="T69" s="357" t="s">
        <v>2875</v>
      </c>
      <c r="U69" s="357" t="s">
        <v>2875</v>
      </c>
      <c r="V69" s="357" t="s">
        <v>2875</v>
      </c>
    </row>
    <row r="70" spans="1:22" ht="20">
      <c r="A70" s="980"/>
      <c r="B70" s="984"/>
      <c r="C70" s="338" t="s">
        <v>3023</v>
      </c>
      <c r="D70" s="338" t="s">
        <v>893</v>
      </c>
      <c r="E70" s="338" t="s">
        <v>2875</v>
      </c>
      <c r="F70" s="338" t="s">
        <v>2994</v>
      </c>
      <c r="G70" s="338" t="s">
        <v>2875</v>
      </c>
      <c r="H70" s="338" t="s">
        <v>2984</v>
      </c>
      <c r="I70" s="338" t="s">
        <v>3024</v>
      </c>
      <c r="J70" s="338" t="s">
        <v>2986</v>
      </c>
      <c r="K70" s="340" t="s">
        <v>3013</v>
      </c>
      <c r="L70" s="340" t="s">
        <v>2875</v>
      </c>
      <c r="M70" s="371">
        <v>600000</v>
      </c>
      <c r="N70" s="371" t="s">
        <v>2875</v>
      </c>
      <c r="O70" s="341">
        <v>254345.7</v>
      </c>
      <c r="P70" s="360" t="s">
        <v>2875</v>
      </c>
      <c r="Q70" s="360" t="s">
        <v>2875</v>
      </c>
      <c r="R70" s="361" t="s">
        <v>2875</v>
      </c>
      <c r="S70" s="361">
        <v>0</v>
      </c>
      <c r="T70" s="357" t="s">
        <v>2875</v>
      </c>
      <c r="U70" s="357" t="s">
        <v>2875</v>
      </c>
      <c r="V70" s="357" t="s">
        <v>2875</v>
      </c>
    </row>
    <row r="71" spans="1:22" s="335" customFormat="1">
      <c r="A71" s="350"/>
      <c r="B71" s="351" t="s">
        <v>3025</v>
      </c>
      <c r="C71" s="351"/>
      <c r="D71" s="351"/>
      <c r="E71" s="373"/>
      <c r="F71" s="374"/>
      <c r="G71" s="374"/>
      <c r="H71" s="374"/>
      <c r="I71" s="374"/>
      <c r="J71" s="374"/>
      <c r="K71" s="354"/>
      <c r="L71" s="354"/>
      <c r="M71" s="355"/>
      <c r="N71" s="355"/>
      <c r="O71" s="356">
        <f>SUM(O60:O70)</f>
        <v>1579104.5899999999</v>
      </c>
      <c r="P71" s="354"/>
      <c r="Q71" s="354"/>
      <c r="R71" s="355">
        <f>SUM(R39:R70)</f>
        <v>0</v>
      </c>
      <c r="S71" s="356">
        <f>SUM(S60:S70)</f>
        <v>0</v>
      </c>
      <c r="T71" s="350"/>
      <c r="U71" s="350"/>
      <c r="V71" s="350"/>
    </row>
    <row r="72" spans="1:22">
      <c r="A72" s="979">
        <v>7</v>
      </c>
      <c r="B72" s="973" t="s">
        <v>574</v>
      </c>
      <c r="C72" s="364" t="s">
        <v>3026</v>
      </c>
      <c r="D72" s="364" t="s">
        <v>3027</v>
      </c>
      <c r="E72" s="364" t="s">
        <v>2875</v>
      </c>
      <c r="F72" s="364" t="s">
        <v>3028</v>
      </c>
      <c r="G72" s="364" t="s">
        <v>3027</v>
      </c>
      <c r="H72" s="364" t="s">
        <v>3029</v>
      </c>
      <c r="I72" s="364" t="s">
        <v>3030</v>
      </c>
      <c r="J72" s="364" t="s">
        <v>833</v>
      </c>
      <c r="K72" s="348" t="s">
        <v>2875</v>
      </c>
      <c r="L72" s="348" t="s">
        <v>3031</v>
      </c>
      <c r="M72" s="349" t="s">
        <v>2875</v>
      </c>
      <c r="N72" s="349" t="s">
        <v>2875</v>
      </c>
      <c r="O72" s="349" t="s">
        <v>2875</v>
      </c>
      <c r="P72" s="348" t="s">
        <v>2875</v>
      </c>
      <c r="Q72" s="348" t="s">
        <v>2875</v>
      </c>
      <c r="R72" s="349">
        <v>192807</v>
      </c>
      <c r="S72" s="349">
        <v>69420</v>
      </c>
      <c r="T72" s="326" t="s">
        <v>2875</v>
      </c>
      <c r="U72" s="326" t="s">
        <v>2875</v>
      </c>
      <c r="V72" s="326" t="s">
        <v>2875</v>
      </c>
    </row>
    <row r="73" spans="1:22">
      <c r="A73" s="979"/>
      <c r="B73" s="973"/>
      <c r="C73" s="364" t="s">
        <v>3032</v>
      </c>
      <c r="D73" s="364" t="s">
        <v>3033</v>
      </c>
      <c r="E73" s="364" t="s">
        <v>2875</v>
      </c>
      <c r="F73" s="364" t="s">
        <v>3028</v>
      </c>
      <c r="G73" s="364" t="s">
        <v>3034</v>
      </c>
      <c r="H73" s="364" t="s">
        <v>3029</v>
      </c>
      <c r="I73" s="364" t="s">
        <v>3030</v>
      </c>
      <c r="J73" s="364" t="s">
        <v>833</v>
      </c>
      <c r="K73" s="348" t="s">
        <v>2875</v>
      </c>
      <c r="L73" s="348" t="s">
        <v>3031</v>
      </c>
      <c r="M73" s="349" t="s">
        <v>2875</v>
      </c>
      <c r="N73" s="349" t="s">
        <v>2875</v>
      </c>
      <c r="O73" s="349" t="s">
        <v>2875</v>
      </c>
      <c r="P73" s="348" t="s">
        <v>2875</v>
      </c>
      <c r="Q73" s="348" t="s">
        <v>2875</v>
      </c>
      <c r="R73" s="349">
        <v>774920</v>
      </c>
      <c r="S73" s="349">
        <v>740480</v>
      </c>
      <c r="T73" s="326" t="s">
        <v>2875</v>
      </c>
      <c r="U73" s="326" t="s">
        <v>2875</v>
      </c>
      <c r="V73" s="326" t="s">
        <v>2875</v>
      </c>
    </row>
    <row r="74" spans="1:22">
      <c r="A74" s="979"/>
      <c r="B74" s="973"/>
      <c r="C74" s="364" t="s">
        <v>3035</v>
      </c>
      <c r="D74" s="364" t="s">
        <v>3036</v>
      </c>
      <c r="E74" s="364" t="s">
        <v>2875</v>
      </c>
      <c r="F74" s="364" t="s">
        <v>3028</v>
      </c>
      <c r="G74" s="364" t="s">
        <v>3036</v>
      </c>
      <c r="H74" s="364" t="s">
        <v>3029</v>
      </c>
      <c r="I74" s="364" t="s">
        <v>3030</v>
      </c>
      <c r="J74" s="364" t="s">
        <v>833</v>
      </c>
      <c r="K74" s="348" t="s">
        <v>2875</v>
      </c>
      <c r="L74" s="348" t="s">
        <v>840</v>
      </c>
      <c r="M74" s="349" t="s">
        <v>2875</v>
      </c>
      <c r="N74" s="349" t="s">
        <v>2875</v>
      </c>
      <c r="O74" s="349" t="s">
        <v>2875</v>
      </c>
      <c r="P74" s="348" t="s">
        <v>2875</v>
      </c>
      <c r="Q74" s="348" t="s">
        <v>2875</v>
      </c>
      <c r="R74" s="349">
        <v>432375</v>
      </c>
      <c r="S74" s="349">
        <v>153000</v>
      </c>
      <c r="T74" s="326" t="s">
        <v>2875</v>
      </c>
      <c r="U74" s="326" t="s">
        <v>2875</v>
      </c>
      <c r="V74" s="326" t="s">
        <v>2875</v>
      </c>
    </row>
    <row r="75" spans="1:22">
      <c r="A75" s="979"/>
      <c r="B75" s="973"/>
      <c r="C75" s="364" t="s">
        <v>3037</v>
      </c>
      <c r="D75" s="364" t="s">
        <v>3038</v>
      </c>
      <c r="E75" s="364" t="s">
        <v>2875</v>
      </c>
      <c r="F75" s="364" t="s">
        <v>3028</v>
      </c>
      <c r="G75" s="364" t="s">
        <v>3038</v>
      </c>
      <c r="H75" s="364" t="s">
        <v>3029</v>
      </c>
      <c r="I75" s="364" t="s">
        <v>3030</v>
      </c>
      <c r="J75" s="364" t="s">
        <v>833</v>
      </c>
      <c r="K75" s="348" t="s">
        <v>2875</v>
      </c>
      <c r="L75" s="348" t="s">
        <v>840</v>
      </c>
      <c r="M75" s="349" t="s">
        <v>2875</v>
      </c>
      <c r="N75" s="349" t="s">
        <v>2875</v>
      </c>
      <c r="O75" s="349" t="s">
        <v>2875</v>
      </c>
      <c r="P75" s="348" t="s">
        <v>2875</v>
      </c>
      <c r="Q75" s="348" t="s">
        <v>2875</v>
      </c>
      <c r="R75" s="349">
        <v>123963.2</v>
      </c>
      <c r="S75" s="349">
        <v>65423</v>
      </c>
      <c r="T75" s="326" t="s">
        <v>2875</v>
      </c>
      <c r="U75" s="326" t="s">
        <v>2875</v>
      </c>
      <c r="V75" s="326" t="s">
        <v>2875</v>
      </c>
    </row>
    <row r="76" spans="1:22">
      <c r="A76" s="979"/>
      <c r="B76" s="973"/>
      <c r="C76" s="364" t="s">
        <v>3039</v>
      </c>
      <c r="D76" s="364" t="s">
        <v>3040</v>
      </c>
      <c r="E76" s="364" t="s">
        <v>2875</v>
      </c>
      <c r="F76" s="364" t="s">
        <v>3028</v>
      </c>
      <c r="G76" s="364" t="s">
        <v>3040</v>
      </c>
      <c r="H76" s="364" t="s">
        <v>3029</v>
      </c>
      <c r="I76" s="364" t="s">
        <v>3030</v>
      </c>
      <c r="J76" s="364" t="s">
        <v>833</v>
      </c>
      <c r="K76" s="348" t="s">
        <v>2875</v>
      </c>
      <c r="L76" s="348" t="s">
        <v>840</v>
      </c>
      <c r="M76" s="349" t="s">
        <v>2875</v>
      </c>
      <c r="N76" s="349" t="s">
        <v>2875</v>
      </c>
      <c r="O76" s="349" t="s">
        <v>2875</v>
      </c>
      <c r="P76" s="348" t="s">
        <v>2875</v>
      </c>
      <c r="Q76" s="348" t="s">
        <v>2875</v>
      </c>
      <c r="R76" s="349">
        <v>261914</v>
      </c>
      <c r="S76" s="349">
        <v>69114.899999999994</v>
      </c>
      <c r="T76" s="326" t="s">
        <v>2875</v>
      </c>
      <c r="U76" s="326" t="s">
        <v>2875</v>
      </c>
      <c r="V76" s="326" t="s">
        <v>2875</v>
      </c>
    </row>
    <row r="77" spans="1:22">
      <c r="A77" s="979"/>
      <c r="B77" s="973"/>
      <c r="C77" s="364" t="s">
        <v>3041</v>
      </c>
      <c r="D77" s="364" t="s">
        <v>3033</v>
      </c>
      <c r="E77" s="364" t="s">
        <v>2875</v>
      </c>
      <c r="F77" s="364" t="s">
        <v>3028</v>
      </c>
      <c r="G77" s="364" t="s">
        <v>3034</v>
      </c>
      <c r="H77" s="364" t="s">
        <v>3029</v>
      </c>
      <c r="I77" s="364" t="s">
        <v>3030</v>
      </c>
      <c r="J77" s="364" t="s">
        <v>833</v>
      </c>
      <c r="K77" s="348" t="s">
        <v>2875</v>
      </c>
      <c r="L77" s="348" t="s">
        <v>840</v>
      </c>
      <c r="M77" s="349" t="s">
        <v>2875</v>
      </c>
      <c r="N77" s="349" t="s">
        <v>2875</v>
      </c>
      <c r="O77" s="349" t="s">
        <v>2875</v>
      </c>
      <c r="P77" s="348" t="s">
        <v>2875</v>
      </c>
      <c r="Q77" s="348" t="s">
        <v>2875</v>
      </c>
      <c r="R77" s="349">
        <v>42945</v>
      </c>
      <c r="S77" s="349">
        <v>21472.5</v>
      </c>
      <c r="T77" s="326" t="s">
        <v>2875</v>
      </c>
      <c r="U77" s="326" t="s">
        <v>2875</v>
      </c>
      <c r="V77" s="326" t="s">
        <v>2875</v>
      </c>
    </row>
    <row r="78" spans="1:22" s="335" customFormat="1">
      <c r="A78" s="350"/>
      <c r="B78" s="351" t="s">
        <v>3042</v>
      </c>
      <c r="C78" s="351"/>
      <c r="D78" s="351"/>
      <c r="E78" s="373"/>
      <c r="F78" s="374"/>
      <c r="G78" s="374"/>
      <c r="H78" s="374"/>
      <c r="I78" s="374"/>
      <c r="J78" s="374"/>
      <c r="K78" s="354"/>
      <c r="L78" s="354"/>
      <c r="M78" s="355"/>
      <c r="N78" s="355"/>
      <c r="O78" s="356">
        <f>SUM(O72:O77)</f>
        <v>0</v>
      </c>
      <c r="P78" s="354"/>
      <c r="Q78" s="354"/>
      <c r="R78" s="355">
        <f>SUM(R46:R77)</f>
        <v>1828924.2</v>
      </c>
      <c r="S78" s="356">
        <f>SUM(S72:S77)</f>
        <v>1118910.3999999999</v>
      </c>
      <c r="T78" s="350"/>
      <c r="U78" s="350"/>
      <c r="V78" s="350"/>
    </row>
    <row r="79" spans="1:22">
      <c r="A79" s="981">
        <v>8</v>
      </c>
      <c r="B79" s="982" t="s">
        <v>578</v>
      </c>
      <c r="C79" s="376" t="s">
        <v>895</v>
      </c>
      <c r="D79" s="376" t="s">
        <v>896</v>
      </c>
      <c r="E79" s="376">
        <v>100</v>
      </c>
      <c r="F79" s="376" t="s">
        <v>847</v>
      </c>
      <c r="G79" s="376" t="s">
        <v>847</v>
      </c>
      <c r="H79" s="376" t="s">
        <v>897</v>
      </c>
      <c r="I79" s="376" t="s">
        <v>848</v>
      </c>
      <c r="J79" s="376" t="s">
        <v>898</v>
      </c>
      <c r="K79" s="377" t="s">
        <v>2875</v>
      </c>
      <c r="L79" s="377" t="s">
        <v>2875</v>
      </c>
      <c r="M79" s="378">
        <v>1500</v>
      </c>
      <c r="N79" s="378"/>
      <c r="O79" s="378">
        <v>1500</v>
      </c>
      <c r="P79" s="377" t="s">
        <v>2877</v>
      </c>
      <c r="Q79" s="377" t="s">
        <v>2877</v>
      </c>
      <c r="R79" s="377" t="s">
        <v>2877</v>
      </c>
      <c r="S79" s="378">
        <v>0</v>
      </c>
      <c r="T79" s="375" t="s">
        <v>2875</v>
      </c>
      <c r="U79" s="375" t="s">
        <v>2875</v>
      </c>
      <c r="V79" s="375" t="s">
        <v>2875</v>
      </c>
    </row>
    <row r="80" spans="1:22">
      <c r="A80" s="981"/>
      <c r="B80" s="982"/>
      <c r="C80" s="376" t="s">
        <v>902</v>
      </c>
      <c r="D80" s="376" t="s">
        <v>903</v>
      </c>
      <c r="E80" s="376">
        <v>60</v>
      </c>
      <c r="F80" s="376" t="s">
        <v>847</v>
      </c>
      <c r="G80" s="376" t="s">
        <v>847</v>
      </c>
      <c r="H80" s="376" t="s">
        <v>897</v>
      </c>
      <c r="I80" s="376" t="s">
        <v>848</v>
      </c>
      <c r="J80" s="376" t="s">
        <v>898</v>
      </c>
      <c r="K80" s="377" t="s">
        <v>2875</v>
      </c>
      <c r="L80" s="377" t="s">
        <v>2875</v>
      </c>
      <c r="M80" s="378">
        <v>25460</v>
      </c>
      <c r="N80" s="378"/>
      <c r="O80" s="378">
        <v>25460</v>
      </c>
      <c r="P80" s="377" t="s">
        <v>2877</v>
      </c>
      <c r="Q80" s="377" t="s">
        <v>2877</v>
      </c>
      <c r="R80" s="377" t="s">
        <v>2877</v>
      </c>
      <c r="S80" s="378">
        <v>0</v>
      </c>
      <c r="T80" s="375" t="s">
        <v>2875</v>
      </c>
      <c r="U80" s="375" t="s">
        <v>2875</v>
      </c>
      <c r="V80" s="375" t="s">
        <v>2875</v>
      </c>
    </row>
    <row r="81" spans="1:23">
      <c r="A81" s="350"/>
      <c r="B81" s="351" t="s">
        <v>3043</v>
      </c>
      <c r="C81" s="351"/>
      <c r="D81" s="351"/>
      <c r="E81" s="373"/>
      <c r="F81" s="374"/>
      <c r="G81" s="374"/>
      <c r="H81" s="374"/>
      <c r="I81" s="374"/>
      <c r="J81" s="374"/>
      <c r="K81" s="354"/>
      <c r="L81" s="354"/>
      <c r="M81" s="355"/>
      <c r="N81" s="355"/>
      <c r="O81" s="356">
        <f>SUM(O75:O80)</f>
        <v>26960</v>
      </c>
      <c r="P81" s="354"/>
      <c r="Q81" s="354"/>
      <c r="R81" s="355"/>
      <c r="S81" s="356">
        <f>SUM(S79:S80)</f>
        <v>0</v>
      </c>
      <c r="T81" s="350"/>
      <c r="U81" s="350"/>
      <c r="V81" s="350"/>
    </row>
    <row r="82" spans="1:23">
      <c r="A82" s="979">
        <v>9</v>
      </c>
      <c r="B82" s="973" t="s">
        <v>74</v>
      </c>
      <c r="C82" s="364" t="s">
        <v>3044</v>
      </c>
      <c r="D82" s="364" t="s">
        <v>3045</v>
      </c>
      <c r="E82" s="363">
        <v>1</v>
      </c>
      <c r="F82" s="364" t="s">
        <v>3046</v>
      </c>
      <c r="G82" s="364" t="s">
        <v>3047</v>
      </c>
      <c r="H82" s="364">
        <v>1</v>
      </c>
      <c r="I82" s="364" t="s">
        <v>3048</v>
      </c>
      <c r="J82" s="364" t="s">
        <v>3049</v>
      </c>
      <c r="K82" s="348" t="s">
        <v>3050</v>
      </c>
      <c r="L82" s="364" t="s">
        <v>2875</v>
      </c>
      <c r="M82" s="349">
        <v>500000</v>
      </c>
      <c r="N82" s="349">
        <v>0</v>
      </c>
      <c r="O82" s="349">
        <v>500000</v>
      </c>
      <c r="P82" s="348" t="s">
        <v>3051</v>
      </c>
      <c r="Q82" s="348" t="s">
        <v>3052</v>
      </c>
      <c r="R82" s="349" t="s">
        <v>2877</v>
      </c>
      <c r="S82" s="349" t="s">
        <v>2877</v>
      </c>
      <c r="T82" s="349" t="s">
        <v>2877</v>
      </c>
      <c r="U82" s="326" t="s">
        <v>3053</v>
      </c>
      <c r="V82" s="326" t="s">
        <v>3054</v>
      </c>
    </row>
    <row r="83" spans="1:23">
      <c r="A83" s="979"/>
      <c r="B83" s="973"/>
      <c r="C83" s="364" t="s">
        <v>3055</v>
      </c>
      <c r="D83" s="364" t="s">
        <v>3056</v>
      </c>
      <c r="E83" s="363">
        <v>0.8</v>
      </c>
      <c r="F83" s="364" t="s">
        <v>3046</v>
      </c>
      <c r="G83" s="364" t="s">
        <v>3057</v>
      </c>
      <c r="H83" s="364" t="s">
        <v>2875</v>
      </c>
      <c r="I83" s="364" t="s">
        <v>3058</v>
      </c>
      <c r="J83" s="364" t="s">
        <v>3059</v>
      </c>
      <c r="K83" s="364" t="s">
        <v>2875</v>
      </c>
      <c r="L83" s="348" t="s">
        <v>3060</v>
      </c>
      <c r="M83" s="349">
        <v>145000</v>
      </c>
      <c r="N83" s="349">
        <v>0</v>
      </c>
      <c r="O83" s="349">
        <v>145000</v>
      </c>
      <c r="P83" s="348" t="s">
        <v>3052</v>
      </c>
      <c r="Q83" s="348" t="s">
        <v>3061</v>
      </c>
      <c r="R83" s="349" t="s">
        <v>2877</v>
      </c>
      <c r="S83" s="349" t="s">
        <v>2877</v>
      </c>
      <c r="T83" s="349" t="s">
        <v>2877</v>
      </c>
      <c r="U83" s="326" t="s">
        <v>3053</v>
      </c>
      <c r="V83" s="349" t="s">
        <v>2877</v>
      </c>
    </row>
    <row r="84" spans="1:23">
      <c r="A84" s="979"/>
      <c r="B84" s="973"/>
      <c r="C84" s="364" t="s">
        <v>3062</v>
      </c>
      <c r="D84" s="364" t="s">
        <v>3063</v>
      </c>
      <c r="E84" s="363">
        <v>1</v>
      </c>
      <c r="F84" s="364" t="s">
        <v>3046</v>
      </c>
      <c r="G84" s="364" t="s">
        <v>3064</v>
      </c>
      <c r="H84" s="364">
        <v>1</v>
      </c>
      <c r="I84" s="364" t="s">
        <v>3065</v>
      </c>
      <c r="J84" s="364" t="s">
        <v>3049</v>
      </c>
      <c r="K84" s="348" t="s">
        <v>3066</v>
      </c>
      <c r="L84" s="348" t="s">
        <v>3067</v>
      </c>
      <c r="M84" s="349">
        <v>390000</v>
      </c>
      <c r="N84" s="349">
        <v>0</v>
      </c>
      <c r="O84" s="349">
        <v>390000</v>
      </c>
      <c r="P84" s="348" t="s">
        <v>3066</v>
      </c>
      <c r="Q84" s="348" t="s">
        <v>3052</v>
      </c>
      <c r="R84" s="349" t="s">
        <v>2877</v>
      </c>
      <c r="S84" s="349" t="s">
        <v>2877</v>
      </c>
      <c r="T84" s="349" t="s">
        <v>2877</v>
      </c>
      <c r="U84" s="326" t="s">
        <v>3068</v>
      </c>
      <c r="V84" s="349" t="s">
        <v>2877</v>
      </c>
    </row>
    <row r="85" spans="1:23">
      <c r="A85" s="979"/>
      <c r="B85" s="973"/>
      <c r="C85" s="364" t="s">
        <v>3069</v>
      </c>
      <c r="D85" s="364" t="s">
        <v>3070</v>
      </c>
      <c r="E85" s="363"/>
      <c r="F85" s="364" t="s">
        <v>3046</v>
      </c>
      <c r="G85" s="364" t="s">
        <v>3071</v>
      </c>
      <c r="H85" s="364">
        <v>1</v>
      </c>
      <c r="I85" s="364" t="s">
        <v>2875</v>
      </c>
      <c r="J85" s="364" t="s">
        <v>2875</v>
      </c>
      <c r="K85" s="364" t="s">
        <v>2875</v>
      </c>
      <c r="L85" s="364" t="s">
        <v>2875</v>
      </c>
      <c r="M85" s="349">
        <v>0</v>
      </c>
      <c r="N85" s="349">
        <v>0</v>
      </c>
      <c r="O85" s="349">
        <v>0</v>
      </c>
      <c r="P85" s="348"/>
      <c r="Q85" s="348"/>
      <c r="R85" s="349" t="s">
        <v>2877</v>
      </c>
      <c r="S85" s="349" t="s">
        <v>2877</v>
      </c>
      <c r="T85" s="349" t="s">
        <v>2877</v>
      </c>
      <c r="U85" s="349" t="s">
        <v>2877</v>
      </c>
      <c r="V85" s="349" t="s">
        <v>2877</v>
      </c>
    </row>
    <row r="86" spans="1:23">
      <c r="A86" s="350"/>
      <c r="B86" s="351" t="s">
        <v>3072</v>
      </c>
      <c r="C86" s="351"/>
      <c r="D86" s="351"/>
      <c r="E86" s="373"/>
      <c r="F86" s="374"/>
      <c r="G86" s="374"/>
      <c r="H86" s="374"/>
      <c r="I86" s="374"/>
      <c r="J86" s="374"/>
      <c r="K86" s="354"/>
      <c r="L86" s="354"/>
      <c r="M86" s="355"/>
      <c r="N86" s="355"/>
      <c r="O86" s="356">
        <f>SUM(O82:O85)</f>
        <v>1035000</v>
      </c>
      <c r="P86" s="354"/>
      <c r="Q86" s="354"/>
      <c r="R86" s="355"/>
      <c r="S86" s="356">
        <f>SUM(S80:S85)</f>
        <v>0</v>
      </c>
      <c r="T86" s="350"/>
      <c r="U86" s="350"/>
      <c r="V86" s="350"/>
    </row>
    <row r="87" spans="1:23">
      <c r="A87" s="983">
        <v>10</v>
      </c>
      <c r="B87" s="982" t="s">
        <v>130</v>
      </c>
      <c r="C87" s="380" t="s">
        <v>3073</v>
      </c>
      <c r="D87" s="380" t="s">
        <v>3074</v>
      </c>
      <c r="E87" s="381">
        <v>0.23530000000000001</v>
      </c>
      <c r="F87" s="380" t="s">
        <v>3075</v>
      </c>
      <c r="G87" s="380" t="s">
        <v>2480</v>
      </c>
      <c r="H87" s="380">
        <v>2</v>
      </c>
      <c r="I87" s="380" t="s">
        <v>3076</v>
      </c>
      <c r="J87" s="380" t="s">
        <v>3077</v>
      </c>
      <c r="K87" s="382">
        <v>45197</v>
      </c>
      <c r="L87" s="382">
        <v>45197</v>
      </c>
      <c r="M87" s="383">
        <v>10525</v>
      </c>
      <c r="N87" s="383">
        <v>10525</v>
      </c>
      <c r="O87" s="383">
        <v>10525</v>
      </c>
      <c r="P87" s="382">
        <v>45252</v>
      </c>
      <c r="Q87" s="382">
        <v>45252</v>
      </c>
      <c r="R87" s="383">
        <v>14475</v>
      </c>
      <c r="S87" s="383">
        <v>14475</v>
      </c>
      <c r="T87" s="379" t="s">
        <v>791</v>
      </c>
      <c r="U87" s="379"/>
      <c r="V87" s="379" t="s">
        <v>3078</v>
      </c>
    </row>
    <row r="88" spans="1:23">
      <c r="A88" s="983"/>
      <c r="B88" s="982"/>
      <c r="C88" s="380" t="s">
        <v>3079</v>
      </c>
      <c r="D88" s="380" t="s">
        <v>3080</v>
      </c>
      <c r="E88" s="381"/>
      <c r="F88" s="380" t="s">
        <v>3075</v>
      </c>
      <c r="G88" s="380" t="s">
        <v>2480</v>
      </c>
      <c r="H88" s="380">
        <v>2</v>
      </c>
      <c r="I88" s="380" t="s">
        <v>3076</v>
      </c>
      <c r="J88" s="380" t="s">
        <v>3077</v>
      </c>
      <c r="K88" s="382" t="s">
        <v>2875</v>
      </c>
      <c r="L88" s="382" t="s">
        <v>2875</v>
      </c>
      <c r="M88" s="383" t="s">
        <v>2875</v>
      </c>
      <c r="N88" s="383" t="s">
        <v>2875</v>
      </c>
      <c r="O88" s="383" t="s">
        <v>2875</v>
      </c>
      <c r="P88" s="382">
        <v>45279</v>
      </c>
      <c r="Q88" s="382">
        <v>45279</v>
      </c>
      <c r="R88" s="383">
        <v>55841.71</v>
      </c>
      <c r="S88" s="383">
        <v>55841.71</v>
      </c>
      <c r="T88" s="379" t="s">
        <v>791</v>
      </c>
      <c r="U88" s="379"/>
      <c r="V88" s="379" t="s">
        <v>3078</v>
      </c>
    </row>
    <row r="89" spans="1:23">
      <c r="A89" s="350"/>
      <c r="B89" s="351" t="s">
        <v>3081</v>
      </c>
      <c r="C89" s="351"/>
      <c r="D89" s="351"/>
      <c r="E89" s="373"/>
      <c r="F89" s="374"/>
      <c r="G89" s="374"/>
      <c r="H89" s="374"/>
      <c r="I89" s="374"/>
      <c r="J89" s="374"/>
      <c r="K89" s="354"/>
      <c r="L89" s="354"/>
      <c r="M89" s="355"/>
      <c r="N89" s="355"/>
      <c r="O89" s="356">
        <f>SUM(O87:O88)</f>
        <v>10525</v>
      </c>
      <c r="P89" s="354"/>
      <c r="Q89" s="354"/>
      <c r="R89" s="355">
        <f>SUM(R57:R88)</f>
        <v>3728165.11</v>
      </c>
      <c r="S89" s="356">
        <f>SUM(S87:S88)</f>
        <v>70316.709999999992</v>
      </c>
      <c r="T89" s="350"/>
      <c r="U89" s="350"/>
      <c r="V89" s="350"/>
      <c r="W89" s="384"/>
    </row>
    <row r="90" spans="1:23" ht="20">
      <c r="A90" s="979">
        <v>11</v>
      </c>
      <c r="B90" s="973" t="s">
        <v>630</v>
      </c>
      <c r="C90" s="327" t="s">
        <v>3082</v>
      </c>
      <c r="D90" s="327" t="s">
        <v>914</v>
      </c>
      <c r="E90" s="327" t="s">
        <v>2875</v>
      </c>
      <c r="F90" s="327" t="s">
        <v>853</v>
      </c>
      <c r="G90" s="364" t="s">
        <v>854</v>
      </c>
      <c r="H90" s="327" t="s">
        <v>2875</v>
      </c>
      <c r="I90" s="327" t="s">
        <v>2875</v>
      </c>
      <c r="J90" s="385" t="s">
        <v>3083</v>
      </c>
      <c r="K90" s="386">
        <v>45179</v>
      </c>
      <c r="L90" s="387" t="s">
        <v>2875</v>
      </c>
      <c r="M90" s="349">
        <v>163850.32</v>
      </c>
      <c r="N90" s="349">
        <v>49155</v>
      </c>
      <c r="O90" s="349">
        <v>49155</v>
      </c>
      <c r="P90" s="386" t="s">
        <v>2877</v>
      </c>
      <c r="Q90" s="386" t="s">
        <v>2877</v>
      </c>
      <c r="R90" s="349" t="s">
        <v>2877</v>
      </c>
      <c r="S90" s="349" t="s">
        <v>2877</v>
      </c>
      <c r="T90" s="326" t="s">
        <v>2875</v>
      </c>
      <c r="U90" s="364" t="s">
        <v>2875</v>
      </c>
      <c r="V90" s="326" t="s">
        <v>2875</v>
      </c>
    </row>
    <row r="91" spans="1:23" ht="20">
      <c r="A91" s="979"/>
      <c r="B91" s="973"/>
      <c r="C91" s="327" t="s">
        <v>3084</v>
      </c>
      <c r="D91" s="327" t="s">
        <v>914</v>
      </c>
      <c r="E91" s="327" t="s">
        <v>2875</v>
      </c>
      <c r="F91" s="327" t="s">
        <v>853</v>
      </c>
      <c r="G91" s="364" t="s">
        <v>854</v>
      </c>
      <c r="H91" s="327" t="s">
        <v>2875</v>
      </c>
      <c r="I91" s="327" t="s">
        <v>2875</v>
      </c>
      <c r="J91" s="385" t="s">
        <v>3083</v>
      </c>
      <c r="K91" s="386">
        <v>45179</v>
      </c>
      <c r="L91" s="387" t="s">
        <v>2875</v>
      </c>
      <c r="M91" s="349">
        <v>160991</v>
      </c>
      <c r="N91" s="349">
        <v>64390</v>
      </c>
      <c r="O91" s="349">
        <v>64390</v>
      </c>
      <c r="P91" s="386" t="s">
        <v>2877</v>
      </c>
      <c r="Q91" s="386" t="s">
        <v>2877</v>
      </c>
      <c r="R91" s="349" t="s">
        <v>2877</v>
      </c>
      <c r="S91" s="349" t="s">
        <v>2877</v>
      </c>
      <c r="T91" s="326" t="s">
        <v>2875</v>
      </c>
      <c r="U91" s="364" t="s">
        <v>2875</v>
      </c>
      <c r="V91" s="326" t="s">
        <v>2875</v>
      </c>
    </row>
    <row r="92" spans="1:23" ht="20">
      <c r="A92" s="979"/>
      <c r="B92" s="973"/>
      <c r="C92" s="327" t="s">
        <v>3085</v>
      </c>
      <c r="D92" s="327" t="s">
        <v>914</v>
      </c>
      <c r="E92" s="327" t="s">
        <v>2875</v>
      </c>
      <c r="F92" s="327" t="s">
        <v>853</v>
      </c>
      <c r="G92" s="364" t="s">
        <v>854</v>
      </c>
      <c r="H92" s="327" t="s">
        <v>2875</v>
      </c>
      <c r="I92" s="327" t="s">
        <v>2875</v>
      </c>
      <c r="J92" s="385" t="s">
        <v>3083</v>
      </c>
      <c r="K92" s="386">
        <v>45179</v>
      </c>
      <c r="L92" s="387" t="s">
        <v>2875</v>
      </c>
      <c r="M92" s="349">
        <v>152863</v>
      </c>
      <c r="N92" s="349">
        <v>68459</v>
      </c>
      <c r="O92" s="349">
        <v>68459</v>
      </c>
      <c r="P92" s="386" t="s">
        <v>2877</v>
      </c>
      <c r="Q92" s="386" t="s">
        <v>2877</v>
      </c>
      <c r="R92" s="349" t="s">
        <v>2877</v>
      </c>
      <c r="S92" s="349" t="s">
        <v>2877</v>
      </c>
      <c r="T92" s="326" t="s">
        <v>2875</v>
      </c>
      <c r="U92" s="364" t="s">
        <v>2875</v>
      </c>
      <c r="V92" s="326" t="s">
        <v>2875</v>
      </c>
    </row>
    <row r="93" spans="1:23" ht="20">
      <c r="A93" s="979"/>
      <c r="B93" s="973"/>
      <c r="C93" s="327" t="s">
        <v>3086</v>
      </c>
      <c r="D93" s="327" t="s">
        <v>914</v>
      </c>
      <c r="E93" s="327" t="s">
        <v>2875</v>
      </c>
      <c r="F93" s="327" t="s">
        <v>853</v>
      </c>
      <c r="G93" s="364" t="s">
        <v>854</v>
      </c>
      <c r="H93" s="327" t="s">
        <v>2875</v>
      </c>
      <c r="I93" s="327" t="s">
        <v>2875</v>
      </c>
      <c r="J93" s="385" t="s">
        <v>3087</v>
      </c>
      <c r="K93" s="386">
        <v>45179</v>
      </c>
      <c r="L93" s="387" t="s">
        <v>2875</v>
      </c>
      <c r="M93" s="349">
        <v>156803.97</v>
      </c>
      <c r="N93" s="349">
        <v>47041</v>
      </c>
      <c r="O93" s="349">
        <v>47041</v>
      </c>
      <c r="P93" s="386" t="s">
        <v>2877</v>
      </c>
      <c r="Q93" s="386" t="s">
        <v>2877</v>
      </c>
      <c r="R93" s="349" t="s">
        <v>2877</v>
      </c>
      <c r="S93" s="349" t="s">
        <v>2877</v>
      </c>
      <c r="T93" s="326" t="s">
        <v>2875</v>
      </c>
      <c r="U93" s="364" t="s">
        <v>2875</v>
      </c>
      <c r="V93" s="326" t="s">
        <v>2875</v>
      </c>
    </row>
    <row r="94" spans="1:23" ht="20">
      <c r="A94" s="979"/>
      <c r="B94" s="973"/>
      <c r="C94" s="327" t="s">
        <v>3088</v>
      </c>
      <c r="D94" s="327" t="s">
        <v>914</v>
      </c>
      <c r="E94" s="327" t="s">
        <v>2875</v>
      </c>
      <c r="F94" s="327" t="s">
        <v>853</v>
      </c>
      <c r="G94" s="364" t="s">
        <v>854</v>
      </c>
      <c r="H94" s="327" t="s">
        <v>2875</v>
      </c>
      <c r="I94" s="327" t="s">
        <v>2875</v>
      </c>
      <c r="J94" s="385" t="s">
        <v>3087</v>
      </c>
      <c r="K94" s="386">
        <v>45179</v>
      </c>
      <c r="L94" s="387" t="s">
        <v>2875</v>
      </c>
      <c r="M94" s="349">
        <v>28881.1</v>
      </c>
      <c r="N94" s="349">
        <v>8664</v>
      </c>
      <c r="O94" s="349">
        <v>8664</v>
      </c>
      <c r="P94" s="386" t="s">
        <v>2877</v>
      </c>
      <c r="Q94" s="386" t="s">
        <v>2877</v>
      </c>
      <c r="R94" s="349" t="s">
        <v>2877</v>
      </c>
      <c r="S94" s="349" t="s">
        <v>2877</v>
      </c>
      <c r="T94" s="326" t="s">
        <v>2875</v>
      </c>
      <c r="U94" s="364" t="s">
        <v>2875</v>
      </c>
      <c r="V94" s="326" t="s">
        <v>2875</v>
      </c>
    </row>
    <row r="95" spans="1:23" ht="20">
      <c r="A95" s="979"/>
      <c r="B95" s="973"/>
      <c r="C95" s="327" t="s">
        <v>3089</v>
      </c>
      <c r="D95" s="327" t="s">
        <v>914</v>
      </c>
      <c r="E95" s="327" t="s">
        <v>2875</v>
      </c>
      <c r="F95" s="327" t="s">
        <v>853</v>
      </c>
      <c r="G95" s="364" t="s">
        <v>854</v>
      </c>
      <c r="H95" s="327" t="s">
        <v>2875</v>
      </c>
      <c r="I95" s="327" t="s">
        <v>2875</v>
      </c>
      <c r="J95" s="385" t="s">
        <v>3087</v>
      </c>
      <c r="K95" s="386">
        <v>45179</v>
      </c>
      <c r="L95" s="387" t="s">
        <v>2875</v>
      </c>
      <c r="M95" s="349">
        <v>20648</v>
      </c>
      <c r="N95" s="349">
        <v>5725</v>
      </c>
      <c r="O95" s="349">
        <v>5725</v>
      </c>
      <c r="P95" s="386" t="s">
        <v>2877</v>
      </c>
      <c r="Q95" s="386" t="s">
        <v>2877</v>
      </c>
      <c r="R95" s="349" t="s">
        <v>2877</v>
      </c>
      <c r="S95" s="349" t="s">
        <v>2877</v>
      </c>
      <c r="T95" s="326" t="s">
        <v>2875</v>
      </c>
      <c r="U95" s="364" t="s">
        <v>2875</v>
      </c>
      <c r="V95" s="326" t="s">
        <v>2875</v>
      </c>
    </row>
    <row r="96" spans="1:23" ht="20">
      <c r="A96" s="979"/>
      <c r="B96" s="973"/>
      <c r="C96" s="327" t="s">
        <v>3090</v>
      </c>
      <c r="D96" s="327" t="s">
        <v>914</v>
      </c>
      <c r="E96" s="327" t="s">
        <v>2875</v>
      </c>
      <c r="F96" s="327" t="s">
        <v>853</v>
      </c>
      <c r="G96" s="364" t="s">
        <v>854</v>
      </c>
      <c r="H96" s="327" t="s">
        <v>2875</v>
      </c>
      <c r="I96" s="327" t="s">
        <v>2875</v>
      </c>
      <c r="J96" s="385" t="s">
        <v>3087</v>
      </c>
      <c r="K96" s="386">
        <v>45179</v>
      </c>
      <c r="L96" s="387" t="s">
        <v>2875</v>
      </c>
      <c r="M96" s="349">
        <v>47245.59</v>
      </c>
      <c r="N96" s="349">
        <v>14173.68</v>
      </c>
      <c r="O96" s="349">
        <v>14173.68</v>
      </c>
      <c r="P96" s="386" t="s">
        <v>2877</v>
      </c>
      <c r="Q96" s="386" t="s">
        <v>2877</v>
      </c>
      <c r="R96" s="349" t="s">
        <v>2877</v>
      </c>
      <c r="S96" s="349" t="s">
        <v>2877</v>
      </c>
      <c r="T96" s="326" t="s">
        <v>2875</v>
      </c>
      <c r="U96" s="364" t="s">
        <v>2875</v>
      </c>
      <c r="V96" s="326" t="s">
        <v>2875</v>
      </c>
    </row>
    <row r="97" spans="1:22" ht="20">
      <c r="A97" s="979"/>
      <c r="B97" s="973"/>
      <c r="C97" s="327" t="s">
        <v>925</v>
      </c>
      <c r="D97" s="327" t="s">
        <v>914</v>
      </c>
      <c r="E97" s="327" t="s">
        <v>2875</v>
      </c>
      <c r="F97" s="327" t="s">
        <v>853</v>
      </c>
      <c r="G97" s="364" t="s">
        <v>854</v>
      </c>
      <c r="H97" s="327" t="s">
        <v>2875</v>
      </c>
      <c r="I97" s="327" t="s">
        <v>2875</v>
      </c>
      <c r="J97" s="385" t="s">
        <v>3087</v>
      </c>
      <c r="K97" s="386"/>
      <c r="L97" s="387" t="s">
        <v>2875</v>
      </c>
      <c r="M97" s="349"/>
      <c r="N97" s="349">
        <v>3500</v>
      </c>
      <c r="O97" s="349">
        <v>3500</v>
      </c>
      <c r="P97" s="386" t="s">
        <v>2877</v>
      </c>
      <c r="Q97" s="386" t="s">
        <v>2877</v>
      </c>
      <c r="R97" s="349" t="s">
        <v>2877</v>
      </c>
      <c r="S97" s="349" t="s">
        <v>2877</v>
      </c>
      <c r="T97" s="326" t="s">
        <v>2875</v>
      </c>
      <c r="U97" s="364" t="s">
        <v>2875</v>
      </c>
      <c r="V97" s="326" t="s">
        <v>2875</v>
      </c>
    </row>
    <row r="98" spans="1:22">
      <c r="A98" s="350"/>
      <c r="B98" s="351" t="s">
        <v>3091</v>
      </c>
      <c r="C98" s="351"/>
      <c r="D98" s="351"/>
      <c r="E98" s="373"/>
      <c r="F98" s="374"/>
      <c r="G98" s="374"/>
      <c r="H98" s="374"/>
      <c r="I98" s="374"/>
      <c r="J98" s="374"/>
      <c r="K98" s="354"/>
      <c r="L98" s="354"/>
      <c r="M98" s="355"/>
      <c r="N98" s="355"/>
      <c r="O98" s="356">
        <f>SUM(O90:O97)</f>
        <v>261107.68</v>
      </c>
      <c r="P98" s="354"/>
      <c r="Q98" s="354"/>
      <c r="R98" s="355"/>
      <c r="S98" s="356">
        <f>SUM(S90:S97)</f>
        <v>0</v>
      </c>
      <c r="T98" s="350"/>
      <c r="U98" s="350"/>
      <c r="V98" s="350"/>
    </row>
    <row r="99" spans="1:22" ht="30">
      <c r="A99" s="980">
        <v>12</v>
      </c>
      <c r="B99" s="975" t="s">
        <v>651</v>
      </c>
      <c r="C99" s="338" t="s">
        <v>870</v>
      </c>
      <c r="D99" s="338" t="s">
        <v>867</v>
      </c>
      <c r="E99" s="338" t="s">
        <v>2875</v>
      </c>
      <c r="F99" s="338" t="s">
        <v>858</v>
      </c>
      <c r="G99" s="338" t="s">
        <v>859</v>
      </c>
      <c r="H99" s="338" t="s">
        <v>2875</v>
      </c>
      <c r="I99" s="338" t="s">
        <v>2875</v>
      </c>
      <c r="J99" s="338" t="s">
        <v>860</v>
      </c>
      <c r="K99" s="340" t="s">
        <v>2877</v>
      </c>
      <c r="L99" s="340" t="s">
        <v>2877</v>
      </c>
      <c r="M99" s="341" t="s">
        <v>2877</v>
      </c>
      <c r="N99" s="341" t="s">
        <v>2877</v>
      </c>
      <c r="O99" s="341" t="s">
        <v>2877</v>
      </c>
      <c r="P99" s="340" t="s">
        <v>2875</v>
      </c>
      <c r="Q99" s="340" t="s">
        <v>2875</v>
      </c>
      <c r="R99" s="341">
        <v>343130</v>
      </c>
      <c r="S99" s="341">
        <v>343130</v>
      </c>
      <c r="T99" s="336" t="s">
        <v>2875</v>
      </c>
      <c r="U99" s="336" t="s">
        <v>2875</v>
      </c>
      <c r="V99" s="336" t="s">
        <v>2875</v>
      </c>
    </row>
    <row r="100" spans="1:22" ht="30">
      <c r="A100" s="980"/>
      <c r="B100" s="975"/>
      <c r="C100" s="338" t="s">
        <v>872</v>
      </c>
      <c r="D100" s="338" t="s">
        <v>857</v>
      </c>
      <c r="E100" s="338" t="s">
        <v>2875</v>
      </c>
      <c r="F100" s="338" t="s">
        <v>858</v>
      </c>
      <c r="G100" s="338" t="s">
        <v>859</v>
      </c>
      <c r="H100" s="338" t="s">
        <v>2875</v>
      </c>
      <c r="I100" s="338" t="s">
        <v>2875</v>
      </c>
      <c r="J100" s="338" t="s">
        <v>860</v>
      </c>
      <c r="K100" s="340" t="s">
        <v>2877</v>
      </c>
      <c r="L100" s="340" t="s">
        <v>2877</v>
      </c>
      <c r="M100" s="341" t="s">
        <v>2877</v>
      </c>
      <c r="N100" s="341" t="s">
        <v>2877</v>
      </c>
      <c r="O100" s="341" t="s">
        <v>2877</v>
      </c>
      <c r="P100" s="340" t="s">
        <v>2875</v>
      </c>
      <c r="Q100" s="340" t="s">
        <v>2875</v>
      </c>
      <c r="R100" s="341">
        <v>193207</v>
      </c>
      <c r="S100" s="341">
        <v>193207</v>
      </c>
      <c r="T100" s="336" t="s">
        <v>2875</v>
      </c>
      <c r="U100" s="336" t="s">
        <v>2875</v>
      </c>
      <c r="V100" s="336" t="s">
        <v>2875</v>
      </c>
    </row>
    <row r="101" spans="1:22" ht="30">
      <c r="A101" s="980"/>
      <c r="B101" s="975"/>
      <c r="C101" s="338" t="s">
        <v>873</v>
      </c>
      <c r="D101" s="338" t="s">
        <v>867</v>
      </c>
      <c r="E101" s="338" t="s">
        <v>2875</v>
      </c>
      <c r="F101" s="338" t="s">
        <v>858</v>
      </c>
      <c r="G101" s="338" t="s">
        <v>868</v>
      </c>
      <c r="H101" s="338" t="s">
        <v>2875</v>
      </c>
      <c r="I101" s="338" t="s">
        <v>2875</v>
      </c>
      <c r="J101" s="338" t="s">
        <v>860</v>
      </c>
      <c r="K101" s="340" t="s">
        <v>2877</v>
      </c>
      <c r="L101" s="340" t="s">
        <v>2877</v>
      </c>
      <c r="M101" s="341" t="s">
        <v>2877</v>
      </c>
      <c r="N101" s="341" t="s">
        <v>2877</v>
      </c>
      <c r="O101" s="341" t="s">
        <v>2877</v>
      </c>
      <c r="P101" s="340" t="s">
        <v>2875</v>
      </c>
      <c r="Q101" s="340" t="s">
        <v>2875</v>
      </c>
      <c r="R101" s="341">
        <v>329178</v>
      </c>
      <c r="S101" s="341">
        <v>329178</v>
      </c>
      <c r="T101" s="336" t="s">
        <v>2875</v>
      </c>
      <c r="U101" s="336" t="s">
        <v>2875</v>
      </c>
      <c r="V101" s="336" t="s">
        <v>2875</v>
      </c>
    </row>
    <row r="102" spans="1:22" ht="30">
      <c r="A102" s="980"/>
      <c r="B102" s="975"/>
      <c r="C102" s="338" t="s">
        <v>869</v>
      </c>
      <c r="D102" s="338" t="s">
        <v>857</v>
      </c>
      <c r="E102" s="338" t="s">
        <v>2875</v>
      </c>
      <c r="F102" s="338" t="s">
        <v>858</v>
      </c>
      <c r="G102" s="338" t="s">
        <v>859</v>
      </c>
      <c r="H102" s="338" t="s">
        <v>2875</v>
      </c>
      <c r="I102" s="338" t="s">
        <v>2875</v>
      </c>
      <c r="J102" s="338" t="s">
        <v>860</v>
      </c>
      <c r="K102" s="340" t="s">
        <v>2877</v>
      </c>
      <c r="L102" s="340" t="s">
        <v>2877</v>
      </c>
      <c r="M102" s="341" t="s">
        <v>2877</v>
      </c>
      <c r="N102" s="341" t="s">
        <v>2877</v>
      </c>
      <c r="O102" s="341" t="s">
        <v>2877</v>
      </c>
      <c r="P102" s="340" t="s">
        <v>2875</v>
      </c>
      <c r="Q102" s="340" t="s">
        <v>2875</v>
      </c>
      <c r="R102" s="341">
        <v>85337</v>
      </c>
      <c r="S102" s="341">
        <v>85337</v>
      </c>
      <c r="T102" s="336" t="s">
        <v>2875</v>
      </c>
      <c r="U102" s="336" t="s">
        <v>2875</v>
      </c>
      <c r="V102" s="336" t="s">
        <v>2875</v>
      </c>
    </row>
    <row r="103" spans="1:22" ht="30">
      <c r="A103" s="980"/>
      <c r="B103" s="975"/>
      <c r="C103" s="338" t="s">
        <v>865</v>
      </c>
      <c r="D103" s="338" t="s">
        <v>857</v>
      </c>
      <c r="E103" s="338" t="s">
        <v>2875</v>
      </c>
      <c r="F103" s="338" t="s">
        <v>858</v>
      </c>
      <c r="G103" s="338" t="s">
        <v>859</v>
      </c>
      <c r="H103" s="338" t="s">
        <v>2875</v>
      </c>
      <c r="I103" s="338" t="s">
        <v>2875</v>
      </c>
      <c r="J103" s="338" t="s">
        <v>860</v>
      </c>
      <c r="K103" s="340" t="s">
        <v>2877</v>
      </c>
      <c r="L103" s="340" t="s">
        <v>2877</v>
      </c>
      <c r="M103" s="341" t="s">
        <v>2877</v>
      </c>
      <c r="N103" s="341" t="s">
        <v>2877</v>
      </c>
      <c r="O103" s="341" t="s">
        <v>2877</v>
      </c>
      <c r="P103" s="340" t="s">
        <v>2875</v>
      </c>
      <c r="Q103" s="340" t="s">
        <v>2875</v>
      </c>
      <c r="R103" s="341">
        <v>1000</v>
      </c>
      <c r="S103" s="341">
        <v>1000</v>
      </c>
      <c r="T103" s="336" t="s">
        <v>2875</v>
      </c>
      <c r="U103" s="336" t="s">
        <v>2875</v>
      </c>
      <c r="V103" s="336" t="s">
        <v>2875</v>
      </c>
    </row>
    <row r="104" spans="1:22" ht="30">
      <c r="A104" s="980"/>
      <c r="B104" s="975"/>
      <c r="C104" s="338" t="s">
        <v>866</v>
      </c>
      <c r="D104" s="338" t="s">
        <v>867</v>
      </c>
      <c r="E104" s="338" t="s">
        <v>2875</v>
      </c>
      <c r="F104" s="338" t="s">
        <v>858</v>
      </c>
      <c r="G104" s="338" t="s">
        <v>868</v>
      </c>
      <c r="H104" s="338" t="s">
        <v>2875</v>
      </c>
      <c r="I104" s="338" t="s">
        <v>2875</v>
      </c>
      <c r="J104" s="338" t="s">
        <v>860</v>
      </c>
      <c r="K104" s="340" t="s">
        <v>2877</v>
      </c>
      <c r="L104" s="340" t="s">
        <v>2877</v>
      </c>
      <c r="M104" s="341" t="s">
        <v>2877</v>
      </c>
      <c r="N104" s="341" t="s">
        <v>2877</v>
      </c>
      <c r="O104" s="341" t="s">
        <v>2877</v>
      </c>
      <c r="P104" s="340" t="s">
        <v>2875</v>
      </c>
      <c r="Q104" s="340" t="s">
        <v>2875</v>
      </c>
      <c r="R104" s="341">
        <v>38720</v>
      </c>
      <c r="S104" s="341">
        <v>38720</v>
      </c>
      <c r="T104" s="336" t="s">
        <v>2875</v>
      </c>
      <c r="U104" s="336" t="s">
        <v>2875</v>
      </c>
      <c r="V104" s="336" t="s">
        <v>2875</v>
      </c>
    </row>
    <row r="105" spans="1:22" ht="30">
      <c r="A105" s="980"/>
      <c r="B105" s="975"/>
      <c r="C105" s="338" t="s">
        <v>3092</v>
      </c>
      <c r="D105" s="338" t="s">
        <v>857</v>
      </c>
      <c r="E105" s="338" t="s">
        <v>2875</v>
      </c>
      <c r="F105" s="338" t="s">
        <v>858</v>
      </c>
      <c r="G105" s="338" t="s">
        <v>859</v>
      </c>
      <c r="H105" s="338" t="s">
        <v>2875</v>
      </c>
      <c r="I105" s="338" t="s">
        <v>2875</v>
      </c>
      <c r="J105" s="338" t="s">
        <v>860</v>
      </c>
      <c r="K105" s="340" t="s">
        <v>2877</v>
      </c>
      <c r="L105" s="340" t="s">
        <v>2877</v>
      </c>
      <c r="M105" s="341" t="s">
        <v>2877</v>
      </c>
      <c r="N105" s="341" t="s">
        <v>2877</v>
      </c>
      <c r="O105" s="341" t="s">
        <v>2877</v>
      </c>
      <c r="P105" s="340" t="s">
        <v>2875</v>
      </c>
      <c r="Q105" s="340" t="s">
        <v>2875</v>
      </c>
      <c r="R105" s="341">
        <v>162850.98000000001</v>
      </c>
      <c r="S105" s="341">
        <v>162850.98000000001</v>
      </c>
      <c r="T105" s="336" t="s">
        <v>2875</v>
      </c>
      <c r="U105" s="336" t="s">
        <v>2875</v>
      </c>
      <c r="V105" s="336" t="s">
        <v>2875</v>
      </c>
    </row>
    <row r="106" spans="1:22" ht="30">
      <c r="A106" s="980"/>
      <c r="B106" s="975"/>
      <c r="C106" s="338" t="s">
        <v>3093</v>
      </c>
      <c r="D106" s="338" t="s">
        <v>857</v>
      </c>
      <c r="E106" s="338" t="s">
        <v>2875</v>
      </c>
      <c r="F106" s="338" t="s">
        <v>858</v>
      </c>
      <c r="G106" s="338" t="s">
        <v>859</v>
      </c>
      <c r="H106" s="338" t="s">
        <v>2875</v>
      </c>
      <c r="I106" s="338" t="s">
        <v>2875</v>
      </c>
      <c r="J106" s="338" t="s">
        <v>860</v>
      </c>
      <c r="K106" s="340" t="s">
        <v>2877</v>
      </c>
      <c r="L106" s="340" t="s">
        <v>2877</v>
      </c>
      <c r="M106" s="341" t="s">
        <v>2877</v>
      </c>
      <c r="N106" s="341" t="s">
        <v>2877</v>
      </c>
      <c r="O106" s="341" t="s">
        <v>2877</v>
      </c>
      <c r="P106" s="340" t="s">
        <v>2875</v>
      </c>
      <c r="Q106" s="340" t="s">
        <v>2875</v>
      </c>
      <c r="R106" s="341">
        <v>354553.92</v>
      </c>
      <c r="S106" s="341">
        <v>354553.92</v>
      </c>
      <c r="T106" s="336" t="s">
        <v>2875</v>
      </c>
      <c r="U106" s="336" t="s">
        <v>2875</v>
      </c>
      <c r="V106" s="336" t="s">
        <v>2875</v>
      </c>
    </row>
    <row r="107" spans="1:22" ht="30">
      <c r="A107" s="980"/>
      <c r="B107" s="975"/>
      <c r="C107" s="338" t="s">
        <v>3094</v>
      </c>
      <c r="D107" s="338" t="s">
        <v>857</v>
      </c>
      <c r="E107" s="338" t="s">
        <v>2875</v>
      </c>
      <c r="F107" s="338" t="s">
        <v>858</v>
      </c>
      <c r="G107" s="338" t="s">
        <v>859</v>
      </c>
      <c r="H107" s="338" t="s">
        <v>2875</v>
      </c>
      <c r="I107" s="338" t="s">
        <v>2875</v>
      </c>
      <c r="J107" s="338" t="s">
        <v>860</v>
      </c>
      <c r="K107" s="340" t="s">
        <v>2877</v>
      </c>
      <c r="L107" s="340" t="s">
        <v>2877</v>
      </c>
      <c r="M107" s="341" t="s">
        <v>2877</v>
      </c>
      <c r="N107" s="341" t="s">
        <v>2877</v>
      </c>
      <c r="O107" s="341" t="s">
        <v>2877</v>
      </c>
      <c r="P107" s="340" t="s">
        <v>2875</v>
      </c>
      <c r="Q107" s="340" t="s">
        <v>2875</v>
      </c>
      <c r="R107" s="341">
        <v>200378.71</v>
      </c>
      <c r="S107" s="341">
        <v>200378.71</v>
      </c>
      <c r="T107" s="336" t="s">
        <v>2875</v>
      </c>
      <c r="U107" s="336" t="s">
        <v>2875</v>
      </c>
      <c r="V107" s="336" t="s">
        <v>2875</v>
      </c>
    </row>
    <row r="108" spans="1:22" ht="30">
      <c r="A108" s="980"/>
      <c r="B108" s="975"/>
      <c r="C108" s="338" t="s">
        <v>874</v>
      </c>
      <c r="D108" s="338" t="s">
        <v>867</v>
      </c>
      <c r="E108" s="338" t="s">
        <v>2875</v>
      </c>
      <c r="F108" s="338" t="s">
        <v>858</v>
      </c>
      <c r="G108" s="338" t="s">
        <v>868</v>
      </c>
      <c r="H108" s="338" t="s">
        <v>2875</v>
      </c>
      <c r="I108" s="338" t="s">
        <v>2875</v>
      </c>
      <c r="J108" s="338" t="s">
        <v>860</v>
      </c>
      <c r="K108" s="340" t="s">
        <v>2877</v>
      </c>
      <c r="L108" s="340" t="s">
        <v>2877</v>
      </c>
      <c r="M108" s="341" t="s">
        <v>2877</v>
      </c>
      <c r="N108" s="341" t="s">
        <v>2877</v>
      </c>
      <c r="O108" s="341" t="s">
        <v>2877</v>
      </c>
      <c r="P108" s="340" t="s">
        <v>2875</v>
      </c>
      <c r="Q108" s="340" t="s">
        <v>2875</v>
      </c>
      <c r="R108" s="341">
        <v>356327.22</v>
      </c>
      <c r="S108" s="341">
        <v>356327.22</v>
      </c>
      <c r="T108" s="336" t="s">
        <v>2875</v>
      </c>
      <c r="U108" s="336" t="s">
        <v>2875</v>
      </c>
      <c r="V108" s="336" t="s">
        <v>2875</v>
      </c>
    </row>
    <row r="109" spans="1:22" ht="30">
      <c r="A109" s="980"/>
      <c r="B109" s="975"/>
      <c r="C109" s="338" t="s">
        <v>861</v>
      </c>
      <c r="D109" s="338" t="s">
        <v>857</v>
      </c>
      <c r="E109" s="338" t="s">
        <v>2875</v>
      </c>
      <c r="F109" s="338" t="s">
        <v>858</v>
      </c>
      <c r="G109" s="338" t="s">
        <v>859</v>
      </c>
      <c r="H109" s="338" t="s">
        <v>2875</v>
      </c>
      <c r="I109" s="338" t="s">
        <v>2875</v>
      </c>
      <c r="J109" s="338" t="s">
        <v>860</v>
      </c>
      <c r="K109" s="340" t="s">
        <v>2877</v>
      </c>
      <c r="L109" s="340" t="s">
        <v>2877</v>
      </c>
      <c r="M109" s="341" t="s">
        <v>2877</v>
      </c>
      <c r="N109" s="341" t="s">
        <v>2877</v>
      </c>
      <c r="O109" s="341" t="s">
        <v>2877</v>
      </c>
      <c r="P109" s="340" t="s">
        <v>2875</v>
      </c>
      <c r="Q109" s="340" t="s">
        <v>2875</v>
      </c>
      <c r="R109" s="341">
        <v>588</v>
      </c>
      <c r="S109" s="341">
        <v>588</v>
      </c>
      <c r="T109" s="336" t="s">
        <v>2875</v>
      </c>
      <c r="U109" s="336" t="s">
        <v>2875</v>
      </c>
      <c r="V109" s="336" t="s">
        <v>2875</v>
      </c>
    </row>
    <row r="110" spans="1:22" ht="30">
      <c r="A110" s="980"/>
      <c r="B110" s="975"/>
      <c r="C110" s="338" t="s">
        <v>3095</v>
      </c>
      <c r="D110" s="338" t="s">
        <v>857</v>
      </c>
      <c r="E110" s="338" t="s">
        <v>2875</v>
      </c>
      <c r="F110" s="338" t="s">
        <v>858</v>
      </c>
      <c r="G110" s="338" t="s">
        <v>859</v>
      </c>
      <c r="H110" s="338" t="s">
        <v>2875</v>
      </c>
      <c r="I110" s="338" t="s">
        <v>2875</v>
      </c>
      <c r="J110" s="338" t="s">
        <v>860</v>
      </c>
      <c r="K110" s="340" t="s">
        <v>2877</v>
      </c>
      <c r="L110" s="340" t="s">
        <v>2877</v>
      </c>
      <c r="M110" s="341" t="s">
        <v>2877</v>
      </c>
      <c r="N110" s="341" t="s">
        <v>2877</v>
      </c>
      <c r="O110" s="341" t="s">
        <v>2877</v>
      </c>
      <c r="P110" s="340" t="s">
        <v>2875</v>
      </c>
      <c r="Q110" s="340" t="s">
        <v>2875</v>
      </c>
      <c r="R110" s="341">
        <v>264518.92</v>
      </c>
      <c r="S110" s="341">
        <v>264518.92</v>
      </c>
      <c r="T110" s="336" t="s">
        <v>2875</v>
      </c>
      <c r="U110" s="336" t="s">
        <v>2875</v>
      </c>
      <c r="V110" s="336" t="s">
        <v>2875</v>
      </c>
    </row>
    <row r="111" spans="1:22" ht="30">
      <c r="A111" s="980"/>
      <c r="B111" s="975"/>
      <c r="C111" s="338" t="s">
        <v>856</v>
      </c>
      <c r="D111" s="338" t="s">
        <v>857</v>
      </c>
      <c r="E111" s="338" t="s">
        <v>2875</v>
      </c>
      <c r="F111" s="338" t="s">
        <v>858</v>
      </c>
      <c r="G111" s="338" t="s">
        <v>859</v>
      </c>
      <c r="H111" s="338" t="s">
        <v>2875</v>
      </c>
      <c r="I111" s="338" t="s">
        <v>2875</v>
      </c>
      <c r="J111" s="338" t="s">
        <v>860</v>
      </c>
      <c r="K111" s="340" t="s">
        <v>2877</v>
      </c>
      <c r="L111" s="340" t="s">
        <v>2877</v>
      </c>
      <c r="M111" s="341" t="s">
        <v>2877</v>
      </c>
      <c r="N111" s="341" t="s">
        <v>2877</v>
      </c>
      <c r="O111" s="341" t="s">
        <v>2877</v>
      </c>
      <c r="P111" s="340" t="s">
        <v>2875</v>
      </c>
      <c r="Q111" s="340" t="s">
        <v>2875</v>
      </c>
      <c r="R111" s="341">
        <v>130571</v>
      </c>
      <c r="S111" s="341">
        <v>130571</v>
      </c>
      <c r="T111" s="336" t="s">
        <v>2875</v>
      </c>
      <c r="U111" s="336" t="s">
        <v>2875</v>
      </c>
      <c r="V111" s="336" t="s">
        <v>2875</v>
      </c>
    </row>
    <row r="112" spans="1:22" ht="40">
      <c r="A112" s="980"/>
      <c r="B112" s="975"/>
      <c r="C112" s="338" t="s">
        <v>863</v>
      </c>
      <c r="D112" s="338" t="s">
        <v>862</v>
      </c>
      <c r="E112" s="338" t="s">
        <v>2875</v>
      </c>
      <c r="F112" s="338" t="s">
        <v>858</v>
      </c>
      <c r="G112" s="338" t="s">
        <v>864</v>
      </c>
      <c r="H112" s="338" t="s">
        <v>2875</v>
      </c>
      <c r="I112" s="338" t="s">
        <v>2875</v>
      </c>
      <c r="J112" s="338" t="s">
        <v>860</v>
      </c>
      <c r="K112" s="340" t="s">
        <v>2877</v>
      </c>
      <c r="L112" s="340" t="s">
        <v>2877</v>
      </c>
      <c r="M112" s="341" t="s">
        <v>2877</v>
      </c>
      <c r="N112" s="341" t="s">
        <v>2877</v>
      </c>
      <c r="O112" s="341" t="s">
        <v>2877</v>
      </c>
      <c r="P112" s="340" t="s">
        <v>2875</v>
      </c>
      <c r="Q112" s="340" t="s">
        <v>2875</v>
      </c>
      <c r="R112" s="341">
        <v>95875</v>
      </c>
      <c r="S112" s="341">
        <v>95875</v>
      </c>
      <c r="T112" s="336" t="s">
        <v>2875</v>
      </c>
      <c r="U112" s="336" t="s">
        <v>2875</v>
      </c>
      <c r="V112" s="336" t="s">
        <v>2875</v>
      </c>
    </row>
    <row r="113" spans="1:23" ht="30">
      <c r="A113" s="980"/>
      <c r="B113" s="975"/>
      <c r="C113" s="338" t="s">
        <v>871</v>
      </c>
      <c r="D113" s="338" t="s">
        <v>867</v>
      </c>
      <c r="E113" s="338" t="s">
        <v>2875</v>
      </c>
      <c r="F113" s="338" t="s">
        <v>858</v>
      </c>
      <c r="G113" s="338" t="s">
        <v>868</v>
      </c>
      <c r="H113" s="338" t="s">
        <v>2875</v>
      </c>
      <c r="I113" s="338" t="s">
        <v>2875</v>
      </c>
      <c r="J113" s="338" t="s">
        <v>860</v>
      </c>
      <c r="K113" s="340" t="s">
        <v>2877</v>
      </c>
      <c r="L113" s="340" t="s">
        <v>2877</v>
      </c>
      <c r="M113" s="341" t="s">
        <v>2877</v>
      </c>
      <c r="N113" s="341" t="s">
        <v>2877</v>
      </c>
      <c r="O113" s="341" t="s">
        <v>2877</v>
      </c>
      <c r="P113" s="340" t="s">
        <v>2875</v>
      </c>
      <c r="Q113" s="340" t="s">
        <v>2875</v>
      </c>
      <c r="R113" s="341">
        <v>31673</v>
      </c>
      <c r="S113" s="341">
        <v>31673</v>
      </c>
      <c r="T113" s="336" t="s">
        <v>2875</v>
      </c>
      <c r="U113" s="336" t="s">
        <v>2875</v>
      </c>
      <c r="V113" s="336" t="s">
        <v>2875</v>
      </c>
    </row>
    <row r="114" spans="1:23" ht="30">
      <c r="A114" s="980"/>
      <c r="B114" s="975"/>
      <c r="C114" s="338" t="s">
        <v>3096</v>
      </c>
      <c r="D114" s="338" t="s">
        <v>857</v>
      </c>
      <c r="E114" s="338" t="s">
        <v>2875</v>
      </c>
      <c r="F114" s="338" t="s">
        <v>858</v>
      </c>
      <c r="G114" s="338" t="s">
        <v>859</v>
      </c>
      <c r="H114" s="338" t="s">
        <v>2875</v>
      </c>
      <c r="I114" s="338" t="s">
        <v>2875</v>
      </c>
      <c r="J114" s="338" t="s">
        <v>860</v>
      </c>
      <c r="K114" s="340" t="s">
        <v>2877</v>
      </c>
      <c r="L114" s="340" t="s">
        <v>2877</v>
      </c>
      <c r="M114" s="341" t="s">
        <v>2877</v>
      </c>
      <c r="N114" s="341" t="s">
        <v>2877</v>
      </c>
      <c r="O114" s="341" t="s">
        <v>2877</v>
      </c>
      <c r="P114" s="340" t="s">
        <v>2875</v>
      </c>
      <c r="Q114" s="340" t="s">
        <v>2875</v>
      </c>
      <c r="R114" s="341">
        <v>99102.12</v>
      </c>
      <c r="S114" s="341">
        <v>99102.12</v>
      </c>
      <c r="T114" s="336" t="s">
        <v>2875</v>
      </c>
      <c r="U114" s="336" t="s">
        <v>2875</v>
      </c>
      <c r="V114" s="336" t="s">
        <v>2875</v>
      </c>
    </row>
    <row r="115" spans="1:23">
      <c r="A115" s="350"/>
      <c r="B115" s="351" t="s">
        <v>3097</v>
      </c>
      <c r="C115" s="351"/>
      <c r="D115" s="351"/>
      <c r="E115" s="373"/>
      <c r="F115" s="374"/>
      <c r="G115" s="374"/>
      <c r="H115" s="374"/>
      <c r="I115" s="374"/>
      <c r="J115" s="374"/>
      <c r="K115" s="354"/>
      <c r="L115" s="354"/>
      <c r="M115" s="355"/>
      <c r="N115" s="355"/>
      <c r="O115" s="356">
        <f>SUM(O99:O114)</f>
        <v>0</v>
      </c>
      <c r="P115" s="354"/>
      <c r="Q115" s="354"/>
      <c r="R115" s="355"/>
      <c r="S115" s="356">
        <f>SUM(S99:S114)</f>
        <v>2687010.87</v>
      </c>
      <c r="T115" s="350"/>
      <c r="U115" s="350"/>
      <c r="V115" s="350"/>
    </row>
    <row r="116" spans="1:23" ht="20">
      <c r="A116" s="979">
        <v>13</v>
      </c>
      <c r="B116" s="973" t="s">
        <v>2761</v>
      </c>
      <c r="C116" s="327" t="s">
        <v>3098</v>
      </c>
      <c r="D116" s="327" t="s">
        <v>3099</v>
      </c>
      <c r="E116" s="388">
        <v>0.5</v>
      </c>
      <c r="F116" s="327" t="s">
        <v>3100</v>
      </c>
      <c r="G116" s="327" t="s">
        <v>3100</v>
      </c>
      <c r="H116" s="327" t="s">
        <v>2875</v>
      </c>
      <c r="I116" s="327" t="s">
        <v>2875</v>
      </c>
      <c r="J116" s="327" t="s">
        <v>2875</v>
      </c>
      <c r="K116" s="328" t="s">
        <v>3101</v>
      </c>
      <c r="L116" s="328" t="s">
        <v>3101</v>
      </c>
      <c r="M116" s="329">
        <v>17500</v>
      </c>
      <c r="N116" s="329">
        <v>17500</v>
      </c>
      <c r="O116" s="329">
        <v>17500</v>
      </c>
      <c r="P116" s="328" t="s">
        <v>2877</v>
      </c>
      <c r="Q116" s="328" t="s">
        <v>2877</v>
      </c>
      <c r="R116" s="328" t="s">
        <v>2877</v>
      </c>
      <c r="S116" s="328" t="s">
        <v>2877</v>
      </c>
      <c r="T116" s="387" t="s">
        <v>2875</v>
      </c>
      <c r="U116" s="387" t="s">
        <v>2875</v>
      </c>
      <c r="V116" s="387" t="s">
        <v>2875</v>
      </c>
    </row>
    <row r="117" spans="1:23" ht="20">
      <c r="A117" s="979"/>
      <c r="B117" s="973"/>
      <c r="C117" s="327" t="s">
        <v>3102</v>
      </c>
      <c r="D117" s="327" t="s">
        <v>3103</v>
      </c>
      <c r="E117" s="327" t="s">
        <v>2875</v>
      </c>
      <c r="F117" s="327" t="s">
        <v>3100</v>
      </c>
      <c r="G117" s="327" t="s">
        <v>3100</v>
      </c>
      <c r="H117" s="327" t="s">
        <v>2875</v>
      </c>
      <c r="I117" s="327" t="s">
        <v>2875</v>
      </c>
      <c r="J117" s="327" t="s">
        <v>2875</v>
      </c>
      <c r="K117" s="328" t="s">
        <v>2877</v>
      </c>
      <c r="L117" s="328" t="s">
        <v>2877</v>
      </c>
      <c r="M117" s="329" t="s">
        <v>2877</v>
      </c>
      <c r="N117" s="329" t="s">
        <v>2877</v>
      </c>
      <c r="O117" s="329" t="s">
        <v>2877</v>
      </c>
      <c r="P117" s="328" t="s">
        <v>3104</v>
      </c>
      <c r="Q117" s="328" t="s">
        <v>3105</v>
      </c>
      <c r="R117" s="329">
        <v>54942.75</v>
      </c>
      <c r="S117" s="329">
        <v>54942.75</v>
      </c>
      <c r="T117" s="387" t="s">
        <v>2875</v>
      </c>
      <c r="U117" s="387" t="s">
        <v>2875</v>
      </c>
      <c r="V117" s="387" t="s">
        <v>2875</v>
      </c>
    </row>
    <row r="118" spans="1:23" ht="20">
      <c r="A118" s="979"/>
      <c r="B118" s="973"/>
      <c r="C118" s="327" t="s">
        <v>3106</v>
      </c>
      <c r="D118" s="327" t="s">
        <v>3107</v>
      </c>
      <c r="E118" s="327" t="s">
        <v>2875</v>
      </c>
      <c r="F118" s="327" t="s">
        <v>3108</v>
      </c>
      <c r="G118" s="327" t="s">
        <v>3108</v>
      </c>
      <c r="H118" s="327" t="s">
        <v>2875</v>
      </c>
      <c r="I118" s="327" t="s">
        <v>2875</v>
      </c>
      <c r="J118" s="327" t="s">
        <v>2875</v>
      </c>
      <c r="K118" s="328" t="s">
        <v>2877</v>
      </c>
      <c r="L118" s="328" t="s">
        <v>2877</v>
      </c>
      <c r="M118" s="329" t="s">
        <v>2877</v>
      </c>
      <c r="N118" s="329" t="s">
        <v>2877</v>
      </c>
      <c r="O118" s="329" t="s">
        <v>2877</v>
      </c>
      <c r="P118" s="328" t="s">
        <v>3109</v>
      </c>
      <c r="Q118" s="328" t="s">
        <v>3109</v>
      </c>
      <c r="R118" s="329">
        <v>64832.5</v>
      </c>
      <c r="S118" s="329">
        <v>259330</v>
      </c>
      <c r="T118" s="387" t="s">
        <v>2875</v>
      </c>
      <c r="U118" s="387" t="s">
        <v>2875</v>
      </c>
      <c r="V118" s="387" t="s">
        <v>2875</v>
      </c>
    </row>
    <row r="119" spans="1:23" ht="30">
      <c r="A119" s="979"/>
      <c r="B119" s="973"/>
      <c r="C119" s="327" t="s">
        <v>3110</v>
      </c>
      <c r="D119" s="327" t="s">
        <v>3111</v>
      </c>
      <c r="E119" s="327" t="s">
        <v>2875</v>
      </c>
      <c r="F119" s="327" t="s">
        <v>3112</v>
      </c>
      <c r="G119" s="327" t="s">
        <v>3112</v>
      </c>
      <c r="H119" s="327" t="s">
        <v>2875</v>
      </c>
      <c r="I119" s="327" t="s">
        <v>2875</v>
      </c>
      <c r="J119" s="327" t="s">
        <v>2875</v>
      </c>
      <c r="K119" s="328" t="s">
        <v>2877</v>
      </c>
      <c r="L119" s="328" t="s">
        <v>2877</v>
      </c>
      <c r="M119" s="329" t="s">
        <v>2877</v>
      </c>
      <c r="N119" s="329" t="s">
        <v>2877</v>
      </c>
      <c r="O119" s="329" t="s">
        <v>2877</v>
      </c>
      <c r="P119" s="328" t="s">
        <v>3113</v>
      </c>
      <c r="Q119" s="328" t="s">
        <v>3114</v>
      </c>
      <c r="R119" s="329">
        <v>41640</v>
      </c>
      <c r="S119" s="329">
        <v>41640</v>
      </c>
      <c r="T119" s="387" t="s">
        <v>2875</v>
      </c>
      <c r="U119" s="387" t="s">
        <v>2875</v>
      </c>
      <c r="V119" s="387" t="s">
        <v>2875</v>
      </c>
    </row>
    <row r="120" spans="1:23">
      <c r="A120" s="350"/>
      <c r="B120" s="351" t="s">
        <v>3115</v>
      </c>
      <c r="C120" s="351"/>
      <c r="D120" s="351"/>
      <c r="E120" s="373"/>
      <c r="F120" s="374"/>
      <c r="G120" s="374"/>
      <c r="H120" s="374"/>
      <c r="I120" s="374"/>
      <c r="J120" s="374"/>
      <c r="K120" s="354"/>
      <c r="L120" s="354"/>
      <c r="M120" s="355"/>
      <c r="N120" s="355"/>
      <c r="O120" s="356">
        <f>SUM(O116:O119)</f>
        <v>17500</v>
      </c>
      <c r="P120" s="354"/>
      <c r="Q120" s="354"/>
      <c r="R120" s="355"/>
      <c r="S120" s="356">
        <f>SUM(S116:S119)</f>
        <v>355912.75</v>
      </c>
      <c r="T120" s="350"/>
      <c r="U120" s="350"/>
      <c r="V120" s="350"/>
      <c r="W120" s="384"/>
    </row>
    <row r="121" spans="1:23" ht="30">
      <c r="A121" s="974">
        <v>14</v>
      </c>
      <c r="B121" s="975" t="s">
        <v>666</v>
      </c>
      <c r="C121" s="338" t="s">
        <v>3116</v>
      </c>
      <c r="D121" s="338" t="s">
        <v>3117</v>
      </c>
      <c r="E121" s="339"/>
      <c r="F121" s="338" t="s">
        <v>3118</v>
      </c>
      <c r="G121" s="338" t="s">
        <v>3117</v>
      </c>
      <c r="H121" s="338" t="s">
        <v>3119</v>
      </c>
      <c r="I121" s="338" t="s">
        <v>3117</v>
      </c>
      <c r="J121" s="338" t="s">
        <v>833</v>
      </c>
      <c r="K121" s="340" t="s">
        <v>3120</v>
      </c>
      <c r="L121" s="340" t="s">
        <v>1923</v>
      </c>
      <c r="M121" s="341">
        <v>0</v>
      </c>
      <c r="N121" s="341">
        <v>0</v>
      </c>
      <c r="O121" s="341">
        <v>4000</v>
      </c>
      <c r="P121" s="360" t="s">
        <v>2877</v>
      </c>
      <c r="Q121" s="360" t="s">
        <v>2877</v>
      </c>
      <c r="R121" s="360" t="s">
        <v>2877</v>
      </c>
      <c r="S121" s="360" t="s">
        <v>2877</v>
      </c>
      <c r="T121" s="357" t="s">
        <v>850</v>
      </c>
      <c r="U121" s="357"/>
      <c r="V121" s="336" t="s">
        <v>3121</v>
      </c>
    </row>
    <row r="122" spans="1:23" ht="30">
      <c r="A122" s="974"/>
      <c r="B122" s="975"/>
      <c r="C122" s="338" t="s">
        <v>3122</v>
      </c>
      <c r="D122" s="338" t="s">
        <v>3123</v>
      </c>
      <c r="E122" s="339">
        <v>0.64</v>
      </c>
      <c r="F122" s="338" t="s">
        <v>3118</v>
      </c>
      <c r="G122" s="338" t="s">
        <v>3124</v>
      </c>
      <c r="H122" s="338" t="s">
        <v>3119</v>
      </c>
      <c r="I122" s="338" t="s">
        <v>3125</v>
      </c>
      <c r="J122" s="338" t="s">
        <v>833</v>
      </c>
      <c r="K122" s="340" t="s">
        <v>3126</v>
      </c>
      <c r="L122" s="340" t="s">
        <v>3127</v>
      </c>
      <c r="M122" s="341">
        <v>0</v>
      </c>
      <c r="N122" s="341">
        <v>0</v>
      </c>
      <c r="O122" s="341">
        <v>15000</v>
      </c>
      <c r="P122" s="360" t="s">
        <v>2877</v>
      </c>
      <c r="Q122" s="360" t="s">
        <v>2877</v>
      </c>
      <c r="R122" s="360" t="s">
        <v>2877</v>
      </c>
      <c r="S122" s="360" t="s">
        <v>2877</v>
      </c>
      <c r="T122" s="357" t="s">
        <v>850</v>
      </c>
      <c r="U122" s="357"/>
      <c r="V122" s="336" t="s">
        <v>3121</v>
      </c>
    </row>
    <row r="123" spans="1:23" ht="30">
      <c r="A123" s="974"/>
      <c r="B123" s="975"/>
      <c r="C123" s="338" t="s">
        <v>3128</v>
      </c>
      <c r="D123" s="338" t="s">
        <v>3123</v>
      </c>
      <c r="E123" s="339">
        <v>0.48</v>
      </c>
      <c r="F123" s="338" t="s">
        <v>3118</v>
      </c>
      <c r="G123" s="338" t="s">
        <v>3124</v>
      </c>
      <c r="H123" s="338" t="s">
        <v>3119</v>
      </c>
      <c r="I123" s="338" t="s">
        <v>3129</v>
      </c>
      <c r="J123" s="338" t="s">
        <v>833</v>
      </c>
      <c r="K123" s="340" t="s">
        <v>3126</v>
      </c>
      <c r="L123" s="340" t="s">
        <v>1923</v>
      </c>
      <c r="M123" s="341">
        <v>5000</v>
      </c>
      <c r="N123" s="341"/>
      <c r="O123" s="341">
        <v>15000</v>
      </c>
      <c r="P123" s="360" t="s">
        <v>2877</v>
      </c>
      <c r="Q123" s="360" t="s">
        <v>2877</v>
      </c>
      <c r="R123" s="360" t="s">
        <v>2877</v>
      </c>
      <c r="S123" s="360" t="s">
        <v>2877</v>
      </c>
      <c r="T123" s="357" t="s">
        <v>850</v>
      </c>
      <c r="U123" s="357"/>
      <c r="V123" s="336" t="s">
        <v>3121</v>
      </c>
    </row>
    <row r="124" spans="1:23" ht="30">
      <c r="A124" s="974"/>
      <c r="B124" s="975"/>
      <c r="C124" s="338" t="s">
        <v>876</v>
      </c>
      <c r="D124" s="338" t="s">
        <v>3123</v>
      </c>
      <c r="E124" s="339">
        <v>0.67</v>
      </c>
      <c r="F124" s="338" t="s">
        <v>3118</v>
      </c>
      <c r="G124" s="338" t="s">
        <v>3124</v>
      </c>
      <c r="H124" s="338" t="s">
        <v>3119</v>
      </c>
      <c r="I124" s="338" t="s">
        <v>3130</v>
      </c>
      <c r="J124" s="338" t="s">
        <v>833</v>
      </c>
      <c r="K124" s="340" t="s">
        <v>3126</v>
      </c>
      <c r="L124" s="340" t="s">
        <v>3131</v>
      </c>
      <c r="M124" s="341">
        <v>0</v>
      </c>
      <c r="N124" s="341">
        <v>0</v>
      </c>
      <c r="O124" s="341">
        <v>10000</v>
      </c>
      <c r="P124" s="360" t="s">
        <v>2877</v>
      </c>
      <c r="Q124" s="360" t="s">
        <v>2877</v>
      </c>
      <c r="R124" s="360" t="s">
        <v>2877</v>
      </c>
      <c r="S124" s="360" t="s">
        <v>2877</v>
      </c>
      <c r="T124" s="357" t="s">
        <v>850</v>
      </c>
      <c r="U124" s="357"/>
      <c r="V124" s="336" t="s">
        <v>3121</v>
      </c>
    </row>
    <row r="125" spans="1:23" ht="30">
      <c r="A125" s="974"/>
      <c r="B125" s="975"/>
      <c r="C125" s="338" t="s">
        <v>3132</v>
      </c>
      <c r="D125" s="338" t="s">
        <v>3123</v>
      </c>
      <c r="E125" s="339">
        <v>0.35</v>
      </c>
      <c r="F125" s="338" t="s">
        <v>3118</v>
      </c>
      <c r="G125" s="338" t="s">
        <v>3124</v>
      </c>
      <c r="H125" s="338" t="s">
        <v>3119</v>
      </c>
      <c r="I125" s="338" t="s">
        <v>3133</v>
      </c>
      <c r="J125" s="338" t="s">
        <v>833</v>
      </c>
      <c r="K125" s="340" t="s">
        <v>3126</v>
      </c>
      <c r="L125" s="340" t="s">
        <v>3131</v>
      </c>
      <c r="M125" s="341">
        <v>0</v>
      </c>
      <c r="N125" s="341">
        <v>0</v>
      </c>
      <c r="O125" s="341">
        <v>25000</v>
      </c>
      <c r="P125" s="360" t="s">
        <v>2877</v>
      </c>
      <c r="Q125" s="360" t="s">
        <v>2877</v>
      </c>
      <c r="R125" s="360" t="s">
        <v>2877</v>
      </c>
      <c r="S125" s="360" t="s">
        <v>2877</v>
      </c>
      <c r="T125" s="357" t="s">
        <v>850</v>
      </c>
      <c r="U125" s="357"/>
      <c r="V125" s="336" t="s">
        <v>3121</v>
      </c>
    </row>
    <row r="126" spans="1:23" ht="30">
      <c r="A126" s="974"/>
      <c r="B126" s="975"/>
      <c r="C126" s="338" t="s">
        <v>3134</v>
      </c>
      <c r="D126" s="338" t="s">
        <v>3123</v>
      </c>
      <c r="E126" s="339" t="s">
        <v>2875</v>
      </c>
      <c r="F126" s="338" t="s">
        <v>3118</v>
      </c>
      <c r="G126" s="338" t="s">
        <v>3124</v>
      </c>
      <c r="H126" s="338" t="s">
        <v>3119</v>
      </c>
      <c r="I126" s="338" t="s">
        <v>3135</v>
      </c>
      <c r="J126" s="338" t="s">
        <v>3136</v>
      </c>
      <c r="K126" s="340" t="s">
        <v>3137</v>
      </c>
      <c r="L126" s="340" t="s">
        <v>3031</v>
      </c>
      <c r="M126" s="341">
        <v>0</v>
      </c>
      <c r="N126" s="341">
        <v>0</v>
      </c>
      <c r="O126" s="341">
        <v>97935</v>
      </c>
      <c r="P126" s="360" t="s">
        <v>2877</v>
      </c>
      <c r="Q126" s="360" t="s">
        <v>2877</v>
      </c>
      <c r="R126" s="360" t="s">
        <v>2877</v>
      </c>
      <c r="S126" s="360" t="s">
        <v>2877</v>
      </c>
      <c r="T126" s="357" t="s">
        <v>850</v>
      </c>
      <c r="U126" s="357"/>
      <c r="V126" s="336" t="s">
        <v>3121</v>
      </c>
    </row>
    <row r="127" spans="1:23" ht="30">
      <c r="A127" s="974"/>
      <c r="B127" s="975"/>
      <c r="C127" s="338" t="s">
        <v>3138</v>
      </c>
      <c r="D127" s="338" t="s">
        <v>3123</v>
      </c>
      <c r="E127" s="339">
        <v>0.4</v>
      </c>
      <c r="F127" s="338" t="s">
        <v>3118</v>
      </c>
      <c r="G127" s="338" t="s">
        <v>3124</v>
      </c>
      <c r="H127" s="338" t="s">
        <v>3119</v>
      </c>
      <c r="I127" s="338" t="s">
        <v>3139</v>
      </c>
      <c r="J127" s="338" t="s">
        <v>2875</v>
      </c>
      <c r="K127" s="340" t="s">
        <v>2875</v>
      </c>
      <c r="L127" s="340" t="s">
        <v>2875</v>
      </c>
      <c r="M127" s="341">
        <v>0</v>
      </c>
      <c r="N127" s="341">
        <v>0</v>
      </c>
      <c r="O127" s="341">
        <v>0</v>
      </c>
      <c r="P127" s="360" t="s">
        <v>2875</v>
      </c>
      <c r="Q127" s="360" t="s">
        <v>2875</v>
      </c>
      <c r="R127" s="361" t="s">
        <v>2875</v>
      </c>
      <c r="S127" s="361">
        <v>4000</v>
      </c>
      <c r="T127" s="357" t="s">
        <v>850</v>
      </c>
      <c r="U127" s="357"/>
      <c r="V127" s="336" t="s">
        <v>3121</v>
      </c>
    </row>
    <row r="128" spans="1:23" ht="30">
      <c r="A128" s="974"/>
      <c r="B128" s="975"/>
      <c r="C128" s="338" t="s">
        <v>3140</v>
      </c>
      <c r="D128" s="338" t="s">
        <v>3123</v>
      </c>
      <c r="E128" s="339" t="s">
        <v>2875</v>
      </c>
      <c r="F128" s="338" t="s">
        <v>3118</v>
      </c>
      <c r="G128" s="338" t="s">
        <v>3124</v>
      </c>
      <c r="H128" s="338" t="s">
        <v>3119</v>
      </c>
      <c r="I128" s="338" t="s">
        <v>3139</v>
      </c>
      <c r="J128" s="338" t="s">
        <v>2875</v>
      </c>
      <c r="K128" s="340" t="s">
        <v>2875</v>
      </c>
      <c r="L128" s="340" t="s">
        <v>2875</v>
      </c>
      <c r="M128" s="341">
        <v>0</v>
      </c>
      <c r="N128" s="341">
        <v>0</v>
      </c>
      <c r="O128" s="341">
        <v>0</v>
      </c>
      <c r="P128" s="360" t="s">
        <v>2875</v>
      </c>
      <c r="Q128" s="360" t="s">
        <v>2875</v>
      </c>
      <c r="R128" s="361" t="s">
        <v>2875</v>
      </c>
      <c r="S128" s="361">
        <v>7670</v>
      </c>
      <c r="T128" s="357" t="s">
        <v>850</v>
      </c>
      <c r="U128" s="357"/>
      <c r="V128" s="336" t="s">
        <v>3121</v>
      </c>
    </row>
    <row r="129" spans="1:23">
      <c r="A129" s="350"/>
      <c r="B129" s="351" t="s">
        <v>3141</v>
      </c>
      <c r="C129" s="351"/>
      <c r="D129" s="351"/>
      <c r="E129" s="373"/>
      <c r="F129" s="374"/>
      <c r="G129" s="374"/>
      <c r="H129" s="374"/>
      <c r="I129" s="374"/>
      <c r="J129" s="374"/>
      <c r="K129" s="354"/>
      <c r="L129" s="354"/>
      <c r="M129" s="355"/>
      <c r="N129" s="355"/>
      <c r="O129" s="356">
        <f>SUM(O121:O128)</f>
        <v>166935</v>
      </c>
      <c r="P129" s="354"/>
      <c r="Q129" s="354"/>
      <c r="R129" s="355"/>
      <c r="S129" s="356">
        <f>SUM(S121:S128)</f>
        <v>11670</v>
      </c>
      <c r="T129" s="350"/>
      <c r="U129" s="350"/>
      <c r="V129" s="350"/>
      <c r="W129" s="384"/>
    </row>
    <row r="130" spans="1:23">
      <c r="A130" s="972">
        <v>15</v>
      </c>
      <c r="B130" s="973" t="s">
        <v>673</v>
      </c>
      <c r="C130" s="327" t="s">
        <v>3142</v>
      </c>
      <c r="D130" s="327" t="s">
        <v>3143</v>
      </c>
      <c r="E130" s="388" t="s">
        <v>2875</v>
      </c>
      <c r="F130" s="327" t="s">
        <v>3143</v>
      </c>
      <c r="G130" s="327" t="s">
        <v>3143</v>
      </c>
      <c r="H130" s="388" t="s">
        <v>2875</v>
      </c>
      <c r="I130" s="327" t="s">
        <v>3144</v>
      </c>
      <c r="J130" s="327" t="s">
        <v>833</v>
      </c>
      <c r="K130" s="389" t="s">
        <v>2875</v>
      </c>
      <c r="L130" s="389" t="s">
        <v>2875</v>
      </c>
      <c r="M130" s="389" t="s">
        <v>2875</v>
      </c>
      <c r="N130" s="329">
        <v>121800</v>
      </c>
      <c r="O130" s="329">
        <v>121800</v>
      </c>
      <c r="P130" s="348" t="s">
        <v>2877</v>
      </c>
      <c r="Q130" s="348" t="s">
        <v>2877</v>
      </c>
      <c r="R130" s="349" t="s">
        <v>2877</v>
      </c>
      <c r="S130" s="349" t="s">
        <v>2877</v>
      </c>
      <c r="T130" s="326" t="s">
        <v>850</v>
      </c>
      <c r="U130" s="326"/>
      <c r="V130" s="326" t="s">
        <v>2875</v>
      </c>
    </row>
    <row r="131" spans="1:23">
      <c r="A131" s="972"/>
      <c r="B131" s="973"/>
      <c r="C131" s="327" t="s">
        <v>3145</v>
      </c>
      <c r="D131" s="327" t="s">
        <v>3143</v>
      </c>
      <c r="E131" s="388" t="s">
        <v>2875</v>
      </c>
      <c r="F131" s="327" t="s">
        <v>3143</v>
      </c>
      <c r="G131" s="327" t="s">
        <v>3143</v>
      </c>
      <c r="H131" s="388" t="s">
        <v>2875</v>
      </c>
      <c r="I131" s="327" t="s">
        <v>3146</v>
      </c>
      <c r="J131" s="327" t="s">
        <v>833</v>
      </c>
      <c r="K131" s="389" t="s">
        <v>2875</v>
      </c>
      <c r="L131" s="389" t="s">
        <v>2875</v>
      </c>
      <c r="M131" s="389" t="s">
        <v>2875</v>
      </c>
      <c r="N131" s="329">
        <v>31500</v>
      </c>
      <c r="O131" s="329">
        <v>31500</v>
      </c>
      <c r="P131" s="348" t="s">
        <v>2877</v>
      </c>
      <c r="Q131" s="348" t="s">
        <v>2877</v>
      </c>
      <c r="R131" s="349" t="s">
        <v>2877</v>
      </c>
      <c r="S131" s="349" t="s">
        <v>2877</v>
      </c>
      <c r="T131" s="326" t="s">
        <v>850</v>
      </c>
      <c r="U131" s="326"/>
      <c r="V131" s="326" t="s">
        <v>2875</v>
      </c>
    </row>
    <row r="132" spans="1:23">
      <c r="A132" s="350"/>
      <c r="B132" s="351" t="s">
        <v>3147</v>
      </c>
      <c r="C132" s="351"/>
      <c r="D132" s="351"/>
      <c r="E132" s="373"/>
      <c r="F132" s="374"/>
      <c r="G132" s="374"/>
      <c r="H132" s="374"/>
      <c r="I132" s="374"/>
      <c r="J132" s="374"/>
      <c r="K132" s="354"/>
      <c r="L132" s="354"/>
      <c r="M132" s="355"/>
      <c r="N132" s="355"/>
      <c r="O132" s="356">
        <f>SUM(O130:O131)</f>
        <v>153300</v>
      </c>
      <c r="P132" s="354"/>
      <c r="Q132" s="354"/>
      <c r="R132" s="355"/>
      <c r="S132" s="356">
        <f>SUM(S130:S131)</f>
        <v>0</v>
      </c>
      <c r="T132" s="350"/>
      <c r="U132" s="350"/>
      <c r="V132" s="350"/>
    </row>
    <row r="133" spans="1:23">
      <c r="A133" s="974">
        <v>16</v>
      </c>
      <c r="B133" s="975" t="s">
        <v>973</v>
      </c>
      <c r="C133" s="338" t="s">
        <v>3148</v>
      </c>
      <c r="D133" s="338" t="s">
        <v>3149</v>
      </c>
      <c r="E133" s="339" t="s">
        <v>2875</v>
      </c>
      <c r="F133" s="338" t="s">
        <v>3150</v>
      </c>
      <c r="G133" s="338" t="s">
        <v>3151</v>
      </c>
      <c r="H133" s="338" t="s">
        <v>2875</v>
      </c>
      <c r="I133" s="338" t="s">
        <v>2875</v>
      </c>
      <c r="J133" s="338" t="s">
        <v>834</v>
      </c>
      <c r="K133" s="340" t="s">
        <v>3152</v>
      </c>
      <c r="L133" s="340" t="s">
        <v>2875</v>
      </c>
      <c r="M133" s="341" t="s">
        <v>2875</v>
      </c>
      <c r="N133" s="341">
        <v>70000</v>
      </c>
      <c r="O133" s="341">
        <v>70000</v>
      </c>
      <c r="P133" s="360" t="s">
        <v>2877</v>
      </c>
      <c r="Q133" s="360" t="s">
        <v>2877</v>
      </c>
      <c r="R133" s="361" t="s">
        <v>2877</v>
      </c>
      <c r="S133" s="361" t="s">
        <v>2877</v>
      </c>
      <c r="T133" s="357" t="s">
        <v>2875</v>
      </c>
      <c r="U133" s="357" t="s">
        <v>2875</v>
      </c>
      <c r="V133" s="357" t="s">
        <v>2875</v>
      </c>
    </row>
    <row r="134" spans="1:23" ht="20">
      <c r="A134" s="974"/>
      <c r="B134" s="975"/>
      <c r="C134" s="338" t="s">
        <v>3153</v>
      </c>
      <c r="D134" s="338" t="s">
        <v>3154</v>
      </c>
      <c r="E134" s="339" t="s">
        <v>2875</v>
      </c>
      <c r="F134" s="338" t="s">
        <v>3150</v>
      </c>
      <c r="G134" s="338" t="s">
        <v>3155</v>
      </c>
      <c r="H134" s="338" t="s">
        <v>2875</v>
      </c>
      <c r="I134" s="338" t="s">
        <v>2875</v>
      </c>
      <c r="J134" s="338" t="s">
        <v>834</v>
      </c>
      <c r="K134" s="340" t="s">
        <v>3156</v>
      </c>
      <c r="L134" s="340" t="s">
        <v>2875</v>
      </c>
      <c r="M134" s="341" t="s">
        <v>2875</v>
      </c>
      <c r="N134" s="341">
        <v>85000</v>
      </c>
      <c r="O134" s="341">
        <v>85000</v>
      </c>
      <c r="P134" s="360" t="s">
        <v>2877</v>
      </c>
      <c r="Q134" s="360" t="s">
        <v>2877</v>
      </c>
      <c r="R134" s="361" t="s">
        <v>2877</v>
      </c>
      <c r="S134" s="361" t="s">
        <v>2877</v>
      </c>
      <c r="T134" s="357" t="s">
        <v>2875</v>
      </c>
      <c r="U134" s="357" t="s">
        <v>2875</v>
      </c>
      <c r="V134" s="357" t="s">
        <v>2875</v>
      </c>
    </row>
    <row r="135" spans="1:23">
      <c r="A135" s="350"/>
      <c r="B135" s="351" t="s">
        <v>3157</v>
      </c>
      <c r="C135" s="351"/>
      <c r="D135" s="351"/>
      <c r="E135" s="373"/>
      <c r="F135" s="374"/>
      <c r="G135" s="374"/>
      <c r="H135" s="374"/>
      <c r="I135" s="374"/>
      <c r="J135" s="374"/>
      <c r="K135" s="354"/>
      <c r="L135" s="354"/>
      <c r="M135" s="355"/>
      <c r="N135" s="355"/>
      <c r="O135" s="356">
        <f>SUM(O133:O134)</f>
        <v>155000</v>
      </c>
      <c r="P135" s="354"/>
      <c r="Q135" s="354"/>
      <c r="R135" s="355"/>
      <c r="S135" s="356">
        <f>SUM(S133:S134)</f>
        <v>0</v>
      </c>
      <c r="T135" s="350"/>
      <c r="U135" s="350"/>
      <c r="V135" s="350"/>
    </row>
    <row r="136" spans="1:23" ht="20">
      <c r="A136" s="972">
        <v>17</v>
      </c>
      <c r="B136" s="973" t="s">
        <v>462</v>
      </c>
      <c r="C136" s="327" t="s">
        <v>3158</v>
      </c>
      <c r="D136" s="327" t="s">
        <v>3159</v>
      </c>
      <c r="E136" s="388"/>
      <c r="F136" s="327" t="s">
        <v>3160</v>
      </c>
      <c r="G136" s="327" t="s">
        <v>3161</v>
      </c>
      <c r="H136" s="327" t="s">
        <v>3162</v>
      </c>
      <c r="I136" s="327" t="s">
        <v>3163</v>
      </c>
      <c r="J136" s="327" t="s">
        <v>2875</v>
      </c>
      <c r="K136" s="328" t="s">
        <v>2875</v>
      </c>
      <c r="L136" s="328" t="s">
        <v>2875</v>
      </c>
      <c r="M136" s="329">
        <v>65000</v>
      </c>
      <c r="N136" s="329">
        <v>85000</v>
      </c>
      <c r="O136" s="329">
        <v>85000</v>
      </c>
      <c r="P136" s="348" t="s">
        <v>2877</v>
      </c>
      <c r="Q136" s="348" t="s">
        <v>2877</v>
      </c>
      <c r="R136" s="349" t="s">
        <v>2877</v>
      </c>
      <c r="S136" s="349" t="s">
        <v>2877</v>
      </c>
      <c r="T136" s="326" t="s">
        <v>2875</v>
      </c>
      <c r="U136" s="326" t="s">
        <v>2875</v>
      </c>
      <c r="V136" s="326" t="s">
        <v>2875</v>
      </c>
    </row>
    <row r="137" spans="1:23" ht="20">
      <c r="A137" s="972"/>
      <c r="B137" s="973"/>
      <c r="C137" s="327" t="s">
        <v>3164</v>
      </c>
      <c r="D137" s="327" t="s">
        <v>3159</v>
      </c>
      <c r="E137" s="388"/>
      <c r="F137" s="327" t="s">
        <v>3160</v>
      </c>
      <c r="G137" s="327" t="s">
        <v>3161</v>
      </c>
      <c r="H137" s="327" t="s">
        <v>2875</v>
      </c>
      <c r="I137" s="327" t="s">
        <v>2875</v>
      </c>
      <c r="J137" s="327" t="s">
        <v>2875</v>
      </c>
      <c r="K137" s="328" t="s">
        <v>2875</v>
      </c>
      <c r="L137" s="328" t="s">
        <v>2875</v>
      </c>
      <c r="M137" s="329">
        <v>65000</v>
      </c>
      <c r="N137" s="329">
        <v>65000</v>
      </c>
      <c r="O137" s="329">
        <v>65000</v>
      </c>
      <c r="P137" s="348" t="s">
        <v>2877</v>
      </c>
      <c r="Q137" s="348" t="s">
        <v>2877</v>
      </c>
      <c r="R137" s="349" t="s">
        <v>2877</v>
      </c>
      <c r="S137" s="349" t="s">
        <v>2877</v>
      </c>
      <c r="T137" s="326" t="s">
        <v>2875</v>
      </c>
      <c r="U137" s="326" t="s">
        <v>2875</v>
      </c>
      <c r="V137" s="326" t="s">
        <v>2875</v>
      </c>
    </row>
    <row r="138" spans="1:23">
      <c r="A138" s="350"/>
      <c r="B138" s="351" t="s">
        <v>3165</v>
      </c>
      <c r="C138" s="351"/>
      <c r="D138" s="351"/>
      <c r="E138" s="373"/>
      <c r="F138" s="374"/>
      <c r="G138" s="374"/>
      <c r="H138" s="374"/>
      <c r="I138" s="374"/>
      <c r="J138" s="374"/>
      <c r="K138" s="354"/>
      <c r="L138" s="354"/>
      <c r="M138" s="355"/>
      <c r="N138" s="355"/>
      <c r="O138" s="356">
        <f>SUM(O136:O137)</f>
        <v>150000</v>
      </c>
      <c r="P138" s="354"/>
      <c r="Q138" s="354"/>
      <c r="R138" s="355"/>
      <c r="S138" s="356">
        <f>SUM(S136:S137)</f>
        <v>0</v>
      </c>
      <c r="T138" s="350"/>
      <c r="U138" s="350"/>
      <c r="V138" s="350"/>
    </row>
    <row r="139" spans="1:23">
      <c r="A139" s="974">
        <v>18</v>
      </c>
      <c r="B139" s="975" t="s">
        <v>188</v>
      </c>
      <c r="C139" s="338" t="s">
        <v>3166</v>
      </c>
      <c r="D139" s="338" t="s">
        <v>2875</v>
      </c>
      <c r="E139" s="338" t="s">
        <v>2875</v>
      </c>
      <c r="F139" s="338" t="s">
        <v>2875</v>
      </c>
      <c r="G139" s="338" t="s">
        <v>2875</v>
      </c>
      <c r="H139" s="338" t="s">
        <v>2875</v>
      </c>
      <c r="I139" s="338" t="s">
        <v>2875</v>
      </c>
      <c r="J139" s="338" t="s">
        <v>2875</v>
      </c>
      <c r="K139" s="340" t="s">
        <v>2875</v>
      </c>
      <c r="L139" s="340" t="s">
        <v>2875</v>
      </c>
      <c r="M139" s="341">
        <v>0</v>
      </c>
      <c r="N139" s="341">
        <v>100000</v>
      </c>
      <c r="O139" s="341">
        <v>100000</v>
      </c>
      <c r="P139" s="360" t="s">
        <v>2877</v>
      </c>
      <c r="Q139" s="360" t="s">
        <v>2877</v>
      </c>
      <c r="R139" s="361" t="s">
        <v>2877</v>
      </c>
      <c r="S139" s="361" t="s">
        <v>2877</v>
      </c>
      <c r="T139" s="357" t="s">
        <v>2875</v>
      </c>
      <c r="U139" s="357" t="s">
        <v>2875</v>
      </c>
      <c r="V139" s="357" t="s">
        <v>2875</v>
      </c>
    </row>
    <row r="140" spans="1:23">
      <c r="A140" s="974"/>
      <c r="B140" s="975"/>
      <c r="C140" s="338" t="s">
        <v>3167</v>
      </c>
      <c r="D140" s="338" t="s">
        <v>2875</v>
      </c>
      <c r="E140" s="338" t="s">
        <v>2875</v>
      </c>
      <c r="F140" s="338" t="s">
        <v>2875</v>
      </c>
      <c r="G140" s="338" t="s">
        <v>2875</v>
      </c>
      <c r="H140" s="338" t="s">
        <v>2875</v>
      </c>
      <c r="I140" s="338" t="s">
        <v>2875</v>
      </c>
      <c r="J140" s="338" t="s">
        <v>2875</v>
      </c>
      <c r="K140" s="340" t="s">
        <v>2875</v>
      </c>
      <c r="L140" s="340" t="s">
        <v>2875</v>
      </c>
      <c r="M140" s="341">
        <v>0</v>
      </c>
      <c r="N140" s="341">
        <v>39000</v>
      </c>
      <c r="O140" s="341">
        <v>39000</v>
      </c>
      <c r="P140" s="360" t="s">
        <v>2877</v>
      </c>
      <c r="Q140" s="360" t="s">
        <v>2877</v>
      </c>
      <c r="R140" s="361" t="s">
        <v>2877</v>
      </c>
      <c r="S140" s="361" t="s">
        <v>2877</v>
      </c>
      <c r="T140" s="357" t="s">
        <v>2875</v>
      </c>
      <c r="U140" s="357" t="s">
        <v>2875</v>
      </c>
      <c r="V140" s="357" t="s">
        <v>2875</v>
      </c>
    </row>
    <row r="141" spans="1:23">
      <c r="A141" s="974"/>
      <c r="B141" s="975"/>
      <c r="C141" s="338" t="s">
        <v>3168</v>
      </c>
      <c r="D141" s="338" t="s">
        <v>2875</v>
      </c>
      <c r="E141" s="338" t="s">
        <v>2875</v>
      </c>
      <c r="F141" s="338" t="s">
        <v>2875</v>
      </c>
      <c r="G141" s="338" t="s">
        <v>2875</v>
      </c>
      <c r="H141" s="338" t="s">
        <v>2875</v>
      </c>
      <c r="I141" s="338" t="s">
        <v>2875</v>
      </c>
      <c r="J141" s="338" t="s">
        <v>2875</v>
      </c>
      <c r="K141" s="340" t="s">
        <v>2875</v>
      </c>
      <c r="L141" s="340" t="s">
        <v>2875</v>
      </c>
      <c r="M141" s="341">
        <v>0</v>
      </c>
      <c r="N141" s="341">
        <v>2000</v>
      </c>
      <c r="O141" s="341">
        <v>2000</v>
      </c>
      <c r="P141" s="360" t="s">
        <v>2877</v>
      </c>
      <c r="Q141" s="360" t="s">
        <v>2877</v>
      </c>
      <c r="R141" s="361" t="s">
        <v>2877</v>
      </c>
      <c r="S141" s="361" t="s">
        <v>2877</v>
      </c>
      <c r="T141" s="357" t="s">
        <v>2875</v>
      </c>
      <c r="U141" s="357" t="s">
        <v>2875</v>
      </c>
      <c r="V141" s="357" t="s">
        <v>2875</v>
      </c>
    </row>
    <row r="142" spans="1:23">
      <c r="A142" s="974"/>
      <c r="B142" s="975"/>
      <c r="C142" s="338" t="s">
        <v>3169</v>
      </c>
      <c r="D142" s="338" t="s">
        <v>2875</v>
      </c>
      <c r="E142" s="338" t="s">
        <v>2875</v>
      </c>
      <c r="F142" s="338" t="s">
        <v>2875</v>
      </c>
      <c r="G142" s="338" t="s">
        <v>2875</v>
      </c>
      <c r="H142" s="338" t="s">
        <v>2875</v>
      </c>
      <c r="I142" s="338" t="s">
        <v>2875</v>
      </c>
      <c r="J142" s="338" t="s">
        <v>2875</v>
      </c>
      <c r="K142" s="340" t="s">
        <v>2875</v>
      </c>
      <c r="L142" s="340" t="s">
        <v>2875</v>
      </c>
      <c r="M142" s="341">
        <v>0</v>
      </c>
      <c r="N142" s="341">
        <v>60343.199999999997</v>
      </c>
      <c r="O142" s="341">
        <v>60343.199999999997</v>
      </c>
      <c r="P142" s="360" t="s">
        <v>2877</v>
      </c>
      <c r="Q142" s="360" t="s">
        <v>2877</v>
      </c>
      <c r="R142" s="361" t="s">
        <v>2877</v>
      </c>
      <c r="S142" s="361" t="s">
        <v>2877</v>
      </c>
      <c r="T142" s="357" t="s">
        <v>2875</v>
      </c>
      <c r="U142" s="357" t="s">
        <v>2875</v>
      </c>
      <c r="V142" s="357" t="s">
        <v>2875</v>
      </c>
    </row>
    <row r="143" spans="1:23">
      <c r="A143" s="350"/>
      <c r="B143" s="351" t="s">
        <v>3170</v>
      </c>
      <c r="C143" s="351"/>
      <c r="D143" s="351"/>
      <c r="E143" s="373"/>
      <c r="F143" s="374"/>
      <c r="G143" s="374"/>
      <c r="H143" s="374"/>
      <c r="I143" s="374"/>
      <c r="J143" s="374"/>
      <c r="K143" s="354"/>
      <c r="L143" s="354"/>
      <c r="M143" s="355"/>
      <c r="N143" s="355"/>
      <c r="O143" s="356">
        <f>SUM(O139:O142)</f>
        <v>201343.2</v>
      </c>
      <c r="P143" s="354"/>
      <c r="Q143" s="354"/>
      <c r="R143" s="355"/>
      <c r="S143" s="356">
        <f>SUM(S139:S142)</f>
        <v>0</v>
      </c>
      <c r="T143" s="350"/>
      <c r="U143" s="350"/>
      <c r="V143" s="350"/>
    </row>
    <row r="144" spans="1:23" ht="27" customHeight="1">
      <c r="A144" s="387">
        <v>19</v>
      </c>
      <c r="B144" s="553" t="s">
        <v>607</v>
      </c>
      <c r="C144" s="327" t="s">
        <v>8306</v>
      </c>
      <c r="D144" s="327" t="s">
        <v>7908</v>
      </c>
      <c r="E144" s="327" t="s">
        <v>2875</v>
      </c>
      <c r="F144" s="327" t="s">
        <v>8307</v>
      </c>
      <c r="G144" s="327" t="s">
        <v>2875</v>
      </c>
      <c r="H144" s="327" t="s">
        <v>2875</v>
      </c>
      <c r="I144" s="327" t="s">
        <v>2875</v>
      </c>
      <c r="J144" s="327" t="s">
        <v>2875</v>
      </c>
      <c r="K144" s="328" t="s">
        <v>2875</v>
      </c>
      <c r="L144" s="328" t="s">
        <v>2875</v>
      </c>
      <c r="M144" s="329">
        <v>200000</v>
      </c>
      <c r="N144" s="329">
        <v>200000</v>
      </c>
      <c r="O144" s="329">
        <v>200000</v>
      </c>
      <c r="P144" s="348" t="s">
        <v>2877</v>
      </c>
      <c r="Q144" s="348" t="s">
        <v>2877</v>
      </c>
      <c r="R144" s="349" t="s">
        <v>2877</v>
      </c>
      <c r="S144" s="349" t="s">
        <v>2877</v>
      </c>
      <c r="T144" s="326" t="s">
        <v>2875</v>
      </c>
      <c r="U144" s="326" t="s">
        <v>2875</v>
      </c>
      <c r="V144" s="326" t="s">
        <v>2875</v>
      </c>
    </row>
    <row r="145" spans="1:22">
      <c r="A145" s="555"/>
      <c r="B145" s="556" t="s">
        <v>8187</v>
      </c>
      <c r="C145" s="556"/>
      <c r="D145" s="556"/>
      <c r="E145" s="557"/>
      <c r="F145" s="558"/>
      <c r="G145" s="558"/>
      <c r="H145" s="558"/>
      <c r="I145" s="558"/>
      <c r="J145" s="558"/>
      <c r="K145" s="559"/>
      <c r="L145" s="559"/>
      <c r="M145" s="560"/>
      <c r="N145" s="560"/>
      <c r="O145" s="561">
        <f>+SUM(O144)</f>
        <v>200000</v>
      </c>
      <c r="P145" s="559"/>
      <c r="Q145" s="559"/>
      <c r="R145" s="560"/>
      <c r="S145" s="561">
        <f>+SUM(S144)</f>
        <v>0</v>
      </c>
      <c r="T145" s="555"/>
      <c r="U145" s="555"/>
      <c r="V145" s="555"/>
    </row>
    <row r="146" spans="1:22">
      <c r="A146" s="974">
        <v>20</v>
      </c>
      <c r="B146" s="975" t="s">
        <v>590</v>
      </c>
      <c r="C146" s="338" t="s">
        <v>8348</v>
      </c>
      <c r="D146" s="338" t="s">
        <v>8364</v>
      </c>
      <c r="E146" s="562">
        <v>0.52</v>
      </c>
      <c r="F146" s="338" t="s">
        <v>8376</v>
      </c>
      <c r="G146" s="338" t="s">
        <v>8377</v>
      </c>
      <c r="H146" s="338" t="s">
        <v>8378</v>
      </c>
      <c r="I146" s="338" t="s">
        <v>2276</v>
      </c>
      <c r="J146" s="338" t="s">
        <v>8379</v>
      </c>
      <c r="K146" s="340">
        <v>45117</v>
      </c>
      <c r="L146" s="340" t="s">
        <v>2875</v>
      </c>
      <c r="M146" s="341">
        <v>0</v>
      </c>
      <c r="N146" s="341">
        <v>0</v>
      </c>
      <c r="O146" s="341">
        <v>180317</v>
      </c>
      <c r="P146" s="360" t="s">
        <v>2877</v>
      </c>
      <c r="Q146" s="360" t="s">
        <v>2877</v>
      </c>
      <c r="R146" s="361" t="s">
        <v>2877</v>
      </c>
      <c r="S146" s="361" t="s">
        <v>2877</v>
      </c>
      <c r="T146" s="357" t="s">
        <v>2877</v>
      </c>
      <c r="U146" s="357" t="s">
        <v>2877</v>
      </c>
      <c r="V146" s="357" t="s">
        <v>2877</v>
      </c>
    </row>
    <row r="147" spans="1:22" ht="20">
      <c r="A147" s="974"/>
      <c r="B147" s="975"/>
      <c r="C147" s="338" t="s">
        <v>8349</v>
      </c>
      <c r="D147" s="338" t="s">
        <v>8365</v>
      </c>
      <c r="E147" s="562">
        <v>0.52</v>
      </c>
      <c r="F147" s="338" t="s">
        <v>8376</v>
      </c>
      <c r="G147" s="338" t="s">
        <v>8380</v>
      </c>
      <c r="H147" s="338" t="s">
        <v>8378</v>
      </c>
      <c r="I147" s="338" t="s">
        <v>2287</v>
      </c>
      <c r="J147" s="338" t="s">
        <v>8381</v>
      </c>
      <c r="K147" s="340">
        <v>45089</v>
      </c>
      <c r="L147" s="340" t="s">
        <v>2875</v>
      </c>
      <c r="M147" s="341">
        <v>0</v>
      </c>
      <c r="N147" s="341">
        <v>0</v>
      </c>
      <c r="O147" s="341">
        <v>259920</v>
      </c>
      <c r="P147" s="360" t="s">
        <v>2877</v>
      </c>
      <c r="Q147" s="360" t="s">
        <v>2877</v>
      </c>
      <c r="R147" s="361" t="s">
        <v>2877</v>
      </c>
      <c r="S147" s="361" t="s">
        <v>2877</v>
      </c>
      <c r="T147" s="357" t="s">
        <v>2877</v>
      </c>
      <c r="U147" s="357" t="s">
        <v>2877</v>
      </c>
      <c r="V147" s="357" t="s">
        <v>2877</v>
      </c>
    </row>
    <row r="148" spans="1:22" ht="20">
      <c r="A148" s="974"/>
      <c r="B148" s="975"/>
      <c r="C148" s="338" t="s">
        <v>8350</v>
      </c>
      <c r="D148" s="338" t="s">
        <v>8366</v>
      </c>
      <c r="E148" s="562">
        <v>0.52</v>
      </c>
      <c r="F148" s="338" t="s">
        <v>8376</v>
      </c>
      <c r="G148" s="338" t="s">
        <v>8377</v>
      </c>
      <c r="H148" s="338" t="s">
        <v>8378</v>
      </c>
      <c r="I148" s="338"/>
      <c r="J148" s="338" t="s">
        <v>8382</v>
      </c>
      <c r="K148" s="340">
        <v>44988</v>
      </c>
      <c r="L148" s="340" t="s">
        <v>2875</v>
      </c>
      <c r="M148" s="341">
        <v>0</v>
      </c>
      <c r="N148" s="341">
        <v>0</v>
      </c>
      <c r="O148" s="341">
        <v>2331</v>
      </c>
      <c r="P148" s="360" t="s">
        <v>2877</v>
      </c>
      <c r="Q148" s="360" t="s">
        <v>2877</v>
      </c>
      <c r="R148" s="361" t="s">
        <v>2877</v>
      </c>
      <c r="S148" s="361" t="s">
        <v>2877</v>
      </c>
      <c r="T148" s="357" t="s">
        <v>2877</v>
      </c>
      <c r="U148" s="357" t="s">
        <v>2877</v>
      </c>
      <c r="V148" s="357" t="s">
        <v>2877</v>
      </c>
    </row>
    <row r="149" spans="1:22" ht="50">
      <c r="A149" s="974"/>
      <c r="B149" s="975"/>
      <c r="C149" s="338" t="s">
        <v>8351</v>
      </c>
      <c r="D149" s="338" t="s">
        <v>8367</v>
      </c>
      <c r="E149" s="562">
        <v>0.48</v>
      </c>
      <c r="F149" s="338" t="s">
        <v>8376</v>
      </c>
      <c r="G149" s="338" t="s">
        <v>8377</v>
      </c>
      <c r="H149" s="338" t="s">
        <v>8378</v>
      </c>
      <c r="I149" s="338"/>
      <c r="J149" s="338" t="s">
        <v>8383</v>
      </c>
      <c r="K149" s="340">
        <v>45015</v>
      </c>
      <c r="L149" s="340">
        <v>45291</v>
      </c>
      <c r="M149" s="341">
        <v>0</v>
      </c>
      <c r="N149" s="341">
        <v>0</v>
      </c>
      <c r="O149" s="341">
        <v>413513</v>
      </c>
      <c r="P149" s="360" t="s">
        <v>2877</v>
      </c>
      <c r="Q149" s="360" t="s">
        <v>2877</v>
      </c>
      <c r="R149" s="361" t="s">
        <v>2877</v>
      </c>
      <c r="S149" s="361" t="s">
        <v>2877</v>
      </c>
      <c r="T149" s="357" t="s">
        <v>2877</v>
      </c>
      <c r="U149" s="357" t="s">
        <v>2877</v>
      </c>
      <c r="V149" s="357" t="s">
        <v>2877</v>
      </c>
    </row>
    <row r="150" spans="1:22">
      <c r="A150" s="974"/>
      <c r="B150" s="975"/>
      <c r="C150" s="338" t="s">
        <v>8352</v>
      </c>
      <c r="D150" s="338" t="s">
        <v>8368</v>
      </c>
      <c r="E150" s="562">
        <v>0.2</v>
      </c>
      <c r="F150" s="338" t="s">
        <v>8376</v>
      </c>
      <c r="G150" s="338" t="s">
        <v>8377</v>
      </c>
      <c r="H150" s="338" t="s">
        <v>8378</v>
      </c>
      <c r="I150" s="338"/>
      <c r="J150" s="338" t="s">
        <v>841</v>
      </c>
      <c r="K150" s="340">
        <v>45015</v>
      </c>
      <c r="L150" s="340">
        <v>45021</v>
      </c>
      <c r="M150" s="341">
        <v>0</v>
      </c>
      <c r="N150" s="341">
        <v>0</v>
      </c>
      <c r="O150" s="341">
        <v>2200</v>
      </c>
      <c r="P150" s="360" t="s">
        <v>2877</v>
      </c>
      <c r="Q150" s="360" t="s">
        <v>2877</v>
      </c>
      <c r="R150" s="361" t="s">
        <v>2877</v>
      </c>
      <c r="S150" s="361" t="s">
        <v>2877</v>
      </c>
      <c r="T150" s="357" t="s">
        <v>2877</v>
      </c>
      <c r="U150" s="357" t="s">
        <v>2877</v>
      </c>
      <c r="V150" s="357" t="s">
        <v>2877</v>
      </c>
    </row>
    <row r="151" spans="1:22" ht="20">
      <c r="A151" s="974"/>
      <c r="B151" s="975"/>
      <c r="C151" s="338" t="s">
        <v>8353</v>
      </c>
      <c r="D151" s="338" t="s">
        <v>8369</v>
      </c>
      <c r="E151" s="562">
        <v>0.42</v>
      </c>
      <c r="F151" s="338" t="s">
        <v>8376</v>
      </c>
      <c r="G151" s="338" t="s">
        <v>8377</v>
      </c>
      <c r="H151" s="338" t="s">
        <v>8378</v>
      </c>
      <c r="I151" s="338"/>
      <c r="J151" s="338" t="s">
        <v>841</v>
      </c>
      <c r="K151" s="340" t="s">
        <v>2875</v>
      </c>
      <c r="L151" s="340" t="s">
        <v>2875</v>
      </c>
      <c r="M151" s="341">
        <v>0</v>
      </c>
      <c r="N151" s="341">
        <v>0</v>
      </c>
      <c r="O151" s="341">
        <v>38988</v>
      </c>
      <c r="P151" s="360" t="s">
        <v>2877</v>
      </c>
      <c r="Q151" s="360" t="s">
        <v>2877</v>
      </c>
      <c r="R151" s="361" t="s">
        <v>2877</v>
      </c>
      <c r="S151" s="361" t="s">
        <v>2877</v>
      </c>
      <c r="T151" s="357" t="s">
        <v>2877</v>
      </c>
      <c r="U151" s="357" t="s">
        <v>2877</v>
      </c>
      <c r="V151" s="357" t="s">
        <v>2877</v>
      </c>
    </row>
    <row r="152" spans="1:22" ht="20">
      <c r="A152" s="974"/>
      <c r="B152" s="975"/>
      <c r="C152" s="338" t="s">
        <v>8354</v>
      </c>
      <c r="D152" s="338" t="s">
        <v>8370</v>
      </c>
      <c r="E152" s="562">
        <v>0.52</v>
      </c>
      <c r="F152" s="338" t="s">
        <v>8376</v>
      </c>
      <c r="G152" s="338" t="s">
        <v>8377</v>
      </c>
      <c r="H152" s="338" t="s">
        <v>8378</v>
      </c>
      <c r="I152" s="338" t="s">
        <v>8384</v>
      </c>
      <c r="J152" s="338" t="s">
        <v>8385</v>
      </c>
      <c r="K152" s="340">
        <v>44595</v>
      </c>
      <c r="L152" s="340">
        <v>44986</v>
      </c>
      <c r="M152" s="341">
        <v>0</v>
      </c>
      <c r="N152" s="341">
        <v>0</v>
      </c>
      <c r="O152" s="341">
        <v>73701</v>
      </c>
      <c r="P152" s="360" t="s">
        <v>2877</v>
      </c>
      <c r="Q152" s="360" t="s">
        <v>2877</v>
      </c>
      <c r="R152" s="361" t="s">
        <v>2877</v>
      </c>
      <c r="S152" s="361" t="s">
        <v>2877</v>
      </c>
      <c r="T152" s="357" t="s">
        <v>2877</v>
      </c>
      <c r="U152" s="357" t="s">
        <v>2877</v>
      </c>
      <c r="V152" s="357" t="s">
        <v>2877</v>
      </c>
    </row>
    <row r="153" spans="1:22" ht="20">
      <c r="A153" s="974"/>
      <c r="B153" s="975"/>
      <c r="C153" s="338" t="s">
        <v>8355</v>
      </c>
      <c r="D153" s="338" t="s">
        <v>8371</v>
      </c>
      <c r="E153" s="562">
        <v>0.52</v>
      </c>
      <c r="F153" s="338" t="s">
        <v>8376</v>
      </c>
      <c r="G153" s="338" t="s">
        <v>8377</v>
      </c>
      <c r="H153" s="338" t="s">
        <v>8378</v>
      </c>
      <c r="I153" s="338" t="s">
        <v>8386</v>
      </c>
      <c r="J153" s="338" t="s">
        <v>8387</v>
      </c>
      <c r="K153" s="340">
        <v>44729</v>
      </c>
      <c r="L153" s="340">
        <v>45270</v>
      </c>
      <c r="M153" s="341">
        <v>0</v>
      </c>
      <c r="N153" s="341">
        <v>0</v>
      </c>
      <c r="O153" s="341">
        <v>32865</v>
      </c>
      <c r="P153" s="360" t="s">
        <v>2877</v>
      </c>
      <c r="Q153" s="360" t="s">
        <v>2877</v>
      </c>
      <c r="R153" s="361" t="s">
        <v>2877</v>
      </c>
      <c r="S153" s="361" t="s">
        <v>2877</v>
      </c>
      <c r="T153" s="357" t="s">
        <v>2877</v>
      </c>
      <c r="U153" s="357" t="s">
        <v>2877</v>
      </c>
      <c r="V153" s="357" t="s">
        <v>2877</v>
      </c>
    </row>
    <row r="154" spans="1:22">
      <c r="A154" s="974"/>
      <c r="B154" s="975"/>
      <c r="C154" s="338" t="s">
        <v>8356</v>
      </c>
      <c r="D154" s="338" t="s">
        <v>8372</v>
      </c>
      <c r="E154" s="562">
        <v>0.3</v>
      </c>
      <c r="F154" s="338" t="s">
        <v>8376</v>
      </c>
      <c r="G154" s="338" t="s">
        <v>8377</v>
      </c>
      <c r="H154" s="338" t="s">
        <v>8378</v>
      </c>
      <c r="I154" s="338"/>
      <c r="J154" s="338"/>
      <c r="K154" s="340" t="s">
        <v>2875</v>
      </c>
      <c r="L154" s="340" t="s">
        <v>2875</v>
      </c>
      <c r="M154" s="341">
        <v>0</v>
      </c>
      <c r="N154" s="341">
        <v>0</v>
      </c>
      <c r="O154" s="341">
        <v>3039</v>
      </c>
      <c r="P154" s="360" t="s">
        <v>2877</v>
      </c>
      <c r="Q154" s="360" t="s">
        <v>2877</v>
      </c>
      <c r="R154" s="361" t="s">
        <v>2877</v>
      </c>
      <c r="S154" s="361" t="s">
        <v>2877</v>
      </c>
      <c r="T154" s="357" t="s">
        <v>2877</v>
      </c>
      <c r="U154" s="357" t="s">
        <v>2877</v>
      </c>
      <c r="V154" s="357" t="s">
        <v>2877</v>
      </c>
    </row>
    <row r="155" spans="1:22" ht="20">
      <c r="A155" s="974"/>
      <c r="B155" s="975"/>
      <c r="C155" s="338" t="s">
        <v>8357</v>
      </c>
      <c r="D155" s="338" t="s">
        <v>8373</v>
      </c>
      <c r="E155" s="562">
        <v>0.48</v>
      </c>
      <c r="F155" s="338" t="s">
        <v>8376</v>
      </c>
      <c r="G155" s="338" t="s">
        <v>8377</v>
      </c>
      <c r="H155" s="338" t="s">
        <v>8378</v>
      </c>
      <c r="I155" s="338" t="s">
        <v>8386</v>
      </c>
      <c r="J155" s="338" t="s">
        <v>8388</v>
      </c>
      <c r="K155" s="340" t="s">
        <v>2875</v>
      </c>
      <c r="L155" s="340" t="s">
        <v>2875</v>
      </c>
      <c r="M155" s="341">
        <v>0</v>
      </c>
      <c r="N155" s="341">
        <v>0</v>
      </c>
      <c r="O155" s="341">
        <v>76141</v>
      </c>
      <c r="P155" s="360" t="s">
        <v>2877</v>
      </c>
      <c r="Q155" s="360" t="s">
        <v>2877</v>
      </c>
      <c r="R155" s="361" t="s">
        <v>2877</v>
      </c>
      <c r="S155" s="361" t="s">
        <v>2877</v>
      </c>
      <c r="T155" s="357" t="s">
        <v>2877</v>
      </c>
      <c r="U155" s="357" t="s">
        <v>2877</v>
      </c>
      <c r="V155" s="357" t="s">
        <v>2877</v>
      </c>
    </row>
    <row r="156" spans="1:22" ht="20">
      <c r="A156" s="974"/>
      <c r="B156" s="975"/>
      <c r="C156" s="338" t="s">
        <v>8358</v>
      </c>
      <c r="D156" s="338" t="s">
        <v>8374</v>
      </c>
      <c r="E156" s="562">
        <v>0.4</v>
      </c>
      <c r="F156" s="338" t="s">
        <v>8376</v>
      </c>
      <c r="G156" s="338" t="s">
        <v>8377</v>
      </c>
      <c r="H156" s="338" t="s">
        <v>8378</v>
      </c>
      <c r="I156" s="338"/>
      <c r="J156" s="338" t="s">
        <v>8389</v>
      </c>
      <c r="K156" s="340">
        <v>44927</v>
      </c>
      <c r="L156" s="340">
        <v>45291</v>
      </c>
      <c r="M156" s="341">
        <v>0</v>
      </c>
      <c r="N156" s="341">
        <v>0</v>
      </c>
      <c r="O156" s="341">
        <v>42300</v>
      </c>
      <c r="P156" s="360" t="s">
        <v>2877</v>
      </c>
      <c r="Q156" s="360" t="s">
        <v>2877</v>
      </c>
      <c r="R156" s="361" t="s">
        <v>2877</v>
      </c>
      <c r="S156" s="361" t="s">
        <v>2877</v>
      </c>
      <c r="T156" s="357" t="s">
        <v>2877</v>
      </c>
      <c r="U156" s="357" t="s">
        <v>2877</v>
      </c>
      <c r="V156" s="357" t="s">
        <v>2877</v>
      </c>
    </row>
    <row r="157" spans="1:22">
      <c r="A157" s="974"/>
      <c r="B157" s="975"/>
      <c r="C157" s="338" t="s">
        <v>8359</v>
      </c>
      <c r="D157" s="338" t="s">
        <v>8375</v>
      </c>
      <c r="E157" s="562">
        <v>0.47</v>
      </c>
      <c r="F157" s="338" t="s">
        <v>8376</v>
      </c>
      <c r="G157" s="338" t="s">
        <v>8377</v>
      </c>
      <c r="H157" s="338" t="s">
        <v>8378</v>
      </c>
      <c r="I157" s="338" t="s">
        <v>8390</v>
      </c>
      <c r="J157" s="338" t="s">
        <v>8391</v>
      </c>
      <c r="K157" s="340" t="s">
        <v>2875</v>
      </c>
      <c r="L157" s="340" t="s">
        <v>2875</v>
      </c>
      <c r="M157" s="341">
        <v>0</v>
      </c>
      <c r="N157" s="341">
        <v>0</v>
      </c>
      <c r="O157" s="341">
        <v>79069</v>
      </c>
      <c r="P157" s="360" t="s">
        <v>2877</v>
      </c>
      <c r="Q157" s="360" t="s">
        <v>2877</v>
      </c>
      <c r="R157" s="361" t="s">
        <v>2877</v>
      </c>
      <c r="S157" s="361" t="s">
        <v>2877</v>
      </c>
      <c r="T157" s="357" t="s">
        <v>2877</v>
      </c>
      <c r="U157" s="357" t="s">
        <v>2877</v>
      </c>
      <c r="V157" s="357" t="s">
        <v>2877</v>
      </c>
    </row>
    <row r="158" spans="1:22">
      <c r="A158" s="974"/>
      <c r="B158" s="975"/>
      <c r="C158" s="338" t="s">
        <v>8360</v>
      </c>
      <c r="D158" s="338" t="s">
        <v>8375</v>
      </c>
      <c r="E158" s="562">
        <v>0.9</v>
      </c>
      <c r="F158" s="338" t="s">
        <v>8376</v>
      </c>
      <c r="G158" s="338" t="s">
        <v>8377</v>
      </c>
      <c r="H158" s="338" t="s">
        <v>8378</v>
      </c>
      <c r="I158" s="338" t="s">
        <v>8390</v>
      </c>
      <c r="J158" s="338" t="s">
        <v>8391</v>
      </c>
      <c r="K158" s="340">
        <v>44958</v>
      </c>
      <c r="L158" s="340">
        <v>45272</v>
      </c>
      <c r="M158" s="341">
        <v>0</v>
      </c>
      <c r="N158" s="341">
        <v>0</v>
      </c>
      <c r="O158" s="341">
        <v>12640</v>
      </c>
      <c r="P158" s="360" t="s">
        <v>2877</v>
      </c>
      <c r="Q158" s="360" t="s">
        <v>2877</v>
      </c>
      <c r="R158" s="361" t="s">
        <v>2877</v>
      </c>
      <c r="S158" s="361" t="s">
        <v>2877</v>
      </c>
      <c r="T158" s="357" t="s">
        <v>2877</v>
      </c>
      <c r="U158" s="357" t="s">
        <v>2877</v>
      </c>
      <c r="V158" s="357" t="s">
        <v>2877</v>
      </c>
    </row>
    <row r="159" spans="1:22">
      <c r="A159" s="974"/>
      <c r="B159" s="975"/>
      <c r="C159" s="338" t="s">
        <v>8361</v>
      </c>
      <c r="D159" s="338" t="s">
        <v>8375</v>
      </c>
      <c r="E159" s="562">
        <v>0.55000000000000004</v>
      </c>
      <c r="F159" s="338" t="s">
        <v>8376</v>
      </c>
      <c r="G159" s="338" t="s">
        <v>8377</v>
      </c>
      <c r="H159" s="338" t="s">
        <v>8378</v>
      </c>
      <c r="I159" s="338" t="s">
        <v>2219</v>
      </c>
      <c r="J159" s="338" t="s">
        <v>8391</v>
      </c>
      <c r="K159" s="340">
        <v>45018</v>
      </c>
      <c r="L159" s="340">
        <v>45192</v>
      </c>
      <c r="M159" s="341">
        <v>0</v>
      </c>
      <c r="N159" s="341">
        <v>0</v>
      </c>
      <c r="O159" s="341">
        <v>18701</v>
      </c>
      <c r="P159" s="360" t="s">
        <v>2877</v>
      </c>
      <c r="Q159" s="360" t="s">
        <v>2877</v>
      </c>
      <c r="R159" s="361" t="s">
        <v>2877</v>
      </c>
      <c r="S159" s="361" t="s">
        <v>2877</v>
      </c>
      <c r="T159" s="357" t="s">
        <v>2877</v>
      </c>
      <c r="U159" s="357" t="s">
        <v>2877</v>
      </c>
      <c r="V159" s="357" t="s">
        <v>2877</v>
      </c>
    </row>
    <row r="160" spans="1:22">
      <c r="A160" s="974"/>
      <c r="B160" s="975"/>
      <c r="C160" s="338" t="s">
        <v>8362</v>
      </c>
      <c r="D160" s="338" t="s">
        <v>8375</v>
      </c>
      <c r="E160" s="562">
        <v>0.55000000000000004</v>
      </c>
      <c r="F160" s="338" t="s">
        <v>8376</v>
      </c>
      <c r="G160" s="338" t="s">
        <v>8377</v>
      </c>
      <c r="H160" s="338" t="s">
        <v>8378</v>
      </c>
      <c r="I160" s="338" t="s">
        <v>2219</v>
      </c>
      <c r="J160" s="338" t="s">
        <v>8391</v>
      </c>
      <c r="K160" s="340">
        <v>45036</v>
      </c>
      <c r="L160" s="340">
        <v>45189</v>
      </c>
      <c r="M160" s="341">
        <v>0</v>
      </c>
      <c r="N160" s="341">
        <v>0</v>
      </c>
      <c r="O160" s="341">
        <v>18418</v>
      </c>
      <c r="P160" s="360" t="s">
        <v>2877</v>
      </c>
      <c r="Q160" s="360" t="s">
        <v>2877</v>
      </c>
      <c r="R160" s="361" t="s">
        <v>2877</v>
      </c>
      <c r="S160" s="361" t="s">
        <v>2877</v>
      </c>
      <c r="T160" s="357" t="s">
        <v>2877</v>
      </c>
      <c r="U160" s="357" t="s">
        <v>2877</v>
      </c>
      <c r="V160" s="357" t="s">
        <v>2877</v>
      </c>
    </row>
    <row r="161" spans="1:22">
      <c r="A161" s="350"/>
      <c r="B161" s="351" t="s">
        <v>8363</v>
      </c>
      <c r="C161" s="351"/>
      <c r="D161" s="351"/>
      <c r="E161" s="373"/>
      <c r="F161" s="374"/>
      <c r="G161" s="374"/>
      <c r="H161" s="374"/>
      <c r="I161" s="374"/>
      <c r="J161" s="374"/>
      <c r="K161" s="354"/>
      <c r="L161" s="354"/>
      <c r="M161" s="355"/>
      <c r="N161" s="355"/>
      <c r="O161" s="356">
        <f>SUM(O146:O160)</f>
        <v>1254143</v>
      </c>
      <c r="P161" s="354"/>
      <c r="Q161" s="354"/>
      <c r="R161" s="355"/>
      <c r="S161" s="356">
        <f>SUM(S146:S160)</f>
        <v>0</v>
      </c>
      <c r="T161" s="350"/>
      <c r="U161" s="350"/>
      <c r="V161" s="350"/>
    </row>
    <row r="162" spans="1:22" ht="20">
      <c r="A162" s="974">
        <v>21</v>
      </c>
      <c r="B162" s="975" t="s">
        <v>562</v>
      </c>
      <c r="C162" s="338" t="s">
        <v>8557</v>
      </c>
      <c r="D162" s="338" t="s">
        <v>8563</v>
      </c>
      <c r="E162" s="562">
        <v>0.5</v>
      </c>
      <c r="F162" s="338" t="s">
        <v>8564</v>
      </c>
      <c r="G162" s="338" t="s">
        <v>8564</v>
      </c>
      <c r="H162" s="338" t="s">
        <v>8565</v>
      </c>
      <c r="I162" s="338" t="s">
        <v>8566</v>
      </c>
      <c r="J162" s="338" t="s">
        <v>7027</v>
      </c>
      <c r="K162" s="340" t="s">
        <v>3114</v>
      </c>
      <c r="L162" s="340" t="s">
        <v>8580</v>
      </c>
      <c r="M162" s="341">
        <v>118490</v>
      </c>
      <c r="N162" s="341">
        <v>91296.9</v>
      </c>
      <c r="O162" s="341">
        <v>75466.64</v>
      </c>
      <c r="P162" s="360" t="s">
        <v>2877</v>
      </c>
      <c r="Q162" s="360" t="s">
        <v>2877</v>
      </c>
      <c r="R162" s="361" t="s">
        <v>2877</v>
      </c>
      <c r="S162" s="361" t="s">
        <v>2877</v>
      </c>
      <c r="T162" s="357" t="s">
        <v>850</v>
      </c>
      <c r="U162" s="357" t="s">
        <v>850</v>
      </c>
      <c r="V162" s="357" t="s">
        <v>8583</v>
      </c>
    </row>
    <row r="163" spans="1:22" ht="20">
      <c r="A163" s="974"/>
      <c r="B163" s="975"/>
      <c r="C163" s="338" t="s">
        <v>8557</v>
      </c>
      <c r="D163" s="338" t="s">
        <v>8567</v>
      </c>
      <c r="E163" s="562">
        <v>0.5</v>
      </c>
      <c r="F163" s="338" t="s">
        <v>8568</v>
      </c>
      <c r="G163" s="338" t="s">
        <v>8568</v>
      </c>
      <c r="H163" s="338" t="s">
        <v>8565</v>
      </c>
      <c r="I163" s="338" t="s">
        <v>8569</v>
      </c>
      <c r="J163" s="338" t="s">
        <v>7027</v>
      </c>
      <c r="K163" s="340" t="s">
        <v>3584</v>
      </c>
      <c r="L163" s="340" t="s">
        <v>8580</v>
      </c>
      <c r="M163" s="341">
        <v>118490</v>
      </c>
      <c r="N163" s="341">
        <v>100111.69</v>
      </c>
      <c r="O163" s="341">
        <v>40044.67</v>
      </c>
      <c r="P163" s="360" t="s">
        <v>2877</v>
      </c>
      <c r="Q163" s="360" t="s">
        <v>2877</v>
      </c>
      <c r="R163" s="361" t="s">
        <v>2877</v>
      </c>
      <c r="S163" s="361" t="s">
        <v>2877</v>
      </c>
      <c r="T163" s="357" t="s">
        <v>850</v>
      </c>
      <c r="U163" s="357" t="s">
        <v>850</v>
      </c>
      <c r="V163" s="357" t="s">
        <v>8583</v>
      </c>
    </row>
    <row r="164" spans="1:22" ht="20">
      <c r="A164" s="974"/>
      <c r="B164" s="975"/>
      <c r="C164" s="338" t="s">
        <v>8557</v>
      </c>
      <c r="D164" s="338" t="s">
        <v>8570</v>
      </c>
      <c r="E164" s="562">
        <v>0.5</v>
      </c>
      <c r="F164" s="338" t="s">
        <v>8571</v>
      </c>
      <c r="G164" s="338" t="s">
        <v>8571</v>
      </c>
      <c r="H164" s="338" t="s">
        <v>8565</v>
      </c>
      <c r="I164" s="338" t="s">
        <v>8050</v>
      </c>
      <c r="J164" s="338" t="s">
        <v>7027</v>
      </c>
      <c r="K164" s="340" t="s">
        <v>8581</v>
      </c>
      <c r="L164" s="340" t="s">
        <v>8580</v>
      </c>
      <c r="M164" s="341">
        <v>234580</v>
      </c>
      <c r="N164" s="341">
        <v>158043.66</v>
      </c>
      <c r="O164" s="341">
        <v>134337.10999999999</v>
      </c>
      <c r="P164" s="360" t="s">
        <v>2877</v>
      </c>
      <c r="Q164" s="360" t="s">
        <v>2877</v>
      </c>
      <c r="R164" s="361" t="s">
        <v>2877</v>
      </c>
      <c r="S164" s="361" t="s">
        <v>2877</v>
      </c>
      <c r="T164" s="357" t="s">
        <v>850</v>
      </c>
      <c r="U164" s="357" t="s">
        <v>850</v>
      </c>
      <c r="V164" s="357" t="s">
        <v>8583</v>
      </c>
    </row>
    <row r="165" spans="1:22" ht="20">
      <c r="A165" s="974"/>
      <c r="B165" s="975"/>
      <c r="C165" s="338" t="s">
        <v>8557</v>
      </c>
      <c r="D165" s="338" t="s">
        <v>8572</v>
      </c>
      <c r="E165" s="562">
        <v>0.5</v>
      </c>
      <c r="F165" s="338" t="s">
        <v>8573</v>
      </c>
      <c r="G165" s="338" t="s">
        <v>8573</v>
      </c>
      <c r="H165" s="338" t="s">
        <v>8565</v>
      </c>
      <c r="I165" s="338" t="s">
        <v>8569</v>
      </c>
      <c r="J165" s="338" t="s">
        <v>7027</v>
      </c>
      <c r="K165" s="340" t="s">
        <v>3584</v>
      </c>
      <c r="L165" s="340" t="s">
        <v>8580</v>
      </c>
      <c r="M165" s="341">
        <v>118490</v>
      </c>
      <c r="N165" s="341">
        <v>100111.69</v>
      </c>
      <c r="O165" s="341">
        <v>40044.67</v>
      </c>
      <c r="P165" s="360" t="s">
        <v>2877</v>
      </c>
      <c r="Q165" s="360" t="s">
        <v>2877</v>
      </c>
      <c r="R165" s="361" t="s">
        <v>2877</v>
      </c>
      <c r="S165" s="361" t="s">
        <v>2877</v>
      </c>
      <c r="T165" s="357" t="s">
        <v>850</v>
      </c>
      <c r="U165" s="357" t="s">
        <v>850</v>
      </c>
      <c r="V165" s="357" t="s">
        <v>8583</v>
      </c>
    </row>
    <row r="166" spans="1:22" ht="20">
      <c r="A166" s="974"/>
      <c r="B166" s="975"/>
      <c r="C166" s="338" t="s">
        <v>8557</v>
      </c>
      <c r="D166" s="338" t="s">
        <v>8574</v>
      </c>
      <c r="E166" s="562">
        <v>0.5</v>
      </c>
      <c r="F166" s="338" t="s">
        <v>8575</v>
      </c>
      <c r="G166" s="338" t="s">
        <v>8575</v>
      </c>
      <c r="H166" s="338" t="s">
        <v>8565</v>
      </c>
      <c r="I166" s="338" t="s">
        <v>8566</v>
      </c>
      <c r="J166" s="338" t="s">
        <v>7027</v>
      </c>
      <c r="K166" s="340" t="s">
        <v>3114</v>
      </c>
      <c r="L166" s="340" t="s">
        <v>8580</v>
      </c>
      <c r="M166" s="341">
        <v>118490</v>
      </c>
      <c r="N166" s="341">
        <v>91296.9</v>
      </c>
      <c r="O166" s="341">
        <v>75466.64</v>
      </c>
      <c r="P166" s="360" t="s">
        <v>2877</v>
      </c>
      <c r="Q166" s="360" t="s">
        <v>2877</v>
      </c>
      <c r="R166" s="361" t="s">
        <v>2877</v>
      </c>
      <c r="S166" s="361" t="s">
        <v>2877</v>
      </c>
      <c r="T166" s="357" t="s">
        <v>850</v>
      </c>
      <c r="U166" s="357" t="s">
        <v>850</v>
      </c>
      <c r="V166" s="357" t="s">
        <v>8583</v>
      </c>
    </row>
    <row r="167" spans="1:22" ht="20">
      <c r="A167" s="974"/>
      <c r="B167" s="975"/>
      <c r="C167" s="338" t="s">
        <v>8557</v>
      </c>
      <c r="D167" s="338" t="s">
        <v>8576</v>
      </c>
      <c r="E167" s="562">
        <v>0.5</v>
      </c>
      <c r="F167" s="338" t="s">
        <v>8577</v>
      </c>
      <c r="G167" s="338" t="s">
        <v>8577</v>
      </c>
      <c r="H167" s="338" t="s">
        <v>8565</v>
      </c>
      <c r="I167" s="338" t="s">
        <v>8566</v>
      </c>
      <c r="J167" s="338" t="s">
        <v>7027</v>
      </c>
      <c r="K167" s="340" t="s">
        <v>3114</v>
      </c>
      <c r="L167" s="340" t="s">
        <v>8580</v>
      </c>
      <c r="M167" s="341">
        <v>118490</v>
      </c>
      <c r="N167" s="341">
        <v>91296.9</v>
      </c>
      <c r="O167" s="341">
        <v>75466.64</v>
      </c>
      <c r="P167" s="360" t="s">
        <v>2877</v>
      </c>
      <c r="Q167" s="360" t="s">
        <v>2877</v>
      </c>
      <c r="R167" s="361" t="s">
        <v>2877</v>
      </c>
      <c r="S167" s="361" t="s">
        <v>2877</v>
      </c>
      <c r="T167" s="357" t="s">
        <v>850</v>
      </c>
      <c r="U167" s="357" t="s">
        <v>850</v>
      </c>
      <c r="V167" s="357" t="s">
        <v>8583</v>
      </c>
    </row>
    <row r="168" spans="1:22" ht="20">
      <c r="A168" s="974"/>
      <c r="B168" s="975"/>
      <c r="C168" s="338" t="s">
        <v>8558</v>
      </c>
      <c r="D168" s="338" t="s">
        <v>8578</v>
      </c>
      <c r="E168" s="562">
        <v>0.5</v>
      </c>
      <c r="F168" s="338" t="s">
        <v>8571</v>
      </c>
      <c r="G168" s="338" t="s">
        <v>8571</v>
      </c>
      <c r="H168" s="338" t="s">
        <v>8565</v>
      </c>
      <c r="I168" s="338" t="s">
        <v>8566</v>
      </c>
      <c r="J168" s="338" t="s">
        <v>7027</v>
      </c>
      <c r="K168" s="340">
        <v>45111</v>
      </c>
      <c r="L168" s="340" t="s">
        <v>8580</v>
      </c>
      <c r="M168" s="341">
        <v>1098998.74</v>
      </c>
      <c r="N168" s="341">
        <v>662409.49</v>
      </c>
      <c r="O168" s="341">
        <v>436589.25</v>
      </c>
      <c r="P168" s="360" t="s">
        <v>2877</v>
      </c>
      <c r="Q168" s="360" t="s">
        <v>2877</v>
      </c>
      <c r="R168" s="361" t="s">
        <v>2877</v>
      </c>
      <c r="S168" s="361" t="s">
        <v>2877</v>
      </c>
      <c r="T168" s="357" t="s">
        <v>850</v>
      </c>
      <c r="U168" s="357" t="s">
        <v>850</v>
      </c>
      <c r="V168" s="357" t="s">
        <v>8583</v>
      </c>
    </row>
    <row r="169" spans="1:22" ht="20">
      <c r="A169" s="974"/>
      <c r="B169" s="975"/>
      <c r="C169" s="338" t="s">
        <v>8559</v>
      </c>
      <c r="D169" s="338" t="s">
        <v>8567</v>
      </c>
      <c r="E169" s="562">
        <v>0.5</v>
      </c>
      <c r="F169" s="338" t="s">
        <v>8568</v>
      </c>
      <c r="G169" s="338" t="s">
        <v>8568</v>
      </c>
      <c r="H169" s="338" t="s">
        <v>8565</v>
      </c>
      <c r="I169" s="338" t="s">
        <v>8566</v>
      </c>
      <c r="J169" s="338" t="s">
        <v>7027</v>
      </c>
      <c r="K169" s="340">
        <v>45052</v>
      </c>
      <c r="L169" s="340" t="s">
        <v>8580</v>
      </c>
      <c r="M169" s="341">
        <v>84185.279999999999</v>
      </c>
      <c r="N169" s="341">
        <v>0</v>
      </c>
      <c r="O169" s="341">
        <v>0</v>
      </c>
      <c r="P169" s="360" t="s">
        <v>2877</v>
      </c>
      <c r="Q169" s="360" t="s">
        <v>2877</v>
      </c>
      <c r="R169" s="361" t="s">
        <v>2877</v>
      </c>
      <c r="S169" s="361" t="s">
        <v>2877</v>
      </c>
      <c r="T169" s="357" t="s">
        <v>850</v>
      </c>
      <c r="U169" s="357" t="s">
        <v>850</v>
      </c>
      <c r="V169" s="357" t="s">
        <v>8583</v>
      </c>
    </row>
    <row r="170" spans="1:22" ht="20">
      <c r="A170" s="974"/>
      <c r="B170" s="975"/>
      <c r="C170" s="338" t="s">
        <v>8560</v>
      </c>
      <c r="D170" s="338" t="s">
        <v>8574</v>
      </c>
      <c r="E170" s="562">
        <v>0.5</v>
      </c>
      <c r="F170" s="338" t="s">
        <v>8575</v>
      </c>
      <c r="G170" s="338" t="s">
        <v>8575</v>
      </c>
      <c r="H170" s="338" t="s">
        <v>8565</v>
      </c>
      <c r="I170" s="338" t="s">
        <v>8566</v>
      </c>
      <c r="J170" s="338" t="s">
        <v>7027</v>
      </c>
      <c r="K170" s="340">
        <v>45628</v>
      </c>
      <c r="L170" s="340" t="s">
        <v>8580</v>
      </c>
      <c r="M170" s="341">
        <v>47335.62</v>
      </c>
      <c r="N170" s="341">
        <v>0</v>
      </c>
      <c r="O170" s="341">
        <v>0</v>
      </c>
      <c r="P170" s="360" t="s">
        <v>2877</v>
      </c>
      <c r="Q170" s="360" t="s">
        <v>2877</v>
      </c>
      <c r="R170" s="361" t="s">
        <v>2877</v>
      </c>
      <c r="S170" s="361" t="s">
        <v>2877</v>
      </c>
      <c r="T170" s="357" t="s">
        <v>850</v>
      </c>
      <c r="U170" s="357" t="s">
        <v>850</v>
      </c>
      <c r="V170" s="357" t="s">
        <v>8583</v>
      </c>
    </row>
    <row r="171" spans="1:22" ht="20">
      <c r="A171" s="974"/>
      <c r="B171" s="975"/>
      <c r="C171" s="338" t="s">
        <v>8561</v>
      </c>
      <c r="D171" s="338" t="s">
        <v>8563</v>
      </c>
      <c r="E171" s="562">
        <v>0.5</v>
      </c>
      <c r="F171" s="338" t="s">
        <v>8564</v>
      </c>
      <c r="G171" s="338" t="s">
        <v>8564</v>
      </c>
      <c r="H171" s="338" t="s">
        <v>8565</v>
      </c>
      <c r="I171" s="338" t="s">
        <v>8579</v>
      </c>
      <c r="J171" s="338" t="s">
        <v>7027</v>
      </c>
      <c r="K171" s="340" t="s">
        <v>8582</v>
      </c>
      <c r="L171" s="340" t="s">
        <v>3310</v>
      </c>
      <c r="M171" s="341">
        <v>55431.11</v>
      </c>
      <c r="N171" s="341">
        <v>55431.11</v>
      </c>
      <c r="O171" s="341">
        <v>55431.11</v>
      </c>
      <c r="P171" s="360" t="s">
        <v>2877</v>
      </c>
      <c r="Q171" s="360" t="s">
        <v>2877</v>
      </c>
      <c r="R171" s="361" t="s">
        <v>2877</v>
      </c>
      <c r="S171" s="361" t="s">
        <v>2877</v>
      </c>
      <c r="T171" s="357" t="s">
        <v>850</v>
      </c>
      <c r="U171" s="357" t="s">
        <v>850</v>
      </c>
      <c r="V171" s="357" t="s">
        <v>8583</v>
      </c>
    </row>
    <row r="172" spans="1:22" ht="20">
      <c r="A172" s="974"/>
      <c r="B172" s="975"/>
      <c r="C172" s="338" t="s">
        <v>8562</v>
      </c>
      <c r="D172" s="338" t="s">
        <v>8578</v>
      </c>
      <c r="E172" s="562">
        <v>0.5</v>
      </c>
      <c r="F172" s="338" t="s">
        <v>8571</v>
      </c>
      <c r="G172" s="338" t="s">
        <v>8571</v>
      </c>
      <c r="H172" s="338" t="s">
        <v>8565</v>
      </c>
      <c r="I172" s="338" t="s">
        <v>8569</v>
      </c>
      <c r="J172" s="338" t="s">
        <v>7027</v>
      </c>
      <c r="K172" s="340">
        <v>44964</v>
      </c>
      <c r="L172" s="340" t="s">
        <v>8580</v>
      </c>
      <c r="M172" s="341">
        <v>321093.26</v>
      </c>
      <c r="N172" s="341">
        <v>321093.26</v>
      </c>
      <c r="O172" s="341">
        <v>232229.93</v>
      </c>
      <c r="P172" s="360" t="s">
        <v>2877</v>
      </c>
      <c r="Q172" s="360" t="s">
        <v>2877</v>
      </c>
      <c r="R172" s="361" t="s">
        <v>2877</v>
      </c>
      <c r="S172" s="361" t="s">
        <v>2877</v>
      </c>
      <c r="T172" s="357" t="s">
        <v>850</v>
      </c>
      <c r="U172" s="357" t="s">
        <v>850</v>
      </c>
      <c r="V172" s="357" t="s">
        <v>8583</v>
      </c>
    </row>
    <row r="173" spans="1:22">
      <c r="A173" s="555"/>
      <c r="B173" s="556" t="s">
        <v>10166</v>
      </c>
      <c r="C173" s="556"/>
      <c r="D173" s="556"/>
      <c r="E173" s="557"/>
      <c r="F173" s="558"/>
      <c r="G173" s="558"/>
      <c r="H173" s="558"/>
      <c r="I173" s="558"/>
      <c r="J173" s="558"/>
      <c r="K173" s="559"/>
      <c r="L173" s="559"/>
      <c r="M173" s="560"/>
      <c r="N173" s="560"/>
      <c r="O173" s="561">
        <f>+SUM(O162:O172)</f>
        <v>1165076.6599999999</v>
      </c>
      <c r="P173" s="559"/>
      <c r="Q173" s="559"/>
      <c r="R173" s="560"/>
      <c r="S173" s="561">
        <f>+SUM(S162:S172)</f>
        <v>0</v>
      </c>
      <c r="T173" s="555"/>
      <c r="U173" s="555"/>
      <c r="V173" s="555"/>
    </row>
    <row r="174" spans="1:22" ht="14.5" thickBot="1">
      <c r="A174" s="390" t="s">
        <v>3171</v>
      </c>
      <c r="L174" s="391"/>
      <c r="M174" s="391"/>
      <c r="N174" s="391"/>
      <c r="O174" s="391"/>
      <c r="P174" s="392"/>
      <c r="Q174" s="392"/>
      <c r="R174" s="391"/>
      <c r="S174" s="391"/>
    </row>
    <row r="175" spans="1:22" ht="14.5" thickBot="1">
      <c r="M175" s="393"/>
      <c r="N175" s="393"/>
      <c r="O175" s="394">
        <f>O12+O21+O24+O26+O59+O71+O78+O81+O86+O89+O98+O115+O120+O129+O132+O135+O138+O143+O145+O161+O173</f>
        <v>9827556.6900000013</v>
      </c>
      <c r="R175" s="393"/>
      <c r="S175" s="394">
        <f>S12+S21+S24+S26+S59+S71+S78+S81+S86+S89+S98+S115+S120+S129+S132+S135+S138+S143+S161+S173</f>
        <v>15445046.570000004</v>
      </c>
    </row>
    <row r="176" spans="1:22" ht="14.5" thickBot="1">
      <c r="K176" s="321"/>
      <c r="L176" s="321"/>
      <c r="M176" s="321"/>
      <c r="N176" s="321"/>
      <c r="O176" s="321"/>
    </row>
    <row r="177" spans="11:19" ht="14.5" thickBot="1">
      <c r="K177" s="321"/>
      <c r="L177" s="321"/>
      <c r="M177" s="321"/>
      <c r="N177" s="321"/>
      <c r="O177" s="321"/>
      <c r="P177" s="976" t="s">
        <v>3172</v>
      </c>
      <c r="Q177" s="977"/>
      <c r="R177" s="978"/>
      <c r="S177" s="395">
        <f>O175+S175</f>
        <v>25272603.260000005</v>
      </c>
    </row>
    <row r="178" spans="11:19">
      <c r="K178" s="321"/>
      <c r="L178" s="321"/>
      <c r="M178" s="321"/>
      <c r="N178" s="321"/>
      <c r="O178" s="321"/>
    </row>
    <row r="179" spans="11:19">
      <c r="K179" s="321"/>
      <c r="L179" s="321"/>
      <c r="M179" s="321"/>
      <c r="N179" s="321"/>
      <c r="O179" s="586"/>
    </row>
  </sheetData>
  <autoFilter ref="A7:B175" xr:uid="{EA78A787-8498-4DFA-8160-134C0597D5C4}"/>
  <mergeCells count="52">
    <mergeCell ref="A22:A23"/>
    <mergeCell ref="B22:B23"/>
    <mergeCell ref="G7:G8"/>
    <mergeCell ref="H7:H8"/>
    <mergeCell ref="I7:I8"/>
    <mergeCell ref="A7:A8"/>
    <mergeCell ref="B7:B8"/>
    <mergeCell ref="C7:C8"/>
    <mergeCell ref="D7:D8"/>
    <mergeCell ref="E7:E8"/>
    <mergeCell ref="F7:F8"/>
    <mergeCell ref="T7:V7"/>
    <mergeCell ref="A9:A11"/>
    <mergeCell ref="B9:B11"/>
    <mergeCell ref="A13:A20"/>
    <mergeCell ref="B13:B20"/>
    <mergeCell ref="J7:J8"/>
    <mergeCell ref="K7:O7"/>
    <mergeCell ref="P7:S7"/>
    <mergeCell ref="A27:A58"/>
    <mergeCell ref="B27:B58"/>
    <mergeCell ref="A60:A70"/>
    <mergeCell ref="B60:B70"/>
    <mergeCell ref="A72:A77"/>
    <mergeCell ref="B72:B77"/>
    <mergeCell ref="A79:A80"/>
    <mergeCell ref="B79:B80"/>
    <mergeCell ref="A82:A85"/>
    <mergeCell ref="B82:B85"/>
    <mergeCell ref="A87:A88"/>
    <mergeCell ref="B87:B88"/>
    <mergeCell ref="A90:A97"/>
    <mergeCell ref="B90:B97"/>
    <mergeCell ref="A99:A114"/>
    <mergeCell ref="B99:B114"/>
    <mergeCell ref="A116:A119"/>
    <mergeCell ref="B116:B119"/>
    <mergeCell ref="A121:A128"/>
    <mergeCell ref="B121:B128"/>
    <mergeCell ref="A130:A131"/>
    <mergeCell ref="B130:B131"/>
    <mergeCell ref="A133:A134"/>
    <mergeCell ref="B133:B134"/>
    <mergeCell ref="A136:A137"/>
    <mergeCell ref="B136:B137"/>
    <mergeCell ref="A139:A142"/>
    <mergeCell ref="B139:B142"/>
    <mergeCell ref="P177:R177"/>
    <mergeCell ref="A146:A160"/>
    <mergeCell ref="B146:B160"/>
    <mergeCell ref="A162:A172"/>
    <mergeCell ref="B162:B172"/>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CAF7D-5286-4035-95AB-D60578A5F8E3}">
  <sheetPr>
    <tabColor rgb="FF92D050"/>
  </sheetPr>
  <dimension ref="A1:T273"/>
  <sheetViews>
    <sheetView showGridLines="0" zoomScale="90" zoomScaleNormal="90" workbookViewId="0">
      <pane xSplit="2" ySplit="7" topLeftCell="I266" activePane="bottomRight" state="frozen"/>
      <selection activeCell="O86" activeCellId="8" sqref="S59 S12 O21 S115 O161 O173 O71 S78 O86"/>
      <selection pane="topRight" activeCell="O86" activeCellId="8" sqref="S59 S12 O21 S115 O161 O173 O71 S78 O86"/>
      <selection pane="bottomLeft" activeCell="O86" activeCellId="8" sqref="S59 S12 O21 S115 O161 O173 O71 S78 O86"/>
      <selection pane="bottomRight" activeCell="N273" sqref="N273"/>
    </sheetView>
  </sheetViews>
  <sheetFormatPr baseColWidth="10" defaultColWidth="11.5" defaultRowHeight="14"/>
  <cols>
    <col min="1" max="1" width="9.1640625" style="335" customWidth="1"/>
    <col min="2" max="2" width="38.5" style="396" customWidth="1"/>
    <col min="3" max="3" width="76" style="335" customWidth="1"/>
    <col min="4" max="4" width="64.5" style="335" bestFit="1" customWidth="1"/>
    <col min="5" max="5" width="13.75" style="397" bestFit="1" customWidth="1"/>
    <col min="6" max="6" width="35.1640625" style="335" bestFit="1" customWidth="1"/>
    <col min="7" max="7" width="54.83203125" style="335" bestFit="1" customWidth="1"/>
    <col min="8" max="8" width="20.75" style="335" bestFit="1" customWidth="1"/>
    <col min="9" max="9" width="23" style="335" bestFit="1" customWidth="1"/>
    <col min="10" max="10" width="28.5" style="335" bestFit="1" customWidth="1"/>
    <col min="11" max="11" width="16.5" style="392" bestFit="1" customWidth="1"/>
    <col min="12" max="12" width="20" style="392" bestFit="1" customWidth="1"/>
    <col min="13" max="13" width="13.25" style="391" bestFit="1" customWidth="1"/>
    <col min="14" max="14" width="15.5" style="391" bestFit="1" customWidth="1"/>
    <col min="15" max="15" width="14.1640625" style="335" bestFit="1" customWidth="1"/>
    <col min="16" max="16" width="15" style="392" bestFit="1" customWidth="1"/>
    <col min="17" max="17" width="14.25" style="392" bestFit="1" customWidth="1"/>
    <col min="18" max="18" width="15.1640625" style="391" bestFit="1" customWidth="1"/>
    <col min="19" max="19" width="16.83203125" style="391" customWidth="1"/>
    <col min="20" max="20" width="16.1640625" style="335" bestFit="1" customWidth="1"/>
    <col min="21" max="16384" width="11.5" style="335"/>
  </cols>
  <sheetData>
    <row r="1" spans="1:19">
      <c r="F1" s="397"/>
      <c r="G1" s="397"/>
      <c r="H1" s="397"/>
    </row>
    <row r="2" spans="1:19" ht="18">
      <c r="A2" s="316" t="s">
        <v>7241</v>
      </c>
      <c r="D2" s="43" t="s">
        <v>516</v>
      </c>
      <c r="E2" s="43">
        <v>49</v>
      </c>
      <c r="F2" s="397"/>
      <c r="G2" s="397"/>
      <c r="H2" s="397"/>
    </row>
    <row r="3" spans="1:19">
      <c r="D3" s="43" t="s">
        <v>788</v>
      </c>
      <c r="E3" s="43">
        <v>18</v>
      </c>
      <c r="F3" s="397"/>
      <c r="G3" s="397"/>
      <c r="H3" s="397"/>
    </row>
    <row r="4" spans="1:19">
      <c r="D4" s="45" t="s">
        <v>789</v>
      </c>
      <c r="E4" s="45">
        <f>+E2-E3</f>
        <v>31</v>
      </c>
      <c r="F4" s="397"/>
      <c r="G4" s="397"/>
      <c r="H4" s="397"/>
    </row>
    <row r="6" spans="1:19" s="398" customFormat="1">
      <c r="A6" s="985" t="s">
        <v>3</v>
      </c>
      <c r="B6" s="986" t="s">
        <v>877</v>
      </c>
      <c r="C6" s="985" t="s">
        <v>806</v>
      </c>
      <c r="D6" s="993" t="s">
        <v>878</v>
      </c>
      <c r="E6" s="994" t="s">
        <v>808</v>
      </c>
      <c r="F6" s="993" t="s">
        <v>809</v>
      </c>
      <c r="G6" s="993" t="s">
        <v>879</v>
      </c>
      <c r="H6" s="993" t="s">
        <v>811</v>
      </c>
      <c r="I6" s="993" t="s">
        <v>812</v>
      </c>
      <c r="J6" s="993" t="s">
        <v>880</v>
      </c>
      <c r="K6" s="985" t="s">
        <v>814</v>
      </c>
      <c r="L6" s="985"/>
      <c r="M6" s="985"/>
      <c r="N6" s="985"/>
      <c r="O6" s="985"/>
      <c r="P6" s="985" t="s">
        <v>815</v>
      </c>
      <c r="Q6" s="985"/>
      <c r="R6" s="985"/>
      <c r="S6" s="985"/>
    </row>
    <row r="7" spans="1:19" s="398" customFormat="1" ht="52">
      <c r="A7" s="985"/>
      <c r="B7" s="986"/>
      <c r="C7" s="985"/>
      <c r="D7" s="993"/>
      <c r="E7" s="994"/>
      <c r="F7" s="993"/>
      <c r="G7" s="993"/>
      <c r="H7" s="993"/>
      <c r="I7" s="993"/>
      <c r="J7" s="993"/>
      <c r="K7" s="324" t="s">
        <v>817</v>
      </c>
      <c r="L7" s="399" t="s">
        <v>818</v>
      </c>
      <c r="M7" s="325" t="s">
        <v>819</v>
      </c>
      <c r="N7" s="325" t="s">
        <v>820</v>
      </c>
      <c r="O7" s="322" t="s">
        <v>3173</v>
      </c>
      <c r="P7" s="324" t="s">
        <v>821</v>
      </c>
      <c r="Q7" s="324" t="s">
        <v>822</v>
      </c>
      <c r="R7" s="325" t="s">
        <v>823</v>
      </c>
      <c r="S7" s="325" t="s">
        <v>2874</v>
      </c>
    </row>
    <row r="8" spans="1:19">
      <c r="A8" s="979">
        <v>1</v>
      </c>
      <c r="B8" s="988" t="s">
        <v>534</v>
      </c>
      <c r="C8" s="327" t="s">
        <v>882</v>
      </c>
      <c r="D8" s="400" t="s">
        <v>883</v>
      </c>
      <c r="E8" s="401" t="s">
        <v>2875</v>
      </c>
      <c r="F8" s="400" t="s">
        <v>829</v>
      </c>
      <c r="G8" s="400" t="s">
        <v>2875</v>
      </c>
      <c r="H8" s="400" t="s">
        <v>2875</v>
      </c>
      <c r="I8" s="400" t="s">
        <v>2875</v>
      </c>
      <c r="J8" s="400" t="s">
        <v>2875</v>
      </c>
      <c r="K8" s="328" t="s">
        <v>2877</v>
      </c>
      <c r="L8" s="328" t="s">
        <v>2877</v>
      </c>
      <c r="M8" s="329" t="s">
        <v>2877</v>
      </c>
      <c r="N8" s="329" t="s">
        <v>2877</v>
      </c>
      <c r="O8" s="402">
        <v>0</v>
      </c>
      <c r="P8" s="328" t="s">
        <v>2875</v>
      </c>
      <c r="Q8" s="328" t="s">
        <v>2875</v>
      </c>
      <c r="R8" s="329" t="s">
        <v>2875</v>
      </c>
      <c r="S8" s="329">
        <v>3624773.0200000009</v>
      </c>
    </row>
    <row r="9" spans="1:19">
      <c r="A9" s="979"/>
      <c r="B9" s="988"/>
      <c r="C9" s="327" t="s">
        <v>884</v>
      </c>
      <c r="D9" s="400" t="s">
        <v>883</v>
      </c>
      <c r="E9" s="401" t="s">
        <v>2875</v>
      </c>
      <c r="F9" s="400" t="s">
        <v>829</v>
      </c>
      <c r="G9" s="400" t="s">
        <v>2875</v>
      </c>
      <c r="H9" s="400" t="s">
        <v>2875</v>
      </c>
      <c r="I9" s="400" t="s">
        <v>2875</v>
      </c>
      <c r="J9" s="400" t="s">
        <v>2875</v>
      </c>
      <c r="K9" s="328" t="s">
        <v>2877</v>
      </c>
      <c r="L9" s="328" t="s">
        <v>2877</v>
      </c>
      <c r="M9" s="329" t="s">
        <v>2877</v>
      </c>
      <c r="N9" s="329" t="s">
        <v>2877</v>
      </c>
      <c r="O9" s="402">
        <v>0</v>
      </c>
      <c r="P9" s="328" t="s">
        <v>2875</v>
      </c>
      <c r="Q9" s="328" t="s">
        <v>2875</v>
      </c>
      <c r="R9" s="329" t="s">
        <v>2875</v>
      </c>
      <c r="S9" s="329">
        <v>4895991.8499999996</v>
      </c>
    </row>
    <row r="10" spans="1:19" s="398" customFormat="1">
      <c r="A10" s="979"/>
      <c r="B10" s="988"/>
      <c r="C10" s="327" t="s">
        <v>885</v>
      </c>
      <c r="D10" s="400" t="s">
        <v>886</v>
      </c>
      <c r="E10" s="401" t="s">
        <v>2875</v>
      </c>
      <c r="F10" s="400" t="s">
        <v>829</v>
      </c>
      <c r="G10" s="400" t="s">
        <v>2875</v>
      </c>
      <c r="H10" s="400" t="s">
        <v>2875</v>
      </c>
      <c r="I10" s="400" t="s">
        <v>2875</v>
      </c>
      <c r="J10" s="400" t="s">
        <v>2875</v>
      </c>
      <c r="K10" s="328" t="s">
        <v>2877</v>
      </c>
      <c r="L10" s="328" t="s">
        <v>2877</v>
      </c>
      <c r="M10" s="329" t="s">
        <v>2877</v>
      </c>
      <c r="N10" s="329" t="s">
        <v>2877</v>
      </c>
      <c r="O10" s="402">
        <v>0</v>
      </c>
      <c r="P10" s="328" t="s">
        <v>2875</v>
      </c>
      <c r="Q10" s="328" t="s">
        <v>2875</v>
      </c>
      <c r="R10" s="329" t="s">
        <v>2875</v>
      </c>
      <c r="S10" s="329">
        <v>404710.80999999994</v>
      </c>
    </row>
    <row r="11" spans="1:19">
      <c r="A11" s="979"/>
      <c r="B11" s="988"/>
      <c r="C11" s="327" t="s">
        <v>887</v>
      </c>
      <c r="D11" s="400" t="s">
        <v>883</v>
      </c>
      <c r="E11" s="401" t="s">
        <v>2875</v>
      </c>
      <c r="F11" s="400" t="s">
        <v>829</v>
      </c>
      <c r="G11" s="400" t="s">
        <v>2875</v>
      </c>
      <c r="H11" s="400" t="s">
        <v>2875</v>
      </c>
      <c r="I11" s="400" t="s">
        <v>2875</v>
      </c>
      <c r="J11" s="400" t="s">
        <v>2875</v>
      </c>
      <c r="K11" s="328" t="s">
        <v>2877</v>
      </c>
      <c r="L11" s="328" t="s">
        <v>2877</v>
      </c>
      <c r="M11" s="329" t="s">
        <v>2877</v>
      </c>
      <c r="N11" s="329" t="s">
        <v>2877</v>
      </c>
      <c r="O11" s="402">
        <v>0</v>
      </c>
      <c r="P11" s="328" t="s">
        <v>2875</v>
      </c>
      <c r="Q11" s="328" t="s">
        <v>2875</v>
      </c>
      <c r="R11" s="329" t="s">
        <v>2875</v>
      </c>
      <c r="S11" s="329">
        <v>1676494.3399999999</v>
      </c>
    </row>
    <row r="12" spans="1:19">
      <c r="A12" s="979"/>
      <c r="B12" s="988"/>
      <c r="C12" s="327" t="s">
        <v>888</v>
      </c>
      <c r="D12" s="400" t="s">
        <v>883</v>
      </c>
      <c r="E12" s="401" t="s">
        <v>2875</v>
      </c>
      <c r="F12" s="400" t="s">
        <v>829</v>
      </c>
      <c r="G12" s="400" t="s">
        <v>2875</v>
      </c>
      <c r="H12" s="400" t="s">
        <v>2875</v>
      </c>
      <c r="I12" s="400" t="s">
        <v>2875</v>
      </c>
      <c r="J12" s="400" t="s">
        <v>2875</v>
      </c>
      <c r="K12" s="328" t="s">
        <v>2877</v>
      </c>
      <c r="L12" s="328" t="s">
        <v>2877</v>
      </c>
      <c r="M12" s="329" t="s">
        <v>2877</v>
      </c>
      <c r="N12" s="329" t="s">
        <v>2877</v>
      </c>
      <c r="O12" s="402">
        <v>0</v>
      </c>
      <c r="P12" s="328" t="s">
        <v>2875</v>
      </c>
      <c r="Q12" s="328" t="s">
        <v>2875</v>
      </c>
      <c r="R12" s="329" t="s">
        <v>2875</v>
      </c>
      <c r="S12" s="329">
        <v>3076.45</v>
      </c>
    </row>
    <row r="13" spans="1:19">
      <c r="A13" s="979"/>
      <c r="B13" s="988"/>
      <c r="C13" s="327" t="s">
        <v>889</v>
      </c>
      <c r="D13" s="400" t="s">
        <v>890</v>
      </c>
      <c r="E13" s="401" t="s">
        <v>2875</v>
      </c>
      <c r="F13" s="400" t="s">
        <v>891</v>
      </c>
      <c r="G13" s="400" t="s">
        <v>2875</v>
      </c>
      <c r="H13" s="400" t="s">
        <v>2875</v>
      </c>
      <c r="I13" s="400" t="s">
        <v>2875</v>
      </c>
      <c r="J13" s="400" t="s">
        <v>2875</v>
      </c>
      <c r="K13" s="328" t="s">
        <v>2877</v>
      </c>
      <c r="L13" s="328" t="s">
        <v>2877</v>
      </c>
      <c r="M13" s="329" t="s">
        <v>2877</v>
      </c>
      <c r="N13" s="329" t="s">
        <v>2877</v>
      </c>
      <c r="O13" s="402">
        <v>0</v>
      </c>
      <c r="P13" s="328" t="s">
        <v>2875</v>
      </c>
      <c r="Q13" s="328" t="s">
        <v>2875</v>
      </c>
      <c r="R13" s="329" t="s">
        <v>2875</v>
      </c>
      <c r="S13" s="329">
        <v>858285.41</v>
      </c>
    </row>
    <row r="14" spans="1:19">
      <c r="A14" s="350"/>
      <c r="B14" s="351" t="s">
        <v>2881</v>
      </c>
      <c r="C14" s="351"/>
      <c r="D14" s="351"/>
      <c r="E14" s="373"/>
      <c r="F14" s="374"/>
      <c r="G14" s="374"/>
      <c r="H14" s="374"/>
      <c r="I14" s="374"/>
      <c r="J14" s="374"/>
      <c r="K14" s="354"/>
      <c r="L14" s="354"/>
      <c r="M14" s="355"/>
      <c r="N14" s="355"/>
      <c r="O14" s="356">
        <f>SUM(O8:O13)</f>
        <v>0</v>
      </c>
      <c r="P14" s="354"/>
      <c r="Q14" s="354"/>
      <c r="R14" s="355"/>
      <c r="S14" s="356">
        <f>SUM(S8:S13)</f>
        <v>11463331.880000001</v>
      </c>
    </row>
    <row r="15" spans="1:19" s="408" customFormat="1">
      <c r="A15" s="991">
        <v>2</v>
      </c>
      <c r="B15" s="992" t="s">
        <v>539</v>
      </c>
      <c r="C15" s="403" t="s">
        <v>3174</v>
      </c>
      <c r="D15" s="403" t="s">
        <v>3175</v>
      </c>
      <c r="E15" s="404">
        <v>1</v>
      </c>
      <c r="F15" s="405" t="s">
        <v>3176</v>
      </c>
      <c r="G15" s="405" t="s">
        <v>3177</v>
      </c>
      <c r="H15" s="405" t="s">
        <v>2875</v>
      </c>
      <c r="I15" s="405" t="s">
        <v>2875</v>
      </c>
      <c r="J15" s="405" t="s">
        <v>2885</v>
      </c>
      <c r="K15" s="406" t="s">
        <v>3178</v>
      </c>
      <c r="L15" s="406" t="s">
        <v>2875</v>
      </c>
      <c r="M15" s="407" t="s">
        <v>2875</v>
      </c>
      <c r="N15" s="407">
        <v>8664.34</v>
      </c>
      <c r="O15" s="407">
        <v>2018</v>
      </c>
      <c r="P15" s="406" t="s">
        <v>2877</v>
      </c>
      <c r="Q15" s="406" t="s">
        <v>2877</v>
      </c>
      <c r="R15" s="406" t="s">
        <v>2877</v>
      </c>
      <c r="S15" s="406" t="s">
        <v>2877</v>
      </c>
    </row>
    <row r="16" spans="1:19" s="408" customFormat="1" ht="50">
      <c r="A16" s="991"/>
      <c r="B16" s="992"/>
      <c r="C16" s="403" t="s">
        <v>3179</v>
      </c>
      <c r="D16" s="403" t="s">
        <v>3180</v>
      </c>
      <c r="E16" s="404">
        <v>0.1</v>
      </c>
      <c r="F16" s="405" t="s">
        <v>2904</v>
      </c>
      <c r="G16" s="405" t="s">
        <v>2903</v>
      </c>
      <c r="H16" s="405" t="s">
        <v>2875</v>
      </c>
      <c r="I16" s="405" t="s">
        <v>2875</v>
      </c>
      <c r="J16" s="405" t="s">
        <v>2885</v>
      </c>
      <c r="K16" s="406" t="s">
        <v>3181</v>
      </c>
      <c r="L16" s="406" t="s">
        <v>2875</v>
      </c>
      <c r="M16" s="407" t="s">
        <v>2875</v>
      </c>
      <c r="N16" s="407">
        <v>31412</v>
      </c>
      <c r="O16" s="407">
        <v>12042</v>
      </c>
      <c r="P16" s="406" t="s">
        <v>2877</v>
      </c>
      <c r="Q16" s="406" t="s">
        <v>2877</v>
      </c>
      <c r="R16" s="406" t="s">
        <v>2877</v>
      </c>
      <c r="S16" s="406" t="s">
        <v>2877</v>
      </c>
    </row>
    <row r="17" spans="1:20" s="408" customFormat="1" ht="50">
      <c r="A17" s="991"/>
      <c r="B17" s="992"/>
      <c r="C17" s="403" t="s">
        <v>3182</v>
      </c>
      <c r="D17" s="403" t="s">
        <v>3183</v>
      </c>
      <c r="E17" s="404">
        <v>0.5</v>
      </c>
      <c r="F17" s="405" t="s">
        <v>2904</v>
      </c>
      <c r="G17" s="405" t="s">
        <v>2903</v>
      </c>
      <c r="H17" s="405" t="s">
        <v>2875</v>
      </c>
      <c r="I17" s="405" t="s">
        <v>2875</v>
      </c>
      <c r="J17" s="405" t="s">
        <v>2885</v>
      </c>
      <c r="K17" s="406" t="s">
        <v>3184</v>
      </c>
      <c r="L17" s="406" t="s">
        <v>2875</v>
      </c>
      <c r="M17" s="407" t="s">
        <v>2875</v>
      </c>
      <c r="N17" s="407">
        <v>95087.52</v>
      </c>
      <c r="O17" s="407">
        <v>28066</v>
      </c>
      <c r="P17" s="406" t="s">
        <v>2877</v>
      </c>
      <c r="Q17" s="406" t="s">
        <v>2877</v>
      </c>
      <c r="R17" s="406" t="s">
        <v>2877</v>
      </c>
      <c r="S17" s="406" t="s">
        <v>2877</v>
      </c>
    </row>
    <row r="18" spans="1:20" s="408" customFormat="1" ht="50">
      <c r="A18" s="991"/>
      <c r="B18" s="992"/>
      <c r="C18" s="403" t="s">
        <v>3185</v>
      </c>
      <c r="D18" s="403" t="s">
        <v>3183</v>
      </c>
      <c r="E18" s="404">
        <v>0.5</v>
      </c>
      <c r="F18" s="405" t="s">
        <v>2904</v>
      </c>
      <c r="G18" s="405" t="s">
        <v>2903</v>
      </c>
      <c r="H18" s="405" t="s">
        <v>2875</v>
      </c>
      <c r="I18" s="405" t="s">
        <v>2875</v>
      </c>
      <c r="J18" s="405" t="s">
        <v>2885</v>
      </c>
      <c r="K18" s="406" t="s">
        <v>3186</v>
      </c>
      <c r="L18" s="406" t="s">
        <v>2875</v>
      </c>
      <c r="M18" s="407" t="s">
        <v>2875</v>
      </c>
      <c r="N18" s="407">
        <v>40579</v>
      </c>
      <c r="O18" s="407">
        <v>16939</v>
      </c>
      <c r="P18" s="406" t="s">
        <v>2877</v>
      </c>
      <c r="Q18" s="406" t="s">
        <v>2877</v>
      </c>
      <c r="R18" s="406" t="s">
        <v>2877</v>
      </c>
      <c r="S18" s="406" t="s">
        <v>2877</v>
      </c>
    </row>
    <row r="19" spans="1:20" s="408" customFormat="1" ht="50">
      <c r="A19" s="991"/>
      <c r="B19" s="992"/>
      <c r="C19" s="403" t="s">
        <v>3187</v>
      </c>
      <c r="D19" s="403" t="s">
        <v>3183</v>
      </c>
      <c r="E19" s="404">
        <v>0.5</v>
      </c>
      <c r="F19" s="405" t="s">
        <v>2904</v>
      </c>
      <c r="G19" s="405" t="s">
        <v>2903</v>
      </c>
      <c r="H19" s="405" t="s">
        <v>2875</v>
      </c>
      <c r="I19" s="405" t="s">
        <v>2875</v>
      </c>
      <c r="J19" s="405" t="s">
        <v>2885</v>
      </c>
      <c r="K19" s="406" t="s">
        <v>3188</v>
      </c>
      <c r="L19" s="406" t="s">
        <v>2875</v>
      </c>
      <c r="M19" s="407" t="s">
        <v>2875</v>
      </c>
      <c r="N19" s="407">
        <v>73738.52</v>
      </c>
      <c r="O19" s="407">
        <v>8738.52</v>
      </c>
      <c r="P19" s="406" t="s">
        <v>2877</v>
      </c>
      <c r="Q19" s="406" t="s">
        <v>2877</v>
      </c>
      <c r="R19" s="406" t="s">
        <v>2877</v>
      </c>
      <c r="S19" s="406" t="s">
        <v>2877</v>
      </c>
    </row>
    <row r="20" spans="1:20" s="408" customFormat="1">
      <c r="A20" s="991"/>
      <c r="B20" s="992"/>
      <c r="C20" s="403" t="s">
        <v>3189</v>
      </c>
      <c r="D20" s="403" t="s">
        <v>3190</v>
      </c>
      <c r="E20" s="404">
        <v>0.5</v>
      </c>
      <c r="F20" s="405" t="s">
        <v>3191</v>
      </c>
      <c r="G20" s="405" t="s">
        <v>3191</v>
      </c>
      <c r="H20" s="405" t="s">
        <v>2875</v>
      </c>
      <c r="I20" s="405" t="s">
        <v>2875</v>
      </c>
      <c r="J20" s="405" t="s">
        <v>2885</v>
      </c>
      <c r="K20" s="406" t="s">
        <v>2875</v>
      </c>
      <c r="L20" s="406" t="s">
        <v>2875</v>
      </c>
      <c r="M20" s="407" t="s">
        <v>2875</v>
      </c>
      <c r="N20" s="407">
        <v>505160.46360000002</v>
      </c>
      <c r="O20" s="407">
        <v>384800</v>
      </c>
      <c r="P20" s="406" t="s">
        <v>2877</v>
      </c>
      <c r="Q20" s="406" t="s">
        <v>2877</v>
      </c>
      <c r="R20" s="406" t="s">
        <v>2877</v>
      </c>
      <c r="S20" s="406" t="s">
        <v>2877</v>
      </c>
    </row>
    <row r="21" spans="1:20" s="408" customFormat="1">
      <c r="A21" s="991"/>
      <c r="B21" s="992"/>
      <c r="C21" s="403" t="s">
        <v>3192</v>
      </c>
      <c r="D21" s="403" t="s">
        <v>3190</v>
      </c>
      <c r="E21" s="404">
        <v>0.5</v>
      </c>
      <c r="F21" s="405" t="s">
        <v>3191</v>
      </c>
      <c r="G21" s="405" t="s">
        <v>3191</v>
      </c>
      <c r="H21" s="405" t="s">
        <v>2875</v>
      </c>
      <c r="I21" s="405" t="s">
        <v>2875</v>
      </c>
      <c r="J21" s="405" t="s">
        <v>2885</v>
      </c>
      <c r="K21" s="406" t="s">
        <v>2875</v>
      </c>
      <c r="L21" s="406" t="s">
        <v>2875</v>
      </c>
      <c r="M21" s="407" t="s">
        <v>2875</v>
      </c>
      <c r="N21" s="407">
        <v>622044</v>
      </c>
      <c r="O21" s="407">
        <v>119747</v>
      </c>
      <c r="P21" s="406" t="s">
        <v>2877</v>
      </c>
      <c r="Q21" s="406" t="s">
        <v>2877</v>
      </c>
      <c r="R21" s="406" t="s">
        <v>2877</v>
      </c>
      <c r="S21" s="406" t="s">
        <v>2877</v>
      </c>
    </row>
    <row r="22" spans="1:20" s="408" customFormat="1">
      <c r="A22" s="991"/>
      <c r="B22" s="992"/>
      <c r="C22" s="403" t="s">
        <v>3193</v>
      </c>
      <c r="D22" s="403" t="s">
        <v>3190</v>
      </c>
      <c r="E22" s="404">
        <v>0.5</v>
      </c>
      <c r="F22" s="405" t="s">
        <v>842</v>
      </c>
      <c r="G22" s="405" t="s">
        <v>2898</v>
      </c>
      <c r="H22" s="405" t="s">
        <v>2875</v>
      </c>
      <c r="I22" s="405" t="s">
        <v>2875</v>
      </c>
      <c r="J22" s="405" t="s">
        <v>2885</v>
      </c>
      <c r="K22" s="406" t="s">
        <v>2875</v>
      </c>
      <c r="L22" s="406" t="s">
        <v>2875</v>
      </c>
      <c r="M22" s="407" t="s">
        <v>2875</v>
      </c>
      <c r="N22" s="407">
        <v>710631</v>
      </c>
      <c r="O22" s="407">
        <v>710631</v>
      </c>
      <c r="P22" s="406" t="s">
        <v>2877</v>
      </c>
      <c r="Q22" s="406" t="s">
        <v>2877</v>
      </c>
      <c r="R22" s="406" t="s">
        <v>2877</v>
      </c>
      <c r="S22" s="406" t="s">
        <v>2877</v>
      </c>
    </row>
    <row r="23" spans="1:20" s="408" customFormat="1">
      <c r="A23" s="991"/>
      <c r="B23" s="992"/>
      <c r="C23" s="403" t="s">
        <v>3194</v>
      </c>
      <c r="D23" s="403" t="s">
        <v>3195</v>
      </c>
      <c r="E23" s="404">
        <v>0.4</v>
      </c>
      <c r="F23" s="405" t="s">
        <v>3196</v>
      </c>
      <c r="G23" s="405" t="s">
        <v>3196</v>
      </c>
      <c r="H23" s="405" t="s">
        <v>2875</v>
      </c>
      <c r="I23" s="405" t="s">
        <v>2875</v>
      </c>
      <c r="J23" s="405" t="s">
        <v>2885</v>
      </c>
      <c r="K23" s="406" t="s">
        <v>2875</v>
      </c>
      <c r="L23" s="406" t="s">
        <v>2875</v>
      </c>
      <c r="M23" s="407" t="s">
        <v>2875</v>
      </c>
      <c r="N23" s="407">
        <v>500000</v>
      </c>
      <c r="O23" s="407">
        <v>500000</v>
      </c>
      <c r="P23" s="406" t="s">
        <v>2877</v>
      </c>
      <c r="Q23" s="406" t="s">
        <v>2877</v>
      </c>
      <c r="R23" s="406" t="s">
        <v>2877</v>
      </c>
      <c r="S23" s="406" t="s">
        <v>2877</v>
      </c>
    </row>
    <row r="24" spans="1:20">
      <c r="A24" s="350"/>
      <c r="B24" s="351" t="s">
        <v>2906</v>
      </c>
      <c r="C24" s="351"/>
      <c r="D24" s="351"/>
      <c r="E24" s="373"/>
      <c r="F24" s="374"/>
      <c r="G24" s="374"/>
      <c r="H24" s="374"/>
      <c r="I24" s="374"/>
      <c r="J24" s="374"/>
      <c r="K24" s="354"/>
      <c r="L24" s="354"/>
      <c r="M24" s="355"/>
      <c r="N24" s="355"/>
      <c r="O24" s="356">
        <f>SUM(O15:O23)</f>
        <v>1782981.52</v>
      </c>
      <c r="P24" s="354"/>
      <c r="Q24" s="354"/>
      <c r="R24" s="355"/>
      <c r="S24" s="356">
        <f>SUM(S15:S23)</f>
        <v>0</v>
      </c>
    </row>
    <row r="25" spans="1:20" s="408" customFormat="1" ht="30.65" customHeight="1">
      <c r="A25" s="336">
        <v>3</v>
      </c>
      <c r="B25" s="338" t="s">
        <v>544</v>
      </c>
      <c r="C25" s="338" t="s">
        <v>3197</v>
      </c>
      <c r="D25" s="338" t="s">
        <v>3198</v>
      </c>
      <c r="E25" s="409" t="s">
        <v>2875</v>
      </c>
      <c r="F25" s="410" t="s">
        <v>3199</v>
      </c>
      <c r="G25" s="410" t="s">
        <v>2875</v>
      </c>
      <c r="H25" s="410" t="s">
        <v>3200</v>
      </c>
      <c r="I25" s="410" t="s">
        <v>837</v>
      </c>
      <c r="J25" s="410" t="s">
        <v>3201</v>
      </c>
      <c r="K25" s="340" t="s">
        <v>3202</v>
      </c>
      <c r="L25" s="340" t="s">
        <v>3203</v>
      </c>
      <c r="M25" s="341">
        <v>882109.02</v>
      </c>
      <c r="N25" s="341">
        <v>882109.02</v>
      </c>
      <c r="O25" s="341"/>
      <c r="P25" s="340" t="s">
        <v>2877</v>
      </c>
      <c r="Q25" s="340" t="s">
        <v>2877</v>
      </c>
      <c r="R25" s="340" t="s">
        <v>2877</v>
      </c>
      <c r="S25" s="340" t="s">
        <v>2877</v>
      </c>
      <c r="T25" s="411" t="s">
        <v>3204</v>
      </c>
    </row>
    <row r="26" spans="1:20">
      <c r="A26" s="350"/>
      <c r="B26" s="351" t="s">
        <v>2918</v>
      </c>
      <c r="C26" s="351"/>
      <c r="D26" s="351"/>
      <c r="E26" s="373"/>
      <c r="F26" s="374"/>
      <c r="G26" s="374"/>
      <c r="H26" s="374"/>
      <c r="I26" s="374"/>
      <c r="J26" s="374"/>
      <c r="K26" s="354"/>
      <c r="L26" s="354"/>
      <c r="M26" s="355"/>
      <c r="N26" s="355"/>
      <c r="O26" s="356">
        <f>O25</f>
        <v>0</v>
      </c>
      <c r="P26" s="354"/>
      <c r="Q26" s="354"/>
      <c r="R26" s="355"/>
      <c r="S26" s="356">
        <f>SUM(S17:S25)</f>
        <v>0</v>
      </c>
    </row>
    <row r="27" spans="1:20" s="408" customFormat="1">
      <c r="A27" s="972">
        <v>4</v>
      </c>
      <c r="B27" s="988" t="s">
        <v>558</v>
      </c>
      <c r="C27" s="327" t="s">
        <v>3205</v>
      </c>
      <c r="D27" s="327" t="s">
        <v>2875</v>
      </c>
      <c r="E27" s="327" t="s">
        <v>2875</v>
      </c>
      <c r="F27" s="400" t="s">
        <v>3206</v>
      </c>
      <c r="G27" s="400" t="s">
        <v>2875</v>
      </c>
      <c r="H27" s="400" t="s">
        <v>2875</v>
      </c>
      <c r="I27" s="400" t="s">
        <v>2875</v>
      </c>
      <c r="J27" s="400" t="s">
        <v>2875</v>
      </c>
      <c r="K27" s="328" t="s">
        <v>3207</v>
      </c>
      <c r="L27" s="328" t="s">
        <v>2877</v>
      </c>
      <c r="M27" s="328" t="s">
        <v>2877</v>
      </c>
      <c r="N27" s="328" t="s">
        <v>2877</v>
      </c>
      <c r="O27" s="329">
        <v>0</v>
      </c>
      <c r="P27" s="328" t="s">
        <v>3207</v>
      </c>
      <c r="Q27" s="328" t="s">
        <v>2875</v>
      </c>
      <c r="R27" s="329" t="s">
        <v>2875</v>
      </c>
      <c r="S27" s="329">
        <v>2530</v>
      </c>
    </row>
    <row r="28" spans="1:20" s="408" customFormat="1">
      <c r="A28" s="972"/>
      <c r="B28" s="988"/>
      <c r="C28" s="327" t="s">
        <v>3208</v>
      </c>
      <c r="D28" s="327" t="s">
        <v>2875</v>
      </c>
      <c r="E28" s="401" t="s">
        <v>2875</v>
      </c>
      <c r="F28" s="400" t="s">
        <v>3206</v>
      </c>
      <c r="G28" s="400" t="s">
        <v>2875</v>
      </c>
      <c r="H28" s="400" t="s">
        <v>2875</v>
      </c>
      <c r="I28" s="400" t="s">
        <v>2875</v>
      </c>
      <c r="J28" s="400" t="s">
        <v>2875</v>
      </c>
      <c r="K28" s="328" t="s">
        <v>3207</v>
      </c>
      <c r="L28" s="328" t="s">
        <v>2877</v>
      </c>
      <c r="M28" s="328" t="s">
        <v>2877</v>
      </c>
      <c r="N28" s="328" t="s">
        <v>2877</v>
      </c>
      <c r="O28" s="329">
        <v>0</v>
      </c>
      <c r="P28" s="328" t="s">
        <v>3207</v>
      </c>
      <c r="Q28" s="328" t="s">
        <v>2875</v>
      </c>
      <c r="R28" s="329" t="s">
        <v>2875</v>
      </c>
      <c r="S28" s="329">
        <v>2066</v>
      </c>
    </row>
    <row r="29" spans="1:20" s="408" customFormat="1">
      <c r="A29" s="972"/>
      <c r="B29" s="988"/>
      <c r="C29" s="327" t="s">
        <v>3209</v>
      </c>
      <c r="D29" s="327" t="s">
        <v>2875</v>
      </c>
      <c r="E29" s="401" t="s">
        <v>2875</v>
      </c>
      <c r="F29" s="400" t="s">
        <v>3206</v>
      </c>
      <c r="G29" s="400" t="s">
        <v>2875</v>
      </c>
      <c r="H29" s="400" t="s">
        <v>2875</v>
      </c>
      <c r="I29" s="400" t="s">
        <v>2875</v>
      </c>
      <c r="J29" s="400" t="s">
        <v>2875</v>
      </c>
      <c r="K29" s="328" t="s">
        <v>3207</v>
      </c>
      <c r="L29" s="328" t="s">
        <v>2877</v>
      </c>
      <c r="M29" s="328" t="s">
        <v>2877</v>
      </c>
      <c r="N29" s="328" t="s">
        <v>2877</v>
      </c>
      <c r="O29" s="329">
        <v>0</v>
      </c>
      <c r="P29" s="328" t="s">
        <v>3207</v>
      </c>
      <c r="Q29" s="328" t="s">
        <v>2875</v>
      </c>
      <c r="R29" s="329" t="s">
        <v>2875</v>
      </c>
      <c r="S29" s="329">
        <v>151</v>
      </c>
    </row>
    <row r="30" spans="1:20" s="408" customFormat="1">
      <c r="A30" s="972"/>
      <c r="B30" s="988"/>
      <c r="C30" s="327" t="s">
        <v>3210</v>
      </c>
      <c r="D30" s="327" t="s">
        <v>2875</v>
      </c>
      <c r="E30" s="401" t="s">
        <v>2875</v>
      </c>
      <c r="F30" s="400" t="s">
        <v>3206</v>
      </c>
      <c r="G30" s="400" t="s">
        <v>2875</v>
      </c>
      <c r="H30" s="400" t="s">
        <v>2875</v>
      </c>
      <c r="I30" s="400" t="s">
        <v>2875</v>
      </c>
      <c r="J30" s="400" t="s">
        <v>2875</v>
      </c>
      <c r="K30" s="328" t="s">
        <v>3207</v>
      </c>
      <c r="L30" s="328" t="s">
        <v>2877</v>
      </c>
      <c r="M30" s="328" t="s">
        <v>2877</v>
      </c>
      <c r="N30" s="328" t="s">
        <v>2877</v>
      </c>
      <c r="O30" s="329">
        <v>0</v>
      </c>
      <c r="P30" s="328" t="s">
        <v>3207</v>
      </c>
      <c r="Q30" s="328" t="s">
        <v>2875</v>
      </c>
      <c r="R30" s="329" t="s">
        <v>2875</v>
      </c>
      <c r="S30" s="329">
        <v>5542</v>
      </c>
    </row>
    <row r="31" spans="1:20" s="408" customFormat="1">
      <c r="A31" s="972"/>
      <c r="B31" s="988"/>
      <c r="C31" s="327" t="s">
        <v>3211</v>
      </c>
      <c r="D31" s="327" t="s">
        <v>2875</v>
      </c>
      <c r="E31" s="401" t="s">
        <v>2875</v>
      </c>
      <c r="F31" s="400" t="s">
        <v>3206</v>
      </c>
      <c r="G31" s="400" t="s">
        <v>2875</v>
      </c>
      <c r="H31" s="400" t="s">
        <v>2875</v>
      </c>
      <c r="I31" s="400" t="s">
        <v>2875</v>
      </c>
      <c r="J31" s="400" t="s">
        <v>2875</v>
      </c>
      <c r="K31" s="328" t="s">
        <v>3207</v>
      </c>
      <c r="L31" s="328" t="s">
        <v>2877</v>
      </c>
      <c r="M31" s="328" t="s">
        <v>2877</v>
      </c>
      <c r="N31" s="328" t="s">
        <v>2877</v>
      </c>
      <c r="O31" s="329">
        <v>0</v>
      </c>
      <c r="P31" s="328" t="s">
        <v>3207</v>
      </c>
      <c r="Q31" s="328" t="s">
        <v>2875</v>
      </c>
      <c r="R31" s="329" t="s">
        <v>2875</v>
      </c>
      <c r="S31" s="329">
        <v>5606</v>
      </c>
    </row>
    <row r="32" spans="1:20" s="408" customFormat="1">
      <c r="A32" s="972"/>
      <c r="B32" s="988"/>
      <c r="C32" s="327" t="s">
        <v>3212</v>
      </c>
      <c r="D32" s="327" t="s">
        <v>2875</v>
      </c>
      <c r="E32" s="401" t="s">
        <v>2875</v>
      </c>
      <c r="F32" s="400" t="s">
        <v>3213</v>
      </c>
      <c r="G32" s="400" t="s">
        <v>2875</v>
      </c>
      <c r="H32" s="400" t="s">
        <v>2875</v>
      </c>
      <c r="I32" s="400" t="s">
        <v>2875</v>
      </c>
      <c r="J32" s="400" t="s">
        <v>2875</v>
      </c>
      <c r="K32" s="328" t="s">
        <v>892</v>
      </c>
      <c r="L32" s="328" t="s">
        <v>2877</v>
      </c>
      <c r="M32" s="328" t="s">
        <v>2877</v>
      </c>
      <c r="N32" s="328" t="s">
        <v>2877</v>
      </c>
      <c r="O32" s="329">
        <v>0</v>
      </c>
      <c r="P32" s="328" t="s">
        <v>892</v>
      </c>
      <c r="Q32" s="328" t="s">
        <v>2875</v>
      </c>
      <c r="R32" s="329" t="s">
        <v>2875</v>
      </c>
      <c r="S32" s="329">
        <v>2250</v>
      </c>
    </row>
    <row r="33" spans="1:19" s="408" customFormat="1">
      <c r="A33" s="972"/>
      <c r="B33" s="988"/>
      <c r="C33" s="327" t="s">
        <v>3214</v>
      </c>
      <c r="D33" s="327" t="s">
        <v>2875</v>
      </c>
      <c r="E33" s="401" t="s">
        <v>2875</v>
      </c>
      <c r="F33" s="400" t="s">
        <v>2875</v>
      </c>
      <c r="G33" s="400" t="s">
        <v>2875</v>
      </c>
      <c r="H33" s="400" t="s">
        <v>2875</v>
      </c>
      <c r="I33" s="400" t="s">
        <v>2875</v>
      </c>
      <c r="J33" s="400" t="s">
        <v>2875</v>
      </c>
      <c r="K33" s="328" t="s">
        <v>892</v>
      </c>
      <c r="L33" s="328" t="s">
        <v>2877</v>
      </c>
      <c r="M33" s="328" t="s">
        <v>2877</v>
      </c>
      <c r="N33" s="328" t="s">
        <v>2877</v>
      </c>
      <c r="O33" s="329">
        <v>0</v>
      </c>
      <c r="P33" s="328" t="s">
        <v>892</v>
      </c>
      <c r="Q33" s="328" t="s">
        <v>2875</v>
      </c>
      <c r="R33" s="329" t="s">
        <v>2875</v>
      </c>
      <c r="S33" s="329">
        <v>250</v>
      </c>
    </row>
    <row r="34" spans="1:19" s="408" customFormat="1">
      <c r="A34" s="972"/>
      <c r="B34" s="988"/>
      <c r="C34" s="327" t="s">
        <v>3215</v>
      </c>
      <c r="D34" s="327" t="s">
        <v>2875</v>
      </c>
      <c r="E34" s="401" t="s">
        <v>2875</v>
      </c>
      <c r="F34" s="400" t="s">
        <v>3213</v>
      </c>
      <c r="G34" s="400" t="s">
        <v>2875</v>
      </c>
      <c r="H34" s="400" t="s">
        <v>2875</v>
      </c>
      <c r="I34" s="400" t="s">
        <v>2875</v>
      </c>
      <c r="J34" s="400" t="s">
        <v>2875</v>
      </c>
      <c r="K34" s="328" t="s">
        <v>892</v>
      </c>
      <c r="L34" s="328" t="s">
        <v>2877</v>
      </c>
      <c r="M34" s="328" t="s">
        <v>2877</v>
      </c>
      <c r="N34" s="328" t="s">
        <v>2877</v>
      </c>
      <c r="O34" s="329">
        <v>0</v>
      </c>
      <c r="P34" s="328" t="s">
        <v>892</v>
      </c>
      <c r="Q34" s="328" t="s">
        <v>2875</v>
      </c>
      <c r="R34" s="329" t="s">
        <v>2875</v>
      </c>
      <c r="S34" s="329">
        <v>1500</v>
      </c>
    </row>
    <row r="35" spans="1:19" s="408" customFormat="1">
      <c r="A35" s="972"/>
      <c r="B35" s="988"/>
      <c r="C35" s="327" t="s">
        <v>3216</v>
      </c>
      <c r="D35" s="327" t="s">
        <v>2875</v>
      </c>
      <c r="E35" s="401" t="s">
        <v>2875</v>
      </c>
      <c r="F35" s="400" t="s">
        <v>3206</v>
      </c>
      <c r="G35" s="400" t="s">
        <v>2875</v>
      </c>
      <c r="H35" s="400" t="s">
        <v>2875</v>
      </c>
      <c r="I35" s="400" t="s">
        <v>2875</v>
      </c>
      <c r="J35" s="400" t="s">
        <v>2875</v>
      </c>
      <c r="K35" s="328" t="s">
        <v>3217</v>
      </c>
      <c r="L35" s="328" t="s">
        <v>2877</v>
      </c>
      <c r="M35" s="328" t="s">
        <v>2877</v>
      </c>
      <c r="N35" s="328" t="s">
        <v>2877</v>
      </c>
      <c r="O35" s="329">
        <v>0</v>
      </c>
      <c r="P35" s="328" t="s">
        <v>3217</v>
      </c>
      <c r="Q35" s="328" t="s">
        <v>2875</v>
      </c>
      <c r="R35" s="329" t="s">
        <v>2875</v>
      </c>
      <c r="S35" s="329">
        <v>350</v>
      </c>
    </row>
    <row r="36" spans="1:19" s="408" customFormat="1">
      <c r="A36" s="972"/>
      <c r="B36" s="988"/>
      <c r="C36" s="327" t="s">
        <v>3218</v>
      </c>
      <c r="D36" s="327" t="s">
        <v>2875</v>
      </c>
      <c r="E36" s="401" t="s">
        <v>2875</v>
      </c>
      <c r="F36" s="400" t="s">
        <v>3206</v>
      </c>
      <c r="G36" s="400" t="s">
        <v>2875</v>
      </c>
      <c r="H36" s="400" t="s">
        <v>2875</v>
      </c>
      <c r="I36" s="400" t="s">
        <v>2875</v>
      </c>
      <c r="J36" s="400" t="s">
        <v>2875</v>
      </c>
      <c r="K36" s="328">
        <v>45201</v>
      </c>
      <c r="L36" s="328" t="s">
        <v>2877</v>
      </c>
      <c r="M36" s="328" t="s">
        <v>2877</v>
      </c>
      <c r="N36" s="328" t="s">
        <v>2877</v>
      </c>
      <c r="O36" s="329">
        <v>0</v>
      </c>
      <c r="P36" s="328">
        <v>45201</v>
      </c>
      <c r="Q36" s="328" t="s">
        <v>2875</v>
      </c>
      <c r="R36" s="329" t="s">
        <v>2875</v>
      </c>
      <c r="S36" s="329">
        <v>18227</v>
      </c>
    </row>
    <row r="37" spans="1:19" s="408" customFormat="1">
      <c r="A37" s="972"/>
      <c r="B37" s="988"/>
      <c r="C37" s="327" t="s">
        <v>3219</v>
      </c>
      <c r="D37" s="327" t="s">
        <v>2875</v>
      </c>
      <c r="E37" s="401" t="s">
        <v>2875</v>
      </c>
      <c r="F37" s="400" t="s">
        <v>3206</v>
      </c>
      <c r="G37" s="400" t="s">
        <v>2875</v>
      </c>
      <c r="H37" s="400" t="s">
        <v>2875</v>
      </c>
      <c r="I37" s="400" t="s">
        <v>2875</v>
      </c>
      <c r="J37" s="400" t="s">
        <v>2875</v>
      </c>
      <c r="K37" s="328" t="s">
        <v>3220</v>
      </c>
      <c r="L37" s="328" t="s">
        <v>2877</v>
      </c>
      <c r="M37" s="328" t="s">
        <v>2877</v>
      </c>
      <c r="N37" s="328" t="s">
        <v>2877</v>
      </c>
      <c r="O37" s="329">
        <v>0</v>
      </c>
      <c r="P37" s="328" t="s">
        <v>3220</v>
      </c>
      <c r="Q37" s="328" t="s">
        <v>2875</v>
      </c>
      <c r="R37" s="329" t="s">
        <v>2875</v>
      </c>
      <c r="S37" s="329">
        <v>7980</v>
      </c>
    </row>
    <row r="38" spans="1:19" s="408" customFormat="1">
      <c r="A38" s="972"/>
      <c r="B38" s="988"/>
      <c r="C38" s="327" t="s">
        <v>3221</v>
      </c>
      <c r="D38" s="327" t="s">
        <v>2875</v>
      </c>
      <c r="E38" s="401" t="s">
        <v>2875</v>
      </c>
      <c r="F38" s="400" t="s">
        <v>3206</v>
      </c>
      <c r="G38" s="400" t="s">
        <v>2875</v>
      </c>
      <c r="H38" s="400" t="s">
        <v>2875</v>
      </c>
      <c r="I38" s="400" t="s">
        <v>2875</v>
      </c>
      <c r="J38" s="400" t="s">
        <v>2875</v>
      </c>
      <c r="K38" s="328" t="s">
        <v>3222</v>
      </c>
      <c r="L38" s="328" t="s">
        <v>2877</v>
      </c>
      <c r="M38" s="328" t="s">
        <v>2877</v>
      </c>
      <c r="N38" s="328" t="s">
        <v>2877</v>
      </c>
      <c r="O38" s="329">
        <v>0</v>
      </c>
      <c r="P38" s="328" t="s">
        <v>3222</v>
      </c>
      <c r="Q38" s="328" t="s">
        <v>2875</v>
      </c>
      <c r="R38" s="329" t="s">
        <v>2875</v>
      </c>
      <c r="S38" s="329">
        <v>3228</v>
      </c>
    </row>
    <row r="39" spans="1:19" s="408" customFormat="1" ht="20">
      <c r="A39" s="972"/>
      <c r="B39" s="988"/>
      <c r="C39" s="327" t="s">
        <v>3223</v>
      </c>
      <c r="D39" s="327" t="s">
        <v>2875</v>
      </c>
      <c r="E39" s="401" t="s">
        <v>2875</v>
      </c>
      <c r="F39" s="400" t="s">
        <v>3206</v>
      </c>
      <c r="G39" s="400" t="s">
        <v>2875</v>
      </c>
      <c r="H39" s="400" t="s">
        <v>2875</v>
      </c>
      <c r="I39" s="400" t="s">
        <v>2875</v>
      </c>
      <c r="J39" s="400" t="s">
        <v>2875</v>
      </c>
      <c r="K39" s="328" t="s">
        <v>3222</v>
      </c>
      <c r="L39" s="328" t="s">
        <v>2877</v>
      </c>
      <c r="M39" s="328" t="s">
        <v>2877</v>
      </c>
      <c r="N39" s="328" t="s">
        <v>2877</v>
      </c>
      <c r="O39" s="329">
        <v>0</v>
      </c>
      <c r="P39" s="328" t="s">
        <v>3222</v>
      </c>
      <c r="Q39" s="328" t="s">
        <v>2875</v>
      </c>
      <c r="R39" s="329" t="s">
        <v>2875</v>
      </c>
      <c r="S39" s="329">
        <v>3106</v>
      </c>
    </row>
    <row r="40" spans="1:19" s="408" customFormat="1" ht="20">
      <c r="A40" s="972"/>
      <c r="B40" s="988"/>
      <c r="C40" s="327" t="s">
        <v>3224</v>
      </c>
      <c r="D40" s="327" t="s">
        <v>2875</v>
      </c>
      <c r="E40" s="401" t="s">
        <v>2875</v>
      </c>
      <c r="F40" s="400" t="s">
        <v>3206</v>
      </c>
      <c r="G40" s="400" t="s">
        <v>2875</v>
      </c>
      <c r="H40" s="400" t="s">
        <v>2875</v>
      </c>
      <c r="I40" s="400" t="s">
        <v>2875</v>
      </c>
      <c r="J40" s="400" t="s">
        <v>2875</v>
      </c>
      <c r="K40" s="328" t="s">
        <v>3225</v>
      </c>
      <c r="L40" s="328" t="s">
        <v>2877</v>
      </c>
      <c r="M40" s="328" t="s">
        <v>2877</v>
      </c>
      <c r="N40" s="328" t="s">
        <v>2877</v>
      </c>
      <c r="O40" s="329">
        <v>0</v>
      </c>
      <c r="P40" s="328" t="s">
        <v>3225</v>
      </c>
      <c r="Q40" s="328" t="s">
        <v>2875</v>
      </c>
      <c r="R40" s="329" t="s">
        <v>2875</v>
      </c>
      <c r="S40" s="329">
        <v>51156</v>
      </c>
    </row>
    <row r="41" spans="1:19" s="408" customFormat="1">
      <c r="A41" s="972"/>
      <c r="B41" s="988"/>
      <c r="C41" s="327" t="s">
        <v>3226</v>
      </c>
      <c r="D41" s="327" t="s">
        <v>2875</v>
      </c>
      <c r="E41" s="401" t="s">
        <v>2875</v>
      </c>
      <c r="F41" s="400" t="s">
        <v>3206</v>
      </c>
      <c r="G41" s="400" t="s">
        <v>2875</v>
      </c>
      <c r="H41" s="400" t="s">
        <v>2875</v>
      </c>
      <c r="I41" s="400" t="s">
        <v>2875</v>
      </c>
      <c r="J41" s="400" t="s">
        <v>2875</v>
      </c>
      <c r="K41" s="328" t="s">
        <v>3227</v>
      </c>
      <c r="L41" s="328" t="s">
        <v>2877</v>
      </c>
      <c r="M41" s="328" t="s">
        <v>2877</v>
      </c>
      <c r="N41" s="328" t="s">
        <v>2877</v>
      </c>
      <c r="O41" s="329">
        <v>0</v>
      </c>
      <c r="P41" s="328" t="s">
        <v>3227</v>
      </c>
      <c r="Q41" s="328" t="s">
        <v>2875</v>
      </c>
      <c r="R41" s="329" t="s">
        <v>2875</v>
      </c>
      <c r="S41" s="329"/>
    </row>
    <row r="42" spans="1:19" s="408" customFormat="1">
      <c r="A42" s="972"/>
      <c r="B42" s="988"/>
      <c r="C42" s="327" t="s">
        <v>3228</v>
      </c>
      <c r="D42" s="327" t="s">
        <v>2875</v>
      </c>
      <c r="E42" s="401" t="s">
        <v>2875</v>
      </c>
      <c r="F42" s="400" t="s">
        <v>3229</v>
      </c>
      <c r="G42" s="400" t="s">
        <v>2875</v>
      </c>
      <c r="H42" s="400" t="s">
        <v>2875</v>
      </c>
      <c r="I42" s="400" t="s">
        <v>2875</v>
      </c>
      <c r="J42" s="400" t="s">
        <v>2875</v>
      </c>
      <c r="K42" s="328" t="s">
        <v>3230</v>
      </c>
      <c r="L42" s="328" t="s">
        <v>2877</v>
      </c>
      <c r="M42" s="328" t="s">
        <v>2877</v>
      </c>
      <c r="N42" s="328" t="s">
        <v>2877</v>
      </c>
      <c r="O42" s="329">
        <v>0</v>
      </c>
      <c r="P42" s="328" t="s">
        <v>3230</v>
      </c>
      <c r="Q42" s="328" t="s">
        <v>2875</v>
      </c>
      <c r="R42" s="329" t="s">
        <v>2875</v>
      </c>
      <c r="S42" s="329">
        <v>2320</v>
      </c>
    </row>
    <row r="43" spans="1:19" s="408" customFormat="1">
      <c r="A43" s="972"/>
      <c r="B43" s="988"/>
      <c r="C43" s="327" t="s">
        <v>3231</v>
      </c>
      <c r="D43" s="327" t="s">
        <v>2875</v>
      </c>
      <c r="E43" s="401" t="s">
        <v>2875</v>
      </c>
      <c r="F43" s="400" t="s">
        <v>3232</v>
      </c>
      <c r="G43" s="400" t="s">
        <v>2875</v>
      </c>
      <c r="H43" s="400" t="s">
        <v>2875</v>
      </c>
      <c r="I43" s="400" t="s">
        <v>2875</v>
      </c>
      <c r="J43" s="400" t="s">
        <v>2875</v>
      </c>
      <c r="K43" s="328" t="s">
        <v>3233</v>
      </c>
      <c r="L43" s="328" t="s">
        <v>2877</v>
      </c>
      <c r="M43" s="328" t="s">
        <v>2877</v>
      </c>
      <c r="N43" s="328" t="s">
        <v>2877</v>
      </c>
      <c r="O43" s="329">
        <v>0</v>
      </c>
      <c r="P43" s="328" t="s">
        <v>3233</v>
      </c>
      <c r="Q43" s="328" t="s">
        <v>2875</v>
      </c>
      <c r="R43" s="329" t="s">
        <v>2875</v>
      </c>
      <c r="S43" s="329">
        <v>11665</v>
      </c>
    </row>
    <row r="44" spans="1:19" s="408" customFormat="1">
      <c r="A44" s="972"/>
      <c r="B44" s="988"/>
      <c r="C44" s="327" t="s">
        <v>3234</v>
      </c>
      <c r="D44" s="327" t="s">
        <v>2875</v>
      </c>
      <c r="E44" s="401" t="s">
        <v>2875</v>
      </c>
      <c r="F44" s="400" t="s">
        <v>3232</v>
      </c>
      <c r="G44" s="400" t="s">
        <v>2875</v>
      </c>
      <c r="H44" s="400" t="s">
        <v>2875</v>
      </c>
      <c r="I44" s="400" t="s">
        <v>2875</v>
      </c>
      <c r="J44" s="400" t="s">
        <v>2875</v>
      </c>
      <c r="K44" s="328" t="s">
        <v>3235</v>
      </c>
      <c r="L44" s="328" t="s">
        <v>2877</v>
      </c>
      <c r="M44" s="328" t="s">
        <v>2877</v>
      </c>
      <c r="N44" s="328" t="s">
        <v>2877</v>
      </c>
      <c r="O44" s="329">
        <v>0</v>
      </c>
      <c r="P44" s="328" t="s">
        <v>3235</v>
      </c>
      <c r="Q44" s="328" t="s">
        <v>2875</v>
      </c>
      <c r="R44" s="329" t="s">
        <v>2875</v>
      </c>
      <c r="S44" s="329">
        <v>1500</v>
      </c>
    </row>
    <row r="45" spans="1:19" s="408" customFormat="1">
      <c r="A45" s="972"/>
      <c r="B45" s="988"/>
      <c r="C45" s="327" t="s">
        <v>3236</v>
      </c>
      <c r="D45" s="327" t="s">
        <v>2875</v>
      </c>
      <c r="E45" s="401" t="s">
        <v>2875</v>
      </c>
      <c r="F45" s="400" t="s">
        <v>2875</v>
      </c>
      <c r="G45" s="400" t="s">
        <v>2875</v>
      </c>
      <c r="H45" s="400" t="s">
        <v>2875</v>
      </c>
      <c r="I45" s="400" t="s">
        <v>2875</v>
      </c>
      <c r="J45" s="400" t="s">
        <v>2875</v>
      </c>
      <c r="K45" s="328" t="s">
        <v>3237</v>
      </c>
      <c r="L45" s="328" t="s">
        <v>2877</v>
      </c>
      <c r="M45" s="328" t="s">
        <v>2877</v>
      </c>
      <c r="N45" s="328" t="s">
        <v>2877</v>
      </c>
      <c r="O45" s="329">
        <v>0</v>
      </c>
      <c r="P45" s="328" t="s">
        <v>3237</v>
      </c>
      <c r="Q45" s="328" t="s">
        <v>2875</v>
      </c>
      <c r="R45" s="329" t="s">
        <v>2875</v>
      </c>
      <c r="S45" s="329">
        <v>446</v>
      </c>
    </row>
    <row r="46" spans="1:19" s="408" customFormat="1">
      <c r="A46" s="972"/>
      <c r="B46" s="988"/>
      <c r="C46" s="327" t="s">
        <v>3238</v>
      </c>
      <c r="D46" s="327" t="s">
        <v>2875</v>
      </c>
      <c r="E46" s="401" t="s">
        <v>2875</v>
      </c>
      <c r="F46" s="400" t="s">
        <v>3232</v>
      </c>
      <c r="G46" s="400" t="s">
        <v>2875</v>
      </c>
      <c r="H46" s="400" t="s">
        <v>2875</v>
      </c>
      <c r="I46" s="400" t="s">
        <v>2875</v>
      </c>
      <c r="J46" s="400" t="s">
        <v>2875</v>
      </c>
      <c r="K46" s="328" t="s">
        <v>3239</v>
      </c>
      <c r="L46" s="328" t="s">
        <v>2877</v>
      </c>
      <c r="M46" s="328" t="s">
        <v>2877</v>
      </c>
      <c r="N46" s="328" t="s">
        <v>2877</v>
      </c>
      <c r="O46" s="329">
        <v>0</v>
      </c>
      <c r="P46" s="328" t="s">
        <v>3239</v>
      </c>
      <c r="Q46" s="328" t="s">
        <v>2875</v>
      </c>
      <c r="R46" s="329" t="s">
        <v>2875</v>
      </c>
      <c r="S46" s="329">
        <v>9000</v>
      </c>
    </row>
    <row r="47" spans="1:19" s="408" customFormat="1">
      <c r="A47" s="972"/>
      <c r="B47" s="988"/>
      <c r="C47" s="327" t="s">
        <v>3240</v>
      </c>
      <c r="D47" s="327" t="s">
        <v>2875</v>
      </c>
      <c r="E47" s="401" t="s">
        <v>2875</v>
      </c>
      <c r="F47" s="400" t="s">
        <v>2875</v>
      </c>
      <c r="G47" s="400" t="s">
        <v>2875</v>
      </c>
      <c r="H47" s="400" t="s">
        <v>2875</v>
      </c>
      <c r="I47" s="400" t="s">
        <v>2875</v>
      </c>
      <c r="J47" s="400" t="s">
        <v>2875</v>
      </c>
      <c r="K47" s="328" t="s">
        <v>3237</v>
      </c>
      <c r="L47" s="328" t="s">
        <v>2877</v>
      </c>
      <c r="M47" s="328" t="s">
        <v>2877</v>
      </c>
      <c r="N47" s="328" t="s">
        <v>2877</v>
      </c>
      <c r="O47" s="329">
        <v>0</v>
      </c>
      <c r="P47" s="328" t="s">
        <v>3237</v>
      </c>
      <c r="Q47" s="328" t="s">
        <v>2875</v>
      </c>
      <c r="R47" s="329" t="s">
        <v>2875</v>
      </c>
      <c r="S47" s="329">
        <v>4455</v>
      </c>
    </row>
    <row r="48" spans="1:19" s="408" customFormat="1">
      <c r="A48" s="972"/>
      <c r="B48" s="988"/>
      <c r="C48" s="327" t="s">
        <v>3241</v>
      </c>
      <c r="D48" s="327" t="s">
        <v>2875</v>
      </c>
      <c r="E48" s="401" t="s">
        <v>2875</v>
      </c>
      <c r="F48" s="400" t="s">
        <v>3213</v>
      </c>
      <c r="G48" s="400" t="s">
        <v>2875</v>
      </c>
      <c r="H48" s="400" t="s">
        <v>2875</v>
      </c>
      <c r="I48" s="400" t="s">
        <v>2875</v>
      </c>
      <c r="J48" s="400" t="s">
        <v>2875</v>
      </c>
      <c r="K48" s="328" t="s">
        <v>3242</v>
      </c>
      <c r="L48" s="328" t="s">
        <v>2877</v>
      </c>
      <c r="M48" s="328" t="s">
        <v>2877</v>
      </c>
      <c r="N48" s="328" t="s">
        <v>2877</v>
      </c>
      <c r="O48" s="329">
        <v>0</v>
      </c>
      <c r="P48" s="328" t="s">
        <v>3242</v>
      </c>
      <c r="Q48" s="328" t="s">
        <v>2875</v>
      </c>
      <c r="R48" s="329" t="s">
        <v>2875</v>
      </c>
      <c r="S48" s="329">
        <v>740</v>
      </c>
    </row>
    <row r="49" spans="1:19" s="408" customFormat="1">
      <c r="A49" s="972"/>
      <c r="B49" s="988"/>
      <c r="C49" s="327" t="s">
        <v>3243</v>
      </c>
      <c r="D49" s="327" t="s">
        <v>2875</v>
      </c>
      <c r="E49" s="401" t="s">
        <v>2875</v>
      </c>
      <c r="F49" s="400" t="s">
        <v>2875</v>
      </c>
      <c r="G49" s="400" t="s">
        <v>2875</v>
      </c>
      <c r="H49" s="400" t="s">
        <v>2875</v>
      </c>
      <c r="I49" s="400" t="s">
        <v>2875</v>
      </c>
      <c r="J49" s="400" t="s">
        <v>2875</v>
      </c>
      <c r="K49" s="328" t="s">
        <v>3244</v>
      </c>
      <c r="L49" s="328" t="s">
        <v>2877</v>
      </c>
      <c r="M49" s="328" t="s">
        <v>2877</v>
      </c>
      <c r="N49" s="328" t="s">
        <v>2877</v>
      </c>
      <c r="O49" s="329">
        <v>0</v>
      </c>
      <c r="P49" s="328" t="s">
        <v>3244</v>
      </c>
      <c r="Q49" s="328" t="s">
        <v>2875</v>
      </c>
      <c r="R49" s="329" t="s">
        <v>2875</v>
      </c>
      <c r="S49" s="329">
        <v>180</v>
      </c>
    </row>
    <row r="50" spans="1:19" s="408" customFormat="1">
      <c r="A50" s="972"/>
      <c r="B50" s="988"/>
      <c r="C50" s="327" t="s">
        <v>3245</v>
      </c>
      <c r="D50" s="327" t="s">
        <v>2875</v>
      </c>
      <c r="E50" s="401" t="s">
        <v>2875</v>
      </c>
      <c r="F50" s="400" t="s">
        <v>3229</v>
      </c>
      <c r="G50" s="400" t="s">
        <v>2875</v>
      </c>
      <c r="H50" s="400" t="s">
        <v>2875</v>
      </c>
      <c r="I50" s="400" t="s">
        <v>2875</v>
      </c>
      <c r="J50" s="400" t="s">
        <v>2875</v>
      </c>
      <c r="K50" s="328" t="s">
        <v>3246</v>
      </c>
      <c r="L50" s="328" t="s">
        <v>2877</v>
      </c>
      <c r="M50" s="328" t="s">
        <v>2877</v>
      </c>
      <c r="N50" s="328" t="s">
        <v>2877</v>
      </c>
      <c r="O50" s="329">
        <v>0</v>
      </c>
      <c r="P50" s="328" t="s">
        <v>3246</v>
      </c>
      <c r="Q50" s="328" t="s">
        <v>2875</v>
      </c>
      <c r="R50" s="329" t="s">
        <v>2875</v>
      </c>
      <c r="S50" s="329">
        <v>35</v>
      </c>
    </row>
    <row r="51" spans="1:19" s="408" customFormat="1">
      <c r="A51" s="972"/>
      <c r="B51" s="988"/>
      <c r="C51" s="327" t="s">
        <v>3247</v>
      </c>
      <c r="D51" s="327" t="s">
        <v>2875</v>
      </c>
      <c r="E51" s="401" t="s">
        <v>2875</v>
      </c>
      <c r="F51" s="400" t="s">
        <v>2875</v>
      </c>
      <c r="G51" s="400" t="s">
        <v>2875</v>
      </c>
      <c r="H51" s="400" t="s">
        <v>2875</v>
      </c>
      <c r="I51" s="400" t="s">
        <v>2875</v>
      </c>
      <c r="J51" s="400" t="s">
        <v>2875</v>
      </c>
      <c r="K51" s="328" t="s">
        <v>3248</v>
      </c>
      <c r="L51" s="328" t="s">
        <v>2877</v>
      </c>
      <c r="M51" s="328" t="s">
        <v>2877</v>
      </c>
      <c r="N51" s="328" t="s">
        <v>2877</v>
      </c>
      <c r="O51" s="329">
        <v>0</v>
      </c>
      <c r="P51" s="328" t="s">
        <v>3248</v>
      </c>
      <c r="Q51" s="328" t="s">
        <v>2875</v>
      </c>
      <c r="R51" s="329" t="s">
        <v>2875</v>
      </c>
      <c r="S51" s="329">
        <v>100</v>
      </c>
    </row>
    <row r="52" spans="1:19" s="408" customFormat="1">
      <c r="A52" s="972"/>
      <c r="B52" s="988"/>
      <c r="C52" s="327" t="s">
        <v>3249</v>
      </c>
      <c r="D52" s="327" t="s">
        <v>2875</v>
      </c>
      <c r="E52" s="401" t="s">
        <v>2875</v>
      </c>
      <c r="F52" s="400" t="s">
        <v>2875</v>
      </c>
      <c r="G52" s="400" t="s">
        <v>2875</v>
      </c>
      <c r="H52" s="400" t="s">
        <v>2875</v>
      </c>
      <c r="I52" s="400" t="s">
        <v>2875</v>
      </c>
      <c r="J52" s="400" t="s">
        <v>2875</v>
      </c>
      <c r="K52" s="328" t="s">
        <v>3246</v>
      </c>
      <c r="L52" s="328" t="s">
        <v>2877</v>
      </c>
      <c r="M52" s="328" t="s">
        <v>2877</v>
      </c>
      <c r="N52" s="328" t="s">
        <v>2877</v>
      </c>
      <c r="O52" s="329">
        <v>0</v>
      </c>
      <c r="P52" s="328" t="s">
        <v>3246</v>
      </c>
      <c r="Q52" s="328" t="s">
        <v>2875</v>
      </c>
      <c r="R52" s="329" t="s">
        <v>2875</v>
      </c>
      <c r="S52" s="329">
        <v>84850</v>
      </c>
    </row>
    <row r="53" spans="1:19" s="408" customFormat="1">
      <c r="A53" s="972"/>
      <c r="B53" s="988"/>
      <c r="C53" s="327" t="s">
        <v>3250</v>
      </c>
      <c r="D53" s="327" t="s">
        <v>2875</v>
      </c>
      <c r="E53" s="401" t="s">
        <v>2875</v>
      </c>
      <c r="F53" s="400" t="s">
        <v>2875</v>
      </c>
      <c r="G53" s="400" t="s">
        <v>2875</v>
      </c>
      <c r="H53" s="400" t="s">
        <v>2875</v>
      </c>
      <c r="I53" s="400" t="s">
        <v>2875</v>
      </c>
      <c r="J53" s="400" t="s">
        <v>2875</v>
      </c>
      <c r="K53" s="328" t="s">
        <v>3251</v>
      </c>
      <c r="L53" s="328" t="s">
        <v>2877</v>
      </c>
      <c r="M53" s="328" t="s">
        <v>2877</v>
      </c>
      <c r="N53" s="328" t="s">
        <v>2877</v>
      </c>
      <c r="O53" s="329">
        <v>0</v>
      </c>
      <c r="P53" s="328" t="s">
        <v>3251</v>
      </c>
      <c r="Q53" s="328" t="s">
        <v>2875</v>
      </c>
      <c r="R53" s="329" t="s">
        <v>2875</v>
      </c>
      <c r="S53" s="329">
        <v>9041.5</v>
      </c>
    </row>
    <row r="54" spans="1:19" s="408" customFormat="1">
      <c r="A54" s="972"/>
      <c r="B54" s="988"/>
      <c r="C54" s="327" t="s">
        <v>3252</v>
      </c>
      <c r="D54" s="327" t="s">
        <v>2875</v>
      </c>
      <c r="E54" s="401" t="s">
        <v>2875</v>
      </c>
      <c r="F54" s="400" t="s">
        <v>2875</v>
      </c>
      <c r="G54" s="400" t="s">
        <v>2875</v>
      </c>
      <c r="H54" s="400" t="s">
        <v>2875</v>
      </c>
      <c r="I54" s="400" t="s">
        <v>2875</v>
      </c>
      <c r="J54" s="400" t="s">
        <v>2875</v>
      </c>
      <c r="K54" s="328" t="s">
        <v>3253</v>
      </c>
      <c r="L54" s="328" t="s">
        <v>2877</v>
      </c>
      <c r="M54" s="328" t="s">
        <v>2877</v>
      </c>
      <c r="N54" s="328" t="s">
        <v>2877</v>
      </c>
      <c r="O54" s="329">
        <v>0</v>
      </c>
      <c r="P54" s="328" t="s">
        <v>3253</v>
      </c>
      <c r="Q54" s="328" t="s">
        <v>2875</v>
      </c>
      <c r="R54" s="329" t="s">
        <v>2875</v>
      </c>
      <c r="S54" s="329">
        <v>180</v>
      </c>
    </row>
    <row r="55" spans="1:19" s="408" customFormat="1">
      <c r="A55" s="972"/>
      <c r="B55" s="988"/>
      <c r="C55" s="327" t="s">
        <v>3254</v>
      </c>
      <c r="D55" s="327" t="s">
        <v>2875</v>
      </c>
      <c r="E55" s="401" t="s">
        <v>2875</v>
      </c>
      <c r="F55" s="400" t="s">
        <v>3255</v>
      </c>
      <c r="G55" s="400" t="s">
        <v>2875</v>
      </c>
      <c r="H55" s="400" t="s">
        <v>2875</v>
      </c>
      <c r="I55" s="400" t="s">
        <v>2875</v>
      </c>
      <c r="J55" s="400" t="s">
        <v>2875</v>
      </c>
      <c r="K55" s="328" t="s">
        <v>3256</v>
      </c>
      <c r="L55" s="328" t="s">
        <v>2877</v>
      </c>
      <c r="M55" s="328" t="s">
        <v>2877</v>
      </c>
      <c r="N55" s="328" t="s">
        <v>2877</v>
      </c>
      <c r="O55" s="329">
        <v>0</v>
      </c>
      <c r="P55" s="328" t="s">
        <v>3256</v>
      </c>
      <c r="Q55" s="328" t="s">
        <v>2875</v>
      </c>
      <c r="R55" s="329" t="s">
        <v>2875</v>
      </c>
      <c r="S55" s="329">
        <v>280</v>
      </c>
    </row>
    <row r="56" spans="1:19" s="408" customFormat="1">
      <c r="A56" s="972"/>
      <c r="B56" s="988"/>
      <c r="C56" s="327" t="s">
        <v>3257</v>
      </c>
      <c r="D56" s="327" t="s">
        <v>2875</v>
      </c>
      <c r="E56" s="401" t="s">
        <v>2875</v>
      </c>
      <c r="F56" s="400" t="s">
        <v>3258</v>
      </c>
      <c r="G56" s="400" t="s">
        <v>2875</v>
      </c>
      <c r="H56" s="400" t="s">
        <v>2875</v>
      </c>
      <c r="I56" s="400" t="s">
        <v>2875</v>
      </c>
      <c r="J56" s="400" t="s">
        <v>2875</v>
      </c>
      <c r="K56" s="328" t="s">
        <v>3259</v>
      </c>
      <c r="L56" s="328" t="s">
        <v>2877</v>
      </c>
      <c r="M56" s="328" t="s">
        <v>2877</v>
      </c>
      <c r="N56" s="328" t="s">
        <v>2877</v>
      </c>
      <c r="O56" s="329">
        <v>0</v>
      </c>
      <c r="P56" s="328" t="s">
        <v>3259</v>
      </c>
      <c r="Q56" s="328" t="s">
        <v>2875</v>
      </c>
      <c r="R56" s="329" t="s">
        <v>2875</v>
      </c>
      <c r="S56" s="329">
        <v>180</v>
      </c>
    </row>
    <row r="57" spans="1:19" s="408" customFormat="1">
      <c r="A57" s="972"/>
      <c r="B57" s="988"/>
      <c r="C57" s="327" t="s">
        <v>3260</v>
      </c>
      <c r="D57" s="327" t="s">
        <v>2875</v>
      </c>
      <c r="E57" s="401" t="s">
        <v>2875</v>
      </c>
      <c r="F57" s="400" t="s">
        <v>2875</v>
      </c>
      <c r="G57" s="400" t="s">
        <v>2875</v>
      </c>
      <c r="H57" s="400" t="s">
        <v>2875</v>
      </c>
      <c r="I57" s="400" t="s">
        <v>2875</v>
      </c>
      <c r="J57" s="400" t="s">
        <v>2875</v>
      </c>
      <c r="K57" s="328" t="s">
        <v>3261</v>
      </c>
      <c r="L57" s="328" t="s">
        <v>2877</v>
      </c>
      <c r="M57" s="328" t="s">
        <v>2877</v>
      </c>
      <c r="N57" s="328" t="s">
        <v>2877</v>
      </c>
      <c r="O57" s="329">
        <v>0</v>
      </c>
      <c r="P57" s="328" t="s">
        <v>3261</v>
      </c>
      <c r="Q57" s="328" t="s">
        <v>2875</v>
      </c>
      <c r="R57" s="329" t="s">
        <v>2875</v>
      </c>
      <c r="S57" s="329">
        <v>1040</v>
      </c>
    </row>
    <row r="58" spans="1:19" s="408" customFormat="1">
      <c r="A58" s="972"/>
      <c r="B58" s="988"/>
      <c r="C58" s="327" t="s">
        <v>3262</v>
      </c>
      <c r="D58" s="327" t="s">
        <v>2875</v>
      </c>
      <c r="E58" s="401" t="s">
        <v>2875</v>
      </c>
      <c r="F58" s="400" t="s">
        <v>2875</v>
      </c>
      <c r="G58" s="400" t="s">
        <v>2875</v>
      </c>
      <c r="H58" s="400" t="s">
        <v>2875</v>
      </c>
      <c r="I58" s="400" t="s">
        <v>2875</v>
      </c>
      <c r="J58" s="400" t="s">
        <v>2875</v>
      </c>
      <c r="K58" s="328" t="s">
        <v>3263</v>
      </c>
      <c r="L58" s="328" t="s">
        <v>2877</v>
      </c>
      <c r="M58" s="328" t="s">
        <v>2877</v>
      </c>
      <c r="N58" s="328" t="s">
        <v>2877</v>
      </c>
      <c r="O58" s="329">
        <v>0</v>
      </c>
      <c r="P58" s="328" t="s">
        <v>3263</v>
      </c>
      <c r="Q58" s="328" t="s">
        <v>2875</v>
      </c>
      <c r="R58" s="329" t="s">
        <v>2875</v>
      </c>
      <c r="S58" s="329">
        <v>150</v>
      </c>
    </row>
    <row r="59" spans="1:19" s="408" customFormat="1">
      <c r="A59" s="972"/>
      <c r="B59" s="988"/>
      <c r="C59" s="327" t="s">
        <v>3264</v>
      </c>
      <c r="D59" s="327" t="s">
        <v>2875</v>
      </c>
      <c r="E59" s="401" t="s">
        <v>2875</v>
      </c>
      <c r="F59" s="400" t="s">
        <v>3232</v>
      </c>
      <c r="G59" s="400" t="s">
        <v>2875</v>
      </c>
      <c r="H59" s="400" t="s">
        <v>2875</v>
      </c>
      <c r="I59" s="400" t="s">
        <v>2875</v>
      </c>
      <c r="J59" s="400" t="s">
        <v>2875</v>
      </c>
      <c r="K59" s="328" t="s">
        <v>3265</v>
      </c>
      <c r="L59" s="328" t="s">
        <v>2877</v>
      </c>
      <c r="M59" s="328" t="s">
        <v>2877</v>
      </c>
      <c r="N59" s="328" t="s">
        <v>2877</v>
      </c>
      <c r="O59" s="329">
        <v>0</v>
      </c>
      <c r="P59" s="328" t="s">
        <v>3265</v>
      </c>
      <c r="Q59" s="328" t="s">
        <v>2875</v>
      </c>
      <c r="R59" s="329" t="s">
        <v>2875</v>
      </c>
      <c r="S59" s="329">
        <v>450</v>
      </c>
    </row>
    <row r="60" spans="1:19" s="408" customFormat="1">
      <c r="A60" s="972"/>
      <c r="B60" s="988"/>
      <c r="C60" s="327" t="s">
        <v>3266</v>
      </c>
      <c r="D60" s="327" t="s">
        <v>2875</v>
      </c>
      <c r="E60" s="401" t="s">
        <v>2875</v>
      </c>
      <c r="F60" s="400" t="s">
        <v>3255</v>
      </c>
      <c r="G60" s="400" t="s">
        <v>2875</v>
      </c>
      <c r="H60" s="400" t="s">
        <v>2875</v>
      </c>
      <c r="I60" s="400" t="s">
        <v>2875</v>
      </c>
      <c r="J60" s="400" t="s">
        <v>2875</v>
      </c>
      <c r="K60" s="328" t="s">
        <v>3267</v>
      </c>
      <c r="L60" s="328" t="s">
        <v>2877</v>
      </c>
      <c r="M60" s="328" t="s">
        <v>2877</v>
      </c>
      <c r="N60" s="328" t="s">
        <v>2877</v>
      </c>
      <c r="O60" s="329">
        <v>0</v>
      </c>
      <c r="P60" s="328" t="s">
        <v>3267</v>
      </c>
      <c r="Q60" s="328" t="s">
        <v>2875</v>
      </c>
      <c r="R60" s="329" t="s">
        <v>2875</v>
      </c>
      <c r="S60" s="329">
        <v>1040</v>
      </c>
    </row>
    <row r="61" spans="1:19" s="408" customFormat="1">
      <c r="A61" s="972"/>
      <c r="B61" s="988"/>
      <c r="C61" s="327" t="s">
        <v>3268</v>
      </c>
      <c r="D61" s="327" t="s">
        <v>2875</v>
      </c>
      <c r="E61" s="401" t="s">
        <v>2875</v>
      </c>
      <c r="F61" s="400" t="s">
        <v>2875</v>
      </c>
      <c r="G61" s="400" t="s">
        <v>2875</v>
      </c>
      <c r="H61" s="400" t="s">
        <v>2875</v>
      </c>
      <c r="I61" s="400" t="s">
        <v>2875</v>
      </c>
      <c r="J61" s="400" t="s">
        <v>2875</v>
      </c>
      <c r="K61" s="328" t="s">
        <v>3114</v>
      </c>
      <c r="L61" s="328" t="s">
        <v>2877</v>
      </c>
      <c r="M61" s="328" t="s">
        <v>2877</v>
      </c>
      <c r="N61" s="328" t="s">
        <v>2877</v>
      </c>
      <c r="O61" s="329">
        <v>0</v>
      </c>
      <c r="P61" s="328" t="s">
        <v>3114</v>
      </c>
      <c r="Q61" s="328" t="s">
        <v>2875</v>
      </c>
      <c r="R61" s="329" t="s">
        <v>2875</v>
      </c>
      <c r="S61" s="329">
        <v>802</v>
      </c>
    </row>
    <row r="62" spans="1:19" s="408" customFormat="1">
      <c r="A62" s="972"/>
      <c r="B62" s="988"/>
      <c r="C62" s="327" t="s">
        <v>3269</v>
      </c>
      <c r="D62" s="327" t="s">
        <v>2875</v>
      </c>
      <c r="E62" s="401" t="s">
        <v>2875</v>
      </c>
      <c r="F62" s="400" t="s">
        <v>2875</v>
      </c>
      <c r="G62" s="400" t="s">
        <v>2875</v>
      </c>
      <c r="H62" s="400" t="s">
        <v>2875</v>
      </c>
      <c r="I62" s="400" t="s">
        <v>2875</v>
      </c>
      <c r="J62" s="400" t="s">
        <v>2875</v>
      </c>
      <c r="K62" s="328" t="s">
        <v>3270</v>
      </c>
      <c r="L62" s="328" t="s">
        <v>2877</v>
      </c>
      <c r="M62" s="328" t="s">
        <v>2877</v>
      </c>
      <c r="N62" s="328" t="s">
        <v>2877</v>
      </c>
      <c r="O62" s="329">
        <v>0</v>
      </c>
      <c r="P62" s="328" t="s">
        <v>3270</v>
      </c>
      <c r="Q62" s="328" t="s">
        <v>2875</v>
      </c>
      <c r="R62" s="329" t="s">
        <v>2875</v>
      </c>
      <c r="S62" s="329">
        <v>3375</v>
      </c>
    </row>
    <row r="63" spans="1:19" s="408" customFormat="1">
      <c r="A63" s="972"/>
      <c r="B63" s="988"/>
      <c r="C63" s="327" t="s">
        <v>3271</v>
      </c>
      <c r="D63" s="327" t="s">
        <v>2875</v>
      </c>
      <c r="E63" s="401" t="s">
        <v>2875</v>
      </c>
      <c r="F63" s="400" t="s">
        <v>3272</v>
      </c>
      <c r="G63" s="400" t="s">
        <v>2875</v>
      </c>
      <c r="H63" s="400" t="s">
        <v>2875</v>
      </c>
      <c r="I63" s="400" t="s">
        <v>2875</v>
      </c>
      <c r="J63" s="400" t="s">
        <v>2875</v>
      </c>
      <c r="K63" s="328" t="s">
        <v>3273</v>
      </c>
      <c r="L63" s="328" t="s">
        <v>2877</v>
      </c>
      <c r="M63" s="328" t="s">
        <v>2877</v>
      </c>
      <c r="N63" s="328" t="s">
        <v>2877</v>
      </c>
      <c r="O63" s="329">
        <v>0</v>
      </c>
      <c r="P63" s="328" t="s">
        <v>3273</v>
      </c>
      <c r="Q63" s="328" t="s">
        <v>2875</v>
      </c>
      <c r="R63" s="329" t="s">
        <v>2875</v>
      </c>
      <c r="S63" s="329">
        <v>450</v>
      </c>
    </row>
    <row r="64" spans="1:19" s="408" customFormat="1">
      <c r="A64" s="972"/>
      <c r="B64" s="988"/>
      <c r="C64" s="327" t="s">
        <v>3274</v>
      </c>
      <c r="D64" s="327" t="s">
        <v>2875</v>
      </c>
      <c r="E64" s="401" t="s">
        <v>2875</v>
      </c>
      <c r="F64" s="400" t="s">
        <v>3275</v>
      </c>
      <c r="G64" s="400" t="s">
        <v>2875</v>
      </c>
      <c r="H64" s="400" t="s">
        <v>2875</v>
      </c>
      <c r="I64" s="400" t="s">
        <v>2875</v>
      </c>
      <c r="J64" s="400" t="s">
        <v>2875</v>
      </c>
      <c r="K64" s="328" t="s">
        <v>3276</v>
      </c>
      <c r="L64" s="328" t="s">
        <v>2877</v>
      </c>
      <c r="M64" s="328" t="s">
        <v>2877</v>
      </c>
      <c r="N64" s="328" t="s">
        <v>2877</v>
      </c>
      <c r="O64" s="329">
        <v>0</v>
      </c>
      <c r="P64" s="328" t="s">
        <v>3276</v>
      </c>
      <c r="Q64" s="328" t="s">
        <v>2875</v>
      </c>
      <c r="R64" s="329" t="s">
        <v>2875</v>
      </c>
      <c r="S64" s="329">
        <v>3532</v>
      </c>
    </row>
    <row r="65" spans="1:19" s="408" customFormat="1">
      <c r="A65" s="972"/>
      <c r="B65" s="988"/>
      <c r="C65" s="327" t="s">
        <v>3277</v>
      </c>
      <c r="D65" s="327" t="s">
        <v>2875</v>
      </c>
      <c r="E65" s="401" t="s">
        <v>2875</v>
      </c>
      <c r="F65" s="400" t="s">
        <v>2875</v>
      </c>
      <c r="G65" s="400" t="s">
        <v>2875</v>
      </c>
      <c r="H65" s="400" t="s">
        <v>2875</v>
      </c>
      <c r="I65" s="400" t="s">
        <v>2875</v>
      </c>
      <c r="J65" s="400" t="s">
        <v>2875</v>
      </c>
      <c r="K65" s="328" t="s">
        <v>3278</v>
      </c>
      <c r="L65" s="328" t="s">
        <v>2877</v>
      </c>
      <c r="M65" s="328" t="s">
        <v>2877</v>
      </c>
      <c r="N65" s="328" t="s">
        <v>2877</v>
      </c>
      <c r="O65" s="329">
        <v>0</v>
      </c>
      <c r="P65" s="328" t="s">
        <v>3278</v>
      </c>
      <c r="Q65" s="328" t="s">
        <v>2875</v>
      </c>
      <c r="R65" s="329" t="s">
        <v>2875</v>
      </c>
      <c r="S65" s="329">
        <v>850</v>
      </c>
    </row>
    <row r="66" spans="1:19" s="408" customFormat="1">
      <c r="A66" s="972"/>
      <c r="B66" s="988"/>
      <c r="C66" s="327" t="s">
        <v>3277</v>
      </c>
      <c r="D66" s="327" t="s">
        <v>2875</v>
      </c>
      <c r="E66" s="401" t="s">
        <v>2875</v>
      </c>
      <c r="F66" s="400" t="s">
        <v>2875</v>
      </c>
      <c r="G66" s="400" t="s">
        <v>2875</v>
      </c>
      <c r="H66" s="400" t="s">
        <v>2875</v>
      </c>
      <c r="I66" s="400" t="s">
        <v>2875</v>
      </c>
      <c r="J66" s="400" t="s">
        <v>2875</v>
      </c>
      <c r="K66" s="328" t="s">
        <v>3278</v>
      </c>
      <c r="L66" s="328" t="s">
        <v>2877</v>
      </c>
      <c r="M66" s="328" t="s">
        <v>2877</v>
      </c>
      <c r="N66" s="328" t="s">
        <v>2877</v>
      </c>
      <c r="O66" s="329">
        <v>0</v>
      </c>
      <c r="P66" s="328" t="s">
        <v>2875</v>
      </c>
      <c r="Q66" s="328" t="s">
        <v>2875</v>
      </c>
      <c r="R66" s="329" t="s">
        <v>2875</v>
      </c>
      <c r="S66" s="329"/>
    </row>
    <row r="67" spans="1:19">
      <c r="A67" s="350"/>
      <c r="B67" s="351" t="s">
        <v>2979</v>
      </c>
      <c r="C67" s="351"/>
      <c r="D67" s="351"/>
      <c r="E67" s="373"/>
      <c r="F67" s="374"/>
      <c r="G67" s="374"/>
      <c r="H67" s="374"/>
      <c r="I67" s="374"/>
      <c r="J67" s="374"/>
      <c r="K67" s="354"/>
      <c r="L67" s="354"/>
      <c r="M67" s="355"/>
      <c r="N67" s="355"/>
      <c r="O67" s="356">
        <f>SUM(O27:O66)</f>
        <v>0</v>
      </c>
      <c r="P67" s="354"/>
      <c r="Q67" s="354"/>
      <c r="R67" s="355"/>
      <c r="S67" s="356">
        <f>SUM(S27:S66)</f>
        <v>240603.5</v>
      </c>
    </row>
    <row r="68" spans="1:19">
      <c r="A68" s="980">
        <v>5</v>
      </c>
      <c r="B68" s="989" t="s">
        <v>564</v>
      </c>
      <c r="C68" s="359" t="s">
        <v>3279</v>
      </c>
      <c r="D68" s="359" t="s">
        <v>3280</v>
      </c>
      <c r="E68" s="412" t="s">
        <v>2875</v>
      </c>
      <c r="F68" s="413" t="s">
        <v>3281</v>
      </c>
      <c r="G68" s="413" t="s">
        <v>3282</v>
      </c>
      <c r="H68" s="413" t="s">
        <v>3283</v>
      </c>
      <c r="I68" s="413" t="s">
        <v>3284</v>
      </c>
      <c r="J68" s="413"/>
      <c r="K68" s="360" t="s">
        <v>3207</v>
      </c>
      <c r="L68" s="360" t="s">
        <v>2875</v>
      </c>
      <c r="M68" s="361" t="s">
        <v>2875</v>
      </c>
      <c r="N68" s="361">
        <v>1864</v>
      </c>
      <c r="O68" s="361">
        <v>1864</v>
      </c>
      <c r="P68" s="360" t="s">
        <v>2877</v>
      </c>
      <c r="Q68" s="360" t="s">
        <v>2877</v>
      </c>
      <c r="R68" s="361" t="s">
        <v>2877</v>
      </c>
      <c r="S68" s="361">
        <v>0</v>
      </c>
    </row>
    <row r="69" spans="1:19">
      <c r="A69" s="980"/>
      <c r="B69" s="989"/>
      <c r="C69" s="359" t="s">
        <v>3285</v>
      </c>
      <c r="D69" s="359" t="s">
        <v>3286</v>
      </c>
      <c r="E69" s="412" t="s">
        <v>2875</v>
      </c>
      <c r="F69" s="413" t="s">
        <v>3287</v>
      </c>
      <c r="G69" s="413" t="s">
        <v>3288</v>
      </c>
      <c r="H69" s="413" t="s">
        <v>938</v>
      </c>
      <c r="I69" s="413"/>
      <c r="J69" s="413"/>
      <c r="K69" s="360" t="s">
        <v>3289</v>
      </c>
      <c r="L69" s="360" t="s">
        <v>2875</v>
      </c>
      <c r="M69" s="361" t="s">
        <v>2875</v>
      </c>
      <c r="N69" s="361">
        <v>3277.51</v>
      </c>
      <c r="O69" s="361">
        <v>3277.51</v>
      </c>
      <c r="P69" s="360" t="s">
        <v>2877</v>
      </c>
      <c r="Q69" s="360" t="s">
        <v>2877</v>
      </c>
      <c r="R69" s="361" t="s">
        <v>2877</v>
      </c>
      <c r="S69" s="361">
        <v>0</v>
      </c>
    </row>
    <row r="70" spans="1:19">
      <c r="A70" s="980"/>
      <c r="B70" s="989"/>
      <c r="C70" s="359" t="s">
        <v>3290</v>
      </c>
      <c r="D70" s="359" t="s">
        <v>3291</v>
      </c>
      <c r="E70" s="412" t="s">
        <v>2875</v>
      </c>
      <c r="F70" s="413" t="s">
        <v>3292</v>
      </c>
      <c r="G70" s="413" t="s">
        <v>3293</v>
      </c>
      <c r="H70" s="413" t="s">
        <v>3294</v>
      </c>
      <c r="I70" s="413"/>
      <c r="J70" s="413"/>
      <c r="K70" s="360" t="s">
        <v>2987</v>
      </c>
      <c r="L70" s="360" t="s">
        <v>2875</v>
      </c>
      <c r="M70" s="361" t="s">
        <v>2875</v>
      </c>
      <c r="N70" s="361">
        <v>26470</v>
      </c>
      <c r="O70" s="361">
        <v>26470</v>
      </c>
      <c r="P70" s="360" t="s">
        <v>2877</v>
      </c>
      <c r="Q70" s="360" t="s">
        <v>2877</v>
      </c>
      <c r="R70" s="361" t="s">
        <v>2877</v>
      </c>
      <c r="S70" s="361">
        <v>0</v>
      </c>
    </row>
    <row r="71" spans="1:19">
      <c r="A71" s="980"/>
      <c r="B71" s="989"/>
      <c r="C71" s="359" t="s">
        <v>3295</v>
      </c>
      <c r="D71" s="359" t="s">
        <v>3296</v>
      </c>
      <c r="E71" s="412" t="s">
        <v>2875</v>
      </c>
      <c r="F71" s="413" t="s">
        <v>3292</v>
      </c>
      <c r="G71" s="413" t="s">
        <v>3293</v>
      </c>
      <c r="H71" s="413" t="s">
        <v>3294</v>
      </c>
      <c r="I71" s="413"/>
      <c r="J71" s="413" t="s">
        <v>3297</v>
      </c>
      <c r="K71" s="360" t="s">
        <v>3298</v>
      </c>
      <c r="L71" s="360" t="s">
        <v>2875</v>
      </c>
      <c r="M71" s="361" t="s">
        <v>2875</v>
      </c>
      <c r="N71" s="361">
        <v>8340</v>
      </c>
      <c r="O71" s="361">
        <v>8340</v>
      </c>
      <c r="P71" s="360" t="s">
        <v>2877</v>
      </c>
      <c r="Q71" s="360" t="s">
        <v>2877</v>
      </c>
      <c r="R71" s="361" t="s">
        <v>2877</v>
      </c>
      <c r="S71" s="361">
        <v>0</v>
      </c>
    </row>
    <row r="72" spans="1:19">
      <c r="A72" s="980"/>
      <c r="B72" s="989"/>
      <c r="C72" s="359" t="s">
        <v>3299</v>
      </c>
      <c r="D72" s="359" t="s">
        <v>3300</v>
      </c>
      <c r="E72" s="412" t="s">
        <v>2875</v>
      </c>
      <c r="F72" s="413" t="s">
        <v>3301</v>
      </c>
      <c r="G72" s="413" t="s">
        <v>3302</v>
      </c>
      <c r="H72" s="413" t="s">
        <v>3303</v>
      </c>
      <c r="I72" s="413" t="s">
        <v>3304</v>
      </c>
      <c r="J72" s="413" t="s">
        <v>3297</v>
      </c>
      <c r="K72" s="360" t="s">
        <v>3305</v>
      </c>
      <c r="L72" s="360" t="s">
        <v>2875</v>
      </c>
      <c r="M72" s="361" t="s">
        <v>2875</v>
      </c>
      <c r="N72" s="361">
        <v>36400</v>
      </c>
      <c r="O72" s="361">
        <v>36400</v>
      </c>
      <c r="P72" s="360" t="s">
        <v>2877</v>
      </c>
      <c r="Q72" s="360" t="s">
        <v>2877</v>
      </c>
      <c r="R72" s="361" t="s">
        <v>2877</v>
      </c>
      <c r="S72" s="361">
        <v>0</v>
      </c>
    </row>
    <row r="73" spans="1:19">
      <c r="A73" s="980"/>
      <c r="B73" s="989"/>
      <c r="C73" s="359" t="s">
        <v>3306</v>
      </c>
      <c r="D73" s="359" t="s">
        <v>3307</v>
      </c>
      <c r="E73" s="412" t="s">
        <v>2875</v>
      </c>
      <c r="F73" s="413" t="s">
        <v>3281</v>
      </c>
      <c r="G73" s="413" t="s">
        <v>3302</v>
      </c>
      <c r="H73" s="413" t="s">
        <v>3308</v>
      </c>
      <c r="I73" s="413" t="s">
        <v>3309</v>
      </c>
      <c r="J73" s="413" t="s">
        <v>3297</v>
      </c>
      <c r="K73" s="360" t="s">
        <v>3310</v>
      </c>
      <c r="L73" s="360" t="s">
        <v>2875</v>
      </c>
      <c r="M73" s="361" t="s">
        <v>2875</v>
      </c>
      <c r="N73" s="361">
        <v>13000</v>
      </c>
      <c r="O73" s="361">
        <v>13000</v>
      </c>
      <c r="P73" s="360" t="s">
        <v>2877</v>
      </c>
      <c r="Q73" s="360" t="s">
        <v>2877</v>
      </c>
      <c r="R73" s="361" t="s">
        <v>2877</v>
      </c>
      <c r="S73" s="361">
        <v>0</v>
      </c>
    </row>
    <row r="74" spans="1:19">
      <c r="A74" s="980"/>
      <c r="B74" s="989"/>
      <c r="C74" s="359" t="s">
        <v>3311</v>
      </c>
      <c r="D74" s="359" t="s">
        <v>3312</v>
      </c>
      <c r="E74" s="412" t="s">
        <v>2875</v>
      </c>
      <c r="F74" s="413" t="s">
        <v>3313</v>
      </c>
      <c r="G74" s="413" t="s">
        <v>3282</v>
      </c>
      <c r="H74" s="413" t="s">
        <v>3314</v>
      </c>
      <c r="I74" s="413" t="s">
        <v>3314</v>
      </c>
      <c r="J74" s="413" t="s">
        <v>3315</v>
      </c>
      <c r="K74" s="360" t="s">
        <v>3316</v>
      </c>
      <c r="L74" s="360" t="s">
        <v>2875</v>
      </c>
      <c r="M74" s="361" t="s">
        <v>2875</v>
      </c>
      <c r="N74" s="361">
        <v>40000</v>
      </c>
      <c r="O74" s="361">
        <v>40000</v>
      </c>
      <c r="P74" s="360" t="s">
        <v>2877</v>
      </c>
      <c r="Q74" s="360" t="s">
        <v>2877</v>
      </c>
      <c r="R74" s="361" t="s">
        <v>2877</v>
      </c>
      <c r="S74" s="361">
        <v>0</v>
      </c>
    </row>
    <row r="75" spans="1:19">
      <c r="A75" s="980"/>
      <c r="B75" s="989"/>
      <c r="C75" s="359" t="s">
        <v>3317</v>
      </c>
      <c r="D75" s="359" t="s">
        <v>3291</v>
      </c>
      <c r="E75" s="412" t="s">
        <v>2875</v>
      </c>
      <c r="F75" s="413" t="s">
        <v>3313</v>
      </c>
      <c r="G75" s="413" t="s">
        <v>3293</v>
      </c>
      <c r="H75" s="413" t="s">
        <v>3303</v>
      </c>
      <c r="I75" s="413" t="s">
        <v>3318</v>
      </c>
      <c r="J75" s="413" t="s">
        <v>3297</v>
      </c>
      <c r="K75" s="360" t="s">
        <v>3319</v>
      </c>
      <c r="L75" s="360" t="s">
        <v>2875</v>
      </c>
      <c r="M75" s="361" t="s">
        <v>2875</v>
      </c>
      <c r="N75" s="361">
        <v>1350</v>
      </c>
      <c r="O75" s="361">
        <v>1350</v>
      </c>
      <c r="P75" s="360" t="s">
        <v>2877</v>
      </c>
      <c r="Q75" s="360" t="s">
        <v>2877</v>
      </c>
      <c r="R75" s="361" t="s">
        <v>2877</v>
      </c>
      <c r="S75" s="361">
        <v>0</v>
      </c>
    </row>
    <row r="76" spans="1:19">
      <c r="A76" s="980"/>
      <c r="B76" s="989"/>
      <c r="C76" s="359" t="s">
        <v>3320</v>
      </c>
      <c r="D76" s="359" t="s">
        <v>3291</v>
      </c>
      <c r="E76" s="412" t="s">
        <v>2875</v>
      </c>
      <c r="F76" s="413" t="s">
        <v>3313</v>
      </c>
      <c r="G76" s="413" t="s">
        <v>3293</v>
      </c>
      <c r="H76" s="413" t="s">
        <v>3303</v>
      </c>
      <c r="I76" s="413" t="s">
        <v>3318</v>
      </c>
      <c r="J76" s="413" t="s">
        <v>3297</v>
      </c>
      <c r="K76" s="360" t="s">
        <v>3321</v>
      </c>
      <c r="L76" s="360" t="s">
        <v>2875</v>
      </c>
      <c r="M76" s="361" t="s">
        <v>2875</v>
      </c>
      <c r="N76" s="361">
        <v>10000</v>
      </c>
      <c r="O76" s="361">
        <v>10000</v>
      </c>
      <c r="P76" s="360" t="s">
        <v>2877</v>
      </c>
      <c r="Q76" s="360" t="s">
        <v>2877</v>
      </c>
      <c r="R76" s="361" t="s">
        <v>2877</v>
      </c>
      <c r="S76" s="361">
        <v>0</v>
      </c>
    </row>
    <row r="77" spans="1:19">
      <c r="A77" s="980"/>
      <c r="B77" s="989"/>
      <c r="C77" s="359" t="s">
        <v>3322</v>
      </c>
      <c r="D77" s="359" t="s">
        <v>3291</v>
      </c>
      <c r="E77" s="412" t="s">
        <v>2875</v>
      </c>
      <c r="F77" s="413" t="s">
        <v>3313</v>
      </c>
      <c r="G77" s="413" t="s">
        <v>3293</v>
      </c>
      <c r="H77" s="413" t="s">
        <v>3303</v>
      </c>
      <c r="I77" s="413" t="s">
        <v>3318</v>
      </c>
      <c r="J77" s="413" t="s">
        <v>3297</v>
      </c>
      <c r="K77" s="360" t="s">
        <v>3323</v>
      </c>
      <c r="L77" s="360" t="s">
        <v>2875</v>
      </c>
      <c r="M77" s="361" t="s">
        <v>2875</v>
      </c>
      <c r="N77" s="361">
        <v>10000</v>
      </c>
      <c r="O77" s="361">
        <v>10000</v>
      </c>
      <c r="P77" s="360" t="s">
        <v>2877</v>
      </c>
      <c r="Q77" s="360" t="s">
        <v>2877</v>
      </c>
      <c r="R77" s="361" t="s">
        <v>2877</v>
      </c>
      <c r="S77" s="361">
        <v>0</v>
      </c>
    </row>
    <row r="78" spans="1:19">
      <c r="A78" s="980"/>
      <c r="B78" s="989"/>
      <c r="C78" s="359" t="s">
        <v>3324</v>
      </c>
      <c r="D78" s="359" t="s">
        <v>3291</v>
      </c>
      <c r="E78" s="412" t="s">
        <v>2875</v>
      </c>
      <c r="F78" s="413" t="s">
        <v>3281</v>
      </c>
      <c r="G78" s="413" t="s">
        <v>3281</v>
      </c>
      <c r="H78" s="413" t="s">
        <v>3325</v>
      </c>
      <c r="I78" s="413" t="s">
        <v>3326</v>
      </c>
      <c r="J78" s="413" t="s">
        <v>3297</v>
      </c>
      <c r="K78" s="360" t="s">
        <v>3327</v>
      </c>
      <c r="L78" s="360" t="s">
        <v>2875</v>
      </c>
      <c r="M78" s="361" t="s">
        <v>2875</v>
      </c>
      <c r="N78" s="361">
        <v>5000</v>
      </c>
      <c r="O78" s="361">
        <v>5000</v>
      </c>
      <c r="P78" s="360" t="s">
        <v>2877</v>
      </c>
      <c r="Q78" s="360" t="s">
        <v>2877</v>
      </c>
      <c r="R78" s="361" t="s">
        <v>2877</v>
      </c>
      <c r="S78" s="361">
        <v>0</v>
      </c>
    </row>
    <row r="79" spans="1:19">
      <c r="A79" s="980"/>
      <c r="B79" s="989"/>
      <c r="C79" s="359" t="s">
        <v>3328</v>
      </c>
      <c r="D79" s="359" t="s">
        <v>3309</v>
      </c>
      <c r="E79" s="412" t="s">
        <v>2875</v>
      </c>
      <c r="F79" s="413" t="s">
        <v>3281</v>
      </c>
      <c r="G79" s="413" t="s">
        <v>3329</v>
      </c>
      <c r="H79" s="413" t="s">
        <v>3308</v>
      </c>
      <c r="I79" s="413" t="s">
        <v>3309</v>
      </c>
      <c r="J79" s="413" t="s">
        <v>3297</v>
      </c>
      <c r="K79" s="360" t="s">
        <v>3319</v>
      </c>
      <c r="L79" s="360" t="s">
        <v>2875</v>
      </c>
      <c r="M79" s="361" t="s">
        <v>2875</v>
      </c>
      <c r="N79" s="361">
        <v>2950</v>
      </c>
      <c r="O79" s="361">
        <v>2950</v>
      </c>
      <c r="P79" s="360" t="s">
        <v>2877</v>
      </c>
      <c r="Q79" s="360" t="s">
        <v>2877</v>
      </c>
      <c r="R79" s="361" t="s">
        <v>2877</v>
      </c>
      <c r="S79" s="361">
        <v>0</v>
      </c>
    </row>
    <row r="80" spans="1:19">
      <c r="A80" s="980"/>
      <c r="B80" s="989"/>
      <c r="C80" s="359" t="s">
        <v>3330</v>
      </c>
      <c r="D80" s="359" t="s">
        <v>3331</v>
      </c>
      <c r="E80" s="412" t="s">
        <v>2875</v>
      </c>
      <c r="F80" s="413" t="s">
        <v>3000</v>
      </c>
      <c r="G80" s="413" t="s">
        <v>3000</v>
      </c>
      <c r="H80" s="413" t="s">
        <v>3331</v>
      </c>
      <c r="I80" s="413" t="s">
        <v>3318</v>
      </c>
      <c r="J80" s="413" t="s">
        <v>3297</v>
      </c>
      <c r="K80" s="360" t="s">
        <v>3332</v>
      </c>
      <c r="L80" s="360" t="s">
        <v>2875</v>
      </c>
      <c r="M80" s="361" t="s">
        <v>2875</v>
      </c>
      <c r="N80" s="361">
        <v>2000</v>
      </c>
      <c r="O80" s="361">
        <v>2000</v>
      </c>
      <c r="P80" s="360" t="s">
        <v>2877</v>
      </c>
      <c r="Q80" s="360" t="s">
        <v>2877</v>
      </c>
      <c r="R80" s="361" t="s">
        <v>2877</v>
      </c>
      <c r="S80" s="361">
        <v>0</v>
      </c>
    </row>
    <row r="81" spans="1:19">
      <c r="A81" s="980"/>
      <c r="B81" s="989"/>
      <c r="C81" s="359" t="s">
        <v>3333</v>
      </c>
      <c r="D81" s="359" t="s">
        <v>843</v>
      </c>
      <c r="E81" s="412" t="s">
        <v>2875</v>
      </c>
      <c r="F81" s="413" t="s">
        <v>3334</v>
      </c>
      <c r="G81" s="413" t="s">
        <v>3334</v>
      </c>
      <c r="H81" s="413" t="s">
        <v>3331</v>
      </c>
      <c r="I81" s="413" t="s">
        <v>3318</v>
      </c>
      <c r="J81" s="413" t="s">
        <v>3297</v>
      </c>
      <c r="K81" s="360" t="s">
        <v>3335</v>
      </c>
      <c r="L81" s="360" t="s">
        <v>2875</v>
      </c>
      <c r="M81" s="361" t="s">
        <v>2875</v>
      </c>
      <c r="N81" s="361">
        <v>3000</v>
      </c>
      <c r="O81" s="361">
        <v>3000</v>
      </c>
      <c r="P81" s="360" t="s">
        <v>2877</v>
      </c>
      <c r="Q81" s="360" t="s">
        <v>2877</v>
      </c>
      <c r="R81" s="361" t="s">
        <v>2877</v>
      </c>
      <c r="S81" s="361">
        <v>0</v>
      </c>
    </row>
    <row r="82" spans="1:19">
      <c r="A82" s="980"/>
      <c r="B82" s="989"/>
      <c r="C82" s="359" t="s">
        <v>3336</v>
      </c>
      <c r="D82" s="359" t="s">
        <v>3291</v>
      </c>
      <c r="E82" s="412" t="s">
        <v>2875</v>
      </c>
      <c r="F82" s="413" t="s">
        <v>3313</v>
      </c>
      <c r="G82" s="413" t="s">
        <v>3282</v>
      </c>
      <c r="H82" s="413" t="s">
        <v>3337</v>
      </c>
      <c r="I82" s="413" t="s">
        <v>3337</v>
      </c>
      <c r="J82" s="413" t="s">
        <v>3297</v>
      </c>
      <c r="K82" s="360" t="s">
        <v>3332</v>
      </c>
      <c r="L82" s="360" t="s">
        <v>2875</v>
      </c>
      <c r="M82" s="361" t="s">
        <v>2875</v>
      </c>
      <c r="N82" s="361">
        <v>1500</v>
      </c>
      <c r="O82" s="361">
        <v>1500</v>
      </c>
      <c r="P82" s="360" t="s">
        <v>2877</v>
      </c>
      <c r="Q82" s="360" t="s">
        <v>2877</v>
      </c>
      <c r="R82" s="361" t="s">
        <v>2877</v>
      </c>
      <c r="S82" s="361">
        <v>0</v>
      </c>
    </row>
    <row r="83" spans="1:19">
      <c r="A83" s="980"/>
      <c r="B83" s="989"/>
      <c r="C83" s="359" t="s">
        <v>3338</v>
      </c>
      <c r="D83" s="359" t="s">
        <v>3313</v>
      </c>
      <c r="E83" s="412" t="s">
        <v>2875</v>
      </c>
      <c r="F83" s="413" t="s">
        <v>3313</v>
      </c>
      <c r="G83" s="413" t="s">
        <v>3293</v>
      </c>
      <c r="H83" s="413" t="s">
        <v>3294</v>
      </c>
      <c r="I83" s="413" t="s">
        <v>3318</v>
      </c>
      <c r="J83" s="413" t="s">
        <v>3297</v>
      </c>
      <c r="K83" s="360" t="s">
        <v>3335</v>
      </c>
      <c r="L83" s="360" t="s">
        <v>2875</v>
      </c>
      <c r="M83" s="361" t="s">
        <v>2875</v>
      </c>
      <c r="N83" s="361">
        <v>15000</v>
      </c>
      <c r="O83" s="361">
        <v>15000</v>
      </c>
      <c r="P83" s="360" t="s">
        <v>2877</v>
      </c>
      <c r="Q83" s="360" t="s">
        <v>2877</v>
      </c>
      <c r="R83" s="361" t="s">
        <v>2877</v>
      </c>
      <c r="S83" s="361">
        <v>0</v>
      </c>
    </row>
    <row r="84" spans="1:19">
      <c r="A84" s="980"/>
      <c r="B84" s="989"/>
      <c r="C84" s="359" t="s">
        <v>3339</v>
      </c>
      <c r="D84" s="359" t="s">
        <v>3313</v>
      </c>
      <c r="E84" s="412" t="s">
        <v>2875</v>
      </c>
      <c r="F84" s="413" t="s">
        <v>3313</v>
      </c>
      <c r="G84" s="413" t="s">
        <v>3293</v>
      </c>
      <c r="H84" s="413" t="s">
        <v>3294</v>
      </c>
      <c r="I84" s="413" t="s">
        <v>3318</v>
      </c>
      <c r="J84" s="413" t="s">
        <v>3297</v>
      </c>
      <c r="K84" s="360" t="s">
        <v>3340</v>
      </c>
      <c r="L84" s="360" t="s">
        <v>2875</v>
      </c>
      <c r="M84" s="361" t="s">
        <v>2875</v>
      </c>
      <c r="N84" s="361">
        <v>13500</v>
      </c>
      <c r="O84" s="361">
        <v>13500</v>
      </c>
      <c r="P84" s="360" t="s">
        <v>2877</v>
      </c>
      <c r="Q84" s="360" t="s">
        <v>2877</v>
      </c>
      <c r="R84" s="361" t="s">
        <v>2877</v>
      </c>
      <c r="S84" s="361">
        <v>0</v>
      </c>
    </row>
    <row r="85" spans="1:19">
      <c r="A85" s="980"/>
      <c r="B85" s="989"/>
      <c r="C85" s="359" t="s">
        <v>3341</v>
      </c>
      <c r="D85" s="359" t="s">
        <v>3342</v>
      </c>
      <c r="E85" s="412" t="s">
        <v>2875</v>
      </c>
      <c r="F85" s="413" t="s">
        <v>3334</v>
      </c>
      <c r="G85" s="413" t="s">
        <v>3334</v>
      </c>
      <c r="H85" s="413" t="s">
        <v>3343</v>
      </c>
      <c r="I85" s="413"/>
      <c r="J85" s="413" t="s">
        <v>3297</v>
      </c>
      <c r="K85" s="360" t="s">
        <v>3344</v>
      </c>
      <c r="L85" s="360" t="s">
        <v>2875</v>
      </c>
      <c r="M85" s="361" t="s">
        <v>2875</v>
      </c>
      <c r="N85" s="361">
        <v>9150</v>
      </c>
      <c r="O85" s="361">
        <v>9150</v>
      </c>
      <c r="P85" s="360" t="s">
        <v>2877</v>
      </c>
      <c r="Q85" s="360" t="s">
        <v>2877</v>
      </c>
      <c r="R85" s="361" t="s">
        <v>2877</v>
      </c>
      <c r="S85" s="361">
        <v>0</v>
      </c>
    </row>
    <row r="86" spans="1:19">
      <c r="A86" s="980"/>
      <c r="B86" s="989"/>
      <c r="C86" s="359" t="s">
        <v>3345</v>
      </c>
      <c r="D86" s="359" t="s">
        <v>3309</v>
      </c>
      <c r="E86" s="412" t="s">
        <v>2875</v>
      </c>
      <c r="F86" s="413" t="s">
        <v>3302</v>
      </c>
      <c r="G86" s="413" t="s">
        <v>3346</v>
      </c>
      <c r="H86" s="413" t="s">
        <v>3308</v>
      </c>
      <c r="I86" s="413" t="s">
        <v>3309</v>
      </c>
      <c r="J86" s="413" t="s">
        <v>3297</v>
      </c>
      <c r="K86" s="360" t="s">
        <v>3347</v>
      </c>
      <c r="L86" s="360" t="s">
        <v>2875</v>
      </c>
      <c r="M86" s="361" t="s">
        <v>2875</v>
      </c>
      <c r="N86" s="361">
        <v>2600</v>
      </c>
      <c r="O86" s="361">
        <v>2600</v>
      </c>
      <c r="P86" s="360" t="s">
        <v>2877</v>
      </c>
      <c r="Q86" s="360" t="s">
        <v>2877</v>
      </c>
      <c r="R86" s="361" t="s">
        <v>2877</v>
      </c>
      <c r="S86" s="361">
        <v>0</v>
      </c>
    </row>
    <row r="87" spans="1:19">
      <c r="A87" s="980"/>
      <c r="B87" s="989"/>
      <c r="C87" s="359" t="s">
        <v>3348</v>
      </c>
      <c r="D87" s="359" t="s">
        <v>3349</v>
      </c>
      <c r="E87" s="412" t="s">
        <v>2875</v>
      </c>
      <c r="F87" s="413" t="s">
        <v>3281</v>
      </c>
      <c r="G87" s="413" t="s">
        <v>3281</v>
      </c>
      <c r="H87" s="413" t="s">
        <v>3337</v>
      </c>
      <c r="I87" s="413" t="s">
        <v>3337</v>
      </c>
      <c r="J87" s="413" t="s">
        <v>3297</v>
      </c>
      <c r="K87" s="360" t="s">
        <v>3350</v>
      </c>
      <c r="L87" s="360" t="s">
        <v>2875</v>
      </c>
      <c r="M87" s="361" t="s">
        <v>2875</v>
      </c>
      <c r="N87" s="361">
        <v>2500</v>
      </c>
      <c r="O87" s="361">
        <v>2500</v>
      </c>
      <c r="P87" s="360" t="s">
        <v>2877</v>
      </c>
      <c r="Q87" s="360" t="s">
        <v>2877</v>
      </c>
      <c r="R87" s="361" t="s">
        <v>2877</v>
      </c>
      <c r="S87" s="361">
        <v>0</v>
      </c>
    </row>
    <row r="88" spans="1:19">
      <c r="A88" s="980"/>
      <c r="B88" s="989"/>
      <c r="C88" s="359" t="s">
        <v>3351</v>
      </c>
      <c r="D88" s="359" t="s">
        <v>3309</v>
      </c>
      <c r="E88" s="412" t="s">
        <v>2875</v>
      </c>
      <c r="F88" s="413" t="s">
        <v>3281</v>
      </c>
      <c r="G88" s="413" t="s">
        <v>3302</v>
      </c>
      <c r="H88" s="413" t="s">
        <v>3308</v>
      </c>
      <c r="I88" s="413" t="s">
        <v>3309</v>
      </c>
      <c r="J88" s="413" t="s">
        <v>3297</v>
      </c>
      <c r="K88" s="360" t="s">
        <v>3350</v>
      </c>
      <c r="L88" s="360" t="s">
        <v>2875</v>
      </c>
      <c r="M88" s="361" t="s">
        <v>2875</v>
      </c>
      <c r="N88" s="361">
        <v>2500</v>
      </c>
      <c r="O88" s="361">
        <v>2500</v>
      </c>
      <c r="P88" s="360" t="s">
        <v>2877</v>
      </c>
      <c r="Q88" s="360" t="s">
        <v>2877</v>
      </c>
      <c r="R88" s="361" t="s">
        <v>2877</v>
      </c>
      <c r="S88" s="361">
        <v>0</v>
      </c>
    </row>
    <row r="89" spans="1:19">
      <c r="A89" s="980"/>
      <c r="B89" s="989"/>
      <c r="C89" s="359" t="s">
        <v>3352</v>
      </c>
      <c r="D89" s="359" t="s">
        <v>3331</v>
      </c>
      <c r="E89" s="412" t="s">
        <v>2875</v>
      </c>
      <c r="F89" s="413" t="s">
        <v>3313</v>
      </c>
      <c r="G89" s="413" t="s">
        <v>3293</v>
      </c>
      <c r="H89" s="413" t="s">
        <v>3331</v>
      </c>
      <c r="I89" s="413" t="s">
        <v>3353</v>
      </c>
      <c r="J89" s="413" t="s">
        <v>3297</v>
      </c>
      <c r="K89" s="360" t="s">
        <v>3354</v>
      </c>
      <c r="L89" s="360" t="s">
        <v>2875</v>
      </c>
      <c r="M89" s="361" t="s">
        <v>2875</v>
      </c>
      <c r="N89" s="361">
        <v>3000</v>
      </c>
      <c r="O89" s="361">
        <v>3000</v>
      </c>
      <c r="P89" s="360" t="s">
        <v>2877</v>
      </c>
      <c r="Q89" s="360" t="s">
        <v>2877</v>
      </c>
      <c r="R89" s="361" t="s">
        <v>2877</v>
      </c>
      <c r="S89" s="361">
        <v>0</v>
      </c>
    </row>
    <row r="90" spans="1:19">
      <c r="A90" s="980"/>
      <c r="B90" s="989"/>
      <c r="C90" s="359" t="s">
        <v>3355</v>
      </c>
      <c r="D90" s="359" t="s">
        <v>3356</v>
      </c>
      <c r="E90" s="412" t="s">
        <v>2875</v>
      </c>
      <c r="F90" s="413" t="s">
        <v>3000</v>
      </c>
      <c r="G90" s="413" t="s">
        <v>3357</v>
      </c>
      <c r="H90" s="413" t="s">
        <v>3294</v>
      </c>
      <c r="I90" s="413" t="s">
        <v>3318</v>
      </c>
      <c r="J90" s="413" t="s">
        <v>3297</v>
      </c>
      <c r="K90" s="360" t="s">
        <v>3358</v>
      </c>
      <c r="L90" s="360" t="s">
        <v>2875</v>
      </c>
      <c r="M90" s="361" t="s">
        <v>2875</v>
      </c>
      <c r="N90" s="361">
        <v>12220</v>
      </c>
      <c r="O90" s="361">
        <v>12220</v>
      </c>
      <c r="P90" s="360" t="s">
        <v>2877</v>
      </c>
      <c r="Q90" s="360" t="s">
        <v>2877</v>
      </c>
      <c r="R90" s="361" t="s">
        <v>2877</v>
      </c>
      <c r="S90" s="361">
        <v>0</v>
      </c>
    </row>
    <row r="91" spans="1:19">
      <c r="A91" s="980"/>
      <c r="B91" s="989"/>
      <c r="C91" s="359" t="s">
        <v>3359</v>
      </c>
      <c r="D91" s="359" t="s">
        <v>3313</v>
      </c>
      <c r="E91" s="412" t="s">
        <v>2875</v>
      </c>
      <c r="F91" s="413" t="s">
        <v>3313</v>
      </c>
      <c r="G91" s="413" t="s">
        <v>3281</v>
      </c>
      <c r="H91" s="413" t="s">
        <v>3308</v>
      </c>
      <c r="I91" s="413" t="s">
        <v>3360</v>
      </c>
      <c r="J91" s="413" t="s">
        <v>3297</v>
      </c>
      <c r="K91" s="360" t="s">
        <v>3361</v>
      </c>
      <c r="L91" s="360" t="s">
        <v>2875</v>
      </c>
      <c r="M91" s="361" t="s">
        <v>2875</v>
      </c>
      <c r="N91" s="361">
        <v>6000</v>
      </c>
      <c r="O91" s="361">
        <v>6000</v>
      </c>
      <c r="P91" s="360" t="s">
        <v>2877</v>
      </c>
      <c r="Q91" s="360" t="s">
        <v>2877</v>
      </c>
      <c r="R91" s="361" t="s">
        <v>2877</v>
      </c>
      <c r="S91" s="361">
        <v>0</v>
      </c>
    </row>
    <row r="92" spans="1:19">
      <c r="A92" s="980"/>
      <c r="B92" s="989"/>
      <c r="C92" s="359" t="s">
        <v>3362</v>
      </c>
      <c r="D92" s="359" t="s">
        <v>3363</v>
      </c>
      <c r="E92" s="412" t="s">
        <v>2875</v>
      </c>
      <c r="F92" s="413" t="s">
        <v>3364</v>
      </c>
      <c r="G92" s="413" t="s">
        <v>3302</v>
      </c>
      <c r="H92" s="413" t="s">
        <v>938</v>
      </c>
      <c r="I92" s="413" t="s">
        <v>3365</v>
      </c>
      <c r="J92" s="413" t="s">
        <v>3297</v>
      </c>
      <c r="K92" s="360" t="s">
        <v>3335</v>
      </c>
      <c r="L92" s="360" t="s">
        <v>2875</v>
      </c>
      <c r="M92" s="361" t="s">
        <v>2875</v>
      </c>
      <c r="N92" s="361">
        <v>3350</v>
      </c>
      <c r="O92" s="361">
        <v>3350</v>
      </c>
      <c r="P92" s="360" t="s">
        <v>2877</v>
      </c>
      <c r="Q92" s="360" t="s">
        <v>2877</v>
      </c>
      <c r="R92" s="361" t="s">
        <v>2877</v>
      </c>
      <c r="S92" s="361">
        <v>0</v>
      </c>
    </row>
    <row r="93" spans="1:19">
      <c r="A93" s="980"/>
      <c r="B93" s="989"/>
      <c r="C93" s="359" t="s">
        <v>3366</v>
      </c>
      <c r="D93" s="359" t="s">
        <v>947</v>
      </c>
      <c r="E93" s="412" t="s">
        <v>2875</v>
      </c>
      <c r="F93" s="413" t="s">
        <v>28</v>
      </c>
      <c r="G93" s="413" t="s">
        <v>3367</v>
      </c>
      <c r="H93" s="413" t="s">
        <v>3368</v>
      </c>
      <c r="I93" s="413" t="s">
        <v>947</v>
      </c>
      <c r="J93" s="413" t="s">
        <v>3369</v>
      </c>
      <c r="K93" s="360" t="s">
        <v>3370</v>
      </c>
      <c r="L93" s="360" t="s">
        <v>2875</v>
      </c>
      <c r="M93" s="361" t="s">
        <v>2875</v>
      </c>
      <c r="N93" s="361">
        <v>5969.5</v>
      </c>
      <c r="O93" s="361">
        <v>5969.5</v>
      </c>
      <c r="P93" s="360" t="s">
        <v>2877</v>
      </c>
      <c r="Q93" s="360" t="s">
        <v>2877</v>
      </c>
      <c r="R93" s="361" t="s">
        <v>2877</v>
      </c>
      <c r="S93" s="361">
        <v>0</v>
      </c>
    </row>
    <row r="94" spans="1:19">
      <c r="A94" s="980"/>
      <c r="B94" s="989"/>
      <c r="C94" s="359" t="s">
        <v>3371</v>
      </c>
      <c r="D94" s="359" t="s">
        <v>3372</v>
      </c>
      <c r="E94" s="412" t="s">
        <v>2875</v>
      </c>
      <c r="F94" s="413" t="s">
        <v>3313</v>
      </c>
      <c r="G94" s="413" t="s">
        <v>2074</v>
      </c>
      <c r="H94" s="413" t="s">
        <v>3372</v>
      </c>
      <c r="I94" s="413" t="s">
        <v>3372</v>
      </c>
      <c r="J94" s="413" t="s">
        <v>3369</v>
      </c>
      <c r="K94" s="360" t="s">
        <v>3373</v>
      </c>
      <c r="L94" s="360" t="s">
        <v>2875</v>
      </c>
      <c r="M94" s="361" t="s">
        <v>2875</v>
      </c>
      <c r="N94" s="361">
        <v>2100</v>
      </c>
      <c r="O94" s="361">
        <v>2100</v>
      </c>
      <c r="P94" s="360" t="s">
        <v>2877</v>
      </c>
      <c r="Q94" s="360" t="s">
        <v>2877</v>
      </c>
      <c r="R94" s="361" t="s">
        <v>2877</v>
      </c>
      <c r="S94" s="361">
        <v>0</v>
      </c>
    </row>
    <row r="95" spans="1:19">
      <c r="A95" s="980"/>
      <c r="B95" s="989"/>
      <c r="C95" s="359" t="s">
        <v>3374</v>
      </c>
      <c r="D95" s="359" t="s">
        <v>3331</v>
      </c>
      <c r="E95" s="412" t="s">
        <v>2875</v>
      </c>
      <c r="F95" s="413" t="s">
        <v>3281</v>
      </c>
      <c r="G95" s="413" t="s">
        <v>3281</v>
      </c>
      <c r="H95" s="413" t="s">
        <v>3331</v>
      </c>
      <c r="I95" s="413" t="s">
        <v>3303</v>
      </c>
      <c r="J95" s="413" t="s">
        <v>3369</v>
      </c>
      <c r="K95" s="360" t="s">
        <v>3319</v>
      </c>
      <c r="L95" s="360" t="s">
        <v>2875</v>
      </c>
      <c r="M95" s="361" t="s">
        <v>2875</v>
      </c>
      <c r="N95" s="361">
        <v>3080</v>
      </c>
      <c r="O95" s="361">
        <v>3080</v>
      </c>
      <c r="P95" s="360" t="s">
        <v>2877</v>
      </c>
      <c r="Q95" s="360" t="s">
        <v>2877</v>
      </c>
      <c r="R95" s="361" t="s">
        <v>2877</v>
      </c>
      <c r="S95" s="361">
        <v>0</v>
      </c>
    </row>
    <row r="96" spans="1:19">
      <c r="A96" s="980"/>
      <c r="B96" s="989"/>
      <c r="C96" s="359" t="s">
        <v>3375</v>
      </c>
      <c r="D96" s="359" t="s">
        <v>3376</v>
      </c>
      <c r="E96" s="412" t="s">
        <v>2875</v>
      </c>
      <c r="F96" s="413" t="s">
        <v>3313</v>
      </c>
      <c r="G96" s="413" t="s">
        <v>3293</v>
      </c>
      <c r="H96" s="413" t="s">
        <v>3377</v>
      </c>
      <c r="I96" s="413" t="s">
        <v>3318</v>
      </c>
      <c r="J96" s="413" t="s">
        <v>3369</v>
      </c>
      <c r="K96" s="360" t="s">
        <v>3265</v>
      </c>
      <c r="L96" s="360" t="s">
        <v>2875</v>
      </c>
      <c r="M96" s="361" t="s">
        <v>2875</v>
      </c>
      <c r="N96" s="361">
        <v>3710</v>
      </c>
      <c r="O96" s="361">
        <v>3710</v>
      </c>
      <c r="P96" s="360" t="s">
        <v>2877</v>
      </c>
      <c r="Q96" s="360" t="s">
        <v>2877</v>
      </c>
      <c r="R96" s="361" t="s">
        <v>2877</v>
      </c>
      <c r="S96" s="361">
        <v>0</v>
      </c>
    </row>
    <row r="97" spans="1:19">
      <c r="A97" s="980"/>
      <c r="B97" s="989"/>
      <c r="C97" s="359" t="s">
        <v>3378</v>
      </c>
      <c r="D97" s="359" t="s">
        <v>3379</v>
      </c>
      <c r="E97" s="412" t="s">
        <v>2875</v>
      </c>
      <c r="F97" s="413" t="s">
        <v>3293</v>
      </c>
      <c r="G97" s="413" t="s">
        <v>3380</v>
      </c>
      <c r="H97" s="413" t="s">
        <v>3308</v>
      </c>
      <c r="I97" s="413" t="s">
        <v>3318</v>
      </c>
      <c r="J97" s="413" t="s">
        <v>3297</v>
      </c>
      <c r="K97" s="360" t="s">
        <v>3335</v>
      </c>
      <c r="L97" s="360" t="s">
        <v>2875</v>
      </c>
      <c r="M97" s="361" t="s">
        <v>2875</v>
      </c>
      <c r="N97" s="361">
        <v>4000</v>
      </c>
      <c r="O97" s="361">
        <v>4000</v>
      </c>
      <c r="P97" s="360" t="s">
        <v>2877</v>
      </c>
      <c r="Q97" s="360" t="s">
        <v>2877</v>
      </c>
      <c r="R97" s="361" t="s">
        <v>2877</v>
      </c>
      <c r="S97" s="361">
        <v>0</v>
      </c>
    </row>
    <row r="98" spans="1:19">
      <c r="A98" s="980"/>
      <c r="B98" s="989"/>
      <c r="C98" s="359" t="s">
        <v>3381</v>
      </c>
      <c r="D98" s="359" t="s">
        <v>3382</v>
      </c>
      <c r="E98" s="412" t="s">
        <v>2875</v>
      </c>
      <c r="F98" s="413" t="s">
        <v>3293</v>
      </c>
      <c r="G98" s="413" t="s">
        <v>3383</v>
      </c>
      <c r="H98" s="413" t="s">
        <v>3384</v>
      </c>
      <c r="I98" s="413" t="s">
        <v>3318</v>
      </c>
      <c r="J98" s="413" t="s">
        <v>3297</v>
      </c>
      <c r="K98" s="360" t="s">
        <v>3321</v>
      </c>
      <c r="L98" s="360" t="s">
        <v>2875</v>
      </c>
      <c r="M98" s="361" t="s">
        <v>2875</v>
      </c>
      <c r="N98" s="361">
        <v>2500</v>
      </c>
      <c r="O98" s="361">
        <v>2500</v>
      </c>
      <c r="P98" s="360" t="s">
        <v>2877</v>
      </c>
      <c r="Q98" s="360" t="s">
        <v>2877</v>
      </c>
      <c r="R98" s="361" t="s">
        <v>2877</v>
      </c>
      <c r="S98" s="361">
        <v>0</v>
      </c>
    </row>
    <row r="99" spans="1:19">
      <c r="A99" s="980"/>
      <c r="B99" s="989"/>
      <c r="C99" s="359" t="s">
        <v>3385</v>
      </c>
      <c r="D99" s="359" t="s">
        <v>3331</v>
      </c>
      <c r="E99" s="412" t="s">
        <v>2875</v>
      </c>
      <c r="F99" s="413" t="s">
        <v>3293</v>
      </c>
      <c r="G99" s="413" t="s">
        <v>3293</v>
      </c>
      <c r="H99" s="413" t="s">
        <v>3331</v>
      </c>
      <c r="I99" s="413" t="s">
        <v>3318</v>
      </c>
      <c r="J99" s="413" t="s">
        <v>3297</v>
      </c>
      <c r="K99" s="360" t="s">
        <v>3354</v>
      </c>
      <c r="L99" s="360" t="s">
        <v>2875</v>
      </c>
      <c r="M99" s="361" t="s">
        <v>2875</v>
      </c>
      <c r="N99" s="361">
        <v>16500</v>
      </c>
      <c r="O99" s="361">
        <v>16500</v>
      </c>
      <c r="P99" s="360" t="s">
        <v>2877</v>
      </c>
      <c r="Q99" s="360" t="s">
        <v>2877</v>
      </c>
      <c r="R99" s="361" t="s">
        <v>2877</v>
      </c>
      <c r="S99" s="361">
        <v>0</v>
      </c>
    </row>
    <row r="100" spans="1:19">
      <c r="A100" s="980"/>
      <c r="B100" s="989"/>
      <c r="C100" s="359" t="s">
        <v>3386</v>
      </c>
      <c r="D100" s="359" t="s">
        <v>3387</v>
      </c>
      <c r="E100" s="412" t="s">
        <v>2875</v>
      </c>
      <c r="F100" s="413" t="s">
        <v>3293</v>
      </c>
      <c r="G100" s="413" t="s">
        <v>3293</v>
      </c>
      <c r="H100" s="413" t="s">
        <v>3388</v>
      </c>
      <c r="I100" s="413" t="s">
        <v>3318</v>
      </c>
      <c r="J100" s="413" t="s">
        <v>3297</v>
      </c>
      <c r="K100" s="360" t="s">
        <v>3358</v>
      </c>
      <c r="L100" s="360" t="s">
        <v>2875</v>
      </c>
      <c r="M100" s="361" t="s">
        <v>2875</v>
      </c>
      <c r="N100" s="361">
        <v>4000</v>
      </c>
      <c r="O100" s="361">
        <v>4000</v>
      </c>
      <c r="P100" s="360" t="s">
        <v>2877</v>
      </c>
      <c r="Q100" s="360" t="s">
        <v>2877</v>
      </c>
      <c r="R100" s="361" t="s">
        <v>2877</v>
      </c>
      <c r="S100" s="361">
        <v>0</v>
      </c>
    </row>
    <row r="101" spans="1:19">
      <c r="A101" s="980"/>
      <c r="B101" s="989"/>
      <c r="C101" s="359" t="s">
        <v>3389</v>
      </c>
      <c r="D101" s="359" t="s">
        <v>3331</v>
      </c>
      <c r="E101" s="412" t="s">
        <v>2875</v>
      </c>
      <c r="F101" s="413" t="s">
        <v>3313</v>
      </c>
      <c r="G101" s="413" t="s">
        <v>3293</v>
      </c>
      <c r="H101" s="413" t="s">
        <v>3331</v>
      </c>
      <c r="I101" s="413" t="s">
        <v>3318</v>
      </c>
      <c r="J101" s="413" t="s">
        <v>3297</v>
      </c>
      <c r="K101" s="360" t="s">
        <v>3358</v>
      </c>
      <c r="L101" s="360" t="s">
        <v>2875</v>
      </c>
      <c r="M101" s="361" t="s">
        <v>2875</v>
      </c>
      <c r="N101" s="361">
        <v>4000</v>
      </c>
      <c r="O101" s="361">
        <v>4000</v>
      </c>
      <c r="P101" s="360" t="s">
        <v>2877</v>
      </c>
      <c r="Q101" s="360" t="s">
        <v>2877</v>
      </c>
      <c r="R101" s="361" t="s">
        <v>2877</v>
      </c>
      <c r="S101" s="361">
        <v>0</v>
      </c>
    </row>
    <row r="102" spans="1:19">
      <c r="A102" s="980"/>
      <c r="B102" s="989"/>
      <c r="C102" s="359" t="s">
        <v>3390</v>
      </c>
      <c r="D102" s="359" t="s">
        <v>3391</v>
      </c>
      <c r="E102" s="412" t="s">
        <v>2875</v>
      </c>
      <c r="F102" s="413" t="s">
        <v>3364</v>
      </c>
      <c r="G102" s="413" t="s">
        <v>3380</v>
      </c>
      <c r="H102" s="413" t="s">
        <v>3392</v>
      </c>
      <c r="I102" s="413" t="s">
        <v>3318</v>
      </c>
      <c r="J102" s="413" t="s">
        <v>2986</v>
      </c>
      <c r="K102" s="360" t="s">
        <v>3393</v>
      </c>
      <c r="L102" s="360" t="s">
        <v>2875</v>
      </c>
      <c r="M102" s="361" t="s">
        <v>2875</v>
      </c>
      <c r="N102" s="361">
        <v>92137.5</v>
      </c>
      <c r="O102" s="361">
        <v>92137.5</v>
      </c>
      <c r="P102" s="360" t="s">
        <v>2877</v>
      </c>
      <c r="Q102" s="360" t="s">
        <v>2877</v>
      </c>
      <c r="R102" s="361" t="s">
        <v>2877</v>
      </c>
      <c r="S102" s="361">
        <v>0</v>
      </c>
    </row>
    <row r="103" spans="1:19">
      <c r="A103" s="980"/>
      <c r="B103" s="989"/>
      <c r="C103" s="359" t="s">
        <v>3394</v>
      </c>
      <c r="D103" s="359" t="s">
        <v>3395</v>
      </c>
      <c r="E103" s="412" t="s">
        <v>2875</v>
      </c>
      <c r="F103" s="413" t="s">
        <v>3396</v>
      </c>
      <c r="G103" s="413" t="s">
        <v>3380</v>
      </c>
      <c r="H103" s="413" t="s">
        <v>3388</v>
      </c>
      <c r="I103" s="413" t="s">
        <v>3318</v>
      </c>
      <c r="J103" s="413" t="s">
        <v>3297</v>
      </c>
      <c r="K103" s="360" t="s">
        <v>3358</v>
      </c>
      <c r="L103" s="360" t="s">
        <v>2875</v>
      </c>
      <c r="M103" s="361" t="s">
        <v>2875</v>
      </c>
      <c r="N103" s="361">
        <v>4000</v>
      </c>
      <c r="O103" s="361">
        <v>4000</v>
      </c>
      <c r="P103" s="360" t="s">
        <v>2877</v>
      </c>
      <c r="Q103" s="360" t="s">
        <v>2877</v>
      </c>
      <c r="R103" s="361" t="s">
        <v>2877</v>
      </c>
      <c r="S103" s="361">
        <v>0</v>
      </c>
    </row>
    <row r="104" spans="1:19">
      <c r="A104" s="980"/>
      <c r="B104" s="989"/>
      <c r="C104" s="359" t="s">
        <v>3397</v>
      </c>
      <c r="D104" s="359" t="s">
        <v>3331</v>
      </c>
      <c r="E104" s="412" t="s">
        <v>2875</v>
      </c>
      <c r="F104" s="413" t="s">
        <v>3000</v>
      </c>
      <c r="G104" s="413" t="s">
        <v>3000</v>
      </c>
      <c r="H104" s="413" t="s">
        <v>3331</v>
      </c>
      <c r="I104" s="413" t="s">
        <v>3318</v>
      </c>
      <c r="J104" s="413" t="s">
        <v>3297</v>
      </c>
      <c r="K104" s="360" t="s">
        <v>3358</v>
      </c>
      <c r="L104" s="360" t="s">
        <v>2875</v>
      </c>
      <c r="M104" s="361" t="s">
        <v>2875</v>
      </c>
      <c r="N104" s="361">
        <v>3000</v>
      </c>
      <c r="O104" s="361">
        <v>3000</v>
      </c>
      <c r="P104" s="360" t="s">
        <v>2877</v>
      </c>
      <c r="Q104" s="360" t="s">
        <v>2877</v>
      </c>
      <c r="R104" s="361" t="s">
        <v>2877</v>
      </c>
      <c r="S104" s="361">
        <v>0</v>
      </c>
    </row>
    <row r="105" spans="1:19">
      <c r="A105" s="350"/>
      <c r="B105" s="351" t="s">
        <v>3398</v>
      </c>
      <c r="C105" s="351"/>
      <c r="D105" s="351"/>
      <c r="E105" s="373"/>
      <c r="F105" s="374"/>
      <c r="G105" s="374"/>
      <c r="H105" s="374"/>
      <c r="I105" s="374"/>
      <c r="J105" s="374"/>
      <c r="K105" s="354"/>
      <c r="L105" s="354"/>
      <c r="M105" s="355"/>
      <c r="N105" s="355"/>
      <c r="O105" s="356">
        <f>SUM(O68:O104)</f>
        <v>379968.51</v>
      </c>
      <c r="P105" s="354"/>
      <c r="Q105" s="354"/>
      <c r="R105" s="355"/>
      <c r="S105" s="356">
        <f>SUM(S68:S104)</f>
        <v>0</v>
      </c>
    </row>
    <row r="106" spans="1:19">
      <c r="A106" s="979">
        <v>6</v>
      </c>
      <c r="B106" s="990" t="s">
        <v>574</v>
      </c>
      <c r="C106" s="364" t="s">
        <v>3399</v>
      </c>
      <c r="D106" s="364" t="s">
        <v>3400</v>
      </c>
      <c r="E106" s="414" t="s">
        <v>2875</v>
      </c>
      <c r="F106" s="415" t="s">
        <v>3401</v>
      </c>
      <c r="G106" s="415" t="s">
        <v>3402</v>
      </c>
      <c r="H106" s="415" t="s">
        <v>3029</v>
      </c>
      <c r="I106" s="415" t="s">
        <v>3030</v>
      </c>
      <c r="J106" s="415" t="s">
        <v>3403</v>
      </c>
      <c r="K106" s="348" t="s">
        <v>3120</v>
      </c>
      <c r="L106" s="348" t="s">
        <v>2875</v>
      </c>
      <c r="M106" s="348" t="s">
        <v>2875</v>
      </c>
      <c r="N106" s="349">
        <v>18600</v>
      </c>
      <c r="O106" s="349">
        <v>18600</v>
      </c>
      <c r="P106" s="348" t="s">
        <v>529</v>
      </c>
      <c r="Q106" s="348" t="s">
        <v>529</v>
      </c>
      <c r="R106" s="349">
        <v>0</v>
      </c>
      <c r="S106" s="349">
        <v>0</v>
      </c>
    </row>
    <row r="107" spans="1:19">
      <c r="A107" s="979"/>
      <c r="B107" s="990"/>
      <c r="C107" s="364" t="s">
        <v>3404</v>
      </c>
      <c r="D107" s="364" t="s">
        <v>3405</v>
      </c>
      <c r="E107" s="414" t="s">
        <v>2875</v>
      </c>
      <c r="F107" s="415" t="s">
        <v>3401</v>
      </c>
      <c r="G107" s="415" t="s">
        <v>3402</v>
      </c>
      <c r="H107" s="415" t="s">
        <v>3029</v>
      </c>
      <c r="I107" s="415" t="s">
        <v>3030</v>
      </c>
      <c r="J107" s="415" t="s">
        <v>3403</v>
      </c>
      <c r="K107" s="348" t="s">
        <v>2877</v>
      </c>
      <c r="L107" s="348" t="s">
        <v>2877</v>
      </c>
      <c r="M107" s="349">
        <v>0</v>
      </c>
      <c r="N107" s="349">
        <v>0</v>
      </c>
      <c r="O107" s="349">
        <v>0</v>
      </c>
      <c r="P107" s="348" t="s">
        <v>3406</v>
      </c>
      <c r="Q107" s="348" t="s">
        <v>3406</v>
      </c>
      <c r="R107" s="349">
        <v>28649</v>
      </c>
      <c r="S107" s="349">
        <v>28649</v>
      </c>
    </row>
    <row r="108" spans="1:19">
      <c r="A108" s="979"/>
      <c r="B108" s="990"/>
      <c r="C108" s="364" t="s">
        <v>3407</v>
      </c>
      <c r="D108" s="364" t="s">
        <v>3033</v>
      </c>
      <c r="E108" s="414" t="s">
        <v>2875</v>
      </c>
      <c r="F108" s="415" t="s">
        <v>3401</v>
      </c>
      <c r="G108" s="415" t="s">
        <v>3402</v>
      </c>
      <c r="H108" s="415" t="s">
        <v>3029</v>
      </c>
      <c r="I108" s="415" t="s">
        <v>3030</v>
      </c>
      <c r="J108" s="415" t="s">
        <v>3403</v>
      </c>
      <c r="K108" s="348" t="s">
        <v>2877</v>
      </c>
      <c r="L108" s="348" t="s">
        <v>2877</v>
      </c>
      <c r="M108" s="349">
        <v>0</v>
      </c>
      <c r="N108" s="349">
        <v>0</v>
      </c>
      <c r="O108" s="349">
        <v>0</v>
      </c>
      <c r="P108" s="348" t="s">
        <v>3406</v>
      </c>
      <c r="Q108" s="348" t="s">
        <v>3406</v>
      </c>
      <c r="R108" s="349">
        <v>24000</v>
      </c>
      <c r="S108" s="349">
        <v>24000</v>
      </c>
    </row>
    <row r="109" spans="1:19">
      <c r="A109" s="979"/>
      <c r="B109" s="990"/>
      <c r="C109" s="364" t="s">
        <v>3408</v>
      </c>
      <c r="D109" s="364" t="s">
        <v>3409</v>
      </c>
      <c r="E109" s="414" t="s">
        <v>2875</v>
      </c>
      <c r="F109" s="415" t="s">
        <v>3401</v>
      </c>
      <c r="G109" s="415" t="s">
        <v>3402</v>
      </c>
      <c r="H109" s="415" t="s">
        <v>3029</v>
      </c>
      <c r="I109" s="415" t="s">
        <v>3030</v>
      </c>
      <c r="J109" s="415" t="s">
        <v>3403</v>
      </c>
      <c r="K109" s="348" t="s">
        <v>2877</v>
      </c>
      <c r="L109" s="348" t="s">
        <v>2877</v>
      </c>
      <c r="M109" s="349">
        <v>0</v>
      </c>
      <c r="N109" s="349">
        <v>0</v>
      </c>
      <c r="O109" s="349">
        <v>0</v>
      </c>
      <c r="P109" s="348" t="s">
        <v>3126</v>
      </c>
      <c r="Q109" s="348" t="s">
        <v>3126</v>
      </c>
      <c r="R109" s="349">
        <v>37970</v>
      </c>
      <c r="S109" s="349">
        <v>37970</v>
      </c>
    </row>
    <row r="110" spans="1:19">
      <c r="A110" s="979"/>
      <c r="B110" s="990"/>
      <c r="C110" s="364" t="s">
        <v>3410</v>
      </c>
      <c r="D110" s="364" t="s">
        <v>3411</v>
      </c>
      <c r="E110" s="414" t="s">
        <v>2875</v>
      </c>
      <c r="F110" s="415" t="s">
        <v>3401</v>
      </c>
      <c r="G110" s="415" t="s">
        <v>3402</v>
      </c>
      <c r="H110" s="415" t="s">
        <v>3029</v>
      </c>
      <c r="I110" s="415" t="s">
        <v>3030</v>
      </c>
      <c r="J110" s="415" t="s">
        <v>3403</v>
      </c>
      <c r="K110" s="348" t="s">
        <v>2877</v>
      </c>
      <c r="L110" s="348" t="s">
        <v>2877</v>
      </c>
      <c r="M110" s="349">
        <v>0</v>
      </c>
      <c r="N110" s="349">
        <v>0</v>
      </c>
      <c r="O110" s="349">
        <v>0</v>
      </c>
      <c r="P110" s="348" t="s">
        <v>3412</v>
      </c>
      <c r="Q110" s="348" t="s">
        <v>3412</v>
      </c>
      <c r="R110" s="349">
        <v>19961.5</v>
      </c>
      <c r="S110" s="349">
        <v>19961.5</v>
      </c>
    </row>
    <row r="111" spans="1:19">
      <c r="A111" s="979"/>
      <c r="B111" s="990"/>
      <c r="C111" s="364" t="s">
        <v>3413</v>
      </c>
      <c r="D111" s="364" t="s">
        <v>3400</v>
      </c>
      <c r="E111" s="414" t="s">
        <v>2875</v>
      </c>
      <c r="F111" s="415" t="s">
        <v>3401</v>
      </c>
      <c r="G111" s="415" t="s">
        <v>3402</v>
      </c>
      <c r="H111" s="415" t="s">
        <v>3029</v>
      </c>
      <c r="I111" s="415" t="s">
        <v>3030</v>
      </c>
      <c r="J111" s="415" t="s">
        <v>3403</v>
      </c>
      <c r="K111" s="348" t="s">
        <v>2877</v>
      </c>
      <c r="L111" s="348" t="s">
        <v>2877</v>
      </c>
      <c r="M111" s="349">
        <v>0</v>
      </c>
      <c r="N111" s="349">
        <v>0</v>
      </c>
      <c r="O111" s="349">
        <v>0</v>
      </c>
      <c r="P111" s="348" t="s">
        <v>3406</v>
      </c>
      <c r="Q111" s="348" t="s">
        <v>3406</v>
      </c>
      <c r="R111" s="349">
        <v>26057.5</v>
      </c>
      <c r="S111" s="349">
        <v>25603.45</v>
      </c>
    </row>
    <row r="112" spans="1:19">
      <c r="A112" s="979"/>
      <c r="B112" s="990"/>
      <c r="C112" s="364" t="s">
        <v>3414</v>
      </c>
      <c r="D112" s="364" t="s">
        <v>3400</v>
      </c>
      <c r="E112" s="414" t="s">
        <v>2875</v>
      </c>
      <c r="F112" s="415" t="s">
        <v>3401</v>
      </c>
      <c r="G112" s="415" t="s">
        <v>3402</v>
      </c>
      <c r="H112" s="415" t="s">
        <v>3029</v>
      </c>
      <c r="I112" s="415" t="s">
        <v>3030</v>
      </c>
      <c r="J112" s="415" t="s">
        <v>3403</v>
      </c>
      <c r="K112" s="348" t="s">
        <v>2877</v>
      </c>
      <c r="L112" s="348" t="s">
        <v>2877</v>
      </c>
      <c r="M112" s="349">
        <v>0</v>
      </c>
      <c r="N112" s="349">
        <v>0</v>
      </c>
      <c r="O112" s="349">
        <v>0</v>
      </c>
      <c r="P112" s="348" t="s">
        <v>3127</v>
      </c>
      <c r="Q112" s="348" t="s">
        <v>840</v>
      </c>
      <c r="R112" s="349">
        <v>100726</v>
      </c>
      <c r="S112" s="349">
        <v>49563</v>
      </c>
    </row>
    <row r="113" spans="1:20">
      <c r="A113" s="979"/>
      <c r="B113" s="990"/>
      <c r="C113" s="364" t="s">
        <v>3415</v>
      </c>
      <c r="D113" s="364" t="s">
        <v>3416</v>
      </c>
      <c r="E113" s="414" t="s">
        <v>2875</v>
      </c>
      <c r="F113" s="415" t="s">
        <v>3401</v>
      </c>
      <c r="G113" s="415" t="s">
        <v>3417</v>
      </c>
      <c r="H113" s="415" t="s">
        <v>3029</v>
      </c>
      <c r="I113" s="415" t="s">
        <v>3030</v>
      </c>
      <c r="J113" s="415" t="s">
        <v>3403</v>
      </c>
      <c r="K113" s="348" t="s">
        <v>2877</v>
      </c>
      <c r="L113" s="348" t="s">
        <v>2877</v>
      </c>
      <c r="M113" s="349">
        <v>0</v>
      </c>
      <c r="N113" s="349">
        <v>0</v>
      </c>
      <c r="O113" s="349">
        <v>0</v>
      </c>
      <c r="P113" s="348" t="s">
        <v>3127</v>
      </c>
      <c r="Q113" s="348" t="s">
        <v>840</v>
      </c>
      <c r="R113" s="349">
        <v>151000</v>
      </c>
      <c r="S113" s="349">
        <v>75000</v>
      </c>
    </row>
    <row r="114" spans="1:20">
      <c r="A114" s="979"/>
      <c r="B114" s="990"/>
      <c r="C114" s="364" t="s">
        <v>3418</v>
      </c>
      <c r="D114" s="364" t="s">
        <v>3419</v>
      </c>
      <c r="E114" s="414" t="s">
        <v>2875</v>
      </c>
      <c r="F114" s="415" t="s">
        <v>908</v>
      </c>
      <c r="G114" s="415" t="s">
        <v>908</v>
      </c>
      <c r="H114" s="415" t="s">
        <v>3029</v>
      </c>
      <c r="I114" s="415" t="s">
        <v>3030</v>
      </c>
      <c r="J114" s="415" t="s">
        <v>3403</v>
      </c>
      <c r="K114" s="348" t="s">
        <v>2877</v>
      </c>
      <c r="L114" s="348" t="s">
        <v>2877</v>
      </c>
      <c r="M114" s="349">
        <v>0</v>
      </c>
      <c r="N114" s="349">
        <v>0</v>
      </c>
      <c r="O114" s="349">
        <v>0</v>
      </c>
      <c r="P114" s="348" t="s">
        <v>3412</v>
      </c>
      <c r="Q114" s="348" t="s">
        <v>3412</v>
      </c>
      <c r="R114" s="349"/>
      <c r="S114" s="349">
        <v>2194</v>
      </c>
    </row>
    <row r="115" spans="1:20">
      <c r="A115" s="979"/>
      <c r="B115" s="990"/>
      <c r="C115" s="364" t="s">
        <v>3420</v>
      </c>
      <c r="D115" s="364" t="s">
        <v>3421</v>
      </c>
      <c r="E115" s="414" t="s">
        <v>2875</v>
      </c>
      <c r="F115" s="415" t="s">
        <v>908</v>
      </c>
      <c r="G115" s="415" t="s">
        <v>908</v>
      </c>
      <c r="H115" s="415" t="s">
        <v>3029</v>
      </c>
      <c r="I115" s="415" t="s">
        <v>3030</v>
      </c>
      <c r="J115" s="415" t="s">
        <v>3403</v>
      </c>
      <c r="K115" s="348" t="s">
        <v>2877</v>
      </c>
      <c r="L115" s="348" t="s">
        <v>2877</v>
      </c>
      <c r="M115" s="349">
        <v>0</v>
      </c>
      <c r="N115" s="349">
        <v>0</v>
      </c>
      <c r="O115" s="349">
        <v>0</v>
      </c>
      <c r="P115" s="348" t="s">
        <v>3131</v>
      </c>
      <c r="Q115" s="348" t="s">
        <v>3131</v>
      </c>
      <c r="R115" s="349">
        <v>5198.12</v>
      </c>
      <c r="S115" s="349">
        <v>5198.12</v>
      </c>
    </row>
    <row r="116" spans="1:20">
      <c r="A116" s="979"/>
      <c r="B116" s="990"/>
      <c r="C116" s="364" t="s">
        <v>3422</v>
      </c>
      <c r="D116" s="364" t="s">
        <v>3411</v>
      </c>
      <c r="E116" s="414" t="s">
        <v>2875</v>
      </c>
      <c r="F116" s="415" t="s">
        <v>3401</v>
      </c>
      <c r="G116" s="415" t="s">
        <v>3402</v>
      </c>
      <c r="H116" s="415" t="s">
        <v>3029</v>
      </c>
      <c r="I116" s="415" t="s">
        <v>3030</v>
      </c>
      <c r="J116" s="415" t="s">
        <v>3403</v>
      </c>
      <c r="K116" s="348" t="s">
        <v>2877</v>
      </c>
      <c r="L116" s="348" t="s">
        <v>2877</v>
      </c>
      <c r="M116" s="349">
        <v>0</v>
      </c>
      <c r="N116" s="349">
        <v>0</v>
      </c>
      <c r="O116" s="349">
        <v>0</v>
      </c>
      <c r="P116" s="348" t="s">
        <v>1923</v>
      </c>
      <c r="Q116" s="348" t="s">
        <v>3031</v>
      </c>
      <c r="R116" s="349">
        <v>8520</v>
      </c>
      <c r="S116" s="349">
        <v>8520</v>
      </c>
    </row>
    <row r="117" spans="1:20">
      <c r="A117" s="979"/>
      <c r="B117" s="990"/>
      <c r="C117" s="364" t="s">
        <v>3423</v>
      </c>
      <c r="D117" s="364" t="s">
        <v>3424</v>
      </c>
      <c r="E117" s="414" t="s">
        <v>2875</v>
      </c>
      <c r="F117" s="415" t="s">
        <v>3401</v>
      </c>
      <c r="G117" s="415" t="s">
        <v>3424</v>
      </c>
      <c r="H117" s="415" t="s">
        <v>3029</v>
      </c>
      <c r="I117" s="415" t="s">
        <v>3030</v>
      </c>
      <c r="J117" s="415" t="s">
        <v>3403</v>
      </c>
      <c r="K117" s="348" t="s">
        <v>2877</v>
      </c>
      <c r="L117" s="348" t="s">
        <v>2877</v>
      </c>
      <c r="M117" s="349">
        <v>0</v>
      </c>
      <c r="N117" s="349">
        <v>0</v>
      </c>
      <c r="O117" s="349">
        <v>0</v>
      </c>
      <c r="P117" s="348" t="s">
        <v>3127</v>
      </c>
      <c r="Q117" s="348" t="s">
        <v>3425</v>
      </c>
      <c r="R117" s="349">
        <v>22676</v>
      </c>
      <c r="S117" s="349">
        <v>22676</v>
      </c>
    </row>
    <row r="118" spans="1:20">
      <c r="A118" s="979"/>
      <c r="B118" s="990"/>
      <c r="C118" s="364" t="s">
        <v>3426</v>
      </c>
      <c r="D118" s="364" t="s">
        <v>3427</v>
      </c>
      <c r="E118" s="414" t="s">
        <v>2875</v>
      </c>
      <c r="F118" s="415" t="s">
        <v>3401</v>
      </c>
      <c r="G118" s="415" t="s">
        <v>3427</v>
      </c>
      <c r="H118" s="415" t="s">
        <v>3029</v>
      </c>
      <c r="I118" s="415" t="s">
        <v>3030</v>
      </c>
      <c r="J118" s="415" t="s">
        <v>3403</v>
      </c>
      <c r="K118" s="348" t="s">
        <v>2877</v>
      </c>
      <c r="L118" s="348" t="s">
        <v>2877</v>
      </c>
      <c r="M118" s="349">
        <v>0</v>
      </c>
      <c r="N118" s="349">
        <v>0</v>
      </c>
      <c r="O118" s="349">
        <v>0</v>
      </c>
      <c r="P118" s="348" t="s">
        <v>3127</v>
      </c>
      <c r="Q118" s="348" t="s">
        <v>3428</v>
      </c>
      <c r="R118" s="349">
        <v>59364</v>
      </c>
      <c r="S118" s="349">
        <v>59364</v>
      </c>
    </row>
    <row r="119" spans="1:20">
      <c r="A119" s="979"/>
      <c r="B119" s="990"/>
      <c r="C119" s="364" t="s">
        <v>3429</v>
      </c>
      <c r="D119" s="364" t="s">
        <v>3430</v>
      </c>
      <c r="E119" s="414" t="s">
        <v>2875</v>
      </c>
      <c r="F119" s="415" t="s">
        <v>3401</v>
      </c>
      <c r="G119" s="415" t="s">
        <v>3430</v>
      </c>
      <c r="H119" s="415" t="s">
        <v>3029</v>
      </c>
      <c r="I119" s="415" t="s">
        <v>3030</v>
      </c>
      <c r="J119" s="415" t="s">
        <v>3403</v>
      </c>
      <c r="K119" s="348" t="s">
        <v>2877</v>
      </c>
      <c r="L119" s="348" t="s">
        <v>2877</v>
      </c>
      <c r="M119" s="349">
        <v>0</v>
      </c>
      <c r="N119" s="349">
        <v>0</v>
      </c>
      <c r="O119" s="349">
        <v>0</v>
      </c>
      <c r="P119" s="348" t="s">
        <v>3127</v>
      </c>
      <c r="Q119" s="348" t="s">
        <v>3428</v>
      </c>
      <c r="R119" s="349">
        <v>52531</v>
      </c>
      <c r="S119" s="349">
        <v>52531</v>
      </c>
    </row>
    <row r="120" spans="1:20">
      <c r="A120" s="979"/>
      <c r="B120" s="990"/>
      <c r="C120" s="364" t="s">
        <v>3431</v>
      </c>
      <c r="D120" s="364" t="s">
        <v>3405</v>
      </c>
      <c r="E120" s="414" t="s">
        <v>2875</v>
      </c>
      <c r="F120" s="415" t="s">
        <v>3401</v>
      </c>
      <c r="G120" s="415" t="s">
        <v>3402</v>
      </c>
      <c r="H120" s="415" t="s">
        <v>3029</v>
      </c>
      <c r="I120" s="415" t="s">
        <v>3030</v>
      </c>
      <c r="J120" s="415" t="s">
        <v>3403</v>
      </c>
      <c r="K120" s="348" t="s">
        <v>2877</v>
      </c>
      <c r="L120" s="348" t="s">
        <v>2877</v>
      </c>
      <c r="M120" s="349">
        <v>0</v>
      </c>
      <c r="N120" s="349">
        <v>0</v>
      </c>
      <c r="O120" s="349">
        <v>0</v>
      </c>
      <c r="P120" s="348" t="s">
        <v>840</v>
      </c>
      <c r="Q120" s="348" t="s">
        <v>840</v>
      </c>
      <c r="R120" s="349">
        <v>8174</v>
      </c>
      <c r="S120" s="349">
        <v>8174</v>
      </c>
    </row>
    <row r="121" spans="1:20">
      <c r="A121" s="979"/>
      <c r="B121" s="990"/>
      <c r="C121" s="364" t="s">
        <v>3432</v>
      </c>
      <c r="D121" s="364" t="s">
        <v>3405</v>
      </c>
      <c r="E121" s="414" t="s">
        <v>2875</v>
      </c>
      <c r="F121" s="415" t="s">
        <v>3401</v>
      </c>
      <c r="G121" s="415" t="s">
        <v>3402</v>
      </c>
      <c r="H121" s="415" t="s">
        <v>3029</v>
      </c>
      <c r="I121" s="415" t="s">
        <v>3030</v>
      </c>
      <c r="J121" s="415" t="s">
        <v>3403</v>
      </c>
      <c r="K121" s="348" t="s">
        <v>2877</v>
      </c>
      <c r="L121" s="348" t="s">
        <v>2877</v>
      </c>
      <c r="M121" s="349">
        <v>0</v>
      </c>
      <c r="N121" s="349">
        <v>0</v>
      </c>
      <c r="O121" s="349">
        <v>0</v>
      </c>
      <c r="P121" s="348" t="s">
        <v>1923</v>
      </c>
      <c r="Q121" s="348" t="s">
        <v>840</v>
      </c>
      <c r="R121" s="349">
        <v>101700</v>
      </c>
      <c r="S121" s="349">
        <v>101700</v>
      </c>
    </row>
    <row r="122" spans="1:20">
      <c r="A122" s="979"/>
      <c r="B122" s="990"/>
      <c r="C122" s="364" t="s">
        <v>3433</v>
      </c>
      <c r="D122" s="364" t="s">
        <v>3033</v>
      </c>
      <c r="E122" s="414" t="s">
        <v>2875</v>
      </c>
      <c r="F122" s="415" t="s">
        <v>3401</v>
      </c>
      <c r="G122" s="415" t="s">
        <v>3402</v>
      </c>
      <c r="H122" s="415" t="s">
        <v>3029</v>
      </c>
      <c r="I122" s="415" t="s">
        <v>3030</v>
      </c>
      <c r="J122" s="415" t="s">
        <v>3403</v>
      </c>
      <c r="K122" s="348" t="s">
        <v>2877</v>
      </c>
      <c r="L122" s="348" t="s">
        <v>2877</v>
      </c>
      <c r="M122" s="349">
        <v>0</v>
      </c>
      <c r="N122" s="349">
        <v>0</v>
      </c>
      <c r="O122" s="349">
        <v>0</v>
      </c>
      <c r="P122" s="348" t="s">
        <v>3127</v>
      </c>
      <c r="Q122" s="348" t="s">
        <v>840</v>
      </c>
      <c r="R122" s="349">
        <v>332879.40000000002</v>
      </c>
      <c r="S122" s="349">
        <v>332879.40000000002</v>
      </c>
    </row>
    <row r="123" spans="1:20">
      <c r="A123" s="979"/>
      <c r="B123" s="990"/>
      <c r="C123" s="364" t="s">
        <v>3434</v>
      </c>
      <c r="D123" s="364" t="s">
        <v>3435</v>
      </c>
      <c r="E123" s="414" t="s">
        <v>2875</v>
      </c>
      <c r="F123" s="415" t="s">
        <v>3401</v>
      </c>
      <c r="G123" s="415" t="s">
        <v>3402</v>
      </c>
      <c r="H123" s="415" t="s">
        <v>3029</v>
      </c>
      <c r="I123" s="415" t="s">
        <v>3030</v>
      </c>
      <c r="J123" s="415" t="s">
        <v>3403</v>
      </c>
      <c r="K123" s="348" t="s">
        <v>2877</v>
      </c>
      <c r="L123" s="348" t="s">
        <v>2877</v>
      </c>
      <c r="M123" s="349">
        <v>0</v>
      </c>
      <c r="N123" s="349">
        <v>0</v>
      </c>
      <c r="O123" s="349">
        <v>0</v>
      </c>
      <c r="P123" s="348" t="s">
        <v>1923</v>
      </c>
      <c r="Q123" s="348" t="s">
        <v>840</v>
      </c>
      <c r="R123" s="349">
        <v>54484</v>
      </c>
      <c r="S123" s="349">
        <v>54485</v>
      </c>
    </row>
    <row r="124" spans="1:20">
      <c r="A124" s="350"/>
      <c r="B124" s="351" t="s">
        <v>3042</v>
      </c>
      <c r="C124" s="351"/>
      <c r="D124" s="351"/>
      <c r="E124" s="373"/>
      <c r="F124" s="374"/>
      <c r="G124" s="374"/>
      <c r="H124" s="374"/>
      <c r="I124" s="374"/>
      <c r="J124" s="374"/>
      <c r="K124" s="354"/>
      <c r="L124" s="354"/>
      <c r="M124" s="355"/>
      <c r="N124" s="355"/>
      <c r="O124" s="356">
        <f>SUM(O106:O123)</f>
        <v>18600</v>
      </c>
      <c r="P124" s="354"/>
      <c r="Q124" s="354"/>
      <c r="R124" s="355"/>
      <c r="S124" s="356">
        <f>SUM(S106:S123)</f>
        <v>908468.47</v>
      </c>
      <c r="T124" s="416"/>
    </row>
    <row r="125" spans="1:20">
      <c r="A125" s="974">
        <v>7</v>
      </c>
      <c r="B125" s="987" t="s">
        <v>578</v>
      </c>
      <c r="C125" s="359" t="s">
        <v>899</v>
      </c>
      <c r="D125" s="359" t="s">
        <v>900</v>
      </c>
      <c r="E125" s="358" t="s">
        <v>2875</v>
      </c>
      <c r="F125" s="413" t="s">
        <v>847</v>
      </c>
      <c r="G125" s="413" t="s">
        <v>847</v>
      </c>
      <c r="H125" s="413" t="s">
        <v>897</v>
      </c>
      <c r="I125" s="413" t="s">
        <v>848</v>
      </c>
      <c r="J125" s="413" t="s">
        <v>901</v>
      </c>
      <c r="K125" s="360" t="s">
        <v>2875</v>
      </c>
      <c r="L125" s="360" t="s">
        <v>2875</v>
      </c>
      <c r="M125" s="361">
        <v>86194.73</v>
      </c>
      <c r="N125" s="361">
        <v>86194.73</v>
      </c>
      <c r="O125" s="361">
        <v>86194.73</v>
      </c>
      <c r="P125" s="360" t="s">
        <v>2877</v>
      </c>
      <c r="Q125" s="360" t="s">
        <v>2877</v>
      </c>
      <c r="R125" s="361">
        <v>0</v>
      </c>
      <c r="S125" s="361">
        <v>0</v>
      </c>
    </row>
    <row r="126" spans="1:20">
      <c r="A126" s="974"/>
      <c r="B126" s="987"/>
      <c r="C126" s="359" t="s">
        <v>904</v>
      </c>
      <c r="D126" s="359" t="s">
        <v>900</v>
      </c>
      <c r="E126" s="358">
        <v>1</v>
      </c>
      <c r="F126" s="413" t="s">
        <v>847</v>
      </c>
      <c r="G126" s="413" t="s">
        <v>847</v>
      </c>
      <c r="H126" s="413" t="s">
        <v>897</v>
      </c>
      <c r="I126" s="413" t="s">
        <v>848</v>
      </c>
      <c r="J126" s="413" t="s">
        <v>901</v>
      </c>
      <c r="K126" s="360" t="s">
        <v>2875</v>
      </c>
      <c r="L126" s="360" t="s">
        <v>2875</v>
      </c>
      <c r="M126" s="361">
        <v>8000</v>
      </c>
      <c r="N126" s="361">
        <v>800</v>
      </c>
      <c r="O126" s="361">
        <v>800</v>
      </c>
      <c r="P126" s="360" t="s">
        <v>2877</v>
      </c>
      <c r="Q126" s="360" t="s">
        <v>2877</v>
      </c>
      <c r="R126" s="361">
        <v>0</v>
      </c>
      <c r="S126" s="361">
        <v>0</v>
      </c>
    </row>
    <row r="127" spans="1:20">
      <c r="A127" s="974"/>
      <c r="B127" s="987"/>
      <c r="C127" s="359" t="s">
        <v>844</v>
      </c>
      <c r="D127" s="359" t="s">
        <v>845</v>
      </c>
      <c r="E127" s="358">
        <v>1</v>
      </c>
      <c r="F127" s="413" t="s">
        <v>846</v>
      </c>
      <c r="G127" s="413" t="s">
        <v>847</v>
      </c>
      <c r="H127" s="413" t="s">
        <v>897</v>
      </c>
      <c r="I127" s="413" t="s">
        <v>848</v>
      </c>
      <c r="J127" s="413" t="s">
        <v>849</v>
      </c>
      <c r="K127" s="360" t="s">
        <v>2875</v>
      </c>
      <c r="L127" s="360" t="s">
        <v>2875</v>
      </c>
      <c r="M127" s="361">
        <v>1750</v>
      </c>
      <c r="N127" s="361">
        <v>1750</v>
      </c>
      <c r="O127" s="361">
        <v>1750</v>
      </c>
      <c r="P127" s="360" t="s">
        <v>2877</v>
      </c>
      <c r="Q127" s="360" t="s">
        <v>2877</v>
      </c>
      <c r="R127" s="361">
        <v>0</v>
      </c>
      <c r="S127" s="361">
        <v>0</v>
      </c>
    </row>
    <row r="128" spans="1:20">
      <c r="A128" s="974"/>
      <c r="B128" s="987"/>
      <c r="C128" s="359" t="s">
        <v>851</v>
      </c>
      <c r="D128" s="359" t="s">
        <v>845</v>
      </c>
      <c r="E128" s="358">
        <v>0.2</v>
      </c>
      <c r="F128" s="413" t="s">
        <v>846</v>
      </c>
      <c r="G128" s="413" t="s">
        <v>847</v>
      </c>
      <c r="H128" s="413" t="s">
        <v>897</v>
      </c>
      <c r="I128" s="413" t="s">
        <v>848</v>
      </c>
      <c r="J128" s="413" t="s">
        <v>849</v>
      </c>
      <c r="K128" s="360" t="s">
        <v>2875</v>
      </c>
      <c r="L128" s="360" t="s">
        <v>2875</v>
      </c>
      <c r="M128" s="361">
        <v>106100</v>
      </c>
      <c r="N128" s="361">
        <v>106100</v>
      </c>
      <c r="O128" s="361">
        <v>106100</v>
      </c>
      <c r="P128" s="360" t="s">
        <v>2877</v>
      </c>
      <c r="Q128" s="360" t="s">
        <v>2877</v>
      </c>
      <c r="R128" s="361">
        <v>0</v>
      </c>
      <c r="S128" s="361">
        <v>0</v>
      </c>
    </row>
    <row r="129" spans="1:19">
      <c r="A129" s="350"/>
      <c r="B129" s="351" t="s">
        <v>3436</v>
      </c>
      <c r="C129" s="351"/>
      <c r="D129" s="351"/>
      <c r="E129" s="373"/>
      <c r="F129" s="374"/>
      <c r="G129" s="374"/>
      <c r="H129" s="374"/>
      <c r="I129" s="374"/>
      <c r="J129" s="374"/>
      <c r="K129" s="354"/>
      <c r="L129" s="354"/>
      <c r="M129" s="355"/>
      <c r="N129" s="355"/>
      <c r="O129" s="356">
        <f>SUM(O125:O128)</f>
        <v>194844.72999999998</v>
      </c>
      <c r="P129" s="354"/>
      <c r="Q129" s="354"/>
      <c r="R129" s="355"/>
      <c r="S129" s="356">
        <f>SUM(S125:S128)</f>
        <v>0</v>
      </c>
    </row>
    <row r="130" spans="1:19">
      <c r="A130" s="979">
        <v>8</v>
      </c>
      <c r="B130" s="990" t="s">
        <v>599</v>
      </c>
      <c r="C130" s="364" t="s">
        <v>3437</v>
      </c>
      <c r="D130" s="364" t="s">
        <v>905</v>
      </c>
      <c r="E130" s="414" t="s">
        <v>2875</v>
      </c>
      <c r="F130" s="415" t="s">
        <v>911</v>
      </c>
      <c r="G130" s="415" t="s">
        <v>911</v>
      </c>
      <c r="H130" s="415" t="s">
        <v>909</v>
      </c>
      <c r="I130" s="415" t="s">
        <v>909</v>
      </c>
      <c r="J130" s="415" t="s">
        <v>3403</v>
      </c>
      <c r="K130" s="348">
        <v>44927</v>
      </c>
      <c r="L130" s="348">
        <v>44927</v>
      </c>
      <c r="M130" s="349">
        <v>495</v>
      </c>
      <c r="N130" s="349">
        <v>495</v>
      </c>
      <c r="O130" s="349">
        <v>495</v>
      </c>
      <c r="P130" s="348" t="s">
        <v>2877</v>
      </c>
      <c r="Q130" s="348" t="s">
        <v>2877</v>
      </c>
      <c r="R130" s="349">
        <v>0</v>
      </c>
      <c r="S130" s="349">
        <v>0</v>
      </c>
    </row>
    <row r="131" spans="1:19">
      <c r="A131" s="979"/>
      <c r="B131" s="990"/>
      <c r="C131" s="364" t="s">
        <v>3437</v>
      </c>
      <c r="D131" s="364" t="s">
        <v>905</v>
      </c>
      <c r="E131" s="414" t="s">
        <v>2875</v>
      </c>
      <c r="F131" s="415" t="s">
        <v>911</v>
      </c>
      <c r="G131" s="415" t="s">
        <v>911</v>
      </c>
      <c r="H131" s="415" t="s">
        <v>909</v>
      </c>
      <c r="I131" s="415" t="s">
        <v>909</v>
      </c>
      <c r="J131" s="415" t="s">
        <v>3403</v>
      </c>
      <c r="K131" s="348">
        <v>44958</v>
      </c>
      <c r="L131" s="348">
        <v>44958</v>
      </c>
      <c r="M131" s="349">
        <v>525</v>
      </c>
      <c r="N131" s="349">
        <v>525</v>
      </c>
      <c r="O131" s="349">
        <v>525</v>
      </c>
      <c r="P131" s="348" t="s">
        <v>2877</v>
      </c>
      <c r="Q131" s="348" t="s">
        <v>2877</v>
      </c>
      <c r="R131" s="349">
        <v>0</v>
      </c>
      <c r="S131" s="349">
        <v>0</v>
      </c>
    </row>
    <row r="132" spans="1:19">
      <c r="A132" s="979"/>
      <c r="B132" s="990"/>
      <c r="C132" s="364" t="s">
        <v>3438</v>
      </c>
      <c r="D132" s="364" t="s">
        <v>907</v>
      </c>
      <c r="E132" s="414" t="s">
        <v>2875</v>
      </c>
      <c r="F132" s="415" t="s">
        <v>908</v>
      </c>
      <c r="G132" s="415" t="s">
        <v>908</v>
      </c>
      <c r="H132" s="415" t="s">
        <v>909</v>
      </c>
      <c r="I132" s="415" t="s">
        <v>909</v>
      </c>
      <c r="J132" s="415" t="s">
        <v>3403</v>
      </c>
      <c r="K132" s="348">
        <v>44958</v>
      </c>
      <c r="L132" s="348">
        <v>44958</v>
      </c>
      <c r="M132" s="349">
        <v>1430.26</v>
      </c>
      <c r="N132" s="349">
        <v>1430.26</v>
      </c>
      <c r="O132" s="349">
        <v>1430.26</v>
      </c>
      <c r="P132" s="348" t="s">
        <v>2877</v>
      </c>
      <c r="Q132" s="348" t="s">
        <v>2877</v>
      </c>
      <c r="R132" s="349">
        <v>0</v>
      </c>
      <c r="S132" s="349">
        <v>0</v>
      </c>
    </row>
    <row r="133" spans="1:19">
      <c r="A133" s="979"/>
      <c r="B133" s="990"/>
      <c r="C133" s="364" t="s">
        <v>3437</v>
      </c>
      <c r="D133" s="364" t="s">
        <v>905</v>
      </c>
      <c r="E133" s="414" t="s">
        <v>2875</v>
      </c>
      <c r="F133" s="415" t="s">
        <v>911</v>
      </c>
      <c r="G133" s="415" t="s">
        <v>911</v>
      </c>
      <c r="H133" s="415" t="s">
        <v>909</v>
      </c>
      <c r="I133" s="415" t="s">
        <v>909</v>
      </c>
      <c r="J133" s="415" t="s">
        <v>3403</v>
      </c>
      <c r="K133" s="348">
        <v>44986</v>
      </c>
      <c r="L133" s="348">
        <v>44986</v>
      </c>
      <c r="M133" s="349">
        <v>876</v>
      </c>
      <c r="N133" s="349">
        <v>876</v>
      </c>
      <c r="O133" s="349">
        <v>876</v>
      </c>
      <c r="P133" s="348" t="s">
        <v>2877</v>
      </c>
      <c r="Q133" s="348" t="s">
        <v>2877</v>
      </c>
      <c r="R133" s="349">
        <v>0</v>
      </c>
      <c r="S133" s="349">
        <v>0</v>
      </c>
    </row>
    <row r="134" spans="1:19">
      <c r="A134" s="979"/>
      <c r="B134" s="990"/>
      <c r="C134" s="364" t="s">
        <v>3438</v>
      </c>
      <c r="D134" s="364" t="s">
        <v>907</v>
      </c>
      <c r="E134" s="414" t="s">
        <v>2875</v>
      </c>
      <c r="F134" s="415" t="s">
        <v>908</v>
      </c>
      <c r="G134" s="415" t="s">
        <v>908</v>
      </c>
      <c r="H134" s="415" t="s">
        <v>909</v>
      </c>
      <c r="I134" s="415" t="s">
        <v>909</v>
      </c>
      <c r="J134" s="415" t="s">
        <v>3403</v>
      </c>
      <c r="K134" s="348">
        <v>44986</v>
      </c>
      <c r="L134" s="348">
        <v>44986</v>
      </c>
      <c r="M134" s="349">
        <v>1608.1</v>
      </c>
      <c r="N134" s="349">
        <v>1608.1</v>
      </c>
      <c r="O134" s="349">
        <v>1608.1</v>
      </c>
      <c r="P134" s="348" t="s">
        <v>2877</v>
      </c>
      <c r="Q134" s="348" t="s">
        <v>2877</v>
      </c>
      <c r="R134" s="349">
        <v>0</v>
      </c>
      <c r="S134" s="349">
        <v>0</v>
      </c>
    </row>
    <row r="135" spans="1:19">
      <c r="A135" s="979"/>
      <c r="B135" s="990"/>
      <c r="C135" s="364" t="s">
        <v>3439</v>
      </c>
      <c r="D135" s="364" t="s">
        <v>3440</v>
      </c>
      <c r="E135" s="414" t="s">
        <v>2875</v>
      </c>
      <c r="F135" s="415" t="s">
        <v>911</v>
      </c>
      <c r="G135" s="415" t="s">
        <v>911</v>
      </c>
      <c r="H135" s="415" t="s">
        <v>909</v>
      </c>
      <c r="I135" s="415" t="s">
        <v>909</v>
      </c>
      <c r="J135" s="415" t="s">
        <v>3403</v>
      </c>
      <c r="K135" s="348">
        <v>44988</v>
      </c>
      <c r="L135" s="348">
        <v>44988</v>
      </c>
      <c r="M135" s="349">
        <v>1000</v>
      </c>
      <c r="N135" s="349">
        <v>1000</v>
      </c>
      <c r="O135" s="349">
        <v>1000</v>
      </c>
      <c r="P135" s="348" t="s">
        <v>2877</v>
      </c>
      <c r="Q135" s="348" t="s">
        <v>2877</v>
      </c>
      <c r="R135" s="349">
        <v>0</v>
      </c>
      <c r="S135" s="349">
        <v>0</v>
      </c>
    </row>
    <row r="136" spans="1:19">
      <c r="A136" s="979"/>
      <c r="B136" s="990"/>
      <c r="C136" s="364" t="s">
        <v>3437</v>
      </c>
      <c r="D136" s="364" t="s">
        <v>905</v>
      </c>
      <c r="E136" s="414" t="s">
        <v>2875</v>
      </c>
      <c r="F136" s="415" t="s">
        <v>911</v>
      </c>
      <c r="G136" s="415" t="s">
        <v>911</v>
      </c>
      <c r="H136" s="415" t="s">
        <v>909</v>
      </c>
      <c r="I136" s="415" t="s">
        <v>909</v>
      </c>
      <c r="J136" s="415" t="s">
        <v>3403</v>
      </c>
      <c r="K136" s="348">
        <v>45017</v>
      </c>
      <c r="L136" s="348">
        <v>45017</v>
      </c>
      <c r="M136" s="349">
        <v>960</v>
      </c>
      <c r="N136" s="349">
        <v>960</v>
      </c>
      <c r="O136" s="349">
        <v>960</v>
      </c>
      <c r="P136" s="348" t="s">
        <v>2877</v>
      </c>
      <c r="Q136" s="348" t="s">
        <v>2877</v>
      </c>
      <c r="R136" s="349">
        <v>0</v>
      </c>
      <c r="S136" s="349">
        <v>0</v>
      </c>
    </row>
    <row r="137" spans="1:19">
      <c r="A137" s="979"/>
      <c r="B137" s="990"/>
      <c r="C137" s="364" t="s">
        <v>3438</v>
      </c>
      <c r="D137" s="364" t="s">
        <v>907</v>
      </c>
      <c r="E137" s="414" t="s">
        <v>2875</v>
      </c>
      <c r="F137" s="415" t="s">
        <v>908</v>
      </c>
      <c r="G137" s="415" t="s">
        <v>908</v>
      </c>
      <c r="H137" s="415" t="s">
        <v>909</v>
      </c>
      <c r="I137" s="415" t="s">
        <v>909</v>
      </c>
      <c r="J137" s="415" t="s">
        <v>3403</v>
      </c>
      <c r="K137" s="348">
        <v>45017</v>
      </c>
      <c r="L137" s="348">
        <v>45017</v>
      </c>
      <c r="M137" s="349">
        <v>1762.86</v>
      </c>
      <c r="N137" s="349">
        <v>1762.86</v>
      </c>
      <c r="O137" s="349">
        <v>1762.86</v>
      </c>
      <c r="P137" s="348" t="s">
        <v>2877</v>
      </c>
      <c r="Q137" s="348" t="s">
        <v>2877</v>
      </c>
      <c r="R137" s="349">
        <v>0</v>
      </c>
      <c r="S137" s="349">
        <v>0</v>
      </c>
    </row>
    <row r="138" spans="1:19">
      <c r="A138" s="979"/>
      <c r="B138" s="990"/>
      <c r="C138" s="364" t="s">
        <v>3441</v>
      </c>
      <c r="D138" s="364" t="s">
        <v>3442</v>
      </c>
      <c r="E138" s="414" t="s">
        <v>2875</v>
      </c>
      <c r="F138" s="415" t="s">
        <v>911</v>
      </c>
      <c r="G138" s="415" t="s">
        <v>911</v>
      </c>
      <c r="H138" s="415" t="s">
        <v>909</v>
      </c>
      <c r="I138" s="415" t="s">
        <v>909</v>
      </c>
      <c r="J138" s="415" t="s">
        <v>3403</v>
      </c>
      <c r="K138" s="348">
        <v>45028</v>
      </c>
      <c r="L138" s="348">
        <v>45028</v>
      </c>
      <c r="M138" s="349">
        <v>850</v>
      </c>
      <c r="N138" s="349">
        <v>850</v>
      </c>
      <c r="O138" s="349">
        <v>850</v>
      </c>
      <c r="P138" s="348" t="s">
        <v>2877</v>
      </c>
      <c r="Q138" s="348" t="s">
        <v>2877</v>
      </c>
      <c r="R138" s="349">
        <v>0</v>
      </c>
      <c r="S138" s="349">
        <v>0</v>
      </c>
    </row>
    <row r="139" spans="1:19">
      <c r="A139" s="979"/>
      <c r="B139" s="990"/>
      <c r="C139" s="364" t="s">
        <v>3443</v>
      </c>
      <c r="D139" s="364" t="s">
        <v>3444</v>
      </c>
      <c r="E139" s="414" t="s">
        <v>2875</v>
      </c>
      <c r="F139" s="415" t="s">
        <v>911</v>
      </c>
      <c r="G139" s="415" t="s">
        <v>911</v>
      </c>
      <c r="H139" s="415" t="s">
        <v>909</v>
      </c>
      <c r="I139" s="415" t="s">
        <v>909</v>
      </c>
      <c r="J139" s="415" t="s">
        <v>3403</v>
      </c>
      <c r="K139" s="348">
        <v>45029</v>
      </c>
      <c r="L139" s="348">
        <v>45029</v>
      </c>
      <c r="M139" s="349">
        <v>4500</v>
      </c>
      <c r="N139" s="349">
        <v>4500</v>
      </c>
      <c r="O139" s="349">
        <v>4500</v>
      </c>
      <c r="P139" s="348" t="s">
        <v>2877</v>
      </c>
      <c r="Q139" s="348" t="s">
        <v>2877</v>
      </c>
      <c r="R139" s="349">
        <v>0</v>
      </c>
      <c r="S139" s="349">
        <v>0</v>
      </c>
    </row>
    <row r="140" spans="1:19">
      <c r="A140" s="979"/>
      <c r="B140" s="990"/>
      <c r="C140" s="364" t="s">
        <v>3445</v>
      </c>
      <c r="D140" s="364" t="s">
        <v>3446</v>
      </c>
      <c r="E140" s="414" t="s">
        <v>2875</v>
      </c>
      <c r="F140" s="415" t="s">
        <v>911</v>
      </c>
      <c r="G140" s="415" t="s">
        <v>911</v>
      </c>
      <c r="H140" s="415" t="s">
        <v>909</v>
      </c>
      <c r="I140" s="415" t="s">
        <v>909</v>
      </c>
      <c r="J140" s="415" t="s">
        <v>3403</v>
      </c>
      <c r="K140" s="348">
        <v>45029</v>
      </c>
      <c r="L140" s="348">
        <v>45029</v>
      </c>
      <c r="M140" s="349">
        <v>500</v>
      </c>
      <c r="N140" s="349">
        <v>500</v>
      </c>
      <c r="O140" s="349">
        <v>500</v>
      </c>
      <c r="P140" s="348" t="s">
        <v>2877</v>
      </c>
      <c r="Q140" s="348" t="s">
        <v>2877</v>
      </c>
      <c r="R140" s="349">
        <v>0</v>
      </c>
      <c r="S140" s="349">
        <v>0</v>
      </c>
    </row>
    <row r="141" spans="1:19">
      <c r="A141" s="979"/>
      <c r="B141" s="990"/>
      <c r="C141" s="364" t="s">
        <v>3447</v>
      </c>
      <c r="D141" s="364" t="s">
        <v>3448</v>
      </c>
      <c r="E141" s="414" t="s">
        <v>2875</v>
      </c>
      <c r="F141" s="415" t="s">
        <v>911</v>
      </c>
      <c r="G141" s="415" t="s">
        <v>911</v>
      </c>
      <c r="H141" s="415" t="s">
        <v>909</v>
      </c>
      <c r="I141" s="415" t="s">
        <v>909</v>
      </c>
      <c r="J141" s="415" t="s">
        <v>3403</v>
      </c>
      <c r="K141" s="348">
        <v>45040</v>
      </c>
      <c r="L141" s="348">
        <v>45040</v>
      </c>
      <c r="M141" s="349">
        <v>8000</v>
      </c>
      <c r="N141" s="349">
        <v>8000</v>
      </c>
      <c r="O141" s="349">
        <v>8000</v>
      </c>
      <c r="P141" s="348" t="s">
        <v>2877</v>
      </c>
      <c r="Q141" s="348" t="s">
        <v>2877</v>
      </c>
      <c r="R141" s="349">
        <v>0</v>
      </c>
      <c r="S141" s="349">
        <v>0</v>
      </c>
    </row>
    <row r="142" spans="1:19">
      <c r="A142" s="979"/>
      <c r="B142" s="990"/>
      <c r="C142" s="364" t="s">
        <v>3449</v>
      </c>
      <c r="D142" s="364" t="s">
        <v>3450</v>
      </c>
      <c r="E142" s="414" t="s">
        <v>2875</v>
      </c>
      <c r="F142" s="415" t="s">
        <v>911</v>
      </c>
      <c r="G142" s="415" t="s">
        <v>911</v>
      </c>
      <c r="H142" s="415" t="s">
        <v>909</v>
      </c>
      <c r="I142" s="415" t="s">
        <v>909</v>
      </c>
      <c r="J142" s="415" t="s">
        <v>3403</v>
      </c>
      <c r="K142" s="348">
        <v>45030</v>
      </c>
      <c r="L142" s="348">
        <v>45030</v>
      </c>
      <c r="M142" s="349">
        <v>1000</v>
      </c>
      <c r="N142" s="349">
        <v>1000</v>
      </c>
      <c r="O142" s="349">
        <v>1000</v>
      </c>
      <c r="P142" s="348" t="s">
        <v>2877</v>
      </c>
      <c r="Q142" s="348" t="s">
        <v>2877</v>
      </c>
      <c r="R142" s="349">
        <v>0</v>
      </c>
      <c r="S142" s="349">
        <v>0</v>
      </c>
    </row>
    <row r="143" spans="1:19">
      <c r="A143" s="979"/>
      <c r="B143" s="990"/>
      <c r="C143" s="364" t="s">
        <v>3437</v>
      </c>
      <c r="D143" s="364" t="s">
        <v>905</v>
      </c>
      <c r="E143" s="414" t="s">
        <v>2875</v>
      </c>
      <c r="F143" s="415" t="s">
        <v>911</v>
      </c>
      <c r="G143" s="415" t="s">
        <v>911</v>
      </c>
      <c r="H143" s="415" t="s">
        <v>909</v>
      </c>
      <c r="I143" s="415" t="s">
        <v>909</v>
      </c>
      <c r="J143" s="415" t="s">
        <v>3403</v>
      </c>
      <c r="K143" s="348">
        <v>45047</v>
      </c>
      <c r="L143" s="348">
        <v>45047</v>
      </c>
      <c r="M143" s="349">
        <v>660</v>
      </c>
      <c r="N143" s="349">
        <v>660</v>
      </c>
      <c r="O143" s="349">
        <v>660</v>
      </c>
      <c r="P143" s="348" t="s">
        <v>2877</v>
      </c>
      <c r="Q143" s="348" t="s">
        <v>2877</v>
      </c>
      <c r="R143" s="349">
        <v>0</v>
      </c>
      <c r="S143" s="349">
        <v>0</v>
      </c>
    </row>
    <row r="144" spans="1:19">
      <c r="A144" s="979"/>
      <c r="B144" s="990"/>
      <c r="C144" s="364" t="s">
        <v>3438</v>
      </c>
      <c r="D144" s="364" t="s">
        <v>907</v>
      </c>
      <c r="E144" s="414" t="s">
        <v>2875</v>
      </c>
      <c r="F144" s="415" t="s">
        <v>908</v>
      </c>
      <c r="G144" s="415" t="s">
        <v>908</v>
      </c>
      <c r="H144" s="415" t="s">
        <v>909</v>
      </c>
      <c r="I144" s="415" t="s">
        <v>909</v>
      </c>
      <c r="J144" s="415" t="s">
        <v>3403</v>
      </c>
      <c r="K144" s="348">
        <v>45047</v>
      </c>
      <c r="L144" s="348">
        <v>45047</v>
      </c>
      <c r="M144" s="349">
        <v>1356.05</v>
      </c>
      <c r="N144" s="349">
        <v>1356.05</v>
      </c>
      <c r="O144" s="349">
        <v>1356.05</v>
      </c>
      <c r="P144" s="348" t="s">
        <v>2877</v>
      </c>
      <c r="Q144" s="348" t="s">
        <v>2877</v>
      </c>
      <c r="R144" s="349">
        <v>0</v>
      </c>
      <c r="S144" s="349">
        <v>0</v>
      </c>
    </row>
    <row r="145" spans="1:19">
      <c r="A145" s="979"/>
      <c r="B145" s="990"/>
      <c r="C145" s="364" t="s">
        <v>3451</v>
      </c>
      <c r="D145" s="364" t="s">
        <v>3452</v>
      </c>
      <c r="E145" s="414" t="s">
        <v>2875</v>
      </c>
      <c r="F145" s="415" t="s">
        <v>911</v>
      </c>
      <c r="G145" s="415" t="s">
        <v>911</v>
      </c>
      <c r="H145" s="415" t="s">
        <v>909</v>
      </c>
      <c r="I145" s="415" t="s">
        <v>909</v>
      </c>
      <c r="J145" s="415" t="s">
        <v>3403</v>
      </c>
      <c r="K145" s="348">
        <v>45049</v>
      </c>
      <c r="L145" s="348">
        <v>45049</v>
      </c>
      <c r="M145" s="349">
        <v>640</v>
      </c>
      <c r="N145" s="349">
        <v>640</v>
      </c>
      <c r="O145" s="349">
        <v>640</v>
      </c>
      <c r="P145" s="348" t="s">
        <v>2877</v>
      </c>
      <c r="Q145" s="348" t="s">
        <v>2877</v>
      </c>
      <c r="R145" s="349">
        <v>0</v>
      </c>
      <c r="S145" s="349">
        <v>0</v>
      </c>
    </row>
    <row r="146" spans="1:19">
      <c r="A146" s="979"/>
      <c r="B146" s="990"/>
      <c r="C146" s="364" t="s">
        <v>3453</v>
      </c>
      <c r="D146" s="364" t="s">
        <v>3454</v>
      </c>
      <c r="E146" s="414" t="s">
        <v>2875</v>
      </c>
      <c r="F146" s="415" t="s">
        <v>911</v>
      </c>
      <c r="G146" s="415" t="s">
        <v>911</v>
      </c>
      <c r="H146" s="415" t="s">
        <v>909</v>
      </c>
      <c r="I146" s="415" t="s">
        <v>909</v>
      </c>
      <c r="J146" s="415" t="s">
        <v>3403</v>
      </c>
      <c r="K146" s="348">
        <v>45069</v>
      </c>
      <c r="L146" s="348">
        <v>45069</v>
      </c>
      <c r="M146" s="349">
        <v>6200</v>
      </c>
      <c r="N146" s="349">
        <v>6200</v>
      </c>
      <c r="O146" s="349">
        <v>6200</v>
      </c>
      <c r="P146" s="348" t="s">
        <v>2877</v>
      </c>
      <c r="Q146" s="348" t="s">
        <v>2877</v>
      </c>
      <c r="R146" s="349">
        <v>0</v>
      </c>
      <c r="S146" s="349">
        <v>0</v>
      </c>
    </row>
    <row r="147" spans="1:19">
      <c r="A147" s="979"/>
      <c r="B147" s="990"/>
      <c r="C147" s="364" t="s">
        <v>3455</v>
      </c>
      <c r="D147" s="364" t="s">
        <v>3456</v>
      </c>
      <c r="E147" s="414" t="s">
        <v>2875</v>
      </c>
      <c r="F147" s="415" t="s">
        <v>911</v>
      </c>
      <c r="G147" s="415" t="s">
        <v>911</v>
      </c>
      <c r="H147" s="415" t="s">
        <v>909</v>
      </c>
      <c r="I147" s="415" t="s">
        <v>909</v>
      </c>
      <c r="J147" s="415" t="s">
        <v>3403</v>
      </c>
      <c r="K147" s="348">
        <v>45076</v>
      </c>
      <c r="L147" s="348">
        <v>45076</v>
      </c>
      <c r="M147" s="349">
        <v>1135</v>
      </c>
      <c r="N147" s="349">
        <v>1135</v>
      </c>
      <c r="O147" s="349">
        <v>1135</v>
      </c>
      <c r="P147" s="348" t="s">
        <v>2877</v>
      </c>
      <c r="Q147" s="348" t="s">
        <v>2877</v>
      </c>
      <c r="R147" s="349">
        <v>0</v>
      </c>
      <c r="S147" s="349">
        <v>0</v>
      </c>
    </row>
    <row r="148" spans="1:19">
      <c r="A148" s="979"/>
      <c r="B148" s="990"/>
      <c r="C148" s="364" t="s">
        <v>3437</v>
      </c>
      <c r="D148" s="364" t="s">
        <v>905</v>
      </c>
      <c r="E148" s="414" t="s">
        <v>2875</v>
      </c>
      <c r="F148" s="415" t="s">
        <v>911</v>
      </c>
      <c r="G148" s="415" t="s">
        <v>911</v>
      </c>
      <c r="H148" s="415" t="s">
        <v>909</v>
      </c>
      <c r="I148" s="415" t="s">
        <v>909</v>
      </c>
      <c r="J148" s="415" t="s">
        <v>3403</v>
      </c>
      <c r="K148" s="348">
        <v>45078</v>
      </c>
      <c r="L148" s="348">
        <v>45078</v>
      </c>
      <c r="M148" s="349">
        <v>675</v>
      </c>
      <c r="N148" s="349">
        <v>675</v>
      </c>
      <c r="O148" s="349">
        <v>675</v>
      </c>
      <c r="P148" s="348" t="s">
        <v>2877</v>
      </c>
      <c r="Q148" s="348" t="s">
        <v>2877</v>
      </c>
      <c r="R148" s="349">
        <v>0</v>
      </c>
      <c r="S148" s="349">
        <v>0</v>
      </c>
    </row>
    <row r="149" spans="1:19">
      <c r="A149" s="979"/>
      <c r="B149" s="990"/>
      <c r="C149" s="364" t="s">
        <v>3457</v>
      </c>
      <c r="D149" s="364" t="s">
        <v>3452</v>
      </c>
      <c r="E149" s="414" t="s">
        <v>2875</v>
      </c>
      <c r="F149" s="415" t="s">
        <v>911</v>
      </c>
      <c r="G149" s="415" t="s">
        <v>911</v>
      </c>
      <c r="H149" s="415" t="s">
        <v>909</v>
      </c>
      <c r="I149" s="415" t="s">
        <v>909</v>
      </c>
      <c r="J149" s="415" t="s">
        <v>3403</v>
      </c>
      <c r="K149" s="348">
        <v>45096</v>
      </c>
      <c r="L149" s="348">
        <v>45096</v>
      </c>
      <c r="M149" s="349">
        <v>615</v>
      </c>
      <c r="N149" s="349">
        <v>615</v>
      </c>
      <c r="O149" s="349">
        <v>615</v>
      </c>
      <c r="P149" s="348" t="s">
        <v>2877</v>
      </c>
      <c r="Q149" s="348" t="s">
        <v>2877</v>
      </c>
      <c r="R149" s="349">
        <v>0</v>
      </c>
      <c r="S149" s="349">
        <v>0</v>
      </c>
    </row>
    <row r="150" spans="1:19">
      <c r="A150" s="979"/>
      <c r="B150" s="990"/>
      <c r="C150" s="364" t="s">
        <v>3458</v>
      </c>
      <c r="D150" s="364" t="s">
        <v>3459</v>
      </c>
      <c r="E150" s="414" t="s">
        <v>2875</v>
      </c>
      <c r="F150" s="415" t="s">
        <v>911</v>
      </c>
      <c r="G150" s="415" t="s">
        <v>911</v>
      </c>
      <c r="H150" s="415" t="s">
        <v>909</v>
      </c>
      <c r="I150" s="415" t="s">
        <v>909</v>
      </c>
      <c r="J150" s="415" t="s">
        <v>3403</v>
      </c>
      <c r="K150" s="348">
        <v>45106</v>
      </c>
      <c r="L150" s="348">
        <v>45106</v>
      </c>
      <c r="M150" s="349">
        <v>10000</v>
      </c>
      <c r="N150" s="349">
        <v>10000</v>
      </c>
      <c r="O150" s="349">
        <v>10000</v>
      </c>
      <c r="P150" s="348" t="s">
        <v>2877</v>
      </c>
      <c r="Q150" s="348" t="s">
        <v>2877</v>
      </c>
      <c r="R150" s="349">
        <v>0</v>
      </c>
      <c r="S150" s="349">
        <v>0</v>
      </c>
    </row>
    <row r="151" spans="1:19">
      <c r="A151" s="979"/>
      <c r="B151" s="990"/>
      <c r="C151" s="364" t="s">
        <v>3460</v>
      </c>
      <c r="D151" s="364" t="s">
        <v>3461</v>
      </c>
      <c r="E151" s="414" t="s">
        <v>2875</v>
      </c>
      <c r="F151" s="415" t="s">
        <v>911</v>
      </c>
      <c r="G151" s="415" t="s">
        <v>911</v>
      </c>
      <c r="H151" s="415" t="s">
        <v>909</v>
      </c>
      <c r="I151" s="415" t="s">
        <v>909</v>
      </c>
      <c r="J151" s="415" t="s">
        <v>3403</v>
      </c>
      <c r="K151" s="348">
        <v>45106</v>
      </c>
      <c r="L151" s="348">
        <v>45106</v>
      </c>
      <c r="M151" s="349">
        <v>2600</v>
      </c>
      <c r="N151" s="349">
        <v>2600</v>
      </c>
      <c r="O151" s="349">
        <v>2600</v>
      </c>
      <c r="P151" s="348" t="s">
        <v>2877</v>
      </c>
      <c r="Q151" s="348" t="s">
        <v>2877</v>
      </c>
      <c r="R151" s="349">
        <v>0</v>
      </c>
      <c r="S151" s="349">
        <v>0</v>
      </c>
    </row>
    <row r="152" spans="1:19">
      <c r="A152" s="979"/>
      <c r="B152" s="990"/>
      <c r="C152" s="364" t="s">
        <v>3437</v>
      </c>
      <c r="D152" s="364" t="s">
        <v>905</v>
      </c>
      <c r="E152" s="414" t="s">
        <v>2875</v>
      </c>
      <c r="F152" s="415" t="s">
        <v>911</v>
      </c>
      <c r="G152" s="415" t="s">
        <v>911</v>
      </c>
      <c r="H152" s="415" t="s">
        <v>909</v>
      </c>
      <c r="I152" s="415" t="s">
        <v>909</v>
      </c>
      <c r="J152" s="415" t="s">
        <v>3403</v>
      </c>
      <c r="K152" s="348">
        <v>45108</v>
      </c>
      <c r="L152" s="348">
        <v>45108</v>
      </c>
      <c r="M152" s="349">
        <v>669</v>
      </c>
      <c r="N152" s="349">
        <v>669</v>
      </c>
      <c r="O152" s="349">
        <v>669</v>
      </c>
      <c r="P152" s="348" t="s">
        <v>2877</v>
      </c>
      <c r="Q152" s="348" t="s">
        <v>2877</v>
      </c>
      <c r="R152" s="349">
        <v>0</v>
      </c>
      <c r="S152" s="349">
        <v>0</v>
      </c>
    </row>
    <row r="153" spans="1:19">
      <c r="A153" s="979"/>
      <c r="B153" s="990"/>
      <c r="C153" s="364" t="s">
        <v>3462</v>
      </c>
      <c r="D153" s="364" t="s">
        <v>3463</v>
      </c>
      <c r="E153" s="414" t="s">
        <v>2875</v>
      </c>
      <c r="F153" s="415" t="s">
        <v>911</v>
      </c>
      <c r="G153" s="415" t="s">
        <v>911</v>
      </c>
      <c r="H153" s="415" t="s">
        <v>909</v>
      </c>
      <c r="I153" s="415" t="s">
        <v>909</v>
      </c>
      <c r="J153" s="415" t="s">
        <v>3403</v>
      </c>
      <c r="K153" s="348">
        <v>45122</v>
      </c>
      <c r="L153" s="348">
        <v>45122</v>
      </c>
      <c r="M153" s="349">
        <v>400</v>
      </c>
      <c r="N153" s="349">
        <v>400</v>
      </c>
      <c r="O153" s="349">
        <v>400</v>
      </c>
      <c r="P153" s="348" t="s">
        <v>2877</v>
      </c>
      <c r="Q153" s="348" t="s">
        <v>2877</v>
      </c>
      <c r="R153" s="349">
        <v>0</v>
      </c>
      <c r="S153" s="349">
        <v>0</v>
      </c>
    </row>
    <row r="154" spans="1:19">
      <c r="A154" s="979"/>
      <c r="B154" s="990"/>
      <c r="C154" s="364" t="s">
        <v>3464</v>
      </c>
      <c r="D154" s="364" t="s">
        <v>3465</v>
      </c>
      <c r="E154" s="414" t="s">
        <v>2875</v>
      </c>
      <c r="F154" s="415" t="s">
        <v>911</v>
      </c>
      <c r="G154" s="415" t="s">
        <v>911</v>
      </c>
      <c r="H154" s="415" t="s">
        <v>909</v>
      </c>
      <c r="I154" s="415" t="s">
        <v>909</v>
      </c>
      <c r="J154" s="415" t="s">
        <v>3403</v>
      </c>
      <c r="K154" s="348">
        <v>45136</v>
      </c>
      <c r="L154" s="348">
        <v>45136</v>
      </c>
      <c r="M154" s="349">
        <v>500</v>
      </c>
      <c r="N154" s="349">
        <v>500</v>
      </c>
      <c r="O154" s="349">
        <v>500</v>
      </c>
      <c r="P154" s="348" t="s">
        <v>2877</v>
      </c>
      <c r="Q154" s="348" t="s">
        <v>2877</v>
      </c>
      <c r="R154" s="349">
        <v>0</v>
      </c>
      <c r="S154" s="349">
        <v>0</v>
      </c>
    </row>
    <row r="155" spans="1:19">
      <c r="A155" s="979"/>
      <c r="B155" s="990"/>
      <c r="C155" s="364" t="s">
        <v>3437</v>
      </c>
      <c r="D155" s="364" t="s">
        <v>905</v>
      </c>
      <c r="E155" s="414" t="s">
        <v>2875</v>
      </c>
      <c r="F155" s="415" t="s">
        <v>911</v>
      </c>
      <c r="G155" s="415" t="s">
        <v>911</v>
      </c>
      <c r="H155" s="415" t="s">
        <v>909</v>
      </c>
      <c r="I155" s="415" t="s">
        <v>909</v>
      </c>
      <c r="J155" s="415" t="s">
        <v>3403</v>
      </c>
      <c r="K155" s="348">
        <v>45139</v>
      </c>
      <c r="L155" s="348">
        <v>45139</v>
      </c>
      <c r="M155" s="349">
        <v>600</v>
      </c>
      <c r="N155" s="349">
        <v>600</v>
      </c>
      <c r="O155" s="349">
        <v>600</v>
      </c>
      <c r="P155" s="348" t="s">
        <v>2877</v>
      </c>
      <c r="Q155" s="348" t="s">
        <v>2877</v>
      </c>
      <c r="R155" s="349">
        <v>0</v>
      </c>
      <c r="S155" s="349">
        <v>0</v>
      </c>
    </row>
    <row r="156" spans="1:19">
      <c r="A156" s="979"/>
      <c r="B156" s="990"/>
      <c r="C156" s="364" t="s">
        <v>3457</v>
      </c>
      <c r="D156" s="364" t="s">
        <v>3452</v>
      </c>
      <c r="E156" s="414" t="s">
        <v>2875</v>
      </c>
      <c r="F156" s="415" t="s">
        <v>911</v>
      </c>
      <c r="G156" s="415" t="s">
        <v>911</v>
      </c>
      <c r="H156" s="415" t="s">
        <v>909</v>
      </c>
      <c r="I156" s="415" t="s">
        <v>909</v>
      </c>
      <c r="J156" s="415" t="s">
        <v>3403</v>
      </c>
      <c r="K156" s="348">
        <v>45139</v>
      </c>
      <c r="L156" s="348">
        <v>45139</v>
      </c>
      <c r="M156" s="349">
        <v>669</v>
      </c>
      <c r="N156" s="349">
        <v>669</v>
      </c>
      <c r="O156" s="349">
        <v>669</v>
      </c>
      <c r="P156" s="348" t="s">
        <v>2877</v>
      </c>
      <c r="Q156" s="348" t="s">
        <v>2877</v>
      </c>
      <c r="R156" s="349">
        <v>0</v>
      </c>
      <c r="S156" s="349">
        <v>0</v>
      </c>
    </row>
    <row r="157" spans="1:19">
      <c r="A157" s="979"/>
      <c r="B157" s="990"/>
      <c r="C157" s="364" t="s">
        <v>3466</v>
      </c>
      <c r="D157" s="364" t="s">
        <v>3467</v>
      </c>
      <c r="E157" s="414" t="s">
        <v>2875</v>
      </c>
      <c r="F157" s="415" t="s">
        <v>911</v>
      </c>
      <c r="G157" s="415" t="s">
        <v>911</v>
      </c>
      <c r="H157" s="415" t="s">
        <v>909</v>
      </c>
      <c r="I157" s="415" t="s">
        <v>909</v>
      </c>
      <c r="J157" s="415" t="s">
        <v>3403</v>
      </c>
      <c r="K157" s="348">
        <v>45143</v>
      </c>
      <c r="L157" s="348">
        <v>45143</v>
      </c>
      <c r="M157" s="349">
        <v>3000</v>
      </c>
      <c r="N157" s="349">
        <v>3000</v>
      </c>
      <c r="O157" s="349">
        <v>3000</v>
      </c>
      <c r="P157" s="348" t="s">
        <v>2877</v>
      </c>
      <c r="Q157" s="348" t="s">
        <v>2877</v>
      </c>
      <c r="R157" s="349">
        <v>0</v>
      </c>
      <c r="S157" s="349">
        <v>0</v>
      </c>
    </row>
    <row r="158" spans="1:19">
      <c r="A158" s="979"/>
      <c r="B158" s="990"/>
      <c r="C158" s="364" t="s">
        <v>3468</v>
      </c>
      <c r="D158" s="364" t="s">
        <v>3469</v>
      </c>
      <c r="E158" s="414" t="s">
        <v>2875</v>
      </c>
      <c r="F158" s="415" t="s">
        <v>911</v>
      </c>
      <c r="G158" s="415" t="s">
        <v>911</v>
      </c>
      <c r="H158" s="415" t="s">
        <v>909</v>
      </c>
      <c r="I158" s="415" t="s">
        <v>909</v>
      </c>
      <c r="J158" s="415" t="s">
        <v>3403</v>
      </c>
      <c r="K158" s="348">
        <v>45147</v>
      </c>
      <c r="L158" s="348">
        <v>45147</v>
      </c>
      <c r="M158" s="349">
        <v>1100</v>
      </c>
      <c r="N158" s="349">
        <v>1100</v>
      </c>
      <c r="O158" s="349">
        <v>1100</v>
      </c>
      <c r="P158" s="348" t="s">
        <v>2877</v>
      </c>
      <c r="Q158" s="348" t="s">
        <v>2877</v>
      </c>
      <c r="R158" s="349">
        <v>0</v>
      </c>
      <c r="S158" s="349">
        <v>0</v>
      </c>
    </row>
    <row r="159" spans="1:19">
      <c r="A159" s="979"/>
      <c r="B159" s="990"/>
      <c r="C159" s="364" t="s">
        <v>3470</v>
      </c>
      <c r="D159" s="364" t="s">
        <v>3471</v>
      </c>
      <c r="E159" s="414" t="s">
        <v>2875</v>
      </c>
      <c r="F159" s="415" t="s">
        <v>911</v>
      </c>
      <c r="G159" s="415" t="s">
        <v>911</v>
      </c>
      <c r="H159" s="415" t="s">
        <v>909</v>
      </c>
      <c r="I159" s="415" t="s">
        <v>909</v>
      </c>
      <c r="J159" s="415" t="s">
        <v>3403</v>
      </c>
      <c r="K159" s="348">
        <v>45154</v>
      </c>
      <c r="L159" s="348">
        <v>45154</v>
      </c>
      <c r="M159" s="349">
        <v>6000</v>
      </c>
      <c r="N159" s="349">
        <v>6000</v>
      </c>
      <c r="O159" s="349">
        <v>6000</v>
      </c>
      <c r="P159" s="348" t="s">
        <v>2877</v>
      </c>
      <c r="Q159" s="348" t="s">
        <v>2877</v>
      </c>
      <c r="R159" s="349">
        <v>0</v>
      </c>
      <c r="S159" s="349">
        <v>0</v>
      </c>
    </row>
    <row r="160" spans="1:19">
      <c r="A160" s="979"/>
      <c r="B160" s="990"/>
      <c r="C160" s="364" t="s">
        <v>3437</v>
      </c>
      <c r="D160" s="364" t="s">
        <v>905</v>
      </c>
      <c r="E160" s="414" t="s">
        <v>2875</v>
      </c>
      <c r="F160" s="415" t="s">
        <v>911</v>
      </c>
      <c r="G160" s="415" t="s">
        <v>911</v>
      </c>
      <c r="H160" s="415" t="s">
        <v>909</v>
      </c>
      <c r="I160" s="415" t="s">
        <v>909</v>
      </c>
      <c r="J160" s="415" t="s">
        <v>3403</v>
      </c>
      <c r="K160" s="348">
        <v>45170</v>
      </c>
      <c r="L160" s="348">
        <v>45170</v>
      </c>
      <c r="M160" s="349">
        <v>609</v>
      </c>
      <c r="N160" s="349">
        <v>609</v>
      </c>
      <c r="O160" s="349">
        <v>609</v>
      </c>
      <c r="P160" s="348" t="s">
        <v>2877</v>
      </c>
      <c r="Q160" s="348" t="s">
        <v>2877</v>
      </c>
      <c r="R160" s="349">
        <v>0</v>
      </c>
      <c r="S160" s="349">
        <v>0</v>
      </c>
    </row>
    <row r="161" spans="1:19">
      <c r="A161" s="979"/>
      <c r="B161" s="990"/>
      <c r="C161" s="364" t="s">
        <v>3472</v>
      </c>
      <c r="D161" s="364" t="s">
        <v>2875</v>
      </c>
      <c r="E161" s="414" t="s">
        <v>2875</v>
      </c>
      <c r="F161" s="415" t="s">
        <v>911</v>
      </c>
      <c r="G161" s="415" t="s">
        <v>911</v>
      </c>
      <c r="H161" s="415" t="s">
        <v>909</v>
      </c>
      <c r="I161" s="415" t="s">
        <v>909</v>
      </c>
      <c r="J161" s="415" t="s">
        <v>3403</v>
      </c>
      <c r="K161" s="348">
        <v>45184</v>
      </c>
      <c r="L161" s="348">
        <v>45184</v>
      </c>
      <c r="M161" s="349">
        <v>800</v>
      </c>
      <c r="N161" s="349">
        <v>800</v>
      </c>
      <c r="O161" s="349">
        <v>800</v>
      </c>
      <c r="P161" s="348" t="s">
        <v>2877</v>
      </c>
      <c r="Q161" s="348" t="s">
        <v>2877</v>
      </c>
      <c r="R161" s="349">
        <v>0</v>
      </c>
      <c r="S161" s="349">
        <v>0</v>
      </c>
    </row>
    <row r="162" spans="1:19">
      <c r="A162" s="979"/>
      <c r="B162" s="990"/>
      <c r="C162" s="364" t="s">
        <v>3473</v>
      </c>
      <c r="D162" s="364" t="s">
        <v>2875</v>
      </c>
      <c r="E162" s="414" t="s">
        <v>2875</v>
      </c>
      <c r="F162" s="415" t="s">
        <v>911</v>
      </c>
      <c r="G162" s="415" t="s">
        <v>911</v>
      </c>
      <c r="H162" s="415" t="s">
        <v>909</v>
      </c>
      <c r="I162" s="415" t="s">
        <v>909</v>
      </c>
      <c r="J162" s="415" t="s">
        <v>3403</v>
      </c>
      <c r="K162" s="348">
        <v>45195</v>
      </c>
      <c r="L162" s="348">
        <v>45195</v>
      </c>
      <c r="M162" s="349">
        <v>10000</v>
      </c>
      <c r="N162" s="349">
        <v>10000</v>
      </c>
      <c r="O162" s="349">
        <v>10000</v>
      </c>
      <c r="P162" s="348" t="s">
        <v>2877</v>
      </c>
      <c r="Q162" s="348" t="s">
        <v>2877</v>
      </c>
      <c r="R162" s="349">
        <v>0</v>
      </c>
      <c r="S162" s="349">
        <v>0</v>
      </c>
    </row>
    <row r="163" spans="1:19">
      <c r="A163" s="979"/>
      <c r="B163" s="990"/>
      <c r="C163" s="364" t="s">
        <v>3437</v>
      </c>
      <c r="D163" s="364" t="s">
        <v>905</v>
      </c>
      <c r="E163" s="414" t="s">
        <v>2875</v>
      </c>
      <c r="F163" s="415" t="s">
        <v>911</v>
      </c>
      <c r="G163" s="415" t="s">
        <v>911</v>
      </c>
      <c r="H163" s="415" t="s">
        <v>909</v>
      </c>
      <c r="I163" s="415" t="s">
        <v>909</v>
      </c>
      <c r="J163" s="415" t="s">
        <v>3403</v>
      </c>
      <c r="K163" s="348">
        <v>45200</v>
      </c>
      <c r="L163" s="348">
        <v>45200</v>
      </c>
      <c r="M163" s="349">
        <v>594</v>
      </c>
      <c r="N163" s="349">
        <v>594</v>
      </c>
      <c r="O163" s="349">
        <v>594</v>
      </c>
      <c r="P163" s="348" t="s">
        <v>2877</v>
      </c>
      <c r="Q163" s="348" t="s">
        <v>2877</v>
      </c>
      <c r="R163" s="349">
        <v>0</v>
      </c>
      <c r="S163" s="349">
        <v>0</v>
      </c>
    </row>
    <row r="164" spans="1:19">
      <c r="A164" s="979"/>
      <c r="B164" s="990"/>
      <c r="C164" s="364" t="s">
        <v>3457</v>
      </c>
      <c r="D164" s="364" t="s">
        <v>3452</v>
      </c>
      <c r="E164" s="414" t="s">
        <v>2875</v>
      </c>
      <c r="F164" s="415" t="s">
        <v>911</v>
      </c>
      <c r="G164" s="415" t="s">
        <v>911</v>
      </c>
      <c r="H164" s="415" t="s">
        <v>909</v>
      </c>
      <c r="I164" s="415" t="s">
        <v>909</v>
      </c>
      <c r="J164" s="415" t="s">
        <v>3403</v>
      </c>
      <c r="K164" s="348">
        <v>45205</v>
      </c>
      <c r="L164" s="348">
        <v>45205</v>
      </c>
      <c r="M164" s="349">
        <v>609</v>
      </c>
      <c r="N164" s="349">
        <v>609</v>
      </c>
      <c r="O164" s="349">
        <v>609</v>
      </c>
      <c r="P164" s="348" t="s">
        <v>2877</v>
      </c>
      <c r="Q164" s="348" t="s">
        <v>2877</v>
      </c>
      <c r="R164" s="349">
        <v>0</v>
      </c>
      <c r="S164" s="349">
        <v>0</v>
      </c>
    </row>
    <row r="165" spans="1:19">
      <c r="A165" s="979"/>
      <c r="B165" s="990"/>
      <c r="C165" s="364" t="s">
        <v>906</v>
      </c>
      <c r="D165" s="364" t="s">
        <v>907</v>
      </c>
      <c r="E165" s="414" t="s">
        <v>2875</v>
      </c>
      <c r="F165" s="415" t="s">
        <v>911</v>
      </c>
      <c r="G165" s="415" t="s">
        <v>911</v>
      </c>
      <c r="H165" s="415" t="s">
        <v>909</v>
      </c>
      <c r="I165" s="415" t="s">
        <v>909</v>
      </c>
      <c r="J165" s="415" t="s">
        <v>3403</v>
      </c>
      <c r="K165" s="348">
        <v>45230</v>
      </c>
      <c r="L165" s="348">
        <v>45230</v>
      </c>
      <c r="M165" s="349">
        <v>1251.81</v>
      </c>
      <c r="N165" s="349">
        <v>1251.81</v>
      </c>
      <c r="O165" s="349">
        <v>1251.81</v>
      </c>
      <c r="P165" s="348" t="s">
        <v>2877</v>
      </c>
      <c r="Q165" s="348" t="s">
        <v>2877</v>
      </c>
      <c r="R165" s="349">
        <v>0</v>
      </c>
      <c r="S165" s="349">
        <v>0</v>
      </c>
    </row>
    <row r="166" spans="1:19">
      <c r="A166" s="979"/>
      <c r="B166" s="990"/>
      <c r="C166" s="364" t="s">
        <v>3457</v>
      </c>
      <c r="D166" s="364" t="s">
        <v>3452</v>
      </c>
      <c r="E166" s="414" t="s">
        <v>2875</v>
      </c>
      <c r="F166" s="415" t="s">
        <v>911</v>
      </c>
      <c r="G166" s="415" t="s">
        <v>911</v>
      </c>
      <c r="H166" s="415" t="s">
        <v>909</v>
      </c>
      <c r="I166" s="415" t="s">
        <v>909</v>
      </c>
      <c r="J166" s="415" t="s">
        <v>3403</v>
      </c>
      <c r="K166" s="348">
        <v>45232</v>
      </c>
      <c r="L166" s="348">
        <v>45232</v>
      </c>
      <c r="M166" s="349">
        <v>594</v>
      </c>
      <c r="N166" s="349">
        <v>594</v>
      </c>
      <c r="O166" s="349">
        <v>594</v>
      </c>
      <c r="P166" s="348" t="s">
        <v>2877</v>
      </c>
      <c r="Q166" s="348" t="s">
        <v>2877</v>
      </c>
      <c r="R166" s="349">
        <v>0</v>
      </c>
      <c r="S166" s="349">
        <v>0</v>
      </c>
    </row>
    <row r="167" spans="1:19">
      <c r="A167" s="979"/>
      <c r="B167" s="990"/>
      <c r="C167" s="364" t="s">
        <v>3474</v>
      </c>
      <c r="D167" s="364" t="s">
        <v>3475</v>
      </c>
      <c r="E167" s="414" t="s">
        <v>2875</v>
      </c>
      <c r="F167" s="415" t="s">
        <v>911</v>
      </c>
      <c r="G167" s="415" t="s">
        <v>911</v>
      </c>
      <c r="H167" s="415" t="s">
        <v>909</v>
      </c>
      <c r="I167" s="415" t="s">
        <v>909</v>
      </c>
      <c r="J167" s="415" t="s">
        <v>3403</v>
      </c>
      <c r="K167" s="348">
        <v>45233</v>
      </c>
      <c r="L167" s="348">
        <v>45233</v>
      </c>
      <c r="M167" s="349">
        <v>500</v>
      </c>
      <c r="N167" s="349">
        <v>500</v>
      </c>
      <c r="O167" s="349">
        <v>500</v>
      </c>
      <c r="P167" s="348" t="s">
        <v>2877</v>
      </c>
      <c r="Q167" s="348" t="s">
        <v>2877</v>
      </c>
      <c r="R167" s="349">
        <v>0</v>
      </c>
      <c r="S167" s="349">
        <v>0</v>
      </c>
    </row>
    <row r="168" spans="1:19">
      <c r="A168" s="979"/>
      <c r="B168" s="990"/>
      <c r="C168" s="364" t="s">
        <v>3476</v>
      </c>
      <c r="D168" s="364" t="s">
        <v>3477</v>
      </c>
      <c r="E168" s="414" t="s">
        <v>2875</v>
      </c>
      <c r="F168" s="415" t="s">
        <v>911</v>
      </c>
      <c r="G168" s="415" t="s">
        <v>911</v>
      </c>
      <c r="H168" s="415" t="s">
        <v>909</v>
      </c>
      <c r="I168" s="415" t="s">
        <v>909</v>
      </c>
      <c r="J168" s="415" t="s">
        <v>3403</v>
      </c>
      <c r="K168" s="348">
        <v>45233</v>
      </c>
      <c r="L168" s="348">
        <v>45233</v>
      </c>
      <c r="M168" s="349">
        <v>500</v>
      </c>
      <c r="N168" s="349">
        <v>500</v>
      </c>
      <c r="O168" s="349">
        <v>500</v>
      </c>
      <c r="P168" s="348" t="s">
        <v>2877</v>
      </c>
      <c r="Q168" s="348" t="s">
        <v>2877</v>
      </c>
      <c r="R168" s="349">
        <v>0</v>
      </c>
      <c r="S168" s="349">
        <v>0</v>
      </c>
    </row>
    <row r="169" spans="1:19">
      <c r="A169" s="979"/>
      <c r="B169" s="990"/>
      <c r="C169" s="364" t="s">
        <v>3478</v>
      </c>
      <c r="D169" s="364" t="s">
        <v>3479</v>
      </c>
      <c r="E169" s="414" t="s">
        <v>2875</v>
      </c>
      <c r="F169" s="415" t="s">
        <v>911</v>
      </c>
      <c r="G169" s="415" t="s">
        <v>911</v>
      </c>
      <c r="H169" s="415" t="s">
        <v>909</v>
      </c>
      <c r="I169" s="415" t="s">
        <v>909</v>
      </c>
      <c r="J169" s="415" t="s">
        <v>3403</v>
      </c>
      <c r="K169" s="348">
        <v>45241</v>
      </c>
      <c r="L169" s="348">
        <v>45241</v>
      </c>
      <c r="M169" s="349">
        <v>20918.97</v>
      </c>
      <c r="N169" s="349">
        <v>20918.97</v>
      </c>
      <c r="O169" s="349">
        <v>20918.97</v>
      </c>
      <c r="P169" s="348" t="s">
        <v>2877</v>
      </c>
      <c r="Q169" s="348" t="s">
        <v>2877</v>
      </c>
      <c r="R169" s="349">
        <v>0</v>
      </c>
      <c r="S169" s="349">
        <v>0</v>
      </c>
    </row>
    <row r="170" spans="1:19">
      <c r="A170" s="979"/>
      <c r="B170" s="990"/>
      <c r="C170" s="364" t="s">
        <v>3457</v>
      </c>
      <c r="D170" s="364" t="s">
        <v>3452</v>
      </c>
      <c r="E170" s="414" t="s">
        <v>2875</v>
      </c>
      <c r="F170" s="415" t="s">
        <v>911</v>
      </c>
      <c r="G170" s="415" t="s">
        <v>911</v>
      </c>
      <c r="H170" s="415" t="s">
        <v>909</v>
      </c>
      <c r="I170" s="415" t="s">
        <v>909</v>
      </c>
      <c r="J170" s="415" t="s">
        <v>3403</v>
      </c>
      <c r="K170" s="348">
        <v>45261</v>
      </c>
      <c r="L170" s="348">
        <v>45261</v>
      </c>
      <c r="M170" s="349">
        <v>594</v>
      </c>
      <c r="N170" s="349">
        <v>594</v>
      </c>
      <c r="O170" s="349">
        <v>594</v>
      </c>
      <c r="P170" s="348" t="s">
        <v>2877</v>
      </c>
      <c r="Q170" s="348" t="s">
        <v>2877</v>
      </c>
      <c r="R170" s="349">
        <v>0</v>
      </c>
      <c r="S170" s="349">
        <v>0</v>
      </c>
    </row>
    <row r="171" spans="1:19">
      <c r="A171" s="979"/>
      <c r="B171" s="990"/>
      <c r="C171" s="364" t="s">
        <v>3480</v>
      </c>
      <c r="D171" s="364" t="s">
        <v>905</v>
      </c>
      <c r="E171" s="414" t="s">
        <v>2875</v>
      </c>
      <c r="F171" s="415" t="s">
        <v>911</v>
      </c>
      <c r="G171" s="415" t="s">
        <v>911</v>
      </c>
      <c r="H171" s="415" t="s">
        <v>909</v>
      </c>
      <c r="I171" s="415" t="s">
        <v>909</v>
      </c>
      <c r="J171" s="415" t="s">
        <v>3403</v>
      </c>
      <c r="K171" s="348">
        <v>45265</v>
      </c>
      <c r="L171" s="348">
        <v>45265</v>
      </c>
      <c r="M171" s="349">
        <v>594</v>
      </c>
      <c r="N171" s="349">
        <v>594</v>
      </c>
      <c r="O171" s="349">
        <v>594</v>
      </c>
      <c r="P171" s="348" t="s">
        <v>2877</v>
      </c>
      <c r="Q171" s="348" t="s">
        <v>2877</v>
      </c>
      <c r="R171" s="349">
        <v>0</v>
      </c>
      <c r="S171" s="349">
        <v>0</v>
      </c>
    </row>
    <row r="172" spans="1:19">
      <c r="A172" s="979"/>
      <c r="B172" s="990"/>
      <c r="C172" s="364" t="s">
        <v>3481</v>
      </c>
      <c r="D172" s="364" t="s">
        <v>3481</v>
      </c>
      <c r="E172" s="414" t="s">
        <v>2875</v>
      </c>
      <c r="F172" s="415" t="s">
        <v>911</v>
      </c>
      <c r="G172" s="415" t="s">
        <v>911</v>
      </c>
      <c r="H172" s="415" t="s">
        <v>909</v>
      </c>
      <c r="I172" s="415" t="s">
        <v>909</v>
      </c>
      <c r="J172" s="415" t="s">
        <v>3403</v>
      </c>
      <c r="K172" s="348">
        <v>45268</v>
      </c>
      <c r="L172" s="348">
        <v>45268</v>
      </c>
      <c r="M172" s="349">
        <v>2376</v>
      </c>
      <c r="N172" s="349">
        <v>2376</v>
      </c>
      <c r="O172" s="349">
        <v>2376</v>
      </c>
      <c r="P172" s="348" t="s">
        <v>2877</v>
      </c>
      <c r="Q172" s="348" t="s">
        <v>2877</v>
      </c>
      <c r="R172" s="349">
        <v>0</v>
      </c>
      <c r="S172" s="349">
        <v>0</v>
      </c>
    </row>
    <row r="173" spans="1:19">
      <c r="A173" s="979"/>
      <c r="B173" s="990"/>
      <c r="C173" s="364" t="s">
        <v>3482</v>
      </c>
      <c r="D173" s="364" t="s">
        <v>912</v>
      </c>
      <c r="E173" s="414" t="s">
        <v>2875</v>
      </c>
      <c r="F173" s="415" t="s">
        <v>911</v>
      </c>
      <c r="G173" s="415" t="s">
        <v>911</v>
      </c>
      <c r="H173" s="415" t="s">
        <v>909</v>
      </c>
      <c r="I173" s="415" t="s">
        <v>909</v>
      </c>
      <c r="J173" s="415" t="s">
        <v>3403</v>
      </c>
      <c r="K173" s="348">
        <v>45273</v>
      </c>
      <c r="L173" s="348">
        <v>45273</v>
      </c>
      <c r="M173" s="349">
        <v>920</v>
      </c>
      <c r="N173" s="349">
        <v>920</v>
      </c>
      <c r="O173" s="349">
        <v>920</v>
      </c>
      <c r="P173" s="348" t="s">
        <v>2877</v>
      </c>
      <c r="Q173" s="348" t="s">
        <v>2877</v>
      </c>
      <c r="R173" s="349">
        <v>0</v>
      </c>
      <c r="S173" s="349">
        <v>0</v>
      </c>
    </row>
    <row r="174" spans="1:19">
      <c r="A174" s="979"/>
      <c r="B174" s="990"/>
      <c r="C174" s="364" t="s">
        <v>3483</v>
      </c>
      <c r="D174" s="364" t="s">
        <v>910</v>
      </c>
      <c r="E174" s="414" t="s">
        <v>2875</v>
      </c>
      <c r="F174" s="415" t="s">
        <v>911</v>
      </c>
      <c r="G174" s="415" t="s">
        <v>911</v>
      </c>
      <c r="H174" s="415" t="s">
        <v>909</v>
      </c>
      <c r="I174" s="415" t="s">
        <v>909</v>
      </c>
      <c r="J174" s="415" t="s">
        <v>3403</v>
      </c>
      <c r="K174" s="348">
        <v>45273</v>
      </c>
      <c r="L174" s="348">
        <v>45273</v>
      </c>
      <c r="M174" s="349">
        <v>500</v>
      </c>
      <c r="N174" s="349">
        <v>500</v>
      </c>
      <c r="O174" s="349">
        <v>500</v>
      </c>
      <c r="P174" s="348" t="s">
        <v>2877</v>
      </c>
      <c r="Q174" s="348" t="s">
        <v>2877</v>
      </c>
      <c r="R174" s="349">
        <v>0</v>
      </c>
      <c r="S174" s="349">
        <v>0</v>
      </c>
    </row>
    <row r="175" spans="1:19">
      <c r="A175" s="979"/>
      <c r="B175" s="990"/>
      <c r="C175" s="364" t="s">
        <v>3484</v>
      </c>
      <c r="D175" s="364" t="s">
        <v>3452</v>
      </c>
      <c r="E175" s="414" t="s">
        <v>2875</v>
      </c>
      <c r="F175" s="415" t="s">
        <v>911</v>
      </c>
      <c r="G175" s="415" t="s">
        <v>911</v>
      </c>
      <c r="H175" s="415" t="s">
        <v>909</v>
      </c>
      <c r="I175" s="415" t="s">
        <v>909</v>
      </c>
      <c r="J175" s="415" t="s">
        <v>3403</v>
      </c>
      <c r="K175" s="348">
        <v>45282</v>
      </c>
      <c r="L175" s="348">
        <v>45282</v>
      </c>
      <c r="M175" s="349">
        <v>5650</v>
      </c>
      <c r="N175" s="349">
        <v>5650</v>
      </c>
      <c r="O175" s="349">
        <v>5650</v>
      </c>
      <c r="P175" s="348" t="s">
        <v>2877</v>
      </c>
      <c r="Q175" s="348" t="s">
        <v>2877</v>
      </c>
      <c r="R175" s="349">
        <v>0</v>
      </c>
      <c r="S175" s="349">
        <v>0</v>
      </c>
    </row>
    <row r="176" spans="1:19">
      <c r="A176" s="350"/>
      <c r="B176" s="351" t="s">
        <v>3485</v>
      </c>
      <c r="C176" s="351"/>
      <c r="D176" s="351"/>
      <c r="E176" s="373"/>
      <c r="F176" s="374"/>
      <c r="G176" s="374"/>
      <c r="H176" s="374"/>
      <c r="I176" s="374"/>
      <c r="J176" s="374"/>
      <c r="K176" s="354"/>
      <c r="L176" s="354"/>
      <c r="M176" s="355"/>
      <c r="N176" s="355"/>
      <c r="O176" s="356">
        <f>SUM(O130:O175)</f>
        <v>107337.05</v>
      </c>
      <c r="P176" s="354"/>
      <c r="Q176" s="354"/>
      <c r="R176" s="355"/>
      <c r="S176" s="356">
        <f>SUM(S130:S175)</f>
        <v>0</v>
      </c>
    </row>
    <row r="177" spans="1:20">
      <c r="A177" s="980">
        <v>9</v>
      </c>
      <c r="B177" s="989" t="s">
        <v>74</v>
      </c>
      <c r="C177" s="359" t="s">
        <v>3486</v>
      </c>
      <c r="D177" s="359" t="s">
        <v>3487</v>
      </c>
      <c r="E177" s="358">
        <v>1</v>
      </c>
      <c r="F177" s="413" t="s">
        <v>3488</v>
      </c>
      <c r="G177" s="413" t="s">
        <v>3489</v>
      </c>
      <c r="H177" s="413" t="s">
        <v>3490</v>
      </c>
      <c r="I177" s="413" t="s">
        <v>3491</v>
      </c>
      <c r="J177" s="413" t="s">
        <v>3492</v>
      </c>
      <c r="K177" s="417" t="s">
        <v>3493</v>
      </c>
      <c r="L177" s="417" t="s">
        <v>3494</v>
      </c>
      <c r="M177" s="361">
        <v>150000</v>
      </c>
      <c r="N177" s="361"/>
      <c r="O177" s="361">
        <v>0</v>
      </c>
      <c r="P177" s="360" t="s">
        <v>2877</v>
      </c>
      <c r="Q177" s="360" t="s">
        <v>2877</v>
      </c>
      <c r="R177" s="361">
        <v>0</v>
      </c>
      <c r="S177" s="361">
        <v>0</v>
      </c>
      <c r="T177" s="418" t="s">
        <v>3204</v>
      </c>
    </row>
    <row r="178" spans="1:20">
      <c r="A178" s="980"/>
      <c r="B178" s="989"/>
      <c r="C178" s="359" t="s">
        <v>3495</v>
      </c>
      <c r="D178" s="359" t="s">
        <v>3487</v>
      </c>
      <c r="E178" s="358">
        <v>1</v>
      </c>
      <c r="F178" s="413" t="s">
        <v>3488</v>
      </c>
      <c r="G178" s="413" t="s">
        <v>3489</v>
      </c>
      <c r="H178" s="413" t="s">
        <v>3490</v>
      </c>
      <c r="I178" s="413" t="s">
        <v>3491</v>
      </c>
      <c r="J178" s="413" t="s">
        <v>3492</v>
      </c>
      <c r="K178" s="417" t="s">
        <v>3496</v>
      </c>
      <c r="L178" s="417" t="s">
        <v>3497</v>
      </c>
      <c r="M178" s="361">
        <v>150000</v>
      </c>
      <c r="N178" s="361"/>
      <c r="O178" s="361">
        <v>0</v>
      </c>
      <c r="P178" s="360" t="s">
        <v>2877</v>
      </c>
      <c r="Q178" s="360" t="s">
        <v>2877</v>
      </c>
      <c r="R178" s="361">
        <v>0</v>
      </c>
      <c r="S178" s="361">
        <v>0</v>
      </c>
      <c r="T178" s="418" t="s">
        <v>3204</v>
      </c>
    </row>
    <row r="179" spans="1:20">
      <c r="A179" s="980"/>
      <c r="B179" s="989"/>
      <c r="C179" s="359" t="s">
        <v>3498</v>
      </c>
      <c r="D179" s="359" t="s">
        <v>3499</v>
      </c>
      <c r="E179" s="358" t="s">
        <v>2875</v>
      </c>
      <c r="F179" s="413" t="s">
        <v>3488</v>
      </c>
      <c r="G179" s="413" t="s">
        <v>3489</v>
      </c>
      <c r="H179" s="413" t="s">
        <v>3490</v>
      </c>
      <c r="I179" s="413" t="s">
        <v>3500</v>
      </c>
      <c r="J179" s="413" t="s">
        <v>3501</v>
      </c>
      <c r="K179" s="417" t="s">
        <v>3493</v>
      </c>
      <c r="L179" s="417" t="s">
        <v>3502</v>
      </c>
      <c r="M179" s="361">
        <v>200000</v>
      </c>
      <c r="N179" s="361"/>
      <c r="O179" s="361">
        <v>0</v>
      </c>
      <c r="P179" s="360" t="s">
        <v>2877</v>
      </c>
      <c r="Q179" s="360" t="s">
        <v>2877</v>
      </c>
      <c r="R179" s="361">
        <v>0</v>
      </c>
      <c r="S179" s="361">
        <v>0</v>
      </c>
      <c r="T179" s="418" t="s">
        <v>3204</v>
      </c>
    </row>
    <row r="180" spans="1:20">
      <c r="A180" s="350"/>
      <c r="B180" s="351" t="s">
        <v>3072</v>
      </c>
      <c r="C180" s="351"/>
      <c r="D180" s="351"/>
      <c r="E180" s="373"/>
      <c r="F180" s="374"/>
      <c r="G180" s="374"/>
      <c r="H180" s="374"/>
      <c r="I180" s="374"/>
      <c r="J180" s="374"/>
      <c r="K180" s="354"/>
      <c r="L180" s="354"/>
      <c r="M180" s="355"/>
      <c r="N180" s="355"/>
      <c r="O180" s="356">
        <f>SUM(O177:O179)</f>
        <v>0</v>
      </c>
      <c r="P180" s="354"/>
      <c r="Q180" s="354"/>
      <c r="R180" s="355"/>
      <c r="S180" s="356">
        <f>SUM(S177:S179)</f>
        <v>0</v>
      </c>
    </row>
    <row r="181" spans="1:20">
      <c r="A181" s="979">
        <v>10</v>
      </c>
      <c r="B181" s="988" t="s">
        <v>2793</v>
      </c>
      <c r="C181" s="364" t="s">
        <v>3503</v>
      </c>
      <c r="D181" s="364" t="s">
        <v>1638</v>
      </c>
      <c r="E181" s="414" t="s">
        <v>2875</v>
      </c>
      <c r="F181" s="415" t="s">
        <v>1639</v>
      </c>
      <c r="G181" s="415" t="s">
        <v>1639</v>
      </c>
      <c r="H181" s="415" t="s">
        <v>2875</v>
      </c>
      <c r="I181" s="415" t="s">
        <v>2875</v>
      </c>
      <c r="J181" s="415" t="s">
        <v>2875</v>
      </c>
      <c r="K181" s="348">
        <v>44960</v>
      </c>
      <c r="L181" s="348">
        <v>44960</v>
      </c>
      <c r="M181" s="349" t="s">
        <v>2875</v>
      </c>
      <c r="N181" s="349">
        <v>83333</v>
      </c>
      <c r="O181" s="349">
        <v>83333</v>
      </c>
      <c r="P181" s="348" t="s">
        <v>2877</v>
      </c>
      <c r="Q181" s="348" t="s">
        <v>2877</v>
      </c>
      <c r="R181" s="349">
        <v>0</v>
      </c>
      <c r="S181" s="349">
        <v>0</v>
      </c>
    </row>
    <row r="182" spans="1:20">
      <c r="A182" s="979"/>
      <c r="B182" s="988"/>
      <c r="C182" s="364" t="s">
        <v>3504</v>
      </c>
      <c r="D182" s="364" t="s">
        <v>1638</v>
      </c>
      <c r="E182" s="414" t="s">
        <v>2875</v>
      </c>
      <c r="F182" s="415" t="s">
        <v>1639</v>
      </c>
      <c r="G182" s="415" t="s">
        <v>1639</v>
      </c>
      <c r="H182" s="415" t="s">
        <v>2875</v>
      </c>
      <c r="I182" s="415" t="s">
        <v>2875</v>
      </c>
      <c r="J182" s="415" t="s">
        <v>2875</v>
      </c>
      <c r="K182" s="348">
        <v>44987</v>
      </c>
      <c r="L182" s="348">
        <v>44987</v>
      </c>
      <c r="M182" s="349" t="s">
        <v>2875</v>
      </c>
      <c r="N182" s="349">
        <v>83333.33</v>
      </c>
      <c r="O182" s="349">
        <v>83333.33</v>
      </c>
      <c r="P182" s="348" t="s">
        <v>2877</v>
      </c>
      <c r="Q182" s="348" t="s">
        <v>2877</v>
      </c>
      <c r="R182" s="349">
        <v>0</v>
      </c>
      <c r="S182" s="349">
        <v>0</v>
      </c>
    </row>
    <row r="183" spans="1:20">
      <c r="A183" s="979"/>
      <c r="B183" s="988"/>
      <c r="C183" s="364" t="s">
        <v>3505</v>
      </c>
      <c r="D183" s="364" t="s">
        <v>1638</v>
      </c>
      <c r="E183" s="414" t="s">
        <v>2875</v>
      </c>
      <c r="F183" s="415" t="s">
        <v>1639</v>
      </c>
      <c r="G183" s="415" t="s">
        <v>1639</v>
      </c>
      <c r="H183" s="415" t="s">
        <v>2875</v>
      </c>
      <c r="I183" s="415" t="s">
        <v>2875</v>
      </c>
      <c r="J183" s="415" t="s">
        <v>2875</v>
      </c>
      <c r="K183" s="348">
        <v>45014</v>
      </c>
      <c r="L183" s="348">
        <v>45014</v>
      </c>
      <c r="M183" s="349" t="s">
        <v>2875</v>
      </c>
      <c r="N183" s="349">
        <v>83333.33</v>
      </c>
      <c r="O183" s="349">
        <v>83333.33</v>
      </c>
      <c r="P183" s="348" t="s">
        <v>2877</v>
      </c>
      <c r="Q183" s="348" t="s">
        <v>2877</v>
      </c>
      <c r="R183" s="349">
        <v>0</v>
      </c>
      <c r="S183" s="349">
        <v>0</v>
      </c>
    </row>
    <row r="184" spans="1:20">
      <c r="A184" s="979"/>
      <c r="B184" s="988"/>
      <c r="C184" s="364" t="s">
        <v>3506</v>
      </c>
      <c r="D184" s="364" t="s">
        <v>1638</v>
      </c>
      <c r="E184" s="414" t="s">
        <v>2875</v>
      </c>
      <c r="F184" s="415" t="s">
        <v>1639</v>
      </c>
      <c r="G184" s="415" t="s">
        <v>1639</v>
      </c>
      <c r="H184" s="415" t="s">
        <v>2875</v>
      </c>
      <c r="I184" s="415" t="s">
        <v>2875</v>
      </c>
      <c r="J184" s="415" t="s">
        <v>2875</v>
      </c>
      <c r="K184" s="348">
        <v>45045</v>
      </c>
      <c r="L184" s="348">
        <v>45045</v>
      </c>
      <c r="M184" s="349" t="s">
        <v>2875</v>
      </c>
      <c r="N184" s="349">
        <v>83333.33</v>
      </c>
      <c r="O184" s="349">
        <v>83333.33</v>
      </c>
      <c r="P184" s="348" t="s">
        <v>2877</v>
      </c>
      <c r="Q184" s="348" t="s">
        <v>2877</v>
      </c>
      <c r="R184" s="349">
        <v>0</v>
      </c>
      <c r="S184" s="349">
        <v>0</v>
      </c>
    </row>
    <row r="185" spans="1:20">
      <c r="A185" s="979"/>
      <c r="B185" s="988"/>
      <c r="C185" s="364" t="s">
        <v>3507</v>
      </c>
      <c r="D185" s="364" t="s">
        <v>1638</v>
      </c>
      <c r="E185" s="414" t="s">
        <v>2875</v>
      </c>
      <c r="F185" s="415" t="s">
        <v>1639</v>
      </c>
      <c r="G185" s="415" t="s">
        <v>1639</v>
      </c>
      <c r="H185" s="415" t="s">
        <v>2875</v>
      </c>
      <c r="I185" s="415" t="s">
        <v>2875</v>
      </c>
      <c r="J185" s="415" t="s">
        <v>2875</v>
      </c>
      <c r="K185" s="348">
        <v>45080</v>
      </c>
      <c r="L185" s="348">
        <v>45080</v>
      </c>
      <c r="M185" s="349" t="s">
        <v>2875</v>
      </c>
      <c r="N185" s="349">
        <v>83333.33</v>
      </c>
      <c r="O185" s="349">
        <v>83333.33</v>
      </c>
      <c r="P185" s="348" t="s">
        <v>2877</v>
      </c>
      <c r="Q185" s="348" t="s">
        <v>2877</v>
      </c>
      <c r="R185" s="349">
        <v>0</v>
      </c>
      <c r="S185" s="349">
        <v>0</v>
      </c>
    </row>
    <row r="186" spans="1:20">
      <c r="A186" s="979"/>
      <c r="B186" s="988"/>
      <c r="C186" s="364" t="s">
        <v>3508</v>
      </c>
      <c r="D186" s="364" t="s">
        <v>1638</v>
      </c>
      <c r="E186" s="414" t="s">
        <v>2875</v>
      </c>
      <c r="F186" s="415" t="s">
        <v>1639</v>
      </c>
      <c r="G186" s="415" t="s">
        <v>1639</v>
      </c>
      <c r="H186" s="415" t="s">
        <v>2875</v>
      </c>
      <c r="I186" s="415" t="s">
        <v>2875</v>
      </c>
      <c r="J186" s="415" t="s">
        <v>2875</v>
      </c>
      <c r="K186" s="348">
        <v>45097</v>
      </c>
      <c r="L186" s="348">
        <v>45097</v>
      </c>
      <c r="M186" s="349" t="s">
        <v>2875</v>
      </c>
      <c r="N186" s="349">
        <v>46666.67</v>
      </c>
      <c r="O186" s="349">
        <v>46666.67</v>
      </c>
      <c r="P186" s="348" t="s">
        <v>2877</v>
      </c>
      <c r="Q186" s="348" t="s">
        <v>2877</v>
      </c>
      <c r="R186" s="349">
        <v>0</v>
      </c>
      <c r="S186" s="349">
        <v>0</v>
      </c>
    </row>
    <row r="187" spans="1:20">
      <c r="A187" s="979"/>
      <c r="B187" s="988"/>
      <c r="C187" s="364" t="s">
        <v>3509</v>
      </c>
      <c r="D187" s="364" t="s">
        <v>1638</v>
      </c>
      <c r="E187" s="414" t="s">
        <v>2875</v>
      </c>
      <c r="F187" s="415" t="s">
        <v>1639</v>
      </c>
      <c r="G187" s="415" t="s">
        <v>1639</v>
      </c>
      <c r="H187" s="415" t="s">
        <v>2875</v>
      </c>
      <c r="I187" s="415" t="s">
        <v>2875</v>
      </c>
      <c r="J187" s="415" t="s">
        <v>2875</v>
      </c>
      <c r="K187" s="348">
        <v>45108</v>
      </c>
      <c r="L187" s="348">
        <v>45108</v>
      </c>
      <c r="M187" s="349" t="s">
        <v>2875</v>
      </c>
      <c r="N187" s="349">
        <v>110000</v>
      </c>
      <c r="O187" s="349">
        <v>110000</v>
      </c>
      <c r="P187" s="348" t="s">
        <v>2877</v>
      </c>
      <c r="Q187" s="348" t="s">
        <v>2877</v>
      </c>
      <c r="R187" s="349">
        <v>0</v>
      </c>
      <c r="S187" s="349">
        <v>0</v>
      </c>
    </row>
    <row r="188" spans="1:20">
      <c r="A188" s="979"/>
      <c r="B188" s="988"/>
      <c r="C188" s="364" t="s">
        <v>3510</v>
      </c>
      <c r="D188" s="364" t="s">
        <v>1638</v>
      </c>
      <c r="E188" s="414" t="s">
        <v>2875</v>
      </c>
      <c r="F188" s="415" t="s">
        <v>1639</v>
      </c>
      <c r="G188" s="415" t="s">
        <v>1639</v>
      </c>
      <c r="H188" s="415" t="s">
        <v>2875</v>
      </c>
      <c r="I188" s="415" t="s">
        <v>2875</v>
      </c>
      <c r="J188" s="415" t="s">
        <v>2875</v>
      </c>
      <c r="K188" s="348">
        <v>45146</v>
      </c>
      <c r="L188" s="348">
        <v>45146</v>
      </c>
      <c r="M188" s="349" t="s">
        <v>2875</v>
      </c>
      <c r="N188" s="349">
        <v>110000</v>
      </c>
      <c r="O188" s="349">
        <v>110000</v>
      </c>
      <c r="P188" s="348" t="s">
        <v>2877</v>
      </c>
      <c r="Q188" s="348" t="s">
        <v>2877</v>
      </c>
      <c r="R188" s="349">
        <v>0</v>
      </c>
      <c r="S188" s="349">
        <v>0</v>
      </c>
    </row>
    <row r="189" spans="1:20">
      <c r="A189" s="979"/>
      <c r="B189" s="988"/>
      <c r="C189" s="364" t="s">
        <v>3511</v>
      </c>
      <c r="D189" s="364" t="s">
        <v>1638</v>
      </c>
      <c r="E189" s="414" t="s">
        <v>2875</v>
      </c>
      <c r="F189" s="415" t="s">
        <v>1639</v>
      </c>
      <c r="G189" s="415" t="s">
        <v>1639</v>
      </c>
      <c r="H189" s="415" t="s">
        <v>2875</v>
      </c>
      <c r="I189" s="415" t="s">
        <v>2875</v>
      </c>
      <c r="J189" s="415" t="s">
        <v>2875</v>
      </c>
      <c r="K189" s="348">
        <v>45171</v>
      </c>
      <c r="L189" s="348">
        <v>45171</v>
      </c>
      <c r="M189" s="349" t="s">
        <v>2875</v>
      </c>
      <c r="N189" s="349">
        <v>100000</v>
      </c>
      <c r="O189" s="349">
        <v>100000</v>
      </c>
      <c r="P189" s="348" t="s">
        <v>2877</v>
      </c>
      <c r="Q189" s="348" t="s">
        <v>2877</v>
      </c>
      <c r="R189" s="349">
        <v>0</v>
      </c>
      <c r="S189" s="349">
        <v>0</v>
      </c>
    </row>
    <row r="190" spans="1:20">
      <c r="A190" s="979"/>
      <c r="B190" s="988"/>
      <c r="C190" s="364" t="s">
        <v>3512</v>
      </c>
      <c r="D190" s="364" t="s">
        <v>1638</v>
      </c>
      <c r="E190" s="414" t="s">
        <v>2875</v>
      </c>
      <c r="F190" s="415" t="s">
        <v>1639</v>
      </c>
      <c r="G190" s="415" t="s">
        <v>1639</v>
      </c>
      <c r="H190" s="415" t="s">
        <v>2875</v>
      </c>
      <c r="I190" s="415" t="s">
        <v>2875</v>
      </c>
      <c r="J190" s="415" t="s">
        <v>2875</v>
      </c>
      <c r="K190" s="348">
        <v>45206</v>
      </c>
      <c r="L190" s="348">
        <v>45206</v>
      </c>
      <c r="M190" s="349" t="s">
        <v>2875</v>
      </c>
      <c r="N190" s="349">
        <v>80000</v>
      </c>
      <c r="O190" s="349">
        <v>80000</v>
      </c>
      <c r="P190" s="348" t="s">
        <v>2877</v>
      </c>
      <c r="Q190" s="348" t="s">
        <v>2877</v>
      </c>
      <c r="R190" s="349">
        <v>0</v>
      </c>
      <c r="S190" s="349">
        <v>0</v>
      </c>
    </row>
    <row r="191" spans="1:20">
      <c r="A191" s="979"/>
      <c r="B191" s="988"/>
      <c r="C191" s="364" t="s">
        <v>3513</v>
      </c>
      <c r="D191" s="364" t="s">
        <v>1638</v>
      </c>
      <c r="E191" s="414" t="s">
        <v>2875</v>
      </c>
      <c r="F191" s="415" t="s">
        <v>1639</v>
      </c>
      <c r="G191" s="415" t="s">
        <v>1639</v>
      </c>
      <c r="H191" s="415" t="s">
        <v>2875</v>
      </c>
      <c r="I191" s="415" t="s">
        <v>2875</v>
      </c>
      <c r="J191" s="415" t="s">
        <v>2875</v>
      </c>
      <c r="K191" s="348">
        <v>45234</v>
      </c>
      <c r="L191" s="348">
        <v>45234</v>
      </c>
      <c r="M191" s="349" t="s">
        <v>2875</v>
      </c>
      <c r="N191" s="349">
        <v>80000</v>
      </c>
      <c r="O191" s="349">
        <v>80000</v>
      </c>
      <c r="P191" s="348" t="s">
        <v>2877</v>
      </c>
      <c r="Q191" s="348" t="s">
        <v>2877</v>
      </c>
      <c r="R191" s="349">
        <v>0</v>
      </c>
      <c r="S191" s="349">
        <v>0</v>
      </c>
    </row>
    <row r="192" spans="1:20">
      <c r="A192" s="979"/>
      <c r="B192" s="988"/>
      <c r="C192" s="364" t="s">
        <v>3514</v>
      </c>
      <c r="D192" s="364" t="s">
        <v>1638</v>
      </c>
      <c r="E192" s="414" t="s">
        <v>2875</v>
      </c>
      <c r="F192" s="415" t="s">
        <v>1639</v>
      </c>
      <c r="G192" s="415" t="s">
        <v>1639</v>
      </c>
      <c r="H192" s="415" t="s">
        <v>2875</v>
      </c>
      <c r="I192" s="415" t="s">
        <v>2875</v>
      </c>
      <c r="J192" s="415" t="s">
        <v>2875</v>
      </c>
      <c r="K192" s="348">
        <v>45275</v>
      </c>
      <c r="L192" s="348">
        <v>45275</v>
      </c>
      <c r="M192" s="349" t="s">
        <v>2875</v>
      </c>
      <c r="N192" s="349">
        <v>29349</v>
      </c>
      <c r="O192" s="349">
        <v>29349</v>
      </c>
      <c r="P192" s="348" t="s">
        <v>2877</v>
      </c>
      <c r="Q192" s="348" t="s">
        <v>2877</v>
      </c>
      <c r="R192" s="349">
        <v>0</v>
      </c>
      <c r="S192" s="349">
        <v>0</v>
      </c>
    </row>
    <row r="193" spans="1:20">
      <c r="A193" s="350"/>
      <c r="B193" s="351" t="s">
        <v>3515</v>
      </c>
      <c r="C193" s="351"/>
      <c r="D193" s="351"/>
      <c r="E193" s="373"/>
      <c r="F193" s="374"/>
      <c r="G193" s="374"/>
      <c r="H193" s="374"/>
      <c r="I193" s="374"/>
      <c r="J193" s="374"/>
      <c r="K193" s="354"/>
      <c r="L193" s="354"/>
      <c r="M193" s="355"/>
      <c r="N193" s="355"/>
      <c r="O193" s="356">
        <f>SUM(O181:O192)</f>
        <v>972681.99</v>
      </c>
      <c r="P193" s="354"/>
      <c r="Q193" s="354"/>
      <c r="R193" s="355"/>
      <c r="S193" s="356">
        <f>SUM(S190:S192)</f>
        <v>0</v>
      </c>
    </row>
    <row r="194" spans="1:20">
      <c r="A194" s="980">
        <v>11</v>
      </c>
      <c r="B194" s="989" t="s">
        <v>190</v>
      </c>
      <c r="C194" s="359" t="s">
        <v>3516</v>
      </c>
      <c r="D194" s="359" t="s">
        <v>3517</v>
      </c>
      <c r="E194" s="412" t="s">
        <v>2875</v>
      </c>
      <c r="F194" s="413" t="s">
        <v>2505</v>
      </c>
      <c r="G194" s="413" t="s">
        <v>3518</v>
      </c>
      <c r="H194" s="413" t="s">
        <v>2875</v>
      </c>
      <c r="I194" s="413" t="s">
        <v>2875</v>
      </c>
      <c r="J194" s="413" t="s">
        <v>2875</v>
      </c>
      <c r="K194" s="417">
        <v>44166</v>
      </c>
      <c r="L194" s="417">
        <v>44348</v>
      </c>
      <c r="M194" s="361">
        <v>120000</v>
      </c>
      <c r="N194" s="361"/>
      <c r="O194" s="361">
        <v>0</v>
      </c>
      <c r="P194" s="360" t="s">
        <v>2877</v>
      </c>
      <c r="Q194" s="360" t="s">
        <v>2877</v>
      </c>
      <c r="R194" s="361">
        <v>0</v>
      </c>
      <c r="S194" s="361">
        <v>0</v>
      </c>
      <c r="T194" s="418" t="s">
        <v>3204</v>
      </c>
    </row>
    <row r="195" spans="1:20">
      <c r="A195" s="980"/>
      <c r="B195" s="989"/>
      <c r="C195" s="359" t="s">
        <v>3519</v>
      </c>
      <c r="D195" s="359" t="s">
        <v>3517</v>
      </c>
      <c r="E195" s="412" t="s">
        <v>2875</v>
      </c>
      <c r="F195" s="413" t="s">
        <v>2505</v>
      </c>
      <c r="G195" s="413" t="s">
        <v>3520</v>
      </c>
      <c r="H195" s="413" t="s">
        <v>2875</v>
      </c>
      <c r="I195" s="413" t="s">
        <v>2875</v>
      </c>
      <c r="J195" s="413" t="s">
        <v>2875</v>
      </c>
      <c r="K195" s="417">
        <v>44470</v>
      </c>
      <c r="L195" s="417">
        <v>44896</v>
      </c>
      <c r="M195" s="361">
        <v>345100</v>
      </c>
      <c r="N195" s="361"/>
      <c r="O195" s="361">
        <v>0</v>
      </c>
      <c r="P195" s="360" t="s">
        <v>2877</v>
      </c>
      <c r="Q195" s="360" t="s">
        <v>2877</v>
      </c>
      <c r="R195" s="361">
        <v>0</v>
      </c>
      <c r="S195" s="361">
        <v>0</v>
      </c>
      <c r="T195" s="418" t="s">
        <v>3204</v>
      </c>
    </row>
    <row r="196" spans="1:20">
      <c r="A196" s="980"/>
      <c r="B196" s="989"/>
      <c r="C196" s="359" t="s">
        <v>3521</v>
      </c>
      <c r="D196" s="359" t="s">
        <v>3517</v>
      </c>
      <c r="E196" s="412" t="s">
        <v>2875</v>
      </c>
      <c r="F196" s="413" t="s">
        <v>2505</v>
      </c>
      <c r="G196" s="413" t="s">
        <v>3520</v>
      </c>
      <c r="H196" s="413" t="s">
        <v>2875</v>
      </c>
      <c r="I196" s="413" t="s">
        <v>2875</v>
      </c>
      <c r="J196" s="413" t="s">
        <v>2875</v>
      </c>
      <c r="K196" s="417">
        <v>45261</v>
      </c>
      <c r="L196" s="417">
        <v>45536</v>
      </c>
      <c r="M196" s="361">
        <v>172624.63</v>
      </c>
      <c r="N196" s="361"/>
      <c r="O196" s="361">
        <v>0</v>
      </c>
      <c r="P196" s="360" t="s">
        <v>2877</v>
      </c>
      <c r="Q196" s="360" t="s">
        <v>2877</v>
      </c>
      <c r="R196" s="361">
        <v>0</v>
      </c>
      <c r="S196" s="361">
        <v>0</v>
      </c>
      <c r="T196" s="418" t="s">
        <v>3204</v>
      </c>
    </row>
    <row r="197" spans="1:20">
      <c r="A197" s="350"/>
      <c r="B197" s="351" t="s">
        <v>3522</v>
      </c>
      <c r="C197" s="351"/>
      <c r="D197" s="351"/>
      <c r="E197" s="373"/>
      <c r="F197" s="374"/>
      <c r="G197" s="374"/>
      <c r="H197" s="374"/>
      <c r="I197" s="374"/>
      <c r="J197" s="374"/>
      <c r="K197" s="354"/>
      <c r="L197" s="354"/>
      <c r="M197" s="355"/>
      <c r="N197" s="355"/>
      <c r="O197" s="356">
        <f>SUM(O194:O196)</f>
        <v>0</v>
      </c>
      <c r="P197" s="354"/>
      <c r="Q197" s="354"/>
      <c r="R197" s="355"/>
      <c r="S197" s="356">
        <f>SUM(S194:S196)</f>
        <v>0</v>
      </c>
    </row>
    <row r="198" spans="1:20">
      <c r="A198" s="979">
        <v>12</v>
      </c>
      <c r="B198" s="988" t="s">
        <v>130</v>
      </c>
      <c r="C198" s="327" t="s">
        <v>3523</v>
      </c>
      <c r="D198" s="327" t="s">
        <v>3524</v>
      </c>
      <c r="E198" s="414">
        <v>0</v>
      </c>
      <c r="F198" s="415" t="s">
        <v>3525</v>
      </c>
      <c r="G198" s="415" t="s">
        <v>2480</v>
      </c>
      <c r="H198" s="364">
        <v>2</v>
      </c>
      <c r="I198" s="415" t="s">
        <v>3076</v>
      </c>
      <c r="J198" s="415" t="s">
        <v>3526</v>
      </c>
      <c r="K198" s="348">
        <v>45099</v>
      </c>
      <c r="L198" s="348">
        <v>45099</v>
      </c>
      <c r="M198" s="419">
        <v>5000</v>
      </c>
      <c r="N198" s="419">
        <v>5000</v>
      </c>
      <c r="O198" s="420">
        <v>5000</v>
      </c>
      <c r="P198" s="348" t="s">
        <v>2877</v>
      </c>
      <c r="Q198" s="348" t="s">
        <v>2877</v>
      </c>
      <c r="R198" s="349">
        <v>0</v>
      </c>
      <c r="S198" s="349">
        <v>0</v>
      </c>
    </row>
    <row r="199" spans="1:20">
      <c r="A199" s="979"/>
      <c r="B199" s="988"/>
      <c r="C199" s="327" t="s">
        <v>3527</v>
      </c>
      <c r="D199" s="327" t="s">
        <v>3528</v>
      </c>
      <c r="E199" s="414">
        <v>0</v>
      </c>
      <c r="F199" s="415" t="s">
        <v>3525</v>
      </c>
      <c r="G199" s="415" t="s">
        <v>2480</v>
      </c>
      <c r="H199" s="364">
        <v>2</v>
      </c>
      <c r="I199" s="415" t="s">
        <v>3076</v>
      </c>
      <c r="J199" s="415" t="s">
        <v>3526</v>
      </c>
      <c r="K199" s="348">
        <v>45112</v>
      </c>
      <c r="L199" s="348">
        <v>45112</v>
      </c>
      <c r="M199" s="419">
        <v>1000</v>
      </c>
      <c r="N199" s="419">
        <v>1000</v>
      </c>
      <c r="O199" s="420">
        <v>1000</v>
      </c>
      <c r="P199" s="348" t="s">
        <v>2877</v>
      </c>
      <c r="Q199" s="348" t="s">
        <v>2877</v>
      </c>
      <c r="R199" s="349">
        <v>0</v>
      </c>
      <c r="S199" s="349">
        <v>0</v>
      </c>
    </row>
    <row r="200" spans="1:20">
      <c r="A200" s="979"/>
      <c r="B200" s="988"/>
      <c r="C200" s="327" t="s">
        <v>3529</v>
      </c>
      <c r="D200" s="327" t="s">
        <v>3530</v>
      </c>
      <c r="E200" s="414">
        <v>0</v>
      </c>
      <c r="F200" s="415" t="s">
        <v>3525</v>
      </c>
      <c r="G200" s="415" t="s">
        <v>2480</v>
      </c>
      <c r="H200" s="364">
        <v>2</v>
      </c>
      <c r="I200" s="415" t="s">
        <v>3076</v>
      </c>
      <c r="J200" s="415" t="s">
        <v>3526</v>
      </c>
      <c r="K200" s="348">
        <v>45148</v>
      </c>
      <c r="L200" s="348">
        <v>45148</v>
      </c>
      <c r="M200" s="419">
        <v>1500</v>
      </c>
      <c r="N200" s="419">
        <v>1500</v>
      </c>
      <c r="O200" s="420">
        <v>1500</v>
      </c>
      <c r="P200" s="348" t="s">
        <v>2877</v>
      </c>
      <c r="Q200" s="348" t="s">
        <v>2877</v>
      </c>
      <c r="R200" s="349">
        <v>0</v>
      </c>
      <c r="S200" s="349">
        <v>0</v>
      </c>
    </row>
    <row r="201" spans="1:20">
      <c r="A201" s="979"/>
      <c r="B201" s="988"/>
      <c r="C201" s="327" t="s">
        <v>3531</v>
      </c>
      <c r="D201" s="327" t="s">
        <v>3532</v>
      </c>
      <c r="E201" s="414">
        <v>0.23</v>
      </c>
      <c r="F201" s="415" t="s">
        <v>3525</v>
      </c>
      <c r="G201" s="415" t="s">
        <v>2480</v>
      </c>
      <c r="H201" s="364">
        <v>2</v>
      </c>
      <c r="I201" s="415" t="s">
        <v>3076</v>
      </c>
      <c r="J201" s="415" t="s">
        <v>3526</v>
      </c>
      <c r="K201" s="348">
        <v>45166</v>
      </c>
      <c r="L201" s="348">
        <v>45166</v>
      </c>
      <c r="M201" s="419">
        <v>6670</v>
      </c>
      <c r="N201" s="419">
        <v>6670</v>
      </c>
      <c r="O201" s="420">
        <v>6670</v>
      </c>
      <c r="P201" s="348" t="s">
        <v>2877</v>
      </c>
      <c r="Q201" s="348" t="s">
        <v>2877</v>
      </c>
      <c r="R201" s="349">
        <v>0</v>
      </c>
      <c r="S201" s="349">
        <v>0</v>
      </c>
    </row>
    <row r="202" spans="1:20">
      <c r="A202" s="350"/>
      <c r="B202" s="351" t="s">
        <v>3533</v>
      </c>
      <c r="C202" s="351"/>
      <c r="D202" s="351"/>
      <c r="E202" s="373"/>
      <c r="F202" s="374"/>
      <c r="G202" s="374"/>
      <c r="H202" s="374"/>
      <c r="I202" s="374"/>
      <c r="J202" s="374"/>
      <c r="K202" s="354"/>
      <c r="L202" s="354"/>
      <c r="M202" s="355"/>
      <c r="N202" s="355"/>
      <c r="O202" s="356">
        <f>SUM(O198:O201)</f>
        <v>14170</v>
      </c>
      <c r="P202" s="354"/>
      <c r="Q202" s="354"/>
      <c r="R202" s="355"/>
      <c r="S202" s="356">
        <f>SUM(S198:S201)</f>
        <v>0</v>
      </c>
    </row>
    <row r="203" spans="1:20">
      <c r="A203" s="980">
        <v>13</v>
      </c>
      <c r="B203" s="987" t="s">
        <v>630</v>
      </c>
      <c r="C203" s="359" t="s">
        <v>913</v>
      </c>
      <c r="D203" s="359" t="s">
        <v>914</v>
      </c>
      <c r="E203" s="412" t="s">
        <v>2875</v>
      </c>
      <c r="F203" s="413" t="s">
        <v>853</v>
      </c>
      <c r="G203" s="413" t="s">
        <v>854</v>
      </c>
      <c r="H203" s="413" t="s">
        <v>2875</v>
      </c>
      <c r="I203" s="413" t="s">
        <v>2875</v>
      </c>
      <c r="J203" s="413" t="s">
        <v>2875</v>
      </c>
      <c r="K203" s="360" t="s">
        <v>2877</v>
      </c>
      <c r="L203" s="360" t="s">
        <v>2877</v>
      </c>
      <c r="M203" s="360" t="s">
        <v>2877</v>
      </c>
      <c r="N203" s="360" t="s">
        <v>2877</v>
      </c>
      <c r="O203" s="361">
        <v>0</v>
      </c>
      <c r="P203" s="360" t="s">
        <v>2875</v>
      </c>
      <c r="Q203" s="360" t="s">
        <v>2875</v>
      </c>
      <c r="R203" s="360" t="s">
        <v>2875</v>
      </c>
      <c r="S203" s="361">
        <v>452273</v>
      </c>
    </row>
    <row r="204" spans="1:20">
      <c r="A204" s="980"/>
      <c r="B204" s="987"/>
      <c r="C204" s="359" t="s">
        <v>915</v>
      </c>
      <c r="D204" s="359" t="s">
        <v>914</v>
      </c>
      <c r="E204" s="412" t="s">
        <v>2875</v>
      </c>
      <c r="F204" s="413" t="s">
        <v>853</v>
      </c>
      <c r="G204" s="413" t="s">
        <v>854</v>
      </c>
      <c r="H204" s="413" t="s">
        <v>2875</v>
      </c>
      <c r="I204" s="413" t="s">
        <v>2875</v>
      </c>
      <c r="J204" s="413" t="s">
        <v>2875</v>
      </c>
      <c r="K204" s="360" t="s">
        <v>2877</v>
      </c>
      <c r="L204" s="360" t="s">
        <v>2877</v>
      </c>
      <c r="M204" s="360" t="s">
        <v>2877</v>
      </c>
      <c r="N204" s="360" t="s">
        <v>2877</v>
      </c>
      <c r="O204" s="361">
        <v>0</v>
      </c>
      <c r="P204" s="360" t="s">
        <v>2875</v>
      </c>
      <c r="Q204" s="360" t="s">
        <v>2875</v>
      </c>
      <c r="R204" s="360" t="s">
        <v>2875</v>
      </c>
      <c r="S204" s="361">
        <v>159316</v>
      </c>
    </row>
    <row r="205" spans="1:20">
      <c r="A205" s="980"/>
      <c r="B205" s="987"/>
      <c r="C205" s="359" t="s">
        <v>916</v>
      </c>
      <c r="D205" s="359" t="s">
        <v>914</v>
      </c>
      <c r="E205" s="412" t="s">
        <v>2875</v>
      </c>
      <c r="F205" s="413" t="s">
        <v>853</v>
      </c>
      <c r="G205" s="413" t="s">
        <v>854</v>
      </c>
      <c r="H205" s="413" t="s">
        <v>2875</v>
      </c>
      <c r="I205" s="413" t="s">
        <v>2875</v>
      </c>
      <c r="J205" s="413" t="s">
        <v>2875</v>
      </c>
      <c r="K205" s="360" t="s">
        <v>2877</v>
      </c>
      <c r="L205" s="360" t="s">
        <v>2877</v>
      </c>
      <c r="M205" s="360" t="s">
        <v>2877</v>
      </c>
      <c r="N205" s="360" t="s">
        <v>2877</v>
      </c>
      <c r="O205" s="361">
        <v>0</v>
      </c>
      <c r="P205" s="360" t="s">
        <v>2875</v>
      </c>
      <c r="Q205" s="360" t="s">
        <v>2875</v>
      </c>
      <c r="R205" s="360" t="s">
        <v>2875</v>
      </c>
      <c r="S205" s="361">
        <v>94226</v>
      </c>
    </row>
    <row r="206" spans="1:20">
      <c r="A206" s="980"/>
      <c r="B206" s="987"/>
      <c r="C206" s="359" t="s">
        <v>3534</v>
      </c>
      <c r="D206" s="359" t="s">
        <v>914</v>
      </c>
      <c r="E206" s="412" t="s">
        <v>2875</v>
      </c>
      <c r="F206" s="413" t="s">
        <v>853</v>
      </c>
      <c r="G206" s="413" t="s">
        <v>854</v>
      </c>
      <c r="H206" s="413" t="s">
        <v>2875</v>
      </c>
      <c r="I206" s="413" t="s">
        <v>2875</v>
      </c>
      <c r="J206" s="413" t="s">
        <v>2875</v>
      </c>
      <c r="K206" s="360" t="s">
        <v>2875</v>
      </c>
      <c r="L206" s="360" t="s">
        <v>2875</v>
      </c>
      <c r="M206" s="361" t="s">
        <v>2875</v>
      </c>
      <c r="N206" s="361" t="s">
        <v>2875</v>
      </c>
      <c r="O206" s="361">
        <v>4300</v>
      </c>
      <c r="P206" s="360" t="s">
        <v>2877</v>
      </c>
      <c r="Q206" s="360" t="s">
        <v>2877</v>
      </c>
      <c r="R206" s="361">
        <v>0</v>
      </c>
      <c r="S206" s="361">
        <v>0</v>
      </c>
    </row>
    <row r="207" spans="1:20">
      <c r="A207" s="980"/>
      <c r="B207" s="987"/>
      <c r="C207" s="359" t="s">
        <v>917</v>
      </c>
      <c r="D207" s="359" t="s">
        <v>914</v>
      </c>
      <c r="E207" s="412" t="s">
        <v>2875</v>
      </c>
      <c r="F207" s="413" t="s">
        <v>853</v>
      </c>
      <c r="G207" s="413" t="s">
        <v>854</v>
      </c>
      <c r="H207" s="413" t="s">
        <v>2875</v>
      </c>
      <c r="I207" s="413" t="s">
        <v>2875</v>
      </c>
      <c r="J207" s="413" t="s">
        <v>2875</v>
      </c>
      <c r="K207" s="360" t="s">
        <v>2877</v>
      </c>
      <c r="L207" s="360" t="s">
        <v>2877</v>
      </c>
      <c r="M207" s="360" t="s">
        <v>2877</v>
      </c>
      <c r="N207" s="360" t="s">
        <v>2877</v>
      </c>
      <c r="O207" s="361">
        <v>0</v>
      </c>
      <c r="P207" s="360" t="s">
        <v>2875</v>
      </c>
      <c r="Q207" s="360" t="s">
        <v>2875</v>
      </c>
      <c r="R207" s="360" t="s">
        <v>2875</v>
      </c>
      <c r="S207" s="361">
        <v>30106</v>
      </c>
    </row>
    <row r="208" spans="1:20">
      <c r="A208" s="980"/>
      <c r="B208" s="987"/>
      <c r="C208" s="359" t="s">
        <v>918</v>
      </c>
      <c r="D208" s="359" t="s">
        <v>914</v>
      </c>
      <c r="E208" s="412" t="s">
        <v>2875</v>
      </c>
      <c r="F208" s="413" t="s">
        <v>853</v>
      </c>
      <c r="G208" s="413" t="s">
        <v>854</v>
      </c>
      <c r="H208" s="413" t="s">
        <v>2875</v>
      </c>
      <c r="I208" s="413" t="s">
        <v>2875</v>
      </c>
      <c r="J208" s="413" t="s">
        <v>2875</v>
      </c>
      <c r="K208" s="360" t="s">
        <v>2877</v>
      </c>
      <c r="L208" s="360" t="s">
        <v>2877</v>
      </c>
      <c r="M208" s="360" t="s">
        <v>2877</v>
      </c>
      <c r="N208" s="360" t="s">
        <v>2877</v>
      </c>
      <c r="O208" s="361">
        <v>0</v>
      </c>
      <c r="P208" s="360" t="s">
        <v>2875</v>
      </c>
      <c r="Q208" s="360" t="s">
        <v>2875</v>
      </c>
      <c r="R208" s="360" t="s">
        <v>2875</v>
      </c>
      <c r="S208" s="361">
        <v>6623</v>
      </c>
    </row>
    <row r="209" spans="1:20">
      <c r="A209" s="980"/>
      <c r="B209" s="987"/>
      <c r="C209" s="359" t="s">
        <v>919</v>
      </c>
      <c r="D209" s="359" t="s">
        <v>914</v>
      </c>
      <c r="E209" s="412" t="s">
        <v>2875</v>
      </c>
      <c r="F209" s="413" t="s">
        <v>853</v>
      </c>
      <c r="G209" s="413" t="s">
        <v>854</v>
      </c>
      <c r="H209" s="413" t="s">
        <v>2875</v>
      </c>
      <c r="I209" s="413" t="s">
        <v>2875</v>
      </c>
      <c r="J209" s="413" t="s">
        <v>2875</v>
      </c>
      <c r="K209" s="360" t="s">
        <v>2877</v>
      </c>
      <c r="L209" s="360" t="s">
        <v>2877</v>
      </c>
      <c r="M209" s="360" t="s">
        <v>2877</v>
      </c>
      <c r="N209" s="360" t="s">
        <v>2877</v>
      </c>
      <c r="O209" s="361">
        <v>0</v>
      </c>
      <c r="P209" s="360" t="s">
        <v>2875</v>
      </c>
      <c r="Q209" s="360" t="s">
        <v>2875</v>
      </c>
      <c r="R209" s="360" t="s">
        <v>2875</v>
      </c>
      <c r="S209" s="361">
        <v>59264</v>
      </c>
    </row>
    <row r="210" spans="1:20">
      <c r="A210" s="980"/>
      <c r="B210" s="987"/>
      <c r="C210" s="359" t="s">
        <v>920</v>
      </c>
      <c r="D210" s="359" t="s">
        <v>914</v>
      </c>
      <c r="E210" s="412" t="s">
        <v>2875</v>
      </c>
      <c r="F210" s="413" t="s">
        <v>853</v>
      </c>
      <c r="G210" s="413" t="s">
        <v>854</v>
      </c>
      <c r="H210" s="413" t="s">
        <v>2875</v>
      </c>
      <c r="I210" s="413" t="s">
        <v>2875</v>
      </c>
      <c r="J210" s="413" t="s">
        <v>2875</v>
      </c>
      <c r="K210" s="360" t="s">
        <v>2877</v>
      </c>
      <c r="L210" s="360" t="s">
        <v>2877</v>
      </c>
      <c r="M210" s="360" t="s">
        <v>2877</v>
      </c>
      <c r="N210" s="360" t="s">
        <v>2877</v>
      </c>
      <c r="O210" s="361">
        <v>0</v>
      </c>
      <c r="P210" s="360" t="s">
        <v>2875</v>
      </c>
      <c r="Q210" s="360" t="s">
        <v>2875</v>
      </c>
      <c r="R210" s="360" t="s">
        <v>2875</v>
      </c>
      <c r="S210" s="361">
        <v>9500</v>
      </c>
    </row>
    <row r="211" spans="1:20">
      <c r="A211" s="980"/>
      <c r="B211" s="987"/>
      <c r="C211" s="359" t="s">
        <v>921</v>
      </c>
      <c r="D211" s="359" t="s">
        <v>914</v>
      </c>
      <c r="E211" s="412" t="s">
        <v>2875</v>
      </c>
      <c r="F211" s="413" t="s">
        <v>853</v>
      </c>
      <c r="G211" s="413" t="s">
        <v>854</v>
      </c>
      <c r="H211" s="413" t="s">
        <v>2875</v>
      </c>
      <c r="I211" s="413" t="s">
        <v>2875</v>
      </c>
      <c r="J211" s="413" t="s">
        <v>2875</v>
      </c>
      <c r="K211" s="360" t="s">
        <v>2875</v>
      </c>
      <c r="L211" s="360" t="s">
        <v>2875</v>
      </c>
      <c r="M211" s="361" t="s">
        <v>2875</v>
      </c>
      <c r="N211" s="361" t="s">
        <v>2875</v>
      </c>
      <c r="O211" s="361">
        <v>21391</v>
      </c>
      <c r="P211" s="360" t="s">
        <v>2877</v>
      </c>
      <c r="Q211" s="360" t="s">
        <v>2877</v>
      </c>
      <c r="R211" s="361">
        <v>0</v>
      </c>
      <c r="S211" s="361">
        <v>0</v>
      </c>
    </row>
    <row r="212" spans="1:20">
      <c r="A212" s="350"/>
      <c r="B212" s="351" t="s">
        <v>3535</v>
      </c>
      <c r="C212" s="351"/>
      <c r="D212" s="351"/>
      <c r="E212" s="373"/>
      <c r="F212" s="374"/>
      <c r="G212" s="374"/>
      <c r="H212" s="374"/>
      <c r="I212" s="374"/>
      <c r="J212" s="374"/>
      <c r="K212" s="354"/>
      <c r="L212" s="354"/>
      <c r="M212" s="355"/>
      <c r="N212" s="355"/>
      <c r="O212" s="356">
        <f>SUM(O203:O211)</f>
        <v>25691</v>
      </c>
      <c r="P212" s="354"/>
      <c r="Q212" s="354"/>
      <c r="R212" s="355"/>
      <c r="S212" s="356">
        <f>SUM(S203:S211)</f>
        <v>811308</v>
      </c>
      <c r="T212" s="416"/>
    </row>
    <row r="213" spans="1:20" ht="30">
      <c r="A213" s="979">
        <v>14</v>
      </c>
      <c r="B213" s="988" t="s">
        <v>651</v>
      </c>
      <c r="C213" s="327" t="s">
        <v>3536</v>
      </c>
      <c r="D213" s="327" t="s">
        <v>3537</v>
      </c>
      <c r="E213" s="401" t="s">
        <v>2875</v>
      </c>
      <c r="F213" s="400" t="s">
        <v>922</v>
      </c>
      <c r="G213" s="400" t="s">
        <v>2875</v>
      </c>
      <c r="H213" s="400" t="s">
        <v>2875</v>
      </c>
      <c r="I213" s="400" t="s">
        <v>2875</v>
      </c>
      <c r="J213" s="400" t="s">
        <v>2875</v>
      </c>
      <c r="K213" s="400" t="s">
        <v>2875</v>
      </c>
      <c r="L213" s="328" t="s">
        <v>2877</v>
      </c>
      <c r="M213" s="329">
        <v>0</v>
      </c>
      <c r="N213" s="329">
        <v>0</v>
      </c>
      <c r="O213" s="329">
        <v>0</v>
      </c>
      <c r="P213" s="328" t="s">
        <v>2875</v>
      </c>
      <c r="Q213" s="328" t="s">
        <v>3217</v>
      </c>
      <c r="R213" s="329">
        <v>182500</v>
      </c>
      <c r="S213" s="329">
        <v>182500</v>
      </c>
    </row>
    <row r="214" spans="1:20" ht="20">
      <c r="A214" s="979"/>
      <c r="B214" s="988"/>
      <c r="C214" s="327" t="s">
        <v>3538</v>
      </c>
      <c r="D214" s="327" t="s">
        <v>3539</v>
      </c>
      <c r="E214" s="401" t="s">
        <v>2875</v>
      </c>
      <c r="F214" s="400" t="s">
        <v>3540</v>
      </c>
      <c r="G214" s="400" t="s">
        <v>2875</v>
      </c>
      <c r="H214" s="400" t="s">
        <v>2875</v>
      </c>
      <c r="I214" s="400" t="s">
        <v>2875</v>
      </c>
      <c r="J214" s="400" t="s">
        <v>2875</v>
      </c>
      <c r="K214" s="400" t="s">
        <v>2875</v>
      </c>
      <c r="L214" s="328" t="s">
        <v>2877</v>
      </c>
      <c r="M214" s="329">
        <v>0</v>
      </c>
      <c r="N214" s="329">
        <v>0</v>
      </c>
      <c r="O214" s="329">
        <v>0</v>
      </c>
      <c r="P214" s="328" t="s">
        <v>2875</v>
      </c>
      <c r="Q214" s="328">
        <v>45112</v>
      </c>
      <c r="R214" s="329">
        <v>139159</v>
      </c>
      <c r="S214" s="329">
        <v>139159</v>
      </c>
    </row>
    <row r="215" spans="1:20" ht="20">
      <c r="A215" s="979"/>
      <c r="B215" s="988"/>
      <c r="C215" s="327" t="s">
        <v>3541</v>
      </c>
      <c r="D215" s="327" t="s">
        <v>3542</v>
      </c>
      <c r="E215" s="401" t="s">
        <v>2875</v>
      </c>
      <c r="F215" s="400" t="s">
        <v>858</v>
      </c>
      <c r="G215" s="400" t="s">
        <v>2875</v>
      </c>
      <c r="H215" s="400" t="s">
        <v>2875</v>
      </c>
      <c r="I215" s="400" t="s">
        <v>2875</v>
      </c>
      <c r="J215" s="400" t="s">
        <v>2875</v>
      </c>
      <c r="K215" s="400" t="s">
        <v>2875</v>
      </c>
      <c r="L215" s="328">
        <v>45112</v>
      </c>
      <c r="M215" s="329" t="s">
        <v>2875</v>
      </c>
      <c r="N215" s="329">
        <v>3000</v>
      </c>
      <c r="O215" s="329">
        <v>3000</v>
      </c>
      <c r="P215" s="328" t="s">
        <v>2877</v>
      </c>
      <c r="Q215" s="328" t="s">
        <v>2877</v>
      </c>
      <c r="R215" s="329">
        <v>0</v>
      </c>
      <c r="S215" s="329">
        <v>0</v>
      </c>
    </row>
    <row r="216" spans="1:20" ht="20">
      <c r="A216" s="979"/>
      <c r="B216" s="988"/>
      <c r="C216" s="327" t="s">
        <v>3543</v>
      </c>
      <c r="D216" s="327" t="s">
        <v>3544</v>
      </c>
      <c r="E216" s="401" t="s">
        <v>2875</v>
      </c>
      <c r="F216" s="400" t="s">
        <v>923</v>
      </c>
      <c r="G216" s="400" t="s">
        <v>2875</v>
      </c>
      <c r="H216" s="400" t="s">
        <v>2875</v>
      </c>
      <c r="I216" s="400" t="s">
        <v>2875</v>
      </c>
      <c r="J216" s="400" t="s">
        <v>2875</v>
      </c>
      <c r="K216" s="400" t="s">
        <v>2875</v>
      </c>
      <c r="L216" s="328">
        <v>45181</v>
      </c>
      <c r="M216" s="329" t="s">
        <v>2875</v>
      </c>
      <c r="N216" s="329">
        <v>30000</v>
      </c>
      <c r="O216" s="329">
        <v>30000</v>
      </c>
      <c r="P216" s="328" t="s">
        <v>2875</v>
      </c>
      <c r="Q216" s="328">
        <v>45185</v>
      </c>
      <c r="R216" s="329">
        <v>36567</v>
      </c>
      <c r="S216" s="329">
        <v>36567</v>
      </c>
    </row>
    <row r="217" spans="1:20" ht="20">
      <c r="A217" s="979"/>
      <c r="B217" s="988"/>
      <c r="C217" s="327" t="s">
        <v>3545</v>
      </c>
      <c r="D217" s="327" t="s">
        <v>3546</v>
      </c>
      <c r="E217" s="401" t="s">
        <v>2875</v>
      </c>
      <c r="F217" s="400" t="s">
        <v>922</v>
      </c>
      <c r="G217" s="400" t="s">
        <v>2875</v>
      </c>
      <c r="H217" s="400" t="s">
        <v>2875</v>
      </c>
      <c r="I217" s="400" t="s">
        <v>2875</v>
      </c>
      <c r="J217" s="400" t="s">
        <v>2875</v>
      </c>
      <c r="K217" s="400" t="s">
        <v>2875</v>
      </c>
      <c r="L217" s="328" t="s">
        <v>2877</v>
      </c>
      <c r="M217" s="329">
        <v>0</v>
      </c>
      <c r="N217" s="329">
        <v>0</v>
      </c>
      <c r="O217" s="329">
        <v>0</v>
      </c>
      <c r="P217" s="328" t="s">
        <v>2875</v>
      </c>
      <c r="Q217" s="328">
        <v>45288</v>
      </c>
      <c r="R217" s="329">
        <v>242800</v>
      </c>
      <c r="S217" s="329">
        <v>242800</v>
      </c>
    </row>
    <row r="218" spans="1:20" ht="20">
      <c r="A218" s="979"/>
      <c r="B218" s="988"/>
      <c r="C218" s="327" t="s">
        <v>3547</v>
      </c>
      <c r="D218" s="327" t="s">
        <v>3548</v>
      </c>
      <c r="E218" s="401" t="s">
        <v>2875</v>
      </c>
      <c r="F218" s="400" t="s">
        <v>923</v>
      </c>
      <c r="G218" s="400" t="s">
        <v>2875</v>
      </c>
      <c r="H218" s="400" t="s">
        <v>2875</v>
      </c>
      <c r="I218" s="400" t="s">
        <v>2875</v>
      </c>
      <c r="J218" s="400" t="s">
        <v>2875</v>
      </c>
      <c r="K218" s="400" t="s">
        <v>2875</v>
      </c>
      <c r="L218" s="328" t="s">
        <v>2877</v>
      </c>
      <c r="M218" s="329">
        <v>0</v>
      </c>
      <c r="N218" s="329">
        <v>0</v>
      </c>
      <c r="O218" s="329">
        <v>0</v>
      </c>
      <c r="P218" s="328" t="s">
        <v>2875</v>
      </c>
      <c r="Q218" s="328">
        <v>45222</v>
      </c>
      <c r="R218" s="329">
        <v>64719</v>
      </c>
      <c r="S218" s="329">
        <v>64719</v>
      </c>
    </row>
    <row r="219" spans="1:20" ht="20">
      <c r="A219" s="979"/>
      <c r="B219" s="988"/>
      <c r="C219" s="327" t="s">
        <v>3549</v>
      </c>
      <c r="D219" s="327" t="s">
        <v>3550</v>
      </c>
      <c r="E219" s="401" t="s">
        <v>2875</v>
      </c>
      <c r="F219" s="400" t="s">
        <v>923</v>
      </c>
      <c r="G219" s="400" t="s">
        <v>2875</v>
      </c>
      <c r="H219" s="400" t="s">
        <v>2875</v>
      </c>
      <c r="I219" s="400" t="s">
        <v>2875</v>
      </c>
      <c r="J219" s="400" t="s">
        <v>2875</v>
      </c>
      <c r="K219" s="400" t="s">
        <v>2875</v>
      </c>
      <c r="L219" s="328" t="s">
        <v>2877</v>
      </c>
      <c r="M219" s="329">
        <v>0</v>
      </c>
      <c r="N219" s="329">
        <v>0</v>
      </c>
      <c r="O219" s="329">
        <v>0</v>
      </c>
      <c r="P219" s="328" t="s">
        <v>2875</v>
      </c>
      <c r="Q219" s="328">
        <v>45210</v>
      </c>
      <c r="R219" s="329">
        <v>3905.5</v>
      </c>
      <c r="S219" s="329">
        <v>3905.5</v>
      </c>
    </row>
    <row r="220" spans="1:20" ht="20">
      <c r="A220" s="979"/>
      <c r="B220" s="988"/>
      <c r="C220" s="327" t="s">
        <v>3551</v>
      </c>
      <c r="D220" s="327" t="s">
        <v>924</v>
      </c>
      <c r="E220" s="401" t="s">
        <v>2875</v>
      </c>
      <c r="F220" s="400" t="s">
        <v>922</v>
      </c>
      <c r="G220" s="400" t="s">
        <v>2875</v>
      </c>
      <c r="H220" s="400" t="s">
        <v>2875</v>
      </c>
      <c r="I220" s="400" t="s">
        <v>2875</v>
      </c>
      <c r="J220" s="400" t="s">
        <v>2875</v>
      </c>
      <c r="K220" s="400" t="s">
        <v>2875</v>
      </c>
      <c r="L220" s="328" t="s">
        <v>2877</v>
      </c>
      <c r="M220" s="329">
        <v>0</v>
      </c>
      <c r="N220" s="329">
        <v>0</v>
      </c>
      <c r="O220" s="329">
        <v>0</v>
      </c>
      <c r="P220" s="328" t="s">
        <v>2875</v>
      </c>
      <c r="Q220" s="328">
        <v>44939</v>
      </c>
      <c r="R220" s="329">
        <v>12000</v>
      </c>
      <c r="S220" s="329">
        <v>12000</v>
      </c>
    </row>
    <row r="221" spans="1:20" ht="20">
      <c r="A221" s="979"/>
      <c r="B221" s="988"/>
      <c r="C221" s="327" t="s">
        <v>3552</v>
      </c>
      <c r="D221" s="327" t="s">
        <v>3553</v>
      </c>
      <c r="E221" s="401" t="s">
        <v>2875</v>
      </c>
      <c r="F221" s="400" t="s">
        <v>923</v>
      </c>
      <c r="G221" s="400" t="s">
        <v>2875</v>
      </c>
      <c r="H221" s="400" t="s">
        <v>2875</v>
      </c>
      <c r="I221" s="400" t="s">
        <v>2875</v>
      </c>
      <c r="J221" s="400" t="s">
        <v>2875</v>
      </c>
      <c r="K221" s="400" t="s">
        <v>2875</v>
      </c>
      <c r="L221" s="328" t="s">
        <v>2877</v>
      </c>
      <c r="M221" s="329">
        <v>0</v>
      </c>
      <c r="N221" s="329">
        <v>0</v>
      </c>
      <c r="O221" s="329">
        <v>0</v>
      </c>
      <c r="P221" s="328" t="s">
        <v>2875</v>
      </c>
      <c r="Q221" s="328">
        <v>44940</v>
      </c>
      <c r="R221" s="329">
        <v>5235</v>
      </c>
      <c r="S221" s="329">
        <v>5235</v>
      </c>
    </row>
    <row r="222" spans="1:20" ht="20">
      <c r="A222" s="979"/>
      <c r="B222" s="988"/>
      <c r="C222" s="327" t="s">
        <v>3554</v>
      </c>
      <c r="D222" s="327" t="s">
        <v>857</v>
      </c>
      <c r="E222" s="401" t="s">
        <v>2875</v>
      </c>
      <c r="F222" s="400" t="s">
        <v>922</v>
      </c>
      <c r="G222" s="400" t="s">
        <v>2875</v>
      </c>
      <c r="H222" s="400" t="s">
        <v>2875</v>
      </c>
      <c r="I222" s="400" t="s">
        <v>2875</v>
      </c>
      <c r="J222" s="400" t="s">
        <v>2875</v>
      </c>
      <c r="K222" s="400" t="s">
        <v>2875</v>
      </c>
      <c r="L222" s="328" t="s">
        <v>2877</v>
      </c>
      <c r="M222" s="329">
        <v>0</v>
      </c>
      <c r="N222" s="329">
        <v>0</v>
      </c>
      <c r="O222" s="329">
        <v>0</v>
      </c>
      <c r="P222" s="328" t="s">
        <v>2875</v>
      </c>
      <c r="Q222" s="328">
        <v>44956</v>
      </c>
      <c r="R222" s="329">
        <v>12578</v>
      </c>
      <c r="S222" s="329">
        <v>12578</v>
      </c>
    </row>
    <row r="223" spans="1:20" ht="20">
      <c r="A223" s="979"/>
      <c r="B223" s="988"/>
      <c r="C223" s="327" t="s">
        <v>3555</v>
      </c>
      <c r="D223" s="327" t="s">
        <v>3556</v>
      </c>
      <c r="E223" s="401" t="s">
        <v>2875</v>
      </c>
      <c r="F223" s="400" t="s">
        <v>922</v>
      </c>
      <c r="G223" s="400" t="s">
        <v>2875</v>
      </c>
      <c r="H223" s="400" t="s">
        <v>2875</v>
      </c>
      <c r="I223" s="400" t="s">
        <v>2875</v>
      </c>
      <c r="J223" s="400" t="s">
        <v>2875</v>
      </c>
      <c r="K223" s="400" t="s">
        <v>2875</v>
      </c>
      <c r="L223" s="328" t="s">
        <v>2877</v>
      </c>
      <c r="M223" s="329">
        <v>0</v>
      </c>
      <c r="N223" s="329">
        <v>0</v>
      </c>
      <c r="O223" s="329">
        <v>0</v>
      </c>
      <c r="P223" s="328" t="s">
        <v>2875</v>
      </c>
      <c r="Q223" s="328">
        <v>44993</v>
      </c>
      <c r="R223" s="329">
        <v>11600</v>
      </c>
      <c r="S223" s="329">
        <v>11600</v>
      </c>
    </row>
    <row r="224" spans="1:20" ht="30">
      <c r="A224" s="979"/>
      <c r="B224" s="988"/>
      <c r="C224" s="327" t="s">
        <v>3557</v>
      </c>
      <c r="D224" s="327" t="s">
        <v>3558</v>
      </c>
      <c r="E224" s="401" t="s">
        <v>2875</v>
      </c>
      <c r="F224" s="400" t="s">
        <v>3540</v>
      </c>
      <c r="G224" s="400" t="s">
        <v>2875</v>
      </c>
      <c r="H224" s="400" t="s">
        <v>2875</v>
      </c>
      <c r="I224" s="400" t="s">
        <v>2875</v>
      </c>
      <c r="J224" s="400" t="s">
        <v>2875</v>
      </c>
      <c r="K224" s="400" t="s">
        <v>2875</v>
      </c>
      <c r="L224" s="328" t="s">
        <v>2877</v>
      </c>
      <c r="M224" s="329">
        <v>0</v>
      </c>
      <c r="N224" s="329">
        <v>0</v>
      </c>
      <c r="O224" s="329">
        <v>0</v>
      </c>
      <c r="P224" s="328" t="s">
        <v>2875</v>
      </c>
      <c r="Q224" s="328">
        <v>45066</v>
      </c>
      <c r="R224" s="329">
        <v>300000</v>
      </c>
      <c r="S224" s="329">
        <v>300000</v>
      </c>
    </row>
    <row r="225" spans="1:20" ht="30">
      <c r="A225" s="979"/>
      <c r="B225" s="988"/>
      <c r="C225" s="327" t="s">
        <v>3559</v>
      </c>
      <c r="D225" s="327" t="s">
        <v>857</v>
      </c>
      <c r="E225" s="401" t="s">
        <v>2875</v>
      </c>
      <c r="F225" s="400" t="s">
        <v>922</v>
      </c>
      <c r="G225" s="400" t="s">
        <v>2875</v>
      </c>
      <c r="H225" s="400" t="s">
        <v>2875</v>
      </c>
      <c r="I225" s="400" t="s">
        <v>2875</v>
      </c>
      <c r="J225" s="400" t="s">
        <v>2875</v>
      </c>
      <c r="K225" s="400" t="s">
        <v>2875</v>
      </c>
      <c r="L225" s="328" t="s">
        <v>2877</v>
      </c>
      <c r="M225" s="329">
        <v>0</v>
      </c>
      <c r="N225" s="329">
        <v>0</v>
      </c>
      <c r="O225" s="329">
        <v>0</v>
      </c>
      <c r="P225" s="328" t="s">
        <v>2875</v>
      </c>
      <c r="Q225" s="328">
        <v>45079</v>
      </c>
      <c r="R225" s="329">
        <v>800</v>
      </c>
      <c r="S225" s="329">
        <v>800</v>
      </c>
    </row>
    <row r="226" spans="1:20" ht="20">
      <c r="A226" s="979"/>
      <c r="B226" s="988"/>
      <c r="C226" s="327" t="s">
        <v>3560</v>
      </c>
      <c r="D226" s="327" t="s">
        <v>3561</v>
      </c>
      <c r="E226" s="401" t="s">
        <v>2875</v>
      </c>
      <c r="F226" s="400" t="s">
        <v>922</v>
      </c>
      <c r="G226" s="400" t="s">
        <v>2875</v>
      </c>
      <c r="H226" s="400" t="s">
        <v>2875</v>
      </c>
      <c r="I226" s="400" t="s">
        <v>2875</v>
      </c>
      <c r="J226" s="400" t="s">
        <v>2875</v>
      </c>
      <c r="K226" s="400" t="s">
        <v>2875</v>
      </c>
      <c r="L226" s="328" t="s">
        <v>2877</v>
      </c>
      <c r="M226" s="329">
        <v>0</v>
      </c>
      <c r="N226" s="329">
        <v>0</v>
      </c>
      <c r="O226" s="329">
        <v>0</v>
      </c>
      <c r="P226" s="328" t="s">
        <v>2875</v>
      </c>
      <c r="Q226" s="328">
        <v>45097</v>
      </c>
      <c r="R226" s="329">
        <v>9600</v>
      </c>
      <c r="S226" s="329">
        <v>9600</v>
      </c>
    </row>
    <row r="227" spans="1:20" ht="20">
      <c r="A227" s="979"/>
      <c r="B227" s="988"/>
      <c r="C227" s="327" t="s">
        <v>3562</v>
      </c>
      <c r="D227" s="327" t="s">
        <v>3563</v>
      </c>
      <c r="E227" s="401" t="s">
        <v>2875</v>
      </c>
      <c r="F227" s="400" t="s">
        <v>922</v>
      </c>
      <c r="G227" s="400" t="s">
        <v>2875</v>
      </c>
      <c r="H227" s="400" t="s">
        <v>2875</v>
      </c>
      <c r="I227" s="400" t="s">
        <v>2875</v>
      </c>
      <c r="J227" s="400" t="s">
        <v>2875</v>
      </c>
      <c r="K227" s="400" t="s">
        <v>2875</v>
      </c>
      <c r="L227" s="328" t="s">
        <v>2877</v>
      </c>
      <c r="M227" s="329">
        <v>0</v>
      </c>
      <c r="N227" s="329">
        <v>0</v>
      </c>
      <c r="O227" s="329">
        <v>0</v>
      </c>
      <c r="P227" s="328" t="s">
        <v>2875</v>
      </c>
      <c r="Q227" s="328">
        <v>45108</v>
      </c>
      <c r="R227" s="329">
        <v>1126.23</v>
      </c>
      <c r="S227" s="329">
        <v>1126.23</v>
      </c>
    </row>
    <row r="228" spans="1:20" ht="30">
      <c r="A228" s="979"/>
      <c r="B228" s="988"/>
      <c r="C228" s="327" t="s">
        <v>3564</v>
      </c>
      <c r="D228" s="327" t="s">
        <v>3565</v>
      </c>
      <c r="E228" s="401" t="s">
        <v>2875</v>
      </c>
      <c r="F228" s="400" t="s">
        <v>923</v>
      </c>
      <c r="G228" s="400" t="s">
        <v>2875</v>
      </c>
      <c r="H228" s="400" t="s">
        <v>2875</v>
      </c>
      <c r="I228" s="400" t="s">
        <v>2875</v>
      </c>
      <c r="J228" s="400" t="s">
        <v>2875</v>
      </c>
      <c r="K228" s="400" t="s">
        <v>2875</v>
      </c>
      <c r="L228" s="328" t="s">
        <v>2877</v>
      </c>
      <c r="M228" s="329">
        <v>0</v>
      </c>
      <c r="N228" s="329">
        <v>0</v>
      </c>
      <c r="O228" s="329">
        <v>0</v>
      </c>
      <c r="P228" s="328" t="s">
        <v>2875</v>
      </c>
      <c r="Q228" s="328">
        <v>45124</v>
      </c>
      <c r="R228" s="329">
        <v>2000</v>
      </c>
      <c r="S228" s="329">
        <v>2000</v>
      </c>
    </row>
    <row r="229" spans="1:20" ht="20">
      <c r="A229" s="979"/>
      <c r="B229" s="988"/>
      <c r="C229" s="327" t="s">
        <v>3566</v>
      </c>
      <c r="D229" s="327" t="s">
        <v>3567</v>
      </c>
      <c r="E229" s="401" t="s">
        <v>2875</v>
      </c>
      <c r="F229" s="400" t="s">
        <v>3568</v>
      </c>
      <c r="G229" s="400" t="s">
        <v>2875</v>
      </c>
      <c r="H229" s="400" t="s">
        <v>2875</v>
      </c>
      <c r="I229" s="400" t="s">
        <v>2875</v>
      </c>
      <c r="J229" s="400" t="s">
        <v>2875</v>
      </c>
      <c r="K229" s="400" t="s">
        <v>2875</v>
      </c>
      <c r="L229" s="328" t="s">
        <v>2877</v>
      </c>
      <c r="M229" s="329">
        <v>0</v>
      </c>
      <c r="N229" s="329">
        <v>0</v>
      </c>
      <c r="O229" s="329">
        <v>0</v>
      </c>
      <c r="P229" s="328" t="s">
        <v>2875</v>
      </c>
      <c r="Q229" s="328">
        <v>45161</v>
      </c>
      <c r="R229" s="329">
        <v>10360.799999999999</v>
      </c>
      <c r="S229" s="329">
        <v>10360.799999999999</v>
      </c>
    </row>
    <row r="230" spans="1:20" ht="20">
      <c r="A230" s="979"/>
      <c r="B230" s="988"/>
      <c r="C230" s="327" t="s">
        <v>3569</v>
      </c>
      <c r="D230" s="327" t="s">
        <v>3570</v>
      </c>
      <c r="E230" s="401" t="s">
        <v>2875</v>
      </c>
      <c r="F230" s="400" t="s">
        <v>922</v>
      </c>
      <c r="G230" s="400" t="s">
        <v>2875</v>
      </c>
      <c r="H230" s="400" t="s">
        <v>2875</v>
      </c>
      <c r="I230" s="400" t="s">
        <v>2875</v>
      </c>
      <c r="J230" s="400" t="s">
        <v>2875</v>
      </c>
      <c r="K230" s="400" t="s">
        <v>2875</v>
      </c>
      <c r="L230" s="328" t="s">
        <v>2877</v>
      </c>
      <c r="M230" s="329">
        <v>0</v>
      </c>
      <c r="N230" s="329">
        <v>0</v>
      </c>
      <c r="O230" s="329">
        <v>0</v>
      </c>
      <c r="P230" s="328" t="s">
        <v>2875</v>
      </c>
      <c r="Q230" s="328">
        <v>45184</v>
      </c>
      <c r="R230" s="329">
        <v>1200</v>
      </c>
      <c r="S230" s="329">
        <v>1200</v>
      </c>
    </row>
    <row r="231" spans="1:20" ht="20">
      <c r="A231" s="979"/>
      <c r="B231" s="988"/>
      <c r="C231" s="327" t="s">
        <v>3571</v>
      </c>
      <c r="D231" s="327" t="s">
        <v>3572</v>
      </c>
      <c r="E231" s="401" t="s">
        <v>2875</v>
      </c>
      <c r="F231" s="400" t="s">
        <v>922</v>
      </c>
      <c r="G231" s="400" t="s">
        <v>2875</v>
      </c>
      <c r="H231" s="400" t="s">
        <v>2875</v>
      </c>
      <c r="I231" s="400" t="s">
        <v>2875</v>
      </c>
      <c r="J231" s="400" t="s">
        <v>2875</v>
      </c>
      <c r="K231" s="400" t="s">
        <v>2875</v>
      </c>
      <c r="L231" s="328" t="s">
        <v>2877</v>
      </c>
      <c r="M231" s="329">
        <v>0</v>
      </c>
      <c r="N231" s="329">
        <v>0</v>
      </c>
      <c r="O231" s="329">
        <v>0</v>
      </c>
      <c r="P231" s="328" t="s">
        <v>2875</v>
      </c>
      <c r="Q231" s="328">
        <v>45266</v>
      </c>
      <c r="R231" s="329">
        <v>1040</v>
      </c>
      <c r="S231" s="329">
        <v>1040</v>
      </c>
    </row>
    <row r="232" spans="1:20" ht="20">
      <c r="A232" s="979"/>
      <c r="B232" s="988"/>
      <c r="C232" s="327" t="s">
        <v>3573</v>
      </c>
      <c r="D232" s="327" t="s">
        <v>3574</v>
      </c>
      <c r="E232" s="401" t="s">
        <v>2875</v>
      </c>
      <c r="F232" s="400" t="s">
        <v>922</v>
      </c>
      <c r="G232" s="400" t="s">
        <v>2875</v>
      </c>
      <c r="H232" s="400" t="s">
        <v>2875</v>
      </c>
      <c r="I232" s="400" t="s">
        <v>2875</v>
      </c>
      <c r="J232" s="400" t="s">
        <v>2875</v>
      </c>
      <c r="K232" s="400" t="s">
        <v>2875</v>
      </c>
      <c r="L232" s="328" t="s">
        <v>2877</v>
      </c>
      <c r="M232" s="329">
        <v>0</v>
      </c>
      <c r="N232" s="329">
        <v>0</v>
      </c>
      <c r="O232" s="329">
        <v>0</v>
      </c>
      <c r="P232" s="328" t="s">
        <v>2875</v>
      </c>
      <c r="Q232" s="328">
        <v>45274</v>
      </c>
      <c r="R232" s="329">
        <v>6600</v>
      </c>
      <c r="S232" s="329">
        <v>6600</v>
      </c>
    </row>
    <row r="233" spans="1:20">
      <c r="A233" s="350"/>
      <c r="B233" s="351" t="s">
        <v>3575</v>
      </c>
      <c r="C233" s="351"/>
      <c r="D233" s="351"/>
      <c r="E233" s="373"/>
      <c r="F233" s="374"/>
      <c r="G233" s="374"/>
      <c r="H233" s="374"/>
      <c r="I233" s="374"/>
      <c r="J233" s="374"/>
      <c r="K233" s="354"/>
      <c r="L233" s="354"/>
      <c r="M233" s="355"/>
      <c r="N233" s="355"/>
      <c r="O233" s="356">
        <f>SUM(O213:O232)</f>
        <v>33000</v>
      </c>
      <c r="P233" s="354"/>
      <c r="Q233" s="354"/>
      <c r="R233" s="355"/>
      <c r="S233" s="356">
        <f>SUM(S213:S232)</f>
        <v>1043790.53</v>
      </c>
      <c r="T233" s="416"/>
    </row>
    <row r="234" spans="1:20">
      <c r="A234" s="980">
        <v>15</v>
      </c>
      <c r="B234" s="987" t="s">
        <v>2761</v>
      </c>
      <c r="C234" s="338" t="s">
        <v>3576</v>
      </c>
      <c r="D234" s="338" t="s">
        <v>1852</v>
      </c>
      <c r="E234" s="409" t="s">
        <v>2875</v>
      </c>
      <c r="F234" s="410" t="s">
        <v>3100</v>
      </c>
      <c r="G234" s="410" t="s">
        <v>3103</v>
      </c>
      <c r="H234" s="410" t="s">
        <v>2875</v>
      </c>
      <c r="I234" s="410" t="s">
        <v>2875</v>
      </c>
      <c r="J234" s="410" t="s">
        <v>2875</v>
      </c>
      <c r="K234" s="340" t="s">
        <v>3577</v>
      </c>
      <c r="L234" s="340" t="s">
        <v>3577</v>
      </c>
      <c r="M234" s="341">
        <v>200</v>
      </c>
      <c r="N234" s="341">
        <v>200</v>
      </c>
      <c r="O234" s="341">
        <v>200</v>
      </c>
      <c r="P234" s="360" t="s">
        <v>2877</v>
      </c>
      <c r="Q234" s="360" t="s">
        <v>2877</v>
      </c>
      <c r="R234" s="361">
        <v>0</v>
      </c>
      <c r="S234" s="361">
        <v>0</v>
      </c>
    </row>
    <row r="235" spans="1:20">
      <c r="A235" s="980"/>
      <c r="B235" s="987"/>
      <c r="C235" s="338" t="s">
        <v>3578</v>
      </c>
      <c r="D235" s="338" t="s">
        <v>1852</v>
      </c>
      <c r="E235" s="409" t="s">
        <v>2875</v>
      </c>
      <c r="F235" s="410" t="s">
        <v>3100</v>
      </c>
      <c r="G235" s="410" t="s">
        <v>3103</v>
      </c>
      <c r="H235" s="410" t="s">
        <v>2875</v>
      </c>
      <c r="I235" s="410" t="s">
        <v>2875</v>
      </c>
      <c r="J235" s="410" t="s">
        <v>2875</v>
      </c>
      <c r="K235" s="340" t="s">
        <v>3579</v>
      </c>
      <c r="L235" s="340" t="s">
        <v>3579</v>
      </c>
      <c r="M235" s="341">
        <v>200</v>
      </c>
      <c r="N235" s="341">
        <v>200</v>
      </c>
      <c r="O235" s="341">
        <v>200</v>
      </c>
      <c r="P235" s="360" t="s">
        <v>2877</v>
      </c>
      <c r="Q235" s="360" t="s">
        <v>2877</v>
      </c>
      <c r="R235" s="361">
        <v>0</v>
      </c>
      <c r="S235" s="361">
        <v>0</v>
      </c>
    </row>
    <row r="236" spans="1:20">
      <c r="A236" s="980"/>
      <c r="B236" s="987"/>
      <c r="C236" s="338" t="s">
        <v>3576</v>
      </c>
      <c r="D236" s="338" t="s">
        <v>1852</v>
      </c>
      <c r="E236" s="409" t="s">
        <v>2875</v>
      </c>
      <c r="F236" s="410" t="s">
        <v>3100</v>
      </c>
      <c r="G236" s="410" t="s">
        <v>3103</v>
      </c>
      <c r="H236" s="410" t="s">
        <v>2875</v>
      </c>
      <c r="I236" s="410" t="s">
        <v>2875</v>
      </c>
      <c r="J236" s="410" t="s">
        <v>2875</v>
      </c>
      <c r="K236" s="340" t="s">
        <v>3580</v>
      </c>
      <c r="L236" s="340" t="s">
        <v>3580</v>
      </c>
      <c r="M236" s="341">
        <v>200</v>
      </c>
      <c r="N236" s="341">
        <v>200</v>
      </c>
      <c r="O236" s="341">
        <v>200</v>
      </c>
      <c r="P236" s="360" t="s">
        <v>2877</v>
      </c>
      <c r="Q236" s="360" t="s">
        <v>2877</v>
      </c>
      <c r="R236" s="361">
        <v>0</v>
      </c>
      <c r="S236" s="361">
        <v>0</v>
      </c>
    </row>
    <row r="237" spans="1:20">
      <c r="A237" s="980"/>
      <c r="B237" s="987"/>
      <c r="C237" s="338" t="s">
        <v>3576</v>
      </c>
      <c r="D237" s="338" t="s">
        <v>1852</v>
      </c>
      <c r="E237" s="409" t="s">
        <v>2875</v>
      </c>
      <c r="F237" s="410" t="s">
        <v>3100</v>
      </c>
      <c r="G237" s="410" t="s">
        <v>3103</v>
      </c>
      <c r="H237" s="410" t="s">
        <v>2875</v>
      </c>
      <c r="I237" s="410" t="s">
        <v>2875</v>
      </c>
      <c r="J237" s="410" t="s">
        <v>2875</v>
      </c>
      <c r="K237" s="340" t="s">
        <v>3581</v>
      </c>
      <c r="L237" s="340" t="s">
        <v>3581</v>
      </c>
      <c r="M237" s="341">
        <v>200</v>
      </c>
      <c r="N237" s="341">
        <v>200</v>
      </c>
      <c r="O237" s="341">
        <v>200</v>
      </c>
      <c r="P237" s="360" t="s">
        <v>2877</v>
      </c>
      <c r="Q237" s="360" t="s">
        <v>2877</v>
      </c>
      <c r="R237" s="361">
        <v>0</v>
      </c>
      <c r="S237" s="361">
        <v>0</v>
      </c>
    </row>
    <row r="238" spans="1:20">
      <c r="A238" s="980"/>
      <c r="B238" s="987"/>
      <c r="C238" s="338" t="s">
        <v>3582</v>
      </c>
      <c r="D238" s="338" t="s">
        <v>3103</v>
      </c>
      <c r="E238" s="409" t="s">
        <v>2875</v>
      </c>
      <c r="F238" s="410" t="s">
        <v>3100</v>
      </c>
      <c r="G238" s="410" t="s">
        <v>3103</v>
      </c>
      <c r="H238" s="410" t="s">
        <v>2875</v>
      </c>
      <c r="I238" s="410" t="s">
        <v>2875</v>
      </c>
      <c r="J238" s="410" t="s">
        <v>2875</v>
      </c>
      <c r="K238" s="340" t="s">
        <v>2877</v>
      </c>
      <c r="L238" s="340" t="s">
        <v>2877</v>
      </c>
      <c r="M238" s="341">
        <v>0</v>
      </c>
      <c r="N238" s="341">
        <v>0</v>
      </c>
      <c r="O238" s="341">
        <v>0</v>
      </c>
      <c r="P238" s="340" t="s">
        <v>3583</v>
      </c>
      <c r="Q238" s="340" t="s">
        <v>3584</v>
      </c>
      <c r="R238" s="341">
        <v>13500</v>
      </c>
      <c r="S238" s="341">
        <v>13500</v>
      </c>
    </row>
    <row r="239" spans="1:20">
      <c r="A239" s="980"/>
      <c r="B239" s="987"/>
      <c r="C239" s="338" t="s">
        <v>3576</v>
      </c>
      <c r="D239" s="338" t="s">
        <v>1852</v>
      </c>
      <c r="E239" s="409" t="s">
        <v>2875</v>
      </c>
      <c r="F239" s="410" t="s">
        <v>3100</v>
      </c>
      <c r="G239" s="410" t="s">
        <v>3103</v>
      </c>
      <c r="H239" s="410" t="s">
        <v>2875</v>
      </c>
      <c r="I239" s="410" t="s">
        <v>2875</v>
      </c>
      <c r="J239" s="410" t="s">
        <v>2875</v>
      </c>
      <c r="K239" s="340" t="s">
        <v>3585</v>
      </c>
      <c r="L239" s="340" t="s">
        <v>3585</v>
      </c>
      <c r="M239" s="341">
        <v>200</v>
      </c>
      <c r="N239" s="341">
        <v>200</v>
      </c>
      <c r="O239" s="341">
        <v>200</v>
      </c>
      <c r="P239" s="360" t="s">
        <v>2877</v>
      </c>
      <c r="Q239" s="360" t="s">
        <v>2877</v>
      </c>
      <c r="R239" s="361">
        <v>0</v>
      </c>
      <c r="S239" s="361">
        <v>0</v>
      </c>
    </row>
    <row r="240" spans="1:20">
      <c r="A240" s="350"/>
      <c r="B240" s="351" t="s">
        <v>3115</v>
      </c>
      <c r="C240" s="351"/>
      <c r="D240" s="351"/>
      <c r="E240" s="373"/>
      <c r="F240" s="374"/>
      <c r="G240" s="374"/>
      <c r="H240" s="374"/>
      <c r="I240" s="374"/>
      <c r="J240" s="374"/>
      <c r="K240" s="354"/>
      <c r="L240" s="354"/>
      <c r="M240" s="355"/>
      <c r="N240" s="355"/>
      <c r="O240" s="356">
        <f>SUM(O234:O239)</f>
        <v>1000</v>
      </c>
      <c r="P240" s="354"/>
      <c r="Q240" s="354"/>
      <c r="R240" s="355"/>
      <c r="S240" s="356">
        <f>SUM(S234:S239)</f>
        <v>13500</v>
      </c>
      <c r="T240" s="416"/>
    </row>
    <row r="241" spans="1:20" ht="20">
      <c r="A241" s="979">
        <v>16</v>
      </c>
      <c r="B241" s="988" t="s">
        <v>666</v>
      </c>
      <c r="C241" s="327" t="s">
        <v>3586</v>
      </c>
      <c r="D241" s="327" t="s">
        <v>3587</v>
      </c>
      <c r="E241" s="401">
        <v>0.25</v>
      </c>
      <c r="F241" s="400" t="s">
        <v>3118</v>
      </c>
      <c r="G241" s="400" t="s">
        <v>3588</v>
      </c>
      <c r="H241" s="400" t="s">
        <v>3119</v>
      </c>
      <c r="I241" s="400" t="s">
        <v>2875</v>
      </c>
      <c r="J241" s="400" t="s">
        <v>3589</v>
      </c>
      <c r="K241" s="328" t="s">
        <v>3590</v>
      </c>
      <c r="L241" s="328" t="s">
        <v>3591</v>
      </c>
      <c r="M241" s="329">
        <v>800</v>
      </c>
      <c r="N241" s="329">
        <v>9600</v>
      </c>
      <c r="O241" s="329">
        <v>9600</v>
      </c>
      <c r="P241" s="348" t="s">
        <v>2877</v>
      </c>
      <c r="Q241" s="348" t="s">
        <v>2877</v>
      </c>
      <c r="R241" s="349">
        <v>0</v>
      </c>
      <c r="S241" s="349">
        <v>0</v>
      </c>
    </row>
    <row r="242" spans="1:20" ht="20">
      <c r="A242" s="979"/>
      <c r="B242" s="988"/>
      <c r="C242" s="327" t="s">
        <v>3592</v>
      </c>
      <c r="D242" s="327" t="s">
        <v>3593</v>
      </c>
      <c r="E242" s="401">
        <v>0.95</v>
      </c>
      <c r="F242" s="400" t="s">
        <v>3118</v>
      </c>
      <c r="G242" s="400" t="s">
        <v>3124</v>
      </c>
      <c r="H242" s="400" t="s">
        <v>3119</v>
      </c>
      <c r="I242" s="400" t="s">
        <v>3594</v>
      </c>
      <c r="J242" s="400" t="s">
        <v>3595</v>
      </c>
      <c r="K242" s="387" t="s">
        <v>2875</v>
      </c>
      <c r="L242" s="328" t="s">
        <v>3596</v>
      </c>
      <c r="M242" s="329" t="s">
        <v>2877</v>
      </c>
      <c r="N242" s="329" t="s">
        <v>2877</v>
      </c>
      <c r="O242" s="329">
        <v>0</v>
      </c>
      <c r="P242" s="348" t="s">
        <v>3597</v>
      </c>
      <c r="Q242" s="348" t="s">
        <v>3597</v>
      </c>
      <c r="R242" s="349"/>
      <c r="S242" s="349">
        <v>2500</v>
      </c>
    </row>
    <row r="243" spans="1:20" ht="20">
      <c r="A243" s="979"/>
      <c r="B243" s="988"/>
      <c r="C243" s="327" t="s">
        <v>3598</v>
      </c>
      <c r="D243" s="327" t="s">
        <v>3599</v>
      </c>
      <c r="E243" s="401">
        <v>0.56000000000000005</v>
      </c>
      <c r="F243" s="400" t="s">
        <v>3118</v>
      </c>
      <c r="G243" s="400" t="s">
        <v>3600</v>
      </c>
      <c r="H243" s="400" t="s">
        <v>3119</v>
      </c>
      <c r="I243" s="400" t="s">
        <v>3601</v>
      </c>
      <c r="J243" s="400" t="s">
        <v>3602</v>
      </c>
      <c r="K243" s="387" t="s">
        <v>2875</v>
      </c>
      <c r="L243" s="328" t="s">
        <v>3603</v>
      </c>
      <c r="M243" s="329" t="s">
        <v>2877</v>
      </c>
      <c r="N243" s="329" t="s">
        <v>2877</v>
      </c>
      <c r="O243" s="329">
        <v>0</v>
      </c>
      <c r="P243" s="348" t="s">
        <v>3604</v>
      </c>
      <c r="Q243" s="348" t="s">
        <v>3604</v>
      </c>
      <c r="R243" s="349"/>
      <c r="S243" s="349">
        <v>10950</v>
      </c>
    </row>
    <row r="244" spans="1:20" ht="20">
      <c r="A244" s="979"/>
      <c r="B244" s="988"/>
      <c r="C244" s="327" t="s">
        <v>3605</v>
      </c>
      <c r="D244" s="327" t="s">
        <v>3606</v>
      </c>
      <c r="E244" s="401">
        <v>0.56000000000000005</v>
      </c>
      <c r="F244" s="400" t="s">
        <v>3118</v>
      </c>
      <c r="G244" s="400" t="s">
        <v>3607</v>
      </c>
      <c r="H244" s="400" t="s">
        <v>3119</v>
      </c>
      <c r="I244" s="400" t="s">
        <v>3608</v>
      </c>
      <c r="J244" s="400" t="s">
        <v>3609</v>
      </c>
      <c r="K244" s="328" t="s">
        <v>3610</v>
      </c>
      <c r="L244" s="328" t="s">
        <v>3611</v>
      </c>
      <c r="M244" s="329" t="s">
        <v>2877</v>
      </c>
      <c r="N244" s="329" t="s">
        <v>2877</v>
      </c>
      <c r="O244" s="329">
        <v>1700</v>
      </c>
      <c r="P244" s="348" t="s">
        <v>2877</v>
      </c>
      <c r="Q244" s="348" t="s">
        <v>2877</v>
      </c>
      <c r="R244" s="349">
        <v>0</v>
      </c>
      <c r="S244" s="349">
        <v>0</v>
      </c>
    </row>
    <row r="245" spans="1:20">
      <c r="A245" s="350"/>
      <c r="B245" s="351" t="s">
        <v>3141</v>
      </c>
      <c r="C245" s="351"/>
      <c r="D245" s="351"/>
      <c r="E245" s="373"/>
      <c r="F245" s="374"/>
      <c r="G245" s="374"/>
      <c r="H245" s="374"/>
      <c r="I245" s="374"/>
      <c r="J245" s="374"/>
      <c r="K245" s="354"/>
      <c r="L245" s="354"/>
      <c r="M245" s="355"/>
      <c r="N245" s="355"/>
      <c r="O245" s="356">
        <f>SUM(O241:O244)</f>
        <v>11300</v>
      </c>
      <c r="P245" s="354"/>
      <c r="Q245" s="354"/>
      <c r="R245" s="355"/>
      <c r="S245" s="356">
        <f>SUM(S241:S244)</f>
        <v>13450</v>
      </c>
      <c r="T245" s="416"/>
    </row>
    <row r="246" spans="1:20">
      <c r="A246" s="980">
        <v>17</v>
      </c>
      <c r="B246" s="987" t="s">
        <v>692</v>
      </c>
      <c r="C246" s="338" t="s">
        <v>3612</v>
      </c>
      <c r="D246" s="338" t="s">
        <v>3613</v>
      </c>
      <c r="E246" s="410" t="s">
        <v>2875</v>
      </c>
      <c r="F246" s="410" t="s">
        <v>2875</v>
      </c>
      <c r="G246" s="410" t="s">
        <v>3614</v>
      </c>
      <c r="H246" s="410" t="s">
        <v>2875</v>
      </c>
      <c r="I246" s="410" t="s">
        <v>2875</v>
      </c>
      <c r="J246" s="410" t="s">
        <v>2875</v>
      </c>
      <c r="K246" s="410" t="s">
        <v>2875</v>
      </c>
      <c r="L246" s="360">
        <v>44931</v>
      </c>
      <c r="M246" s="341">
        <v>2000</v>
      </c>
      <c r="N246" s="341"/>
      <c r="O246" s="341">
        <v>2000</v>
      </c>
      <c r="P246" s="360" t="s">
        <v>2877</v>
      </c>
      <c r="Q246" s="360" t="s">
        <v>2877</v>
      </c>
      <c r="R246" s="361">
        <v>0</v>
      </c>
      <c r="S246" s="361">
        <v>0</v>
      </c>
    </row>
    <row r="247" spans="1:20">
      <c r="A247" s="980"/>
      <c r="B247" s="987"/>
      <c r="C247" s="338" t="s">
        <v>3612</v>
      </c>
      <c r="D247" s="338" t="s">
        <v>3613</v>
      </c>
      <c r="E247" s="409" t="s">
        <v>2875</v>
      </c>
      <c r="F247" s="409" t="s">
        <v>2875</v>
      </c>
      <c r="G247" s="410" t="s">
        <v>3614</v>
      </c>
      <c r="H247" s="409" t="s">
        <v>2875</v>
      </c>
      <c r="I247" s="409" t="s">
        <v>2875</v>
      </c>
      <c r="J247" s="409" t="s">
        <v>2875</v>
      </c>
      <c r="K247" s="409" t="s">
        <v>2875</v>
      </c>
      <c r="L247" s="360">
        <v>44957</v>
      </c>
      <c r="M247" s="341">
        <v>1600</v>
      </c>
      <c r="N247" s="341"/>
      <c r="O247" s="341">
        <v>1600</v>
      </c>
      <c r="P247" s="360" t="s">
        <v>2877</v>
      </c>
      <c r="Q247" s="360" t="s">
        <v>2877</v>
      </c>
      <c r="R247" s="361">
        <v>0</v>
      </c>
      <c r="S247" s="361">
        <v>0</v>
      </c>
    </row>
    <row r="248" spans="1:20">
      <c r="A248" s="980"/>
      <c r="B248" s="987"/>
      <c r="C248" s="338" t="s">
        <v>3612</v>
      </c>
      <c r="D248" s="338" t="s">
        <v>3615</v>
      </c>
      <c r="E248" s="409" t="s">
        <v>2875</v>
      </c>
      <c r="F248" s="409" t="s">
        <v>2875</v>
      </c>
      <c r="G248" s="410" t="s">
        <v>3614</v>
      </c>
      <c r="H248" s="409" t="s">
        <v>2875</v>
      </c>
      <c r="I248" s="409" t="s">
        <v>2875</v>
      </c>
      <c r="J248" s="409" t="s">
        <v>2875</v>
      </c>
      <c r="K248" s="409" t="s">
        <v>2875</v>
      </c>
      <c r="L248" s="360">
        <v>44957</v>
      </c>
      <c r="M248" s="341">
        <v>300</v>
      </c>
      <c r="N248" s="341"/>
      <c r="O248" s="341">
        <v>300</v>
      </c>
      <c r="P248" s="360" t="s">
        <v>2877</v>
      </c>
      <c r="Q248" s="360" t="s">
        <v>2877</v>
      </c>
      <c r="R248" s="361">
        <v>0</v>
      </c>
      <c r="S248" s="361">
        <v>0</v>
      </c>
    </row>
    <row r="249" spans="1:20">
      <c r="A249" s="980"/>
      <c r="B249" s="987"/>
      <c r="C249" s="338" t="s">
        <v>3612</v>
      </c>
      <c r="D249" s="338" t="s">
        <v>3613</v>
      </c>
      <c r="E249" s="409" t="s">
        <v>2875</v>
      </c>
      <c r="F249" s="409" t="s">
        <v>2875</v>
      </c>
      <c r="G249" s="410" t="s">
        <v>3614</v>
      </c>
      <c r="H249" s="409" t="s">
        <v>2875</v>
      </c>
      <c r="I249" s="409" t="s">
        <v>2875</v>
      </c>
      <c r="J249" s="409" t="s">
        <v>2875</v>
      </c>
      <c r="K249" s="409" t="s">
        <v>2875</v>
      </c>
      <c r="L249" s="360">
        <v>44970</v>
      </c>
      <c r="M249" s="341">
        <v>500</v>
      </c>
      <c r="N249" s="341"/>
      <c r="O249" s="341">
        <v>500</v>
      </c>
      <c r="P249" s="360" t="s">
        <v>2877</v>
      </c>
      <c r="Q249" s="360" t="s">
        <v>2877</v>
      </c>
      <c r="R249" s="361">
        <v>0</v>
      </c>
      <c r="S249" s="361">
        <v>0</v>
      </c>
    </row>
    <row r="250" spans="1:20">
      <c r="A250" s="980"/>
      <c r="B250" s="987"/>
      <c r="C250" s="338" t="s">
        <v>3612</v>
      </c>
      <c r="D250" s="338" t="s">
        <v>3613</v>
      </c>
      <c r="E250" s="409" t="s">
        <v>2875</v>
      </c>
      <c r="F250" s="409" t="s">
        <v>2875</v>
      </c>
      <c r="G250" s="410" t="s">
        <v>3614</v>
      </c>
      <c r="H250" s="409" t="s">
        <v>2875</v>
      </c>
      <c r="I250" s="409" t="s">
        <v>2875</v>
      </c>
      <c r="J250" s="409" t="s">
        <v>2875</v>
      </c>
      <c r="K250" s="409" t="s">
        <v>2875</v>
      </c>
      <c r="L250" s="360">
        <v>45016</v>
      </c>
      <c r="M250" s="341">
        <v>1900</v>
      </c>
      <c r="N250" s="341"/>
      <c r="O250" s="341">
        <v>1900</v>
      </c>
      <c r="P250" s="360" t="s">
        <v>2877</v>
      </c>
      <c r="Q250" s="360" t="s">
        <v>2877</v>
      </c>
      <c r="R250" s="361">
        <v>0</v>
      </c>
      <c r="S250" s="361">
        <v>0</v>
      </c>
    </row>
    <row r="251" spans="1:20">
      <c r="A251" s="980"/>
      <c r="B251" s="987"/>
      <c r="C251" s="338" t="s">
        <v>3612</v>
      </c>
      <c r="D251" s="338" t="s">
        <v>3613</v>
      </c>
      <c r="E251" s="409" t="s">
        <v>2875</v>
      </c>
      <c r="F251" s="409" t="s">
        <v>2875</v>
      </c>
      <c r="G251" s="410" t="s">
        <v>3614</v>
      </c>
      <c r="H251" s="409" t="s">
        <v>2875</v>
      </c>
      <c r="I251" s="409" t="s">
        <v>2875</v>
      </c>
      <c r="J251" s="409" t="s">
        <v>2875</v>
      </c>
      <c r="K251" s="409" t="s">
        <v>2875</v>
      </c>
      <c r="L251" s="360">
        <v>45046</v>
      </c>
      <c r="M251" s="341">
        <v>2000</v>
      </c>
      <c r="N251" s="341"/>
      <c r="O251" s="341">
        <v>2000</v>
      </c>
      <c r="P251" s="360" t="s">
        <v>2877</v>
      </c>
      <c r="Q251" s="360" t="s">
        <v>2877</v>
      </c>
      <c r="R251" s="361">
        <v>0</v>
      </c>
      <c r="S251" s="361">
        <v>0</v>
      </c>
    </row>
    <row r="252" spans="1:20">
      <c r="A252" s="980"/>
      <c r="B252" s="987"/>
      <c r="C252" s="338" t="s">
        <v>3612</v>
      </c>
      <c r="D252" s="338" t="s">
        <v>3615</v>
      </c>
      <c r="E252" s="409" t="s">
        <v>2875</v>
      </c>
      <c r="F252" s="409" t="s">
        <v>2875</v>
      </c>
      <c r="G252" s="410" t="s">
        <v>3614</v>
      </c>
      <c r="H252" s="409" t="s">
        <v>2875</v>
      </c>
      <c r="I252" s="409" t="s">
        <v>2875</v>
      </c>
      <c r="J252" s="409" t="s">
        <v>2875</v>
      </c>
      <c r="K252" s="409" t="s">
        <v>2875</v>
      </c>
      <c r="L252" s="360">
        <v>45046</v>
      </c>
      <c r="M252" s="341">
        <v>300</v>
      </c>
      <c r="N252" s="341"/>
      <c r="O252" s="341">
        <v>300</v>
      </c>
      <c r="P252" s="360" t="s">
        <v>2877</v>
      </c>
      <c r="Q252" s="360" t="s">
        <v>2877</v>
      </c>
      <c r="R252" s="361">
        <v>0</v>
      </c>
      <c r="S252" s="361">
        <v>0</v>
      </c>
    </row>
    <row r="253" spans="1:20">
      <c r="A253" s="980"/>
      <c r="B253" s="987"/>
      <c r="C253" s="338" t="s">
        <v>3612</v>
      </c>
      <c r="D253" s="338" t="s">
        <v>3613</v>
      </c>
      <c r="E253" s="409" t="s">
        <v>2875</v>
      </c>
      <c r="F253" s="409" t="s">
        <v>2875</v>
      </c>
      <c r="G253" s="410" t="s">
        <v>3614</v>
      </c>
      <c r="H253" s="409" t="s">
        <v>2875</v>
      </c>
      <c r="I253" s="409" t="s">
        <v>2875</v>
      </c>
      <c r="J253" s="409" t="s">
        <v>2875</v>
      </c>
      <c r="K253" s="409" t="s">
        <v>2875</v>
      </c>
      <c r="L253" s="360">
        <v>45137</v>
      </c>
      <c r="M253" s="341">
        <v>1000</v>
      </c>
      <c r="N253" s="341"/>
      <c r="O253" s="341">
        <v>1000</v>
      </c>
      <c r="P253" s="360" t="s">
        <v>2877</v>
      </c>
      <c r="Q253" s="360" t="s">
        <v>2877</v>
      </c>
      <c r="R253" s="361">
        <v>0</v>
      </c>
      <c r="S253" s="361">
        <v>0</v>
      </c>
    </row>
    <row r="254" spans="1:20">
      <c r="A254" s="980"/>
      <c r="B254" s="987"/>
      <c r="C254" s="338" t="s">
        <v>3612</v>
      </c>
      <c r="D254" s="338" t="s">
        <v>3613</v>
      </c>
      <c r="E254" s="409" t="s">
        <v>2875</v>
      </c>
      <c r="F254" s="409" t="s">
        <v>2875</v>
      </c>
      <c r="G254" s="410" t="s">
        <v>3614</v>
      </c>
      <c r="H254" s="409" t="s">
        <v>2875</v>
      </c>
      <c r="I254" s="409" t="s">
        <v>2875</v>
      </c>
      <c r="J254" s="409" t="s">
        <v>2875</v>
      </c>
      <c r="K254" s="409" t="s">
        <v>2875</v>
      </c>
      <c r="L254" s="360">
        <v>45230</v>
      </c>
      <c r="M254" s="341">
        <v>2000</v>
      </c>
      <c r="N254" s="341"/>
      <c r="O254" s="341">
        <v>2000</v>
      </c>
      <c r="P254" s="360" t="s">
        <v>2877</v>
      </c>
      <c r="Q254" s="360" t="s">
        <v>2877</v>
      </c>
      <c r="R254" s="361">
        <v>0</v>
      </c>
      <c r="S254" s="361">
        <v>0</v>
      </c>
    </row>
    <row r="255" spans="1:20">
      <c r="A255" s="980"/>
      <c r="B255" s="987"/>
      <c r="C255" s="338" t="s">
        <v>3612</v>
      </c>
      <c r="D255" s="338" t="s">
        <v>3615</v>
      </c>
      <c r="E255" s="409" t="s">
        <v>2875</v>
      </c>
      <c r="F255" s="409" t="s">
        <v>2875</v>
      </c>
      <c r="G255" s="410" t="s">
        <v>3614</v>
      </c>
      <c r="H255" s="409" t="s">
        <v>2875</v>
      </c>
      <c r="I255" s="409" t="s">
        <v>2875</v>
      </c>
      <c r="J255" s="409" t="s">
        <v>2875</v>
      </c>
      <c r="K255" s="409" t="s">
        <v>2875</v>
      </c>
      <c r="L255" s="360">
        <v>45230</v>
      </c>
      <c r="M255" s="341">
        <v>300</v>
      </c>
      <c r="N255" s="341"/>
      <c r="O255" s="341">
        <v>300</v>
      </c>
      <c r="P255" s="360" t="s">
        <v>2877</v>
      </c>
      <c r="Q255" s="360" t="s">
        <v>2877</v>
      </c>
      <c r="R255" s="361">
        <v>0</v>
      </c>
      <c r="S255" s="361">
        <v>0</v>
      </c>
    </row>
    <row r="256" spans="1:20">
      <c r="A256" s="980"/>
      <c r="B256" s="987"/>
      <c r="C256" s="338" t="s">
        <v>3612</v>
      </c>
      <c r="D256" s="338" t="s">
        <v>3613</v>
      </c>
      <c r="E256" s="409" t="s">
        <v>2875</v>
      </c>
      <c r="F256" s="409" t="s">
        <v>2875</v>
      </c>
      <c r="G256" s="410" t="s">
        <v>3614</v>
      </c>
      <c r="H256" s="409" t="s">
        <v>2875</v>
      </c>
      <c r="I256" s="409" t="s">
        <v>2875</v>
      </c>
      <c r="J256" s="409" t="s">
        <v>2875</v>
      </c>
      <c r="K256" s="409" t="s">
        <v>2875</v>
      </c>
      <c r="L256" s="360">
        <v>45260</v>
      </c>
      <c r="M256" s="341">
        <v>2000</v>
      </c>
      <c r="N256" s="341"/>
      <c r="O256" s="341">
        <v>2000</v>
      </c>
      <c r="P256" s="360" t="s">
        <v>2877</v>
      </c>
      <c r="Q256" s="360" t="s">
        <v>2877</v>
      </c>
      <c r="R256" s="361">
        <v>0</v>
      </c>
      <c r="S256" s="361">
        <v>0</v>
      </c>
    </row>
    <row r="257" spans="1:19">
      <c r="A257" s="980"/>
      <c r="B257" s="987"/>
      <c r="C257" s="338" t="s">
        <v>3612</v>
      </c>
      <c r="D257" s="338" t="s">
        <v>3615</v>
      </c>
      <c r="E257" s="409" t="s">
        <v>2875</v>
      </c>
      <c r="F257" s="409" t="s">
        <v>2875</v>
      </c>
      <c r="G257" s="410" t="s">
        <v>3614</v>
      </c>
      <c r="H257" s="409" t="s">
        <v>2875</v>
      </c>
      <c r="I257" s="409" t="s">
        <v>2875</v>
      </c>
      <c r="J257" s="409" t="s">
        <v>2875</v>
      </c>
      <c r="K257" s="409" t="s">
        <v>2875</v>
      </c>
      <c r="L257" s="360">
        <v>45260</v>
      </c>
      <c r="M257" s="341">
        <v>300</v>
      </c>
      <c r="N257" s="341"/>
      <c r="O257" s="341">
        <v>300</v>
      </c>
      <c r="P257" s="360" t="s">
        <v>2877</v>
      </c>
      <c r="Q257" s="360" t="s">
        <v>2877</v>
      </c>
      <c r="R257" s="361">
        <v>0</v>
      </c>
      <c r="S257" s="361">
        <v>0</v>
      </c>
    </row>
    <row r="258" spans="1:19">
      <c r="A258" s="980"/>
      <c r="B258" s="987"/>
      <c r="C258" s="338" t="s">
        <v>3612</v>
      </c>
      <c r="D258" s="338" t="s">
        <v>3613</v>
      </c>
      <c r="E258" s="409" t="s">
        <v>2875</v>
      </c>
      <c r="F258" s="409" t="s">
        <v>2875</v>
      </c>
      <c r="G258" s="410" t="s">
        <v>3614</v>
      </c>
      <c r="H258" s="409" t="s">
        <v>2875</v>
      </c>
      <c r="I258" s="409" t="s">
        <v>2875</v>
      </c>
      <c r="J258" s="409" t="s">
        <v>2875</v>
      </c>
      <c r="K258" s="409" t="s">
        <v>2875</v>
      </c>
      <c r="L258" s="360">
        <v>45291</v>
      </c>
      <c r="M258" s="341">
        <v>2000</v>
      </c>
      <c r="N258" s="341"/>
      <c r="O258" s="341">
        <v>2000</v>
      </c>
      <c r="P258" s="360" t="s">
        <v>2877</v>
      </c>
      <c r="Q258" s="360" t="s">
        <v>2877</v>
      </c>
      <c r="R258" s="361">
        <v>0</v>
      </c>
      <c r="S258" s="361">
        <v>0</v>
      </c>
    </row>
    <row r="259" spans="1:19">
      <c r="A259" s="980"/>
      <c r="B259" s="987"/>
      <c r="C259" s="338" t="s">
        <v>3612</v>
      </c>
      <c r="D259" s="338" t="s">
        <v>3615</v>
      </c>
      <c r="E259" s="409" t="s">
        <v>2875</v>
      </c>
      <c r="F259" s="409" t="s">
        <v>2875</v>
      </c>
      <c r="G259" s="410" t="s">
        <v>3614</v>
      </c>
      <c r="H259" s="409" t="s">
        <v>2875</v>
      </c>
      <c r="I259" s="409" t="s">
        <v>2875</v>
      </c>
      <c r="J259" s="409" t="s">
        <v>2875</v>
      </c>
      <c r="K259" s="409" t="s">
        <v>2875</v>
      </c>
      <c r="L259" s="360">
        <v>45291</v>
      </c>
      <c r="M259" s="341">
        <v>300</v>
      </c>
      <c r="N259" s="341"/>
      <c r="O259" s="341">
        <v>300</v>
      </c>
      <c r="P259" s="360" t="s">
        <v>2877</v>
      </c>
      <c r="Q259" s="360" t="s">
        <v>2877</v>
      </c>
      <c r="R259" s="361">
        <v>0</v>
      </c>
      <c r="S259" s="361">
        <v>0</v>
      </c>
    </row>
    <row r="260" spans="1:19">
      <c r="A260" s="350"/>
      <c r="B260" s="351" t="s">
        <v>3141</v>
      </c>
      <c r="C260" s="351"/>
      <c r="D260" s="351"/>
      <c r="E260" s="373"/>
      <c r="F260" s="374"/>
      <c r="G260" s="374"/>
      <c r="H260" s="374"/>
      <c r="I260" s="374"/>
      <c r="J260" s="374"/>
      <c r="K260" s="354"/>
      <c r="L260" s="354"/>
      <c r="M260" s="355"/>
      <c r="N260" s="355"/>
      <c r="O260" s="356">
        <f>SUM(O246:O259)</f>
        <v>16500</v>
      </c>
      <c r="P260" s="354"/>
      <c r="Q260" s="354"/>
      <c r="R260" s="355"/>
      <c r="S260" s="356">
        <f>SUM(S246:S259)</f>
        <v>0</v>
      </c>
    </row>
    <row r="261" spans="1:19" ht="20">
      <c r="A261" s="979">
        <v>18</v>
      </c>
      <c r="B261" s="988" t="s">
        <v>607</v>
      </c>
      <c r="C261" s="327" t="s">
        <v>8308</v>
      </c>
      <c r="D261" s="327" t="s">
        <v>8315</v>
      </c>
      <c r="E261" s="401" t="s">
        <v>2875</v>
      </c>
      <c r="F261" s="400" t="s">
        <v>2875</v>
      </c>
      <c r="G261" s="400" t="s">
        <v>2875</v>
      </c>
      <c r="H261" s="400" t="s">
        <v>2875</v>
      </c>
      <c r="I261" s="400" t="s">
        <v>2875</v>
      </c>
      <c r="J261" s="400" t="s">
        <v>2875</v>
      </c>
      <c r="K261" s="328" t="s">
        <v>2875</v>
      </c>
      <c r="L261" s="328" t="s">
        <v>2875</v>
      </c>
      <c r="M261" s="329" t="s">
        <v>2875</v>
      </c>
      <c r="N261" s="329">
        <v>800</v>
      </c>
      <c r="O261" s="329">
        <v>800</v>
      </c>
      <c r="P261" s="348" t="s">
        <v>2877</v>
      </c>
      <c r="Q261" s="348" t="s">
        <v>2877</v>
      </c>
      <c r="R261" s="349">
        <v>0</v>
      </c>
      <c r="S261" s="349">
        <v>0</v>
      </c>
    </row>
    <row r="262" spans="1:19">
      <c r="A262" s="979"/>
      <c r="B262" s="988"/>
      <c r="C262" s="327" t="s">
        <v>8309</v>
      </c>
      <c r="D262" s="327" t="s">
        <v>8315</v>
      </c>
      <c r="E262" s="401" t="s">
        <v>2875</v>
      </c>
      <c r="F262" s="400" t="s">
        <v>2875</v>
      </c>
      <c r="G262" s="400" t="s">
        <v>2875</v>
      </c>
      <c r="H262" s="400" t="s">
        <v>2875</v>
      </c>
      <c r="I262" s="400" t="s">
        <v>2875</v>
      </c>
      <c r="J262" s="400" t="s">
        <v>2875</v>
      </c>
      <c r="K262" s="328" t="s">
        <v>2875</v>
      </c>
      <c r="L262" s="328" t="s">
        <v>2875</v>
      </c>
      <c r="M262" s="329" t="s">
        <v>2875</v>
      </c>
      <c r="N262" s="329">
        <v>18443</v>
      </c>
      <c r="O262" s="329">
        <v>18443</v>
      </c>
      <c r="P262" s="348" t="s">
        <v>2877</v>
      </c>
      <c r="Q262" s="348" t="s">
        <v>2877</v>
      </c>
      <c r="R262" s="349">
        <v>0</v>
      </c>
      <c r="S262" s="349">
        <v>0</v>
      </c>
    </row>
    <row r="263" spans="1:19" ht="30">
      <c r="A263" s="979"/>
      <c r="B263" s="988"/>
      <c r="C263" s="327" t="s">
        <v>8310</v>
      </c>
      <c r="D263" s="327" t="s">
        <v>8315</v>
      </c>
      <c r="E263" s="401" t="s">
        <v>2875</v>
      </c>
      <c r="F263" s="400" t="s">
        <v>2875</v>
      </c>
      <c r="G263" s="400" t="s">
        <v>2875</v>
      </c>
      <c r="H263" s="400" t="s">
        <v>2875</v>
      </c>
      <c r="I263" s="400" t="s">
        <v>2875</v>
      </c>
      <c r="J263" s="400" t="s">
        <v>2875</v>
      </c>
      <c r="K263" s="328" t="s">
        <v>2875</v>
      </c>
      <c r="L263" s="328" t="s">
        <v>2875</v>
      </c>
      <c r="M263" s="329" t="s">
        <v>2875</v>
      </c>
      <c r="N263" s="329">
        <v>800</v>
      </c>
      <c r="O263" s="329">
        <v>800</v>
      </c>
      <c r="P263" s="348" t="s">
        <v>2877</v>
      </c>
      <c r="Q263" s="348" t="s">
        <v>2877</v>
      </c>
      <c r="R263" s="349">
        <v>0</v>
      </c>
      <c r="S263" s="349">
        <v>0</v>
      </c>
    </row>
    <row r="264" spans="1:19" ht="20">
      <c r="A264" s="979"/>
      <c r="B264" s="988"/>
      <c r="C264" s="327" t="s">
        <v>8311</v>
      </c>
      <c r="D264" s="327" t="s">
        <v>8315</v>
      </c>
      <c r="E264" s="401" t="s">
        <v>2875</v>
      </c>
      <c r="F264" s="400" t="s">
        <v>2875</v>
      </c>
      <c r="G264" s="400" t="s">
        <v>2875</v>
      </c>
      <c r="H264" s="400" t="s">
        <v>2875</v>
      </c>
      <c r="I264" s="400" t="s">
        <v>2875</v>
      </c>
      <c r="J264" s="400" t="s">
        <v>2875</v>
      </c>
      <c r="K264" s="328" t="s">
        <v>2875</v>
      </c>
      <c r="L264" s="328" t="s">
        <v>2875</v>
      </c>
      <c r="M264" s="329" t="s">
        <v>2875</v>
      </c>
      <c r="N264" s="329">
        <v>800</v>
      </c>
      <c r="O264" s="329">
        <v>800</v>
      </c>
      <c r="P264" s="348" t="s">
        <v>2877</v>
      </c>
      <c r="Q264" s="348" t="s">
        <v>2877</v>
      </c>
      <c r="R264" s="349">
        <v>0</v>
      </c>
      <c r="S264" s="349">
        <v>0</v>
      </c>
    </row>
    <row r="265" spans="1:19" ht="20">
      <c r="A265" s="979"/>
      <c r="B265" s="988"/>
      <c r="C265" s="327" t="s">
        <v>8312</v>
      </c>
      <c r="D265" s="327" t="s">
        <v>8315</v>
      </c>
      <c r="E265" s="401" t="s">
        <v>2875</v>
      </c>
      <c r="F265" s="400" t="s">
        <v>2875</v>
      </c>
      <c r="G265" s="400" t="s">
        <v>2875</v>
      </c>
      <c r="H265" s="400" t="s">
        <v>2875</v>
      </c>
      <c r="I265" s="400" t="s">
        <v>2875</v>
      </c>
      <c r="J265" s="400" t="s">
        <v>2875</v>
      </c>
      <c r="K265" s="387" t="s">
        <v>2875</v>
      </c>
      <c r="L265" s="328" t="s">
        <v>2875</v>
      </c>
      <c r="M265" s="329" t="s">
        <v>2875</v>
      </c>
      <c r="N265" s="329">
        <v>800</v>
      </c>
      <c r="O265" s="329">
        <v>800</v>
      </c>
      <c r="P265" s="348" t="s">
        <v>2877</v>
      </c>
      <c r="Q265" s="348" t="s">
        <v>2877</v>
      </c>
      <c r="R265" s="349">
        <v>0</v>
      </c>
      <c r="S265" s="349">
        <v>0</v>
      </c>
    </row>
    <row r="266" spans="1:19" ht="20">
      <c r="A266" s="979"/>
      <c r="B266" s="988"/>
      <c r="C266" s="327" t="s">
        <v>8313</v>
      </c>
      <c r="D266" s="327" t="s">
        <v>8315</v>
      </c>
      <c r="E266" s="401" t="s">
        <v>2875</v>
      </c>
      <c r="F266" s="400" t="s">
        <v>2875</v>
      </c>
      <c r="G266" s="400" t="s">
        <v>2875</v>
      </c>
      <c r="H266" s="400" t="s">
        <v>2875</v>
      </c>
      <c r="I266" s="400" t="s">
        <v>2875</v>
      </c>
      <c r="J266" s="400" t="s">
        <v>2875</v>
      </c>
      <c r="K266" s="387" t="s">
        <v>2875</v>
      </c>
      <c r="L266" s="328" t="s">
        <v>2875</v>
      </c>
      <c r="M266" s="329" t="s">
        <v>2875</v>
      </c>
      <c r="N266" s="329">
        <v>800</v>
      </c>
      <c r="O266" s="329">
        <v>800</v>
      </c>
      <c r="P266" s="348" t="s">
        <v>2877</v>
      </c>
      <c r="Q266" s="348" t="s">
        <v>2877</v>
      </c>
      <c r="R266" s="349">
        <v>0</v>
      </c>
      <c r="S266" s="349">
        <v>0</v>
      </c>
    </row>
    <row r="267" spans="1:19" ht="20">
      <c r="A267" s="979"/>
      <c r="B267" s="988"/>
      <c r="C267" s="327" t="s">
        <v>8314</v>
      </c>
      <c r="D267" s="327" t="s">
        <v>8315</v>
      </c>
      <c r="E267" s="401" t="s">
        <v>2875</v>
      </c>
      <c r="F267" s="400" t="s">
        <v>2875</v>
      </c>
      <c r="G267" s="400" t="s">
        <v>2875</v>
      </c>
      <c r="H267" s="400" t="s">
        <v>2875</v>
      </c>
      <c r="I267" s="400" t="s">
        <v>2875</v>
      </c>
      <c r="J267" s="400" t="s">
        <v>2875</v>
      </c>
      <c r="K267" s="328" t="s">
        <v>2875</v>
      </c>
      <c r="L267" s="328" t="s">
        <v>2875</v>
      </c>
      <c r="M267" s="329" t="s">
        <v>2875</v>
      </c>
      <c r="N267" s="329">
        <v>800</v>
      </c>
      <c r="O267" s="329">
        <v>800</v>
      </c>
      <c r="P267" s="348" t="s">
        <v>2877</v>
      </c>
      <c r="Q267" s="348" t="s">
        <v>2877</v>
      </c>
      <c r="R267" s="349">
        <v>0</v>
      </c>
      <c r="S267" s="349">
        <v>0</v>
      </c>
    </row>
    <row r="268" spans="1:19">
      <c r="A268" s="350"/>
      <c r="B268" s="351" t="s">
        <v>8187</v>
      </c>
      <c r="C268" s="351"/>
      <c r="D268" s="351"/>
      <c r="E268" s="373"/>
      <c r="F268" s="374"/>
      <c r="G268" s="374"/>
      <c r="H268" s="374"/>
      <c r="I268" s="374"/>
      <c r="J268" s="374"/>
      <c r="K268" s="354"/>
      <c r="L268" s="354"/>
      <c r="M268" s="355"/>
      <c r="N268" s="355"/>
      <c r="O268" s="356">
        <f>SUM(O261:O267)</f>
        <v>23243</v>
      </c>
      <c r="P268" s="354"/>
      <c r="Q268" s="354"/>
      <c r="R268" s="355"/>
      <c r="S268" s="356">
        <f>SUM(S261:S267)</f>
        <v>0</v>
      </c>
    </row>
    <row r="269" spans="1:19">
      <c r="A269" s="390" t="s">
        <v>3171</v>
      </c>
    </row>
    <row r="270" spans="1:19" ht="14.5" thickBot="1"/>
    <row r="271" spans="1:19" ht="14.5" thickBot="1">
      <c r="O271" s="394">
        <f>O14+O24+O26+O67+O105+O124+O129+O176+O180+O193+O197+O202+O212+O233+O240+O245+O260+O268</f>
        <v>3581317.8</v>
      </c>
      <c r="P271" s="319"/>
      <c r="Q271" s="319"/>
      <c r="R271" s="393"/>
      <c r="S271" s="394">
        <f>S14+S24+S26+S67+S105+S124+S129+S176+S180+S193+S197+S202+S212+S233+S240+S245+S260</f>
        <v>14494452.380000001</v>
      </c>
    </row>
    <row r="272" spans="1:19" ht="14.5" thickBot="1">
      <c r="O272" s="321"/>
      <c r="P272" s="319"/>
      <c r="Q272" s="319"/>
      <c r="R272" s="320"/>
      <c r="S272" s="320"/>
    </row>
    <row r="273" spans="15:19" ht="14.5" thickBot="1">
      <c r="O273" s="321"/>
      <c r="P273" s="976" t="s">
        <v>3616</v>
      </c>
      <c r="Q273" s="977"/>
      <c r="R273" s="978"/>
      <c r="S273" s="395">
        <f>O271+S271</f>
        <v>18075770.18</v>
      </c>
    </row>
  </sheetData>
  <autoFilter ref="A6:C269" xr:uid="{AD7CAF7D-5286-4035-95AB-D60578A5F8E3}"/>
  <mergeCells count="47">
    <mergeCell ref="P6:S6"/>
    <mergeCell ref="A6:A7"/>
    <mergeCell ref="B6:B7"/>
    <mergeCell ref="C6:C7"/>
    <mergeCell ref="D6:D7"/>
    <mergeCell ref="E6:E7"/>
    <mergeCell ref="F6:F7"/>
    <mergeCell ref="G6:G7"/>
    <mergeCell ref="H6:H7"/>
    <mergeCell ref="I6:I7"/>
    <mergeCell ref="J6:J7"/>
    <mergeCell ref="K6:O6"/>
    <mergeCell ref="A8:A13"/>
    <mergeCell ref="B8:B13"/>
    <mergeCell ref="A15:A23"/>
    <mergeCell ref="B15:B23"/>
    <mergeCell ref="A27:A66"/>
    <mergeCell ref="B27:B66"/>
    <mergeCell ref="A68:A104"/>
    <mergeCell ref="B68:B104"/>
    <mergeCell ref="A106:A123"/>
    <mergeCell ref="B106:B123"/>
    <mergeCell ref="A125:A128"/>
    <mergeCell ref="B125:B128"/>
    <mergeCell ref="A130:A175"/>
    <mergeCell ref="B130:B175"/>
    <mergeCell ref="A177:A179"/>
    <mergeCell ref="B177:B179"/>
    <mergeCell ref="A181:A192"/>
    <mergeCell ref="B181:B192"/>
    <mergeCell ref="A194:A196"/>
    <mergeCell ref="B194:B196"/>
    <mergeCell ref="A198:A201"/>
    <mergeCell ref="B198:B201"/>
    <mergeCell ref="A203:A211"/>
    <mergeCell ref="B203:B211"/>
    <mergeCell ref="A213:A232"/>
    <mergeCell ref="B213:B232"/>
    <mergeCell ref="A234:A239"/>
    <mergeCell ref="B234:B239"/>
    <mergeCell ref="A241:A244"/>
    <mergeCell ref="B241:B244"/>
    <mergeCell ref="A246:A259"/>
    <mergeCell ref="B246:B259"/>
    <mergeCell ref="P273:R273"/>
    <mergeCell ref="A261:A267"/>
    <mergeCell ref="B261:B267"/>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A00FE-CB62-4D1D-94C2-10A6D3877266}">
  <sheetPr>
    <tabColor rgb="FF92D050"/>
  </sheetPr>
  <dimension ref="A2:V11"/>
  <sheetViews>
    <sheetView showGridLines="0" topLeftCell="C9" zoomScale="80" zoomScaleNormal="80" workbookViewId="0">
      <selection activeCell="F42" sqref="F42"/>
    </sheetView>
  </sheetViews>
  <sheetFormatPr baseColWidth="10" defaultColWidth="11.5" defaultRowHeight="14"/>
  <cols>
    <col min="2" max="2" width="19.75" bestFit="1" customWidth="1"/>
    <col min="3" max="3" width="34.1640625" customWidth="1"/>
    <col min="4" max="4" width="31" customWidth="1"/>
    <col min="5" max="5" width="14.4140625" customWidth="1"/>
    <col min="6" max="6" width="21.75" customWidth="1"/>
    <col min="7" max="7" width="26.75" customWidth="1"/>
    <col min="8" max="8" width="15.83203125" customWidth="1"/>
    <col min="9" max="9" width="21.25" customWidth="1"/>
    <col min="10" max="10" width="28.75" customWidth="1"/>
    <col min="13" max="13" width="11.4140625" bestFit="1" customWidth="1"/>
    <col min="14" max="14" width="15" bestFit="1" customWidth="1"/>
    <col min="15" max="15" width="17.75" customWidth="1"/>
    <col min="18" max="19" width="15.4140625" customWidth="1"/>
    <col min="20" max="20" width="30.75" customWidth="1"/>
    <col min="21" max="21" width="15" customWidth="1"/>
    <col min="22" max="22" width="15.75" customWidth="1"/>
  </cols>
  <sheetData>
    <row r="2" spans="1:22" ht="18.5">
      <c r="A2" s="42" t="s">
        <v>7243</v>
      </c>
    </row>
    <row r="7" spans="1:22" s="77" customFormat="1" ht="15" customHeight="1">
      <c r="A7" s="995" t="s">
        <v>805</v>
      </c>
      <c r="B7" s="995" t="s">
        <v>0</v>
      </c>
      <c r="C7" s="995" t="s">
        <v>806</v>
      </c>
      <c r="D7" s="995" t="s">
        <v>807</v>
      </c>
      <c r="E7" s="995" t="s">
        <v>808</v>
      </c>
      <c r="F7" s="995" t="s">
        <v>809</v>
      </c>
      <c r="G7" s="995" t="s">
        <v>810</v>
      </c>
      <c r="H7" s="995" t="s">
        <v>811</v>
      </c>
      <c r="I7" s="995" t="s">
        <v>812</v>
      </c>
      <c r="J7" s="995" t="s">
        <v>813</v>
      </c>
      <c r="K7" s="995" t="s">
        <v>814</v>
      </c>
      <c r="L7" s="995"/>
      <c r="M7" s="995"/>
      <c r="N7" s="995"/>
      <c r="O7" s="995"/>
      <c r="P7" s="995" t="s">
        <v>815</v>
      </c>
      <c r="Q7" s="995"/>
      <c r="R7" s="995"/>
      <c r="S7" s="995"/>
      <c r="T7" s="995" t="s">
        <v>816</v>
      </c>
      <c r="U7" s="995"/>
      <c r="V7" s="995"/>
    </row>
    <row r="8" spans="1:22" s="77" customFormat="1" ht="46">
      <c r="A8" s="995"/>
      <c r="B8" s="995"/>
      <c r="C8" s="995"/>
      <c r="D8" s="995"/>
      <c r="E8" s="995"/>
      <c r="F8" s="995"/>
      <c r="G8" s="995"/>
      <c r="H8" s="995"/>
      <c r="I8" s="995"/>
      <c r="J8" s="995"/>
      <c r="K8" s="421" t="s">
        <v>817</v>
      </c>
      <c r="L8" s="421" t="s">
        <v>818</v>
      </c>
      <c r="M8" s="421" t="s">
        <v>819</v>
      </c>
      <c r="N8" s="421" t="s">
        <v>820</v>
      </c>
      <c r="O8" s="421" t="s">
        <v>2874</v>
      </c>
      <c r="P8" s="421" t="s">
        <v>821</v>
      </c>
      <c r="Q8" s="421" t="s">
        <v>822</v>
      </c>
      <c r="R8" s="421" t="s">
        <v>823</v>
      </c>
      <c r="S8" s="421" t="s">
        <v>2874</v>
      </c>
      <c r="T8" s="421" t="s">
        <v>824</v>
      </c>
      <c r="U8" s="421" t="s">
        <v>825</v>
      </c>
      <c r="V8" s="421" t="s">
        <v>826</v>
      </c>
    </row>
    <row r="9" spans="1:22" ht="69">
      <c r="A9" s="422">
        <v>1</v>
      </c>
      <c r="B9" s="423" t="s">
        <v>755</v>
      </c>
      <c r="C9" s="423" t="s">
        <v>1622</v>
      </c>
      <c r="D9" s="423" t="s">
        <v>1623</v>
      </c>
      <c r="E9" s="424" t="s">
        <v>2875</v>
      </c>
      <c r="F9" s="424" t="s">
        <v>1624</v>
      </c>
      <c r="G9" s="424" t="s">
        <v>1625</v>
      </c>
      <c r="H9" s="424" t="s">
        <v>2875</v>
      </c>
      <c r="I9" s="424" t="s">
        <v>2875</v>
      </c>
      <c r="J9" s="423" t="s">
        <v>1626</v>
      </c>
      <c r="K9" s="424" t="s">
        <v>2875</v>
      </c>
      <c r="L9" s="424" t="s">
        <v>2875</v>
      </c>
      <c r="M9" s="424" t="s">
        <v>2875</v>
      </c>
      <c r="N9" s="424" t="s">
        <v>2875</v>
      </c>
      <c r="O9" s="425">
        <v>400000</v>
      </c>
      <c r="P9" s="424" t="s">
        <v>2877</v>
      </c>
      <c r="Q9" s="424" t="s">
        <v>2877</v>
      </c>
      <c r="R9" s="424" t="s">
        <v>2877</v>
      </c>
      <c r="S9" s="425" t="s">
        <v>2877</v>
      </c>
      <c r="T9" s="422" t="s">
        <v>2877</v>
      </c>
      <c r="U9" s="422" t="s">
        <v>2877</v>
      </c>
      <c r="V9" s="422" t="s">
        <v>2877</v>
      </c>
    </row>
    <row r="10" spans="1:22" s="80" customFormat="1" ht="91.9" customHeight="1">
      <c r="A10" s="426">
        <v>2</v>
      </c>
      <c r="B10" s="427" t="s">
        <v>763</v>
      </c>
      <c r="C10" s="427" t="s">
        <v>1622</v>
      </c>
      <c r="D10" s="426" t="s">
        <v>1623</v>
      </c>
      <c r="E10" s="426" t="s">
        <v>2875</v>
      </c>
      <c r="F10" s="426" t="s">
        <v>1624</v>
      </c>
      <c r="G10" s="426" t="s">
        <v>1625</v>
      </c>
      <c r="H10" s="426" t="s">
        <v>2875</v>
      </c>
      <c r="I10" s="426" t="s">
        <v>2875</v>
      </c>
      <c r="J10" s="426" t="s">
        <v>1627</v>
      </c>
      <c r="K10" s="426" t="s">
        <v>2875</v>
      </c>
      <c r="L10" s="426" t="s">
        <v>2875</v>
      </c>
      <c r="M10" s="426" t="s">
        <v>2875</v>
      </c>
      <c r="N10" s="426" t="s">
        <v>2875</v>
      </c>
      <c r="O10" s="428">
        <v>200000</v>
      </c>
      <c r="P10" s="426" t="s">
        <v>2877</v>
      </c>
      <c r="Q10" s="426" t="s">
        <v>2877</v>
      </c>
      <c r="R10" s="426" t="s">
        <v>2877</v>
      </c>
      <c r="S10" s="428" t="s">
        <v>2877</v>
      </c>
      <c r="T10" s="426" t="s">
        <v>2877</v>
      </c>
      <c r="U10" s="426" t="s">
        <v>2877</v>
      </c>
      <c r="V10" s="426" t="s">
        <v>2877</v>
      </c>
    </row>
    <row r="11" spans="1:22">
      <c r="D11" t="s">
        <v>3171</v>
      </c>
      <c r="O11" s="429">
        <f>SUM(O9:O10)</f>
        <v>600000</v>
      </c>
    </row>
  </sheetData>
  <mergeCells count="13">
    <mergeCell ref="T7:V7"/>
    <mergeCell ref="G7:G8"/>
    <mergeCell ref="H7:H8"/>
    <mergeCell ref="I7:I8"/>
    <mergeCell ref="J7:J8"/>
    <mergeCell ref="K7:O7"/>
    <mergeCell ref="P7:S7"/>
    <mergeCell ref="F7:F8"/>
    <mergeCell ref="A7:A8"/>
    <mergeCell ref="B7:B8"/>
    <mergeCell ref="C7:C8"/>
    <mergeCell ref="D7:D8"/>
    <mergeCell ref="E7:E8"/>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25667-F743-47CA-8D7B-4E259985B32E}">
  <sheetPr>
    <tabColor rgb="FF92D050"/>
  </sheetPr>
  <dimension ref="A2:R163"/>
  <sheetViews>
    <sheetView showGridLines="0" zoomScale="70" zoomScaleNormal="70" workbookViewId="0">
      <pane xSplit="2" ySplit="8" topLeftCell="F137" activePane="bottomRight" state="frozen"/>
      <selection activeCell="F22" sqref="F22"/>
      <selection pane="topRight" activeCell="F22" sqref="F22"/>
      <selection pane="bottomLeft" activeCell="F22" sqref="F22"/>
      <selection pane="bottomRight" activeCell="F4" sqref="F4"/>
    </sheetView>
  </sheetViews>
  <sheetFormatPr baseColWidth="10" defaultColWidth="11.5" defaultRowHeight="14"/>
  <cols>
    <col min="2" max="2" width="52.4140625" style="156" customWidth="1"/>
    <col min="3" max="3" width="60.75" style="156" bestFit="1" customWidth="1"/>
    <col min="4" max="4" width="60.75" style="156" customWidth="1"/>
    <col min="5" max="5" width="27.75" style="156" customWidth="1"/>
    <col min="6" max="6" width="13.75" customWidth="1"/>
    <col min="7" max="7" width="12.4140625" customWidth="1"/>
    <col min="8" max="8" width="17.83203125" customWidth="1"/>
    <col min="9" max="9" width="40.25" customWidth="1"/>
    <col min="10" max="10" width="15.1640625" customWidth="1"/>
    <col min="12" max="13" width="12.5" bestFit="1" customWidth="1"/>
    <col min="14" max="14" width="18.75" style="86" customWidth="1"/>
    <col min="15" max="15" width="17.75" customWidth="1"/>
    <col min="16" max="16" width="14.75" customWidth="1"/>
    <col min="17" max="17" width="17.4140625" customWidth="1"/>
    <col min="18" max="18" width="18.1640625" customWidth="1"/>
  </cols>
  <sheetData>
    <row r="2" spans="1:18" ht="18.5">
      <c r="A2" s="42" t="s">
        <v>7244</v>
      </c>
      <c r="D2" s="43" t="s">
        <v>516</v>
      </c>
      <c r="E2" s="43">
        <v>49</v>
      </c>
    </row>
    <row r="3" spans="1:18">
      <c r="D3" s="43" t="s">
        <v>788</v>
      </c>
      <c r="E3" s="43">
        <v>14</v>
      </c>
    </row>
    <row r="4" spans="1:18">
      <c r="D4" s="45" t="s">
        <v>789</v>
      </c>
      <c r="E4" s="45">
        <f>+E2-E3</f>
        <v>35</v>
      </c>
    </row>
    <row r="7" spans="1:18" s="80" customFormat="1" ht="14.65" customHeight="1">
      <c r="A7" s="1001" t="s">
        <v>3</v>
      </c>
      <c r="B7" s="1003" t="s">
        <v>877</v>
      </c>
      <c r="C7" s="1003" t="s">
        <v>806</v>
      </c>
      <c r="D7" s="1002" t="s">
        <v>3617</v>
      </c>
      <c r="E7" s="1003" t="s">
        <v>809</v>
      </c>
      <c r="F7" s="1001" t="s">
        <v>879</v>
      </c>
      <c r="G7" s="1001" t="s">
        <v>811</v>
      </c>
      <c r="H7" s="1001" t="s">
        <v>812</v>
      </c>
      <c r="I7" s="1001" t="s">
        <v>926</v>
      </c>
      <c r="J7" s="1001" t="s">
        <v>814</v>
      </c>
      <c r="K7" s="1001"/>
      <c r="L7" s="1001"/>
      <c r="M7" s="1001"/>
      <c r="N7" s="1001"/>
      <c r="O7" s="1001" t="s">
        <v>815</v>
      </c>
      <c r="P7" s="1001"/>
      <c r="Q7" s="1001"/>
      <c r="R7" s="1001"/>
    </row>
    <row r="8" spans="1:18" s="80" customFormat="1" ht="39">
      <c r="A8" s="1001"/>
      <c r="B8" s="1003"/>
      <c r="C8" s="1003"/>
      <c r="D8" s="1002"/>
      <c r="E8" s="1003"/>
      <c r="F8" s="1001"/>
      <c r="G8" s="1001"/>
      <c r="H8" s="1001"/>
      <c r="I8" s="1001"/>
      <c r="J8" s="430" t="s">
        <v>817</v>
      </c>
      <c r="K8" s="430" t="s">
        <v>818</v>
      </c>
      <c r="L8" s="430" t="s">
        <v>927</v>
      </c>
      <c r="M8" s="430" t="s">
        <v>820</v>
      </c>
      <c r="N8" s="431" t="s">
        <v>2874</v>
      </c>
      <c r="O8" s="430" t="s">
        <v>821</v>
      </c>
      <c r="P8" s="430" t="s">
        <v>822</v>
      </c>
      <c r="Q8" s="430" t="s">
        <v>823</v>
      </c>
      <c r="R8" s="430" t="s">
        <v>2874</v>
      </c>
    </row>
    <row r="9" spans="1:18" ht="24">
      <c r="A9" s="998">
        <v>1</v>
      </c>
      <c r="B9" s="999" t="s">
        <v>534</v>
      </c>
      <c r="C9" s="433" t="s">
        <v>3618</v>
      </c>
      <c r="D9" s="433" t="s">
        <v>2875</v>
      </c>
      <c r="E9" s="433" t="s">
        <v>3619</v>
      </c>
      <c r="F9" s="434" t="s">
        <v>3620</v>
      </c>
      <c r="G9" s="434" t="s">
        <v>2875</v>
      </c>
      <c r="H9" s="434" t="s">
        <v>2875</v>
      </c>
      <c r="I9" s="433" t="s">
        <v>3621</v>
      </c>
      <c r="J9" s="434" t="s">
        <v>2875</v>
      </c>
      <c r="K9" s="434" t="s">
        <v>2875</v>
      </c>
      <c r="L9" s="434" t="s">
        <v>2875</v>
      </c>
      <c r="M9" s="434" t="s">
        <v>2875</v>
      </c>
      <c r="N9" s="435">
        <v>60178.080000000002</v>
      </c>
      <c r="O9" s="434" t="s">
        <v>2877</v>
      </c>
      <c r="P9" s="434" t="s">
        <v>2877</v>
      </c>
      <c r="Q9" s="434" t="s">
        <v>2877</v>
      </c>
      <c r="R9" s="435">
        <v>0</v>
      </c>
    </row>
    <row r="10" spans="1:18" ht="24">
      <c r="A10" s="998"/>
      <c r="B10" s="999"/>
      <c r="C10" s="433" t="s">
        <v>3622</v>
      </c>
      <c r="D10" s="433" t="s">
        <v>2875</v>
      </c>
      <c r="E10" s="433" t="s">
        <v>3623</v>
      </c>
      <c r="F10" s="434" t="s">
        <v>3620</v>
      </c>
      <c r="G10" s="434" t="s">
        <v>2875</v>
      </c>
      <c r="H10" s="434" t="s">
        <v>2875</v>
      </c>
      <c r="I10" s="433" t="s">
        <v>3621</v>
      </c>
      <c r="J10" s="434" t="s">
        <v>2875</v>
      </c>
      <c r="K10" s="434" t="s">
        <v>2875</v>
      </c>
      <c r="L10" s="434" t="s">
        <v>2875</v>
      </c>
      <c r="M10" s="434" t="s">
        <v>2875</v>
      </c>
      <c r="N10" s="435">
        <v>249095.71</v>
      </c>
      <c r="O10" s="434" t="s">
        <v>2877</v>
      </c>
      <c r="P10" s="434" t="s">
        <v>2877</v>
      </c>
      <c r="Q10" s="434" t="s">
        <v>2877</v>
      </c>
      <c r="R10" s="435">
        <v>0</v>
      </c>
    </row>
    <row r="11" spans="1:18" ht="24">
      <c r="A11" s="998"/>
      <c r="B11" s="999"/>
      <c r="C11" s="433" t="s">
        <v>3624</v>
      </c>
      <c r="D11" s="433" t="s">
        <v>2875</v>
      </c>
      <c r="E11" s="433" t="s">
        <v>3625</v>
      </c>
      <c r="F11" s="434" t="s">
        <v>3620</v>
      </c>
      <c r="G11" s="434" t="s">
        <v>2875</v>
      </c>
      <c r="H11" s="434" t="s">
        <v>2875</v>
      </c>
      <c r="I11" s="433" t="s">
        <v>932</v>
      </c>
      <c r="J11" s="434" t="s">
        <v>2875</v>
      </c>
      <c r="K11" s="434" t="s">
        <v>2875</v>
      </c>
      <c r="L11" s="434" t="s">
        <v>2875</v>
      </c>
      <c r="M11" s="434" t="s">
        <v>2875</v>
      </c>
      <c r="N11" s="435">
        <v>163412.25</v>
      </c>
      <c r="O11" s="434" t="s">
        <v>2877</v>
      </c>
      <c r="P11" s="434" t="s">
        <v>2877</v>
      </c>
      <c r="Q11" s="434" t="s">
        <v>2877</v>
      </c>
      <c r="R11" s="435">
        <v>0</v>
      </c>
    </row>
    <row r="12" spans="1:18" ht="36">
      <c r="A12" s="998"/>
      <c r="B12" s="999"/>
      <c r="C12" s="433" t="s">
        <v>3626</v>
      </c>
      <c r="D12" s="433" t="s">
        <v>2875</v>
      </c>
      <c r="E12" s="433" t="s">
        <v>3627</v>
      </c>
      <c r="F12" s="434" t="s">
        <v>3620</v>
      </c>
      <c r="G12" s="434" t="s">
        <v>2875</v>
      </c>
      <c r="H12" s="434" t="s">
        <v>2875</v>
      </c>
      <c r="I12" s="433" t="s">
        <v>933</v>
      </c>
      <c r="J12" s="434" t="s">
        <v>2875</v>
      </c>
      <c r="K12" s="434" t="s">
        <v>2875</v>
      </c>
      <c r="L12" s="434" t="s">
        <v>2875</v>
      </c>
      <c r="M12" s="434" t="s">
        <v>2875</v>
      </c>
      <c r="N12" s="435">
        <v>13637.7</v>
      </c>
      <c r="O12" s="434" t="s">
        <v>2877</v>
      </c>
      <c r="P12" s="434" t="s">
        <v>2877</v>
      </c>
      <c r="Q12" s="434" t="s">
        <v>2877</v>
      </c>
      <c r="R12" s="435">
        <v>0</v>
      </c>
    </row>
    <row r="13" spans="1:18">
      <c r="A13" s="350"/>
      <c r="B13" s="351" t="s">
        <v>2881</v>
      </c>
      <c r="C13" s="351"/>
      <c r="D13" s="351"/>
      <c r="E13" s="373"/>
      <c r="F13" s="374"/>
      <c r="G13" s="374"/>
      <c r="H13" s="374"/>
      <c r="I13" s="374"/>
      <c r="J13" s="374"/>
      <c r="K13" s="354"/>
      <c r="L13" s="354"/>
      <c r="M13" s="355"/>
      <c r="N13" s="356">
        <f>SUM(N9:N12)</f>
        <v>486323.74</v>
      </c>
      <c r="O13" s="354"/>
      <c r="P13" s="354"/>
      <c r="Q13" s="354"/>
      <c r="R13" s="356">
        <f>SUM(R9:R12)</f>
        <v>0</v>
      </c>
    </row>
    <row r="14" spans="1:18" ht="48">
      <c r="A14" s="996">
        <v>2</v>
      </c>
      <c r="B14" s="997" t="s">
        <v>539</v>
      </c>
      <c r="C14" s="437" t="s">
        <v>3628</v>
      </c>
      <c r="D14" s="437" t="s">
        <v>2875</v>
      </c>
      <c r="E14" s="437" t="s">
        <v>3629</v>
      </c>
      <c r="F14" s="438" t="s">
        <v>3630</v>
      </c>
      <c r="G14" s="438" t="s">
        <v>3631</v>
      </c>
      <c r="H14" s="438" t="s">
        <v>3632</v>
      </c>
      <c r="I14" s="437" t="s">
        <v>937</v>
      </c>
      <c r="J14" s="438" t="s">
        <v>2877</v>
      </c>
      <c r="K14" s="438" t="s">
        <v>2877</v>
      </c>
      <c r="L14" s="438" t="s">
        <v>2877</v>
      </c>
      <c r="M14" s="438" t="s">
        <v>2877</v>
      </c>
      <c r="N14" s="439">
        <v>0</v>
      </c>
      <c r="O14" s="438" t="s">
        <v>2877</v>
      </c>
      <c r="P14" s="438" t="s">
        <v>2877</v>
      </c>
      <c r="Q14" s="438" t="s">
        <v>2877</v>
      </c>
      <c r="R14" s="439">
        <v>0</v>
      </c>
    </row>
    <row r="15" spans="1:18" ht="48">
      <c r="A15" s="996"/>
      <c r="B15" s="997"/>
      <c r="C15" s="437" t="s">
        <v>3633</v>
      </c>
      <c r="D15" s="437" t="s">
        <v>2875</v>
      </c>
      <c r="E15" s="437" t="s">
        <v>3629</v>
      </c>
      <c r="F15" s="438" t="s">
        <v>3634</v>
      </c>
      <c r="G15" s="438" t="s">
        <v>3631</v>
      </c>
      <c r="H15" s="438" t="s">
        <v>3632</v>
      </c>
      <c r="I15" s="437" t="s">
        <v>3635</v>
      </c>
      <c r="J15" s="438" t="s">
        <v>2877</v>
      </c>
      <c r="K15" s="438" t="s">
        <v>2877</v>
      </c>
      <c r="L15" s="438" t="s">
        <v>2877</v>
      </c>
      <c r="M15" s="438" t="s">
        <v>2877</v>
      </c>
      <c r="N15" s="439">
        <v>0</v>
      </c>
      <c r="O15" s="438" t="s">
        <v>2877</v>
      </c>
      <c r="P15" s="438" t="s">
        <v>2877</v>
      </c>
      <c r="Q15" s="438" t="s">
        <v>2877</v>
      </c>
      <c r="R15" s="439">
        <v>0</v>
      </c>
    </row>
    <row r="16" spans="1:18" ht="48">
      <c r="A16" s="996"/>
      <c r="B16" s="997"/>
      <c r="C16" s="437" t="s">
        <v>3636</v>
      </c>
      <c r="D16" s="437" t="s">
        <v>2875</v>
      </c>
      <c r="E16" s="437" t="s">
        <v>3629</v>
      </c>
      <c r="F16" s="438" t="s">
        <v>3637</v>
      </c>
      <c r="G16" s="438" t="s">
        <v>3631</v>
      </c>
      <c r="H16" s="438" t="s">
        <v>3638</v>
      </c>
      <c r="I16" s="437" t="s">
        <v>3639</v>
      </c>
      <c r="J16" s="438" t="s">
        <v>2877</v>
      </c>
      <c r="K16" s="438" t="s">
        <v>2877</v>
      </c>
      <c r="L16" s="438" t="s">
        <v>2877</v>
      </c>
      <c r="M16" s="438" t="s">
        <v>2877</v>
      </c>
      <c r="N16" s="439">
        <v>0</v>
      </c>
      <c r="O16" s="438" t="s">
        <v>2877</v>
      </c>
      <c r="P16" s="438" t="s">
        <v>2877</v>
      </c>
      <c r="Q16" s="438" t="s">
        <v>2877</v>
      </c>
      <c r="R16" s="439">
        <v>0</v>
      </c>
    </row>
    <row r="17" spans="1:18" ht="48">
      <c r="A17" s="996"/>
      <c r="B17" s="997"/>
      <c r="C17" s="437" t="s">
        <v>3640</v>
      </c>
      <c r="D17" s="437" t="s">
        <v>2875</v>
      </c>
      <c r="E17" s="437" t="s">
        <v>3629</v>
      </c>
      <c r="F17" s="438" t="s">
        <v>3641</v>
      </c>
      <c r="G17" s="438" t="s">
        <v>3631</v>
      </c>
      <c r="H17" s="438" t="s">
        <v>3632</v>
      </c>
      <c r="I17" s="437" t="s">
        <v>937</v>
      </c>
      <c r="J17" s="438" t="s">
        <v>2877</v>
      </c>
      <c r="K17" s="438" t="s">
        <v>2877</v>
      </c>
      <c r="L17" s="438" t="s">
        <v>2877</v>
      </c>
      <c r="M17" s="438" t="s">
        <v>2877</v>
      </c>
      <c r="N17" s="439">
        <v>0</v>
      </c>
      <c r="O17" s="438" t="s">
        <v>2877</v>
      </c>
      <c r="P17" s="438" t="s">
        <v>2877</v>
      </c>
      <c r="Q17" s="438" t="s">
        <v>2877</v>
      </c>
      <c r="R17" s="439">
        <v>0</v>
      </c>
    </row>
    <row r="18" spans="1:18" ht="48">
      <c r="A18" s="996"/>
      <c r="B18" s="997"/>
      <c r="C18" s="437" t="s">
        <v>3642</v>
      </c>
      <c r="D18" s="437" t="s">
        <v>2875</v>
      </c>
      <c r="E18" s="437" t="s">
        <v>3629</v>
      </c>
      <c r="F18" s="438" t="s">
        <v>3643</v>
      </c>
      <c r="G18" s="438" t="s">
        <v>3631</v>
      </c>
      <c r="H18" s="438" t="s">
        <v>946</v>
      </c>
      <c r="I18" s="437" t="s">
        <v>3644</v>
      </c>
      <c r="J18" s="438" t="s">
        <v>2877</v>
      </c>
      <c r="K18" s="438" t="s">
        <v>2877</v>
      </c>
      <c r="L18" s="438" t="s">
        <v>2877</v>
      </c>
      <c r="M18" s="438" t="s">
        <v>2877</v>
      </c>
      <c r="N18" s="439">
        <v>0</v>
      </c>
      <c r="O18" s="438" t="s">
        <v>2877</v>
      </c>
      <c r="P18" s="438" t="s">
        <v>2877</v>
      </c>
      <c r="Q18" s="438" t="s">
        <v>2877</v>
      </c>
      <c r="R18" s="439">
        <v>0</v>
      </c>
    </row>
    <row r="19" spans="1:18" ht="48">
      <c r="A19" s="996"/>
      <c r="B19" s="997"/>
      <c r="C19" s="437" t="s">
        <v>3645</v>
      </c>
      <c r="D19" s="437" t="s">
        <v>2875</v>
      </c>
      <c r="E19" s="437" t="s">
        <v>3629</v>
      </c>
      <c r="F19" s="438" t="s">
        <v>3646</v>
      </c>
      <c r="G19" s="438" t="s">
        <v>3631</v>
      </c>
      <c r="H19" s="438" t="s">
        <v>3647</v>
      </c>
      <c r="I19" s="437" t="s">
        <v>3648</v>
      </c>
      <c r="J19" s="438" t="s">
        <v>2877</v>
      </c>
      <c r="K19" s="438" t="s">
        <v>2877</v>
      </c>
      <c r="L19" s="438" t="s">
        <v>2877</v>
      </c>
      <c r="M19" s="438" t="s">
        <v>2877</v>
      </c>
      <c r="N19" s="439">
        <v>0</v>
      </c>
      <c r="O19" s="438" t="s">
        <v>2877</v>
      </c>
      <c r="P19" s="438" t="s">
        <v>2877</v>
      </c>
      <c r="Q19" s="438" t="s">
        <v>2877</v>
      </c>
      <c r="R19" s="439">
        <v>0</v>
      </c>
    </row>
    <row r="20" spans="1:18" ht="48">
      <c r="A20" s="996"/>
      <c r="B20" s="997"/>
      <c r="C20" s="437" t="s">
        <v>3649</v>
      </c>
      <c r="D20" s="437" t="s">
        <v>2875</v>
      </c>
      <c r="E20" s="437" t="s">
        <v>3629</v>
      </c>
      <c r="F20" s="438" t="s">
        <v>3643</v>
      </c>
      <c r="G20" s="438" t="s">
        <v>3631</v>
      </c>
      <c r="H20" s="438" t="s">
        <v>3650</v>
      </c>
      <c r="I20" s="437" t="s">
        <v>3651</v>
      </c>
      <c r="J20" s="438" t="s">
        <v>2877</v>
      </c>
      <c r="K20" s="438" t="s">
        <v>2877</v>
      </c>
      <c r="L20" s="438" t="s">
        <v>2877</v>
      </c>
      <c r="M20" s="438" t="s">
        <v>2877</v>
      </c>
      <c r="N20" s="439">
        <v>0</v>
      </c>
      <c r="O20" s="438" t="s">
        <v>2877</v>
      </c>
      <c r="P20" s="438" t="s">
        <v>2877</v>
      </c>
      <c r="Q20" s="438" t="s">
        <v>2877</v>
      </c>
      <c r="R20" s="439">
        <v>0</v>
      </c>
    </row>
    <row r="21" spans="1:18">
      <c r="A21" s="350"/>
      <c r="B21" s="351" t="s">
        <v>2906</v>
      </c>
      <c r="C21" s="351"/>
      <c r="D21" s="351"/>
      <c r="E21" s="373"/>
      <c r="F21" s="374"/>
      <c r="G21" s="374"/>
      <c r="H21" s="374"/>
      <c r="I21" s="374"/>
      <c r="J21" s="374"/>
      <c r="K21" s="354"/>
      <c r="L21" s="354"/>
      <c r="M21" s="355"/>
      <c r="N21" s="356">
        <f>SUM(N14:N20)</f>
        <v>0</v>
      </c>
      <c r="O21" s="354"/>
      <c r="P21" s="354"/>
      <c r="Q21" s="354"/>
      <c r="R21" s="356">
        <f>SUM(R14:R20)</f>
        <v>0</v>
      </c>
    </row>
    <row r="22" spans="1:18">
      <c r="A22" s="998">
        <v>3</v>
      </c>
      <c r="B22" s="999" t="s">
        <v>544</v>
      </c>
      <c r="C22" s="433" t="s">
        <v>3652</v>
      </c>
      <c r="D22" s="433" t="s">
        <v>3653</v>
      </c>
      <c r="E22" s="433" t="s">
        <v>3654</v>
      </c>
      <c r="F22" s="434" t="s">
        <v>3655</v>
      </c>
      <c r="G22" s="434" t="s">
        <v>3656</v>
      </c>
      <c r="H22" s="434" t="s">
        <v>3657</v>
      </c>
      <c r="I22" s="434" t="s">
        <v>928</v>
      </c>
      <c r="J22" s="434" t="s">
        <v>3658</v>
      </c>
      <c r="K22" s="434" t="s">
        <v>3120</v>
      </c>
      <c r="L22" s="435">
        <v>596.83000000000004</v>
      </c>
      <c r="M22" s="435">
        <v>596.83000000000004</v>
      </c>
      <c r="N22" s="435">
        <v>596.83000000000004</v>
      </c>
      <c r="O22" s="434" t="s">
        <v>3659</v>
      </c>
      <c r="P22" s="434" t="s">
        <v>2877</v>
      </c>
      <c r="Q22" s="435" t="s">
        <v>2877</v>
      </c>
      <c r="R22" s="435">
        <v>0</v>
      </c>
    </row>
    <row r="23" spans="1:18">
      <c r="A23" s="998"/>
      <c r="B23" s="999"/>
      <c r="C23" s="433" t="s">
        <v>3660</v>
      </c>
      <c r="D23" s="433" t="s">
        <v>1</v>
      </c>
      <c r="E23" s="433" t="s">
        <v>3654</v>
      </c>
      <c r="F23" s="434" t="s">
        <v>3655</v>
      </c>
      <c r="G23" s="434" t="s">
        <v>3656</v>
      </c>
      <c r="H23" s="434" t="s">
        <v>3657</v>
      </c>
      <c r="I23" s="434" t="s">
        <v>928</v>
      </c>
      <c r="J23" s="434" t="s">
        <v>3659</v>
      </c>
      <c r="K23" s="434" t="s">
        <v>3120</v>
      </c>
      <c r="L23" s="435">
        <v>903058.13</v>
      </c>
      <c r="M23" s="435">
        <v>903058.13</v>
      </c>
      <c r="N23" s="435">
        <v>903058.13</v>
      </c>
      <c r="O23" s="434" t="s">
        <v>3658</v>
      </c>
      <c r="P23" s="434" t="s">
        <v>2877</v>
      </c>
      <c r="Q23" s="435" t="s">
        <v>2877</v>
      </c>
      <c r="R23" s="435">
        <v>0</v>
      </c>
    </row>
    <row r="24" spans="1:18">
      <c r="A24" s="998"/>
      <c r="B24" s="999"/>
      <c r="C24" s="433" t="s">
        <v>3661</v>
      </c>
      <c r="D24" s="433" t="s">
        <v>1</v>
      </c>
      <c r="E24" s="433" t="s">
        <v>3654</v>
      </c>
      <c r="F24" s="434" t="s">
        <v>3655</v>
      </c>
      <c r="G24" s="434" t="s">
        <v>3656</v>
      </c>
      <c r="H24" s="434" t="s">
        <v>3657</v>
      </c>
      <c r="I24" s="434" t="s">
        <v>928</v>
      </c>
      <c r="J24" s="434" t="s">
        <v>3658</v>
      </c>
      <c r="K24" s="434" t="s">
        <v>3120</v>
      </c>
      <c r="L24" s="435">
        <v>296792.68</v>
      </c>
      <c r="M24" s="435">
        <v>296792.68</v>
      </c>
      <c r="N24" s="435">
        <v>296792.68</v>
      </c>
      <c r="O24" s="434" t="s">
        <v>3659</v>
      </c>
      <c r="P24" s="434" t="s">
        <v>2877</v>
      </c>
      <c r="Q24" s="435" t="s">
        <v>2877</v>
      </c>
      <c r="R24" s="435">
        <v>0</v>
      </c>
    </row>
    <row r="25" spans="1:18">
      <c r="A25" s="998"/>
      <c r="B25" s="999"/>
      <c r="C25" s="433" t="s">
        <v>3662</v>
      </c>
      <c r="D25" s="433" t="s">
        <v>3663</v>
      </c>
      <c r="E25" s="433" t="s">
        <v>3654</v>
      </c>
      <c r="F25" s="434" t="s">
        <v>3655</v>
      </c>
      <c r="G25" s="434" t="s">
        <v>3656</v>
      </c>
      <c r="H25" s="434" t="s">
        <v>3657</v>
      </c>
      <c r="I25" s="434" t="s">
        <v>928</v>
      </c>
      <c r="J25" s="434" t="s">
        <v>3658</v>
      </c>
      <c r="K25" s="434" t="s">
        <v>3120</v>
      </c>
      <c r="L25" s="435">
        <v>6044.4</v>
      </c>
      <c r="M25" s="435">
        <v>6044.4</v>
      </c>
      <c r="N25" s="435">
        <v>6044.4</v>
      </c>
      <c r="O25" s="434" t="s">
        <v>3658</v>
      </c>
      <c r="P25" s="434" t="s">
        <v>2877</v>
      </c>
      <c r="Q25" s="435" t="s">
        <v>2877</v>
      </c>
      <c r="R25" s="435">
        <v>0</v>
      </c>
    </row>
    <row r="26" spans="1:18">
      <c r="A26" s="998"/>
      <c r="B26" s="999"/>
      <c r="C26" s="433" t="s">
        <v>3664</v>
      </c>
      <c r="D26" s="433" t="s">
        <v>3663</v>
      </c>
      <c r="E26" s="433" t="s">
        <v>3654</v>
      </c>
      <c r="F26" s="434" t="s">
        <v>3655</v>
      </c>
      <c r="G26" s="434" t="s">
        <v>3656</v>
      </c>
      <c r="H26" s="434" t="s">
        <v>3657</v>
      </c>
      <c r="I26" s="434" t="s">
        <v>928</v>
      </c>
      <c r="J26" s="434" t="s">
        <v>3658</v>
      </c>
      <c r="K26" s="434" t="s">
        <v>3120</v>
      </c>
      <c r="L26" s="435">
        <v>95495.039999999994</v>
      </c>
      <c r="M26" s="435">
        <v>95495.039999999994</v>
      </c>
      <c r="N26" s="435">
        <v>95495.039999999994</v>
      </c>
      <c r="O26" s="434" t="s">
        <v>3659</v>
      </c>
      <c r="P26" s="434" t="s">
        <v>2877</v>
      </c>
      <c r="Q26" s="435" t="s">
        <v>2877</v>
      </c>
      <c r="R26" s="435">
        <v>0</v>
      </c>
    </row>
    <row r="27" spans="1:18">
      <c r="A27" s="998"/>
      <c r="B27" s="999"/>
      <c r="C27" s="433" t="s">
        <v>3665</v>
      </c>
      <c r="D27" s="433" t="s">
        <v>1</v>
      </c>
      <c r="E27" s="433" t="s">
        <v>3654</v>
      </c>
      <c r="F27" s="434" t="s">
        <v>3655</v>
      </c>
      <c r="G27" s="434" t="s">
        <v>3656</v>
      </c>
      <c r="H27" s="434" t="s">
        <v>3657</v>
      </c>
      <c r="I27" s="434" t="s">
        <v>928</v>
      </c>
      <c r="J27" s="434" t="s">
        <v>3659</v>
      </c>
      <c r="K27" s="434" t="s">
        <v>3120</v>
      </c>
      <c r="L27" s="435">
        <v>60163.360000000001</v>
      </c>
      <c r="M27" s="435">
        <v>60163.360000000001</v>
      </c>
      <c r="N27" s="435">
        <v>60163.360000000001</v>
      </c>
      <c r="O27" s="434" t="s">
        <v>3659</v>
      </c>
      <c r="P27" s="434" t="s">
        <v>2877</v>
      </c>
      <c r="Q27" s="435" t="s">
        <v>2877</v>
      </c>
      <c r="R27" s="435">
        <v>0</v>
      </c>
    </row>
    <row r="28" spans="1:18">
      <c r="A28" s="998"/>
      <c r="B28" s="999"/>
      <c r="C28" s="433" t="s">
        <v>3666</v>
      </c>
      <c r="D28" s="433" t="s">
        <v>1</v>
      </c>
      <c r="E28" s="433" t="s">
        <v>3654</v>
      </c>
      <c r="F28" s="434" t="s">
        <v>3655</v>
      </c>
      <c r="G28" s="434" t="s">
        <v>3656</v>
      </c>
      <c r="H28" s="434" t="s">
        <v>3657</v>
      </c>
      <c r="I28" s="434" t="s">
        <v>928</v>
      </c>
      <c r="J28" s="434" t="s">
        <v>3659</v>
      </c>
      <c r="K28" s="434" t="s">
        <v>3120</v>
      </c>
      <c r="L28" s="435">
        <v>67163.360000000001</v>
      </c>
      <c r="M28" s="435">
        <v>67163.360000000001</v>
      </c>
      <c r="N28" s="435">
        <v>67163.360000000001</v>
      </c>
      <c r="O28" s="434" t="s">
        <v>3659</v>
      </c>
      <c r="P28" s="434" t="s">
        <v>2877</v>
      </c>
      <c r="Q28" s="435" t="s">
        <v>2877</v>
      </c>
      <c r="R28" s="435">
        <v>0</v>
      </c>
    </row>
    <row r="29" spans="1:18">
      <c r="A29" s="998"/>
      <c r="B29" s="999"/>
      <c r="C29" s="433" t="s">
        <v>3667</v>
      </c>
      <c r="D29" s="433" t="s">
        <v>3663</v>
      </c>
      <c r="E29" s="433" t="s">
        <v>3654</v>
      </c>
      <c r="F29" s="434" t="s">
        <v>3655</v>
      </c>
      <c r="G29" s="434" t="s">
        <v>3656</v>
      </c>
      <c r="H29" s="434" t="s">
        <v>3657</v>
      </c>
      <c r="I29" s="434" t="s">
        <v>928</v>
      </c>
      <c r="J29" s="434" t="s">
        <v>3659</v>
      </c>
      <c r="K29" s="434" t="s">
        <v>3120</v>
      </c>
      <c r="L29" s="435">
        <v>95495.039999999994</v>
      </c>
      <c r="M29" s="435">
        <v>95495.039999999994</v>
      </c>
      <c r="N29" s="435">
        <v>95495.039999999994</v>
      </c>
      <c r="O29" s="434" t="s">
        <v>3658</v>
      </c>
      <c r="P29" s="434" t="s">
        <v>2877</v>
      </c>
      <c r="Q29" s="435" t="s">
        <v>2877</v>
      </c>
      <c r="R29" s="435">
        <v>0</v>
      </c>
    </row>
    <row r="30" spans="1:18" ht="24">
      <c r="A30" s="998"/>
      <c r="B30" s="999"/>
      <c r="C30" s="433" t="s">
        <v>3668</v>
      </c>
      <c r="D30" s="433" t="s">
        <v>1</v>
      </c>
      <c r="E30" s="433" t="s">
        <v>3654</v>
      </c>
      <c r="F30" s="434" t="s">
        <v>3655</v>
      </c>
      <c r="G30" s="434" t="s">
        <v>3656</v>
      </c>
      <c r="H30" s="434" t="s">
        <v>3657</v>
      </c>
      <c r="I30" s="434" t="s">
        <v>928</v>
      </c>
      <c r="J30" s="434" t="s">
        <v>3658</v>
      </c>
      <c r="K30" s="434" t="s">
        <v>3120</v>
      </c>
      <c r="L30" s="435">
        <v>60000</v>
      </c>
      <c r="M30" s="435">
        <v>60000</v>
      </c>
      <c r="N30" s="435">
        <v>60000</v>
      </c>
      <c r="O30" s="434" t="s">
        <v>3658</v>
      </c>
      <c r="P30" s="434" t="s">
        <v>2877</v>
      </c>
      <c r="Q30" s="435" t="s">
        <v>2877</v>
      </c>
      <c r="R30" s="435">
        <v>0</v>
      </c>
    </row>
    <row r="31" spans="1:18">
      <c r="A31" s="998"/>
      <c r="B31" s="999"/>
      <c r="C31" s="433" t="s">
        <v>3669</v>
      </c>
      <c r="D31" s="433" t="s">
        <v>1</v>
      </c>
      <c r="E31" s="433" t="s">
        <v>3654</v>
      </c>
      <c r="F31" s="434" t="s">
        <v>3655</v>
      </c>
      <c r="G31" s="434" t="s">
        <v>3656</v>
      </c>
      <c r="H31" s="434" t="s">
        <v>3657</v>
      </c>
      <c r="I31" s="434" t="s">
        <v>928</v>
      </c>
      <c r="J31" s="434" t="s">
        <v>3658</v>
      </c>
      <c r="K31" s="434" t="s">
        <v>3120</v>
      </c>
      <c r="L31" s="435">
        <v>457112.52</v>
      </c>
      <c r="M31" s="435">
        <v>457112.52</v>
      </c>
      <c r="N31" s="435">
        <v>457112.52</v>
      </c>
      <c r="O31" s="434" t="s">
        <v>3659</v>
      </c>
      <c r="P31" s="434" t="s">
        <v>2877</v>
      </c>
      <c r="Q31" s="435" t="s">
        <v>2877</v>
      </c>
      <c r="R31" s="435">
        <v>0</v>
      </c>
    </row>
    <row r="32" spans="1:18" ht="24">
      <c r="A32" s="998"/>
      <c r="B32" s="999"/>
      <c r="C32" s="433" t="s">
        <v>3670</v>
      </c>
      <c r="D32" s="433" t="s">
        <v>3671</v>
      </c>
      <c r="E32" s="433" t="s">
        <v>3654</v>
      </c>
      <c r="F32" s="434" t="s">
        <v>3655</v>
      </c>
      <c r="G32" s="434" t="s">
        <v>3672</v>
      </c>
      <c r="H32" s="434" t="s">
        <v>3673</v>
      </c>
      <c r="I32" s="434"/>
      <c r="J32" s="434" t="s">
        <v>3659</v>
      </c>
      <c r="K32" s="434" t="s">
        <v>3120</v>
      </c>
      <c r="L32" s="435">
        <v>60000</v>
      </c>
      <c r="M32" s="435">
        <v>60000</v>
      </c>
      <c r="N32" s="435">
        <v>60000</v>
      </c>
      <c r="O32" s="434" t="s">
        <v>3659</v>
      </c>
      <c r="P32" s="434" t="s">
        <v>2877</v>
      </c>
      <c r="Q32" s="435" t="s">
        <v>2877</v>
      </c>
      <c r="R32" s="435">
        <v>0</v>
      </c>
    </row>
    <row r="33" spans="1:18" ht="24">
      <c r="A33" s="998"/>
      <c r="B33" s="999"/>
      <c r="C33" s="433" t="s">
        <v>3674</v>
      </c>
      <c r="D33" s="433" t="s">
        <v>3671</v>
      </c>
      <c r="E33" s="433" t="s">
        <v>3654</v>
      </c>
      <c r="F33" s="434" t="s">
        <v>3655</v>
      </c>
      <c r="G33" s="434" t="s">
        <v>3675</v>
      </c>
      <c r="H33" s="434" t="s">
        <v>3673</v>
      </c>
      <c r="I33" s="434" t="s">
        <v>934</v>
      </c>
      <c r="J33" s="434" t="s">
        <v>3658</v>
      </c>
      <c r="K33" s="434" t="s">
        <v>3676</v>
      </c>
      <c r="L33" s="435">
        <v>60000</v>
      </c>
      <c r="M33" s="435">
        <v>60000</v>
      </c>
      <c r="N33" s="435">
        <v>60000</v>
      </c>
      <c r="O33" s="434" t="s">
        <v>3658</v>
      </c>
      <c r="P33" s="434" t="s">
        <v>2877</v>
      </c>
      <c r="Q33" s="435" t="s">
        <v>2877</v>
      </c>
      <c r="R33" s="435">
        <v>0</v>
      </c>
    </row>
    <row r="34" spans="1:18" ht="24">
      <c r="A34" s="998"/>
      <c r="B34" s="999"/>
      <c r="C34" s="433" t="s">
        <v>3677</v>
      </c>
      <c r="D34" s="433" t="s">
        <v>3678</v>
      </c>
      <c r="E34" s="433" t="s">
        <v>3654</v>
      </c>
      <c r="F34" s="434" t="s">
        <v>3655</v>
      </c>
      <c r="G34" s="434" t="s">
        <v>3679</v>
      </c>
      <c r="H34" s="434" t="s">
        <v>3673</v>
      </c>
      <c r="I34" s="434" t="s">
        <v>934</v>
      </c>
      <c r="J34" s="434" t="s">
        <v>3659</v>
      </c>
      <c r="K34" s="434" t="s">
        <v>3120</v>
      </c>
      <c r="L34" s="435">
        <v>32521</v>
      </c>
      <c r="M34" s="435">
        <v>32521</v>
      </c>
      <c r="N34" s="435">
        <v>32521</v>
      </c>
      <c r="O34" s="434" t="s">
        <v>3658</v>
      </c>
      <c r="P34" s="434" t="s">
        <v>2877</v>
      </c>
      <c r="Q34" s="435" t="s">
        <v>2877</v>
      </c>
      <c r="R34" s="435">
        <v>0</v>
      </c>
    </row>
    <row r="35" spans="1:18">
      <c r="A35" s="998"/>
      <c r="B35" s="999"/>
      <c r="C35" s="433" t="s">
        <v>3680</v>
      </c>
      <c r="D35" s="433" t="s">
        <v>3681</v>
      </c>
      <c r="E35" s="433" t="s">
        <v>3654</v>
      </c>
      <c r="F35" s="434" t="s">
        <v>3655</v>
      </c>
      <c r="G35" s="434" t="s">
        <v>3682</v>
      </c>
      <c r="H35" s="434" t="s">
        <v>3673</v>
      </c>
      <c r="I35" s="434" t="s">
        <v>934</v>
      </c>
      <c r="J35" s="434" t="s">
        <v>3659</v>
      </c>
      <c r="K35" s="434" t="s">
        <v>3120</v>
      </c>
      <c r="L35" s="435">
        <v>24595.23</v>
      </c>
      <c r="M35" s="435">
        <v>24595.23</v>
      </c>
      <c r="N35" s="435">
        <v>24595.23</v>
      </c>
      <c r="O35" s="434" t="s">
        <v>3659</v>
      </c>
      <c r="P35" s="434" t="s">
        <v>2877</v>
      </c>
      <c r="Q35" s="435" t="s">
        <v>2877</v>
      </c>
      <c r="R35" s="435">
        <v>0</v>
      </c>
    </row>
    <row r="36" spans="1:18" ht="24">
      <c r="A36" s="998"/>
      <c r="B36" s="999"/>
      <c r="C36" s="433" t="s">
        <v>3683</v>
      </c>
      <c r="D36" s="433" t="s">
        <v>3684</v>
      </c>
      <c r="E36" s="433" t="s">
        <v>3654</v>
      </c>
      <c r="F36" s="434" t="s">
        <v>3655</v>
      </c>
      <c r="G36" s="434" t="s">
        <v>3685</v>
      </c>
      <c r="H36" s="434" t="s">
        <v>3686</v>
      </c>
      <c r="I36" s="434" t="s">
        <v>934</v>
      </c>
      <c r="J36" s="434" t="s">
        <v>3659</v>
      </c>
      <c r="K36" s="434" t="s">
        <v>3120</v>
      </c>
      <c r="L36" s="435">
        <v>54190</v>
      </c>
      <c r="M36" s="435">
        <v>54190</v>
      </c>
      <c r="N36" s="435">
        <v>54190</v>
      </c>
      <c r="O36" s="434" t="s">
        <v>3659</v>
      </c>
      <c r="P36" s="434" t="s">
        <v>2877</v>
      </c>
      <c r="Q36" s="435" t="s">
        <v>2877</v>
      </c>
      <c r="R36" s="435">
        <v>0</v>
      </c>
    </row>
    <row r="37" spans="1:18" ht="24">
      <c r="A37" s="998"/>
      <c r="B37" s="999"/>
      <c r="C37" s="433" t="s">
        <v>3687</v>
      </c>
      <c r="D37" s="433" t="s">
        <v>3688</v>
      </c>
      <c r="E37" s="433" t="s">
        <v>3654</v>
      </c>
      <c r="F37" s="434" t="s">
        <v>3655</v>
      </c>
      <c r="G37" s="434" t="s">
        <v>3685</v>
      </c>
      <c r="H37" s="434" t="s">
        <v>3686</v>
      </c>
      <c r="I37" s="434" t="s">
        <v>937</v>
      </c>
      <c r="J37" s="434" t="s">
        <v>3659</v>
      </c>
      <c r="K37" s="434" t="s">
        <v>3689</v>
      </c>
      <c r="L37" s="435">
        <v>190522.5</v>
      </c>
      <c r="M37" s="435">
        <v>190522.5</v>
      </c>
      <c r="N37" s="435">
        <v>190522.5</v>
      </c>
      <c r="O37" s="434" t="s">
        <v>3659</v>
      </c>
      <c r="P37" s="434" t="s">
        <v>2877</v>
      </c>
      <c r="Q37" s="435" t="s">
        <v>2877</v>
      </c>
      <c r="R37" s="435">
        <v>0</v>
      </c>
    </row>
    <row r="38" spans="1:18" ht="24">
      <c r="A38" s="998"/>
      <c r="B38" s="999"/>
      <c r="C38" s="433" t="s">
        <v>3690</v>
      </c>
      <c r="D38" s="433" t="s">
        <v>945</v>
      </c>
      <c r="E38" s="433" t="s">
        <v>3654</v>
      </c>
      <c r="F38" s="434" t="s">
        <v>3655</v>
      </c>
      <c r="G38" s="434" t="s">
        <v>3685</v>
      </c>
      <c r="H38" s="434" t="s">
        <v>3686</v>
      </c>
      <c r="I38" s="434" t="s">
        <v>937</v>
      </c>
      <c r="J38" s="434" t="s">
        <v>3659</v>
      </c>
      <c r="K38" s="434" t="s">
        <v>3120</v>
      </c>
      <c r="L38" s="435">
        <v>64521.18</v>
      </c>
      <c r="M38" s="435">
        <v>64521.18</v>
      </c>
      <c r="N38" s="435">
        <v>64521.18</v>
      </c>
      <c r="O38" s="434" t="s">
        <v>3659</v>
      </c>
      <c r="P38" s="434" t="s">
        <v>2877</v>
      </c>
      <c r="Q38" s="435" t="s">
        <v>2877</v>
      </c>
      <c r="R38" s="435">
        <v>0</v>
      </c>
    </row>
    <row r="39" spans="1:18">
      <c r="A39" s="998"/>
      <c r="B39" s="999"/>
      <c r="C39" s="433" t="s">
        <v>3691</v>
      </c>
      <c r="D39" s="433" t="s">
        <v>1</v>
      </c>
      <c r="E39" s="433" t="s">
        <v>3654</v>
      </c>
      <c r="F39" s="434" t="s">
        <v>3655</v>
      </c>
      <c r="G39" s="434" t="s">
        <v>3656</v>
      </c>
      <c r="H39" s="434" t="s">
        <v>3657</v>
      </c>
      <c r="I39" s="434"/>
      <c r="J39" s="434" t="s">
        <v>3658</v>
      </c>
      <c r="K39" s="440">
        <v>45013</v>
      </c>
      <c r="L39" s="435">
        <v>596437.25</v>
      </c>
      <c r="M39" s="435">
        <v>596437.25</v>
      </c>
      <c r="N39" s="435">
        <v>596437.25</v>
      </c>
      <c r="O39" s="434"/>
      <c r="P39" s="434" t="s">
        <v>2877</v>
      </c>
      <c r="Q39" s="435" t="s">
        <v>2877</v>
      </c>
      <c r="R39" s="435">
        <v>0</v>
      </c>
    </row>
    <row r="40" spans="1:18">
      <c r="A40" s="998"/>
      <c r="B40" s="999"/>
      <c r="C40" s="433" t="s">
        <v>3692</v>
      </c>
      <c r="D40" s="433" t="s">
        <v>1</v>
      </c>
      <c r="E40" s="433" t="s">
        <v>3654</v>
      </c>
      <c r="F40" s="434" t="s">
        <v>3655</v>
      </c>
      <c r="G40" s="434" t="s">
        <v>3656</v>
      </c>
      <c r="H40" s="434" t="s">
        <v>3657</v>
      </c>
      <c r="I40" s="434" t="s">
        <v>928</v>
      </c>
      <c r="J40" s="434" t="s">
        <v>3659</v>
      </c>
      <c r="K40" s="440">
        <v>45013</v>
      </c>
      <c r="L40" s="435">
        <v>118019.47</v>
      </c>
      <c r="M40" s="435">
        <v>118019.47</v>
      </c>
      <c r="N40" s="435">
        <v>118019.47</v>
      </c>
      <c r="O40" s="434" t="s">
        <v>3658</v>
      </c>
      <c r="P40" s="434" t="s">
        <v>2877</v>
      </c>
      <c r="Q40" s="435" t="s">
        <v>2877</v>
      </c>
      <c r="R40" s="435">
        <v>0</v>
      </c>
    </row>
    <row r="41" spans="1:18">
      <c r="A41" s="350"/>
      <c r="B41" s="351" t="s">
        <v>2918</v>
      </c>
      <c r="C41" s="351"/>
      <c r="D41" s="351"/>
      <c r="E41" s="373"/>
      <c r="F41" s="374"/>
      <c r="G41" s="374"/>
      <c r="H41" s="374"/>
      <c r="I41" s="374"/>
      <c r="J41" s="374"/>
      <c r="K41" s="354"/>
      <c r="L41" s="354"/>
      <c r="M41" s="355"/>
      <c r="N41" s="356">
        <f>SUM(N22:N40)</f>
        <v>3242727.9900000007</v>
      </c>
      <c r="O41" s="354"/>
      <c r="P41" s="354"/>
      <c r="Q41" s="354"/>
      <c r="R41" s="356">
        <f>SUM(R22:R40)</f>
        <v>0</v>
      </c>
    </row>
    <row r="42" spans="1:18">
      <c r="A42" s="996">
        <v>4</v>
      </c>
      <c r="B42" s="997" t="s">
        <v>558</v>
      </c>
      <c r="C42" s="437" t="s">
        <v>1922</v>
      </c>
      <c r="D42" s="437" t="s">
        <v>2927</v>
      </c>
      <c r="E42" s="437" t="s">
        <v>2928</v>
      </c>
      <c r="F42" s="438" t="s">
        <v>2875</v>
      </c>
      <c r="G42" s="438" t="s">
        <v>2875</v>
      </c>
      <c r="H42" s="438" t="s">
        <v>2875</v>
      </c>
      <c r="I42" s="438" t="s">
        <v>2875</v>
      </c>
      <c r="J42" s="441" t="s">
        <v>2875</v>
      </c>
      <c r="K42" s="441" t="s">
        <v>2875</v>
      </c>
      <c r="L42" s="441" t="s">
        <v>2875</v>
      </c>
      <c r="M42" s="441" t="s">
        <v>2875</v>
      </c>
      <c r="N42" s="442">
        <v>4500</v>
      </c>
      <c r="O42" s="436" t="s">
        <v>2875</v>
      </c>
      <c r="P42" s="436" t="s">
        <v>2875</v>
      </c>
      <c r="Q42" s="436" t="s">
        <v>2875</v>
      </c>
      <c r="R42" s="443">
        <v>0</v>
      </c>
    </row>
    <row r="43" spans="1:18">
      <c r="A43" s="996"/>
      <c r="B43" s="997"/>
      <c r="C43" s="437" t="s">
        <v>2929</v>
      </c>
      <c r="D43" s="437" t="s">
        <v>2930</v>
      </c>
      <c r="E43" s="437" t="s">
        <v>2928</v>
      </c>
      <c r="F43" s="438" t="s">
        <v>2875</v>
      </c>
      <c r="G43" s="438" t="s">
        <v>2875</v>
      </c>
      <c r="H43" s="438" t="s">
        <v>2875</v>
      </c>
      <c r="I43" s="438" t="s">
        <v>2875</v>
      </c>
      <c r="J43" s="441" t="s">
        <v>2875</v>
      </c>
      <c r="K43" s="441" t="s">
        <v>2875</v>
      </c>
      <c r="L43" s="441" t="s">
        <v>2875</v>
      </c>
      <c r="M43" s="441" t="s">
        <v>2875</v>
      </c>
      <c r="N43" s="442">
        <v>157000</v>
      </c>
      <c r="O43" s="436" t="s">
        <v>2875</v>
      </c>
      <c r="P43" s="436" t="s">
        <v>2875</v>
      </c>
      <c r="Q43" s="436" t="s">
        <v>2875</v>
      </c>
      <c r="R43" s="443">
        <v>0</v>
      </c>
    </row>
    <row r="44" spans="1:18">
      <c r="A44" s="996"/>
      <c r="B44" s="997"/>
      <c r="C44" s="437" t="s">
        <v>2931</v>
      </c>
      <c r="D44" s="437" t="s">
        <v>2930</v>
      </c>
      <c r="E44" s="437" t="s">
        <v>2928</v>
      </c>
      <c r="F44" s="438" t="s">
        <v>2875</v>
      </c>
      <c r="G44" s="438" t="s">
        <v>2875</v>
      </c>
      <c r="H44" s="438" t="s">
        <v>2875</v>
      </c>
      <c r="I44" s="438" t="s">
        <v>2875</v>
      </c>
      <c r="J44" s="441" t="s">
        <v>2875</v>
      </c>
      <c r="K44" s="441" t="s">
        <v>2875</v>
      </c>
      <c r="L44" s="441" t="s">
        <v>2875</v>
      </c>
      <c r="M44" s="441" t="s">
        <v>2875</v>
      </c>
      <c r="N44" s="442">
        <v>68400</v>
      </c>
      <c r="O44" s="436" t="s">
        <v>2875</v>
      </c>
      <c r="P44" s="436" t="s">
        <v>2875</v>
      </c>
      <c r="Q44" s="436" t="s">
        <v>2875</v>
      </c>
      <c r="R44" s="443">
        <v>0</v>
      </c>
    </row>
    <row r="45" spans="1:18" ht="24">
      <c r="A45" s="996"/>
      <c r="B45" s="997"/>
      <c r="C45" s="437" t="s">
        <v>2932</v>
      </c>
      <c r="D45" s="437" t="s">
        <v>2933</v>
      </c>
      <c r="E45" s="437" t="s">
        <v>2928</v>
      </c>
      <c r="F45" s="438" t="s">
        <v>2875</v>
      </c>
      <c r="G45" s="438" t="s">
        <v>2875</v>
      </c>
      <c r="H45" s="438" t="s">
        <v>2875</v>
      </c>
      <c r="I45" s="438" t="s">
        <v>2875</v>
      </c>
      <c r="J45" s="441" t="s">
        <v>2875</v>
      </c>
      <c r="K45" s="441" t="s">
        <v>2875</v>
      </c>
      <c r="L45" s="441" t="s">
        <v>2875</v>
      </c>
      <c r="M45" s="441" t="s">
        <v>2875</v>
      </c>
      <c r="N45" s="442">
        <v>260000</v>
      </c>
      <c r="O45" s="436" t="s">
        <v>2875</v>
      </c>
      <c r="P45" s="436" t="s">
        <v>2875</v>
      </c>
      <c r="Q45" s="436" t="s">
        <v>2875</v>
      </c>
      <c r="R45" s="443">
        <v>0</v>
      </c>
    </row>
    <row r="46" spans="1:18">
      <c r="A46" s="996"/>
      <c r="B46" s="997"/>
      <c r="C46" s="437" t="s">
        <v>2934</v>
      </c>
      <c r="D46" s="437" t="s">
        <v>2933</v>
      </c>
      <c r="E46" s="437" t="s">
        <v>2928</v>
      </c>
      <c r="F46" s="438" t="s">
        <v>2875</v>
      </c>
      <c r="G46" s="438" t="s">
        <v>2875</v>
      </c>
      <c r="H46" s="438" t="s">
        <v>2875</v>
      </c>
      <c r="I46" s="438" t="s">
        <v>2875</v>
      </c>
      <c r="J46" s="441" t="s">
        <v>2875</v>
      </c>
      <c r="K46" s="441" t="s">
        <v>2875</v>
      </c>
      <c r="L46" s="441" t="s">
        <v>2875</v>
      </c>
      <c r="M46" s="441" t="s">
        <v>2875</v>
      </c>
      <c r="N46" s="442">
        <v>273421</v>
      </c>
      <c r="O46" s="436" t="s">
        <v>2875</v>
      </c>
      <c r="P46" s="436" t="s">
        <v>2875</v>
      </c>
      <c r="Q46" s="436" t="s">
        <v>2875</v>
      </c>
      <c r="R46" s="443">
        <v>0</v>
      </c>
    </row>
    <row r="47" spans="1:18" ht="24">
      <c r="A47" s="996"/>
      <c r="B47" s="997"/>
      <c r="C47" s="437" t="s">
        <v>2935</v>
      </c>
      <c r="D47" s="437" t="s">
        <v>2936</v>
      </c>
      <c r="E47" s="437" t="s">
        <v>2928</v>
      </c>
      <c r="F47" s="438" t="s">
        <v>2875</v>
      </c>
      <c r="G47" s="438" t="s">
        <v>2875</v>
      </c>
      <c r="H47" s="438" t="s">
        <v>2875</v>
      </c>
      <c r="I47" s="438" t="s">
        <v>2875</v>
      </c>
      <c r="J47" s="441" t="s">
        <v>2875</v>
      </c>
      <c r="K47" s="441" t="s">
        <v>2875</v>
      </c>
      <c r="L47" s="441" t="s">
        <v>2875</v>
      </c>
      <c r="M47" s="441" t="s">
        <v>2875</v>
      </c>
      <c r="N47" s="442">
        <v>145200</v>
      </c>
      <c r="O47" s="436" t="s">
        <v>2875</v>
      </c>
      <c r="P47" s="436" t="s">
        <v>2875</v>
      </c>
      <c r="Q47" s="436" t="s">
        <v>2875</v>
      </c>
      <c r="R47" s="443">
        <v>0</v>
      </c>
    </row>
    <row r="48" spans="1:18" ht="24">
      <c r="A48" s="996"/>
      <c r="B48" s="997"/>
      <c r="C48" s="437" t="s">
        <v>2937</v>
      </c>
      <c r="D48" s="437" t="s">
        <v>2938</v>
      </c>
      <c r="E48" s="437" t="s">
        <v>2928</v>
      </c>
      <c r="F48" s="438" t="s">
        <v>2875</v>
      </c>
      <c r="G48" s="438" t="s">
        <v>2875</v>
      </c>
      <c r="H48" s="438" t="s">
        <v>2875</v>
      </c>
      <c r="I48" s="438" t="s">
        <v>2875</v>
      </c>
      <c r="J48" s="441" t="s">
        <v>2875</v>
      </c>
      <c r="K48" s="441" t="s">
        <v>2875</v>
      </c>
      <c r="L48" s="441" t="s">
        <v>2875</v>
      </c>
      <c r="M48" s="441" t="s">
        <v>2875</v>
      </c>
      <c r="N48" s="442">
        <v>1000</v>
      </c>
      <c r="O48" s="436" t="s">
        <v>2875</v>
      </c>
      <c r="P48" s="436" t="s">
        <v>2875</v>
      </c>
      <c r="Q48" s="436" t="s">
        <v>2875</v>
      </c>
      <c r="R48" s="443">
        <v>0</v>
      </c>
    </row>
    <row r="49" spans="1:18" ht="60">
      <c r="A49" s="996"/>
      <c r="B49" s="997"/>
      <c r="C49" s="437" t="s">
        <v>2939</v>
      </c>
      <c r="D49" s="437" t="s">
        <v>2940</v>
      </c>
      <c r="E49" s="437" t="s">
        <v>2928</v>
      </c>
      <c r="F49" s="438" t="s">
        <v>2875</v>
      </c>
      <c r="G49" s="438" t="s">
        <v>2875</v>
      </c>
      <c r="H49" s="438" t="s">
        <v>2875</v>
      </c>
      <c r="I49" s="438" t="s">
        <v>2875</v>
      </c>
      <c r="J49" s="441" t="s">
        <v>2875</v>
      </c>
      <c r="K49" s="441" t="s">
        <v>2875</v>
      </c>
      <c r="L49" s="441" t="s">
        <v>2875</v>
      </c>
      <c r="M49" s="441" t="s">
        <v>2875</v>
      </c>
      <c r="N49" s="442">
        <v>1000</v>
      </c>
      <c r="O49" s="436" t="s">
        <v>2875</v>
      </c>
      <c r="P49" s="436" t="s">
        <v>2875</v>
      </c>
      <c r="Q49" s="436" t="s">
        <v>2875</v>
      </c>
      <c r="R49" s="443">
        <v>0</v>
      </c>
    </row>
    <row r="50" spans="1:18" ht="36">
      <c r="A50" s="996"/>
      <c r="B50" s="997"/>
      <c r="C50" s="437" t="s">
        <v>2941</v>
      </c>
      <c r="D50" s="437" t="s">
        <v>2942</v>
      </c>
      <c r="E50" s="437" t="s">
        <v>2928</v>
      </c>
      <c r="F50" s="438" t="s">
        <v>2875</v>
      </c>
      <c r="G50" s="438" t="s">
        <v>2875</v>
      </c>
      <c r="H50" s="438" t="s">
        <v>2875</v>
      </c>
      <c r="I50" s="438" t="s">
        <v>2875</v>
      </c>
      <c r="J50" s="441" t="s">
        <v>2875</v>
      </c>
      <c r="K50" s="441" t="s">
        <v>2875</v>
      </c>
      <c r="L50" s="441" t="s">
        <v>2875</v>
      </c>
      <c r="M50" s="441" t="s">
        <v>2875</v>
      </c>
      <c r="N50" s="442">
        <v>330000</v>
      </c>
      <c r="O50" s="436" t="s">
        <v>2875</v>
      </c>
      <c r="P50" s="436" t="s">
        <v>2875</v>
      </c>
      <c r="Q50" s="436" t="s">
        <v>2875</v>
      </c>
      <c r="R50" s="443">
        <v>0</v>
      </c>
    </row>
    <row r="51" spans="1:18" ht="24">
      <c r="A51" s="996"/>
      <c r="B51" s="997"/>
      <c r="C51" s="437" t="s">
        <v>2943</v>
      </c>
      <c r="D51" s="437" t="s">
        <v>2944</v>
      </c>
      <c r="E51" s="437" t="s">
        <v>2928</v>
      </c>
      <c r="F51" s="438" t="s">
        <v>2875</v>
      </c>
      <c r="G51" s="438" t="s">
        <v>2875</v>
      </c>
      <c r="H51" s="438" t="s">
        <v>2875</v>
      </c>
      <c r="I51" s="438" t="s">
        <v>2875</v>
      </c>
      <c r="J51" s="441" t="s">
        <v>2875</v>
      </c>
      <c r="K51" s="441" t="s">
        <v>2875</v>
      </c>
      <c r="L51" s="441" t="s">
        <v>2875</v>
      </c>
      <c r="M51" s="441" t="s">
        <v>2875</v>
      </c>
      <c r="N51" s="442">
        <v>900</v>
      </c>
      <c r="O51" s="436" t="s">
        <v>2875</v>
      </c>
      <c r="P51" s="436" t="s">
        <v>2875</v>
      </c>
      <c r="Q51" s="436" t="s">
        <v>2875</v>
      </c>
      <c r="R51" s="443">
        <v>0</v>
      </c>
    </row>
    <row r="52" spans="1:18" ht="24">
      <c r="A52" s="996"/>
      <c r="B52" s="997"/>
      <c r="C52" s="437" t="s">
        <v>2945</v>
      </c>
      <c r="D52" s="437" t="s">
        <v>2946</v>
      </c>
      <c r="E52" s="437" t="s">
        <v>2928</v>
      </c>
      <c r="F52" s="438" t="s">
        <v>2875</v>
      </c>
      <c r="G52" s="438" t="s">
        <v>2875</v>
      </c>
      <c r="H52" s="438" t="s">
        <v>2875</v>
      </c>
      <c r="I52" s="438" t="s">
        <v>2875</v>
      </c>
      <c r="J52" s="441" t="s">
        <v>2875</v>
      </c>
      <c r="K52" s="441" t="s">
        <v>2875</v>
      </c>
      <c r="L52" s="441" t="s">
        <v>2875</v>
      </c>
      <c r="M52" s="441" t="s">
        <v>2875</v>
      </c>
      <c r="N52" s="442">
        <v>56025</v>
      </c>
      <c r="O52" s="436" t="s">
        <v>2875</v>
      </c>
      <c r="P52" s="436" t="s">
        <v>2875</v>
      </c>
      <c r="Q52" s="436" t="s">
        <v>2875</v>
      </c>
      <c r="R52" s="443">
        <v>0</v>
      </c>
    </row>
    <row r="53" spans="1:18">
      <c r="A53" s="996"/>
      <c r="B53" s="997"/>
      <c r="C53" s="437" t="s">
        <v>2947</v>
      </c>
      <c r="D53" s="437" t="s">
        <v>2948</v>
      </c>
      <c r="E53" s="437" t="s">
        <v>2928</v>
      </c>
      <c r="F53" s="438" t="s">
        <v>2875</v>
      </c>
      <c r="G53" s="438" t="s">
        <v>2875</v>
      </c>
      <c r="H53" s="438" t="s">
        <v>2875</v>
      </c>
      <c r="I53" s="438" t="s">
        <v>2875</v>
      </c>
      <c r="J53" s="441" t="s">
        <v>2875</v>
      </c>
      <c r="K53" s="441" t="s">
        <v>2875</v>
      </c>
      <c r="L53" s="441" t="s">
        <v>2875</v>
      </c>
      <c r="M53" s="441" t="s">
        <v>2875</v>
      </c>
      <c r="N53" s="442">
        <v>1260</v>
      </c>
      <c r="O53" s="436" t="s">
        <v>2875</v>
      </c>
      <c r="P53" s="436" t="s">
        <v>2875</v>
      </c>
      <c r="Q53" s="436" t="s">
        <v>2875</v>
      </c>
      <c r="R53" s="443">
        <v>0</v>
      </c>
    </row>
    <row r="54" spans="1:18" ht="24">
      <c r="A54" s="996"/>
      <c r="B54" s="997"/>
      <c r="C54" s="437" t="s">
        <v>2949</v>
      </c>
      <c r="D54" s="437" t="s">
        <v>2950</v>
      </c>
      <c r="E54" s="437" t="s">
        <v>2928</v>
      </c>
      <c r="F54" s="438" t="s">
        <v>2875</v>
      </c>
      <c r="G54" s="438" t="s">
        <v>2875</v>
      </c>
      <c r="H54" s="438" t="s">
        <v>2875</v>
      </c>
      <c r="I54" s="438" t="s">
        <v>2875</v>
      </c>
      <c r="J54" s="441" t="s">
        <v>2875</v>
      </c>
      <c r="K54" s="441" t="s">
        <v>2875</v>
      </c>
      <c r="L54" s="441" t="s">
        <v>2875</v>
      </c>
      <c r="M54" s="441" t="s">
        <v>2875</v>
      </c>
      <c r="N54" s="442">
        <v>2178</v>
      </c>
      <c r="O54" s="436" t="s">
        <v>2875</v>
      </c>
      <c r="P54" s="436" t="s">
        <v>2875</v>
      </c>
      <c r="Q54" s="436" t="s">
        <v>2875</v>
      </c>
      <c r="R54" s="443">
        <v>0</v>
      </c>
    </row>
    <row r="55" spans="1:18" ht="24">
      <c r="A55" s="996"/>
      <c r="B55" s="997"/>
      <c r="C55" s="437" t="s">
        <v>2951</v>
      </c>
      <c r="D55" s="437" t="s">
        <v>2952</v>
      </c>
      <c r="E55" s="437" t="s">
        <v>2928</v>
      </c>
      <c r="F55" s="438" t="s">
        <v>2875</v>
      </c>
      <c r="G55" s="438" t="s">
        <v>2875</v>
      </c>
      <c r="H55" s="438" t="s">
        <v>2875</v>
      </c>
      <c r="I55" s="438" t="s">
        <v>2875</v>
      </c>
      <c r="J55" s="441" t="s">
        <v>2875</v>
      </c>
      <c r="K55" s="441" t="s">
        <v>2875</v>
      </c>
      <c r="L55" s="441" t="s">
        <v>2875</v>
      </c>
      <c r="M55" s="441" t="s">
        <v>2875</v>
      </c>
      <c r="N55" s="442">
        <v>267149.38</v>
      </c>
      <c r="O55" s="436" t="s">
        <v>2875</v>
      </c>
      <c r="P55" s="436" t="s">
        <v>2875</v>
      </c>
      <c r="Q55" s="436" t="s">
        <v>2875</v>
      </c>
      <c r="R55" s="443">
        <v>0</v>
      </c>
    </row>
    <row r="56" spans="1:18" ht="24">
      <c r="A56" s="996"/>
      <c r="B56" s="997"/>
      <c r="C56" s="437" t="s">
        <v>2953</v>
      </c>
      <c r="D56" s="437" t="s">
        <v>2954</v>
      </c>
      <c r="E56" s="437" t="s">
        <v>2928</v>
      </c>
      <c r="F56" s="438" t="s">
        <v>2875</v>
      </c>
      <c r="G56" s="438" t="s">
        <v>2875</v>
      </c>
      <c r="H56" s="438" t="s">
        <v>2875</v>
      </c>
      <c r="I56" s="438" t="s">
        <v>2875</v>
      </c>
      <c r="J56" s="441" t="s">
        <v>2875</v>
      </c>
      <c r="K56" s="441" t="s">
        <v>2875</v>
      </c>
      <c r="L56" s="441" t="s">
        <v>2875</v>
      </c>
      <c r="M56" s="441" t="s">
        <v>2875</v>
      </c>
      <c r="N56" s="442">
        <v>22740</v>
      </c>
      <c r="O56" s="436" t="s">
        <v>2875</v>
      </c>
      <c r="P56" s="436" t="s">
        <v>2875</v>
      </c>
      <c r="Q56" s="436" t="s">
        <v>2875</v>
      </c>
      <c r="R56" s="443">
        <v>0</v>
      </c>
    </row>
    <row r="57" spans="1:18" ht="36">
      <c r="A57" s="996"/>
      <c r="B57" s="997"/>
      <c r="C57" s="437" t="s">
        <v>2955</v>
      </c>
      <c r="D57" s="437" t="s">
        <v>2956</v>
      </c>
      <c r="E57" s="437" t="s">
        <v>2928</v>
      </c>
      <c r="F57" s="438" t="s">
        <v>2875</v>
      </c>
      <c r="G57" s="438" t="s">
        <v>2875</v>
      </c>
      <c r="H57" s="438" t="s">
        <v>2875</v>
      </c>
      <c r="I57" s="438" t="s">
        <v>2875</v>
      </c>
      <c r="J57" s="441" t="s">
        <v>2875</v>
      </c>
      <c r="K57" s="441" t="s">
        <v>2875</v>
      </c>
      <c r="L57" s="441" t="s">
        <v>2875</v>
      </c>
      <c r="M57" s="441" t="s">
        <v>2875</v>
      </c>
      <c r="N57" s="442">
        <v>324090</v>
      </c>
      <c r="O57" s="436" t="s">
        <v>2875</v>
      </c>
      <c r="P57" s="436" t="s">
        <v>2875</v>
      </c>
      <c r="Q57" s="436" t="s">
        <v>2875</v>
      </c>
      <c r="R57" s="443">
        <v>0</v>
      </c>
    </row>
    <row r="58" spans="1:18" ht="36">
      <c r="A58" s="996"/>
      <c r="B58" s="997"/>
      <c r="C58" s="437" t="s">
        <v>2957</v>
      </c>
      <c r="D58" s="437" t="s">
        <v>2958</v>
      </c>
      <c r="E58" s="437" t="s">
        <v>2928</v>
      </c>
      <c r="F58" s="438" t="s">
        <v>2875</v>
      </c>
      <c r="G58" s="438" t="s">
        <v>2875</v>
      </c>
      <c r="H58" s="438" t="s">
        <v>2875</v>
      </c>
      <c r="I58" s="438" t="s">
        <v>2875</v>
      </c>
      <c r="J58" s="441" t="s">
        <v>2875</v>
      </c>
      <c r="K58" s="441" t="s">
        <v>2875</v>
      </c>
      <c r="L58" s="441" t="s">
        <v>2875</v>
      </c>
      <c r="M58" s="441" t="s">
        <v>2875</v>
      </c>
      <c r="N58" s="442">
        <v>19842.5</v>
      </c>
      <c r="O58" s="436" t="s">
        <v>2875</v>
      </c>
      <c r="P58" s="436" t="s">
        <v>2875</v>
      </c>
      <c r="Q58" s="436" t="s">
        <v>2875</v>
      </c>
      <c r="R58" s="443">
        <v>0</v>
      </c>
    </row>
    <row r="59" spans="1:18">
      <c r="A59" s="996"/>
      <c r="B59" s="997"/>
      <c r="C59" s="437" t="s">
        <v>1922</v>
      </c>
      <c r="D59" s="437" t="s">
        <v>2959</v>
      </c>
      <c r="E59" s="437" t="s">
        <v>2960</v>
      </c>
      <c r="F59" s="438" t="s">
        <v>2875</v>
      </c>
      <c r="G59" s="438" t="s">
        <v>2875</v>
      </c>
      <c r="H59" s="438" t="s">
        <v>2875</v>
      </c>
      <c r="I59" s="438" t="s">
        <v>2875</v>
      </c>
      <c r="J59" s="441" t="s">
        <v>2875</v>
      </c>
      <c r="K59" s="441" t="s">
        <v>2875</v>
      </c>
      <c r="L59" s="441" t="s">
        <v>2875</v>
      </c>
      <c r="M59" s="441" t="s">
        <v>2875</v>
      </c>
      <c r="N59" s="442">
        <v>4500</v>
      </c>
      <c r="O59" s="436" t="s">
        <v>2875</v>
      </c>
      <c r="P59" s="436" t="s">
        <v>2875</v>
      </c>
      <c r="Q59" s="436" t="s">
        <v>2875</v>
      </c>
      <c r="R59" s="443">
        <v>0</v>
      </c>
    </row>
    <row r="60" spans="1:18" ht="24">
      <c r="A60" s="996"/>
      <c r="B60" s="997"/>
      <c r="C60" s="437" t="s">
        <v>2961</v>
      </c>
      <c r="D60" s="437" t="s">
        <v>2962</v>
      </c>
      <c r="E60" s="437" t="s">
        <v>2960</v>
      </c>
      <c r="F60" s="438" t="s">
        <v>2875</v>
      </c>
      <c r="G60" s="438" t="s">
        <v>2875</v>
      </c>
      <c r="H60" s="438" t="s">
        <v>2875</v>
      </c>
      <c r="I60" s="438" t="s">
        <v>2875</v>
      </c>
      <c r="J60" s="441" t="s">
        <v>2875</v>
      </c>
      <c r="K60" s="441" t="s">
        <v>2875</v>
      </c>
      <c r="L60" s="441" t="s">
        <v>2875</v>
      </c>
      <c r="M60" s="441" t="s">
        <v>2875</v>
      </c>
      <c r="N60" s="442">
        <v>16000</v>
      </c>
      <c r="O60" s="436" t="s">
        <v>2875</v>
      </c>
      <c r="P60" s="436" t="s">
        <v>2875</v>
      </c>
      <c r="Q60" s="436" t="s">
        <v>2875</v>
      </c>
      <c r="R60" s="443">
        <v>0</v>
      </c>
    </row>
    <row r="61" spans="1:18">
      <c r="A61" s="996"/>
      <c r="B61" s="997"/>
      <c r="C61" s="437" t="s">
        <v>2934</v>
      </c>
      <c r="D61" s="437" t="s">
        <v>2962</v>
      </c>
      <c r="E61" s="437" t="s">
        <v>2960</v>
      </c>
      <c r="F61" s="438" t="s">
        <v>2875</v>
      </c>
      <c r="G61" s="438" t="s">
        <v>2875</v>
      </c>
      <c r="H61" s="438" t="s">
        <v>2875</v>
      </c>
      <c r="I61" s="438" t="s">
        <v>2875</v>
      </c>
      <c r="J61" s="441" t="s">
        <v>2875</v>
      </c>
      <c r="K61" s="441" t="s">
        <v>2875</v>
      </c>
      <c r="L61" s="441" t="s">
        <v>2875</v>
      </c>
      <c r="M61" s="441" t="s">
        <v>2875</v>
      </c>
      <c r="N61" s="442">
        <v>13860</v>
      </c>
      <c r="O61" s="436" t="s">
        <v>2875</v>
      </c>
      <c r="P61" s="436" t="s">
        <v>2875</v>
      </c>
      <c r="Q61" s="436" t="s">
        <v>2875</v>
      </c>
      <c r="R61" s="443">
        <v>0</v>
      </c>
    </row>
    <row r="62" spans="1:18" ht="24">
      <c r="A62" s="996"/>
      <c r="B62" s="997"/>
      <c r="C62" s="437" t="s">
        <v>2963</v>
      </c>
      <c r="D62" s="437" t="s">
        <v>2964</v>
      </c>
      <c r="E62" s="437" t="s">
        <v>2960</v>
      </c>
      <c r="F62" s="438" t="s">
        <v>2875</v>
      </c>
      <c r="G62" s="438" t="s">
        <v>2875</v>
      </c>
      <c r="H62" s="438" t="s">
        <v>2875</v>
      </c>
      <c r="I62" s="438" t="s">
        <v>2875</v>
      </c>
      <c r="J62" s="441" t="s">
        <v>2875</v>
      </c>
      <c r="K62" s="441" t="s">
        <v>2875</v>
      </c>
      <c r="L62" s="441" t="s">
        <v>2875</v>
      </c>
      <c r="M62" s="441" t="s">
        <v>2875</v>
      </c>
      <c r="N62" s="442">
        <v>145200</v>
      </c>
      <c r="O62" s="436" t="s">
        <v>2875</v>
      </c>
      <c r="P62" s="436" t="s">
        <v>2875</v>
      </c>
      <c r="Q62" s="436" t="s">
        <v>2875</v>
      </c>
      <c r="R62" s="443">
        <v>0</v>
      </c>
    </row>
    <row r="63" spans="1:18" ht="24">
      <c r="A63" s="996"/>
      <c r="B63" s="997"/>
      <c r="C63" s="437" t="s">
        <v>2937</v>
      </c>
      <c r="D63" s="437" t="s">
        <v>2965</v>
      </c>
      <c r="E63" s="437" t="s">
        <v>2960</v>
      </c>
      <c r="F63" s="438" t="s">
        <v>2875</v>
      </c>
      <c r="G63" s="438" t="s">
        <v>2875</v>
      </c>
      <c r="H63" s="438" t="s">
        <v>2875</v>
      </c>
      <c r="I63" s="438" t="s">
        <v>2875</v>
      </c>
      <c r="J63" s="441" t="s">
        <v>2875</v>
      </c>
      <c r="K63" s="441" t="s">
        <v>2875</v>
      </c>
      <c r="L63" s="441" t="s">
        <v>2875</v>
      </c>
      <c r="M63" s="441" t="s">
        <v>2875</v>
      </c>
      <c r="N63" s="442">
        <v>1500</v>
      </c>
      <c r="O63" s="436" t="s">
        <v>2875</v>
      </c>
      <c r="P63" s="436" t="s">
        <v>2875</v>
      </c>
      <c r="Q63" s="436" t="s">
        <v>2875</v>
      </c>
      <c r="R63" s="443">
        <v>0</v>
      </c>
    </row>
    <row r="64" spans="1:18" ht="48">
      <c r="A64" s="996"/>
      <c r="B64" s="997"/>
      <c r="C64" s="437" t="s">
        <v>2966</v>
      </c>
      <c r="D64" s="437" t="s">
        <v>2967</v>
      </c>
      <c r="E64" s="437" t="s">
        <v>2960</v>
      </c>
      <c r="F64" s="438" t="s">
        <v>2875</v>
      </c>
      <c r="G64" s="438" t="s">
        <v>2875</v>
      </c>
      <c r="H64" s="438" t="s">
        <v>2875</v>
      </c>
      <c r="I64" s="438" t="s">
        <v>2875</v>
      </c>
      <c r="J64" s="441" t="s">
        <v>2875</v>
      </c>
      <c r="K64" s="441" t="s">
        <v>2875</v>
      </c>
      <c r="L64" s="441" t="s">
        <v>2875</v>
      </c>
      <c r="M64" s="441" t="s">
        <v>2875</v>
      </c>
      <c r="N64" s="442">
        <v>500</v>
      </c>
      <c r="O64" s="436" t="s">
        <v>2875</v>
      </c>
      <c r="P64" s="436" t="s">
        <v>2875</v>
      </c>
      <c r="Q64" s="436" t="s">
        <v>2875</v>
      </c>
      <c r="R64" s="443">
        <v>0</v>
      </c>
    </row>
    <row r="65" spans="1:18">
      <c r="A65" s="996"/>
      <c r="B65" s="997"/>
      <c r="C65" s="437" t="s">
        <v>2941</v>
      </c>
      <c r="D65" s="437" t="s">
        <v>2968</v>
      </c>
      <c r="E65" s="437" t="s">
        <v>2960</v>
      </c>
      <c r="F65" s="438" t="s">
        <v>2875</v>
      </c>
      <c r="G65" s="438" t="s">
        <v>2875</v>
      </c>
      <c r="H65" s="438" t="s">
        <v>2875</v>
      </c>
      <c r="I65" s="438" t="s">
        <v>2875</v>
      </c>
      <c r="J65" s="441" t="s">
        <v>2875</v>
      </c>
      <c r="K65" s="441" t="s">
        <v>2875</v>
      </c>
      <c r="L65" s="441" t="s">
        <v>2875</v>
      </c>
      <c r="M65" s="441" t="s">
        <v>2875</v>
      </c>
      <c r="N65" s="442">
        <v>180000</v>
      </c>
      <c r="O65" s="436" t="s">
        <v>2875</v>
      </c>
      <c r="P65" s="436" t="s">
        <v>2875</v>
      </c>
      <c r="Q65" s="436" t="s">
        <v>2875</v>
      </c>
      <c r="R65" s="443">
        <v>0</v>
      </c>
    </row>
    <row r="66" spans="1:18" ht="24">
      <c r="A66" s="996"/>
      <c r="B66" s="997"/>
      <c r="C66" s="437" t="s">
        <v>2943</v>
      </c>
      <c r="D66" s="437" t="s">
        <v>2944</v>
      </c>
      <c r="E66" s="437" t="s">
        <v>2960</v>
      </c>
      <c r="F66" s="438" t="s">
        <v>2875</v>
      </c>
      <c r="G66" s="438" t="s">
        <v>2875</v>
      </c>
      <c r="H66" s="438" t="s">
        <v>2875</v>
      </c>
      <c r="I66" s="438" t="s">
        <v>2875</v>
      </c>
      <c r="J66" s="441" t="s">
        <v>2875</v>
      </c>
      <c r="K66" s="441" t="s">
        <v>2875</v>
      </c>
      <c r="L66" s="441" t="s">
        <v>2875</v>
      </c>
      <c r="M66" s="441" t="s">
        <v>2875</v>
      </c>
      <c r="N66" s="442">
        <v>900</v>
      </c>
      <c r="O66" s="436" t="s">
        <v>2875</v>
      </c>
      <c r="P66" s="436" t="s">
        <v>2875</v>
      </c>
      <c r="Q66" s="436" t="s">
        <v>2875</v>
      </c>
      <c r="R66" s="443">
        <v>0</v>
      </c>
    </row>
    <row r="67" spans="1:18" ht="24">
      <c r="A67" s="996"/>
      <c r="B67" s="997"/>
      <c r="C67" s="437" t="s">
        <v>2945</v>
      </c>
      <c r="D67" s="437" t="s">
        <v>2969</v>
      </c>
      <c r="E67" s="437" t="s">
        <v>2960</v>
      </c>
      <c r="F67" s="438" t="s">
        <v>2875</v>
      </c>
      <c r="G67" s="438" t="s">
        <v>2875</v>
      </c>
      <c r="H67" s="438" t="s">
        <v>2875</v>
      </c>
      <c r="I67" s="438" t="s">
        <v>2875</v>
      </c>
      <c r="J67" s="441" t="s">
        <v>2875</v>
      </c>
      <c r="K67" s="441" t="s">
        <v>2875</v>
      </c>
      <c r="L67" s="441" t="s">
        <v>2875</v>
      </c>
      <c r="M67" s="441" t="s">
        <v>2875</v>
      </c>
      <c r="N67" s="442">
        <v>35663</v>
      </c>
      <c r="O67" s="436" t="s">
        <v>2875</v>
      </c>
      <c r="P67" s="436" t="s">
        <v>2875</v>
      </c>
      <c r="Q67" s="436" t="s">
        <v>2875</v>
      </c>
      <c r="R67" s="443">
        <v>0</v>
      </c>
    </row>
    <row r="68" spans="1:18">
      <c r="A68" s="996"/>
      <c r="B68" s="997"/>
      <c r="C68" s="437" t="s">
        <v>2970</v>
      </c>
      <c r="D68" s="437" t="s">
        <v>2971</v>
      </c>
      <c r="E68" s="437" t="s">
        <v>2960</v>
      </c>
      <c r="F68" s="438" t="s">
        <v>2875</v>
      </c>
      <c r="G68" s="438" t="s">
        <v>2875</v>
      </c>
      <c r="H68" s="438" t="s">
        <v>2875</v>
      </c>
      <c r="I68" s="438" t="s">
        <v>2875</v>
      </c>
      <c r="J68" s="441" t="s">
        <v>2875</v>
      </c>
      <c r="K68" s="441" t="s">
        <v>2875</v>
      </c>
      <c r="L68" s="441" t="s">
        <v>2875</v>
      </c>
      <c r="M68" s="441" t="s">
        <v>2875</v>
      </c>
      <c r="N68" s="442">
        <v>1260</v>
      </c>
      <c r="O68" s="436" t="s">
        <v>2875</v>
      </c>
      <c r="P68" s="436" t="s">
        <v>2875</v>
      </c>
      <c r="Q68" s="436" t="s">
        <v>2875</v>
      </c>
      <c r="R68" s="443">
        <v>0</v>
      </c>
    </row>
    <row r="69" spans="1:18" ht="24">
      <c r="A69" s="996"/>
      <c r="B69" s="997"/>
      <c r="C69" s="437" t="s">
        <v>2949</v>
      </c>
      <c r="D69" s="437" t="s">
        <v>2972</v>
      </c>
      <c r="E69" s="437" t="s">
        <v>2960</v>
      </c>
      <c r="F69" s="438" t="s">
        <v>2875</v>
      </c>
      <c r="G69" s="438" t="s">
        <v>2875</v>
      </c>
      <c r="H69" s="438" t="s">
        <v>2875</v>
      </c>
      <c r="I69" s="438" t="s">
        <v>2875</v>
      </c>
      <c r="J69" s="441" t="s">
        <v>2875</v>
      </c>
      <c r="K69" s="441" t="s">
        <v>2875</v>
      </c>
      <c r="L69" s="441" t="s">
        <v>2875</v>
      </c>
      <c r="M69" s="441" t="s">
        <v>2875</v>
      </c>
      <c r="N69" s="442">
        <v>2178</v>
      </c>
      <c r="O69" s="436" t="s">
        <v>2875</v>
      </c>
      <c r="P69" s="436" t="s">
        <v>2875</v>
      </c>
      <c r="Q69" s="436" t="s">
        <v>2875</v>
      </c>
      <c r="R69" s="443">
        <v>0</v>
      </c>
    </row>
    <row r="70" spans="1:18" ht="24">
      <c r="A70" s="996"/>
      <c r="B70" s="997"/>
      <c r="C70" s="437" t="s">
        <v>2951</v>
      </c>
      <c r="D70" s="437" t="s">
        <v>2973</v>
      </c>
      <c r="E70" s="437" t="s">
        <v>2960</v>
      </c>
      <c r="F70" s="438" t="s">
        <v>2875</v>
      </c>
      <c r="G70" s="438" t="s">
        <v>2875</v>
      </c>
      <c r="H70" s="438" t="s">
        <v>2875</v>
      </c>
      <c r="I70" s="438" t="s">
        <v>2875</v>
      </c>
      <c r="J70" s="441" t="s">
        <v>2875</v>
      </c>
      <c r="K70" s="441" t="s">
        <v>2875</v>
      </c>
      <c r="L70" s="441" t="s">
        <v>2875</v>
      </c>
      <c r="M70" s="441" t="s">
        <v>2875</v>
      </c>
      <c r="N70" s="442">
        <v>276047.29000000004</v>
      </c>
      <c r="O70" s="436" t="s">
        <v>2875</v>
      </c>
      <c r="P70" s="436" t="s">
        <v>2875</v>
      </c>
      <c r="Q70" s="436" t="s">
        <v>2875</v>
      </c>
      <c r="R70" s="443">
        <v>0</v>
      </c>
    </row>
    <row r="71" spans="1:18" ht="24">
      <c r="A71" s="996"/>
      <c r="B71" s="997"/>
      <c r="C71" s="437" t="s">
        <v>2974</v>
      </c>
      <c r="D71" s="437" t="s">
        <v>2954</v>
      </c>
      <c r="E71" s="437" t="s">
        <v>2960</v>
      </c>
      <c r="F71" s="438" t="s">
        <v>2875</v>
      </c>
      <c r="G71" s="438" t="s">
        <v>2875</v>
      </c>
      <c r="H71" s="438" t="s">
        <v>2875</v>
      </c>
      <c r="I71" s="438" t="s">
        <v>2875</v>
      </c>
      <c r="J71" s="441" t="s">
        <v>2875</v>
      </c>
      <c r="K71" s="441" t="s">
        <v>2875</v>
      </c>
      <c r="L71" s="441" t="s">
        <v>2875</v>
      </c>
      <c r="M71" s="441" t="s">
        <v>2875</v>
      </c>
      <c r="N71" s="442">
        <v>22740</v>
      </c>
      <c r="O71" s="436" t="s">
        <v>2875</v>
      </c>
      <c r="P71" s="436" t="s">
        <v>2875</v>
      </c>
      <c r="Q71" s="436" t="s">
        <v>2875</v>
      </c>
      <c r="R71" s="443">
        <v>0</v>
      </c>
    </row>
    <row r="72" spans="1:18" ht="24">
      <c r="A72" s="996"/>
      <c r="B72" s="997"/>
      <c r="C72" s="437" t="s">
        <v>2975</v>
      </c>
      <c r="D72" s="437" t="s">
        <v>2976</v>
      </c>
      <c r="E72" s="437" t="s">
        <v>2960</v>
      </c>
      <c r="F72" s="438" t="s">
        <v>2875</v>
      </c>
      <c r="G72" s="438" t="s">
        <v>2875</v>
      </c>
      <c r="H72" s="438" t="s">
        <v>2875</v>
      </c>
      <c r="I72" s="438" t="s">
        <v>2875</v>
      </c>
      <c r="J72" s="441" t="s">
        <v>2875</v>
      </c>
      <c r="K72" s="441" t="s">
        <v>2875</v>
      </c>
      <c r="L72" s="441" t="s">
        <v>2875</v>
      </c>
      <c r="M72" s="441" t="s">
        <v>2875</v>
      </c>
      <c r="N72" s="442">
        <v>288412</v>
      </c>
      <c r="O72" s="436" t="s">
        <v>2875</v>
      </c>
      <c r="P72" s="436" t="s">
        <v>2875</v>
      </c>
      <c r="Q72" s="436" t="s">
        <v>2875</v>
      </c>
      <c r="R72" s="443">
        <v>0</v>
      </c>
    </row>
    <row r="73" spans="1:18" ht="36">
      <c r="A73" s="996"/>
      <c r="B73" s="997"/>
      <c r="C73" s="437" t="s">
        <v>2977</v>
      </c>
      <c r="D73" s="437" t="s">
        <v>2978</v>
      </c>
      <c r="E73" s="437" t="s">
        <v>2960</v>
      </c>
      <c r="F73" s="438" t="s">
        <v>2875</v>
      </c>
      <c r="G73" s="438" t="s">
        <v>2875</v>
      </c>
      <c r="H73" s="438" t="s">
        <v>2875</v>
      </c>
      <c r="I73" s="438" t="s">
        <v>2875</v>
      </c>
      <c r="J73" s="441" t="s">
        <v>2875</v>
      </c>
      <c r="K73" s="441" t="s">
        <v>2875</v>
      </c>
      <c r="L73" s="441" t="s">
        <v>2875</v>
      </c>
      <c r="M73" s="441" t="s">
        <v>2875</v>
      </c>
      <c r="N73" s="442">
        <v>19842.5</v>
      </c>
      <c r="O73" s="436" t="s">
        <v>2875</v>
      </c>
      <c r="P73" s="436" t="s">
        <v>2875</v>
      </c>
      <c r="Q73" s="436" t="s">
        <v>2875</v>
      </c>
      <c r="R73" s="443">
        <v>0</v>
      </c>
    </row>
    <row r="74" spans="1:18" ht="24">
      <c r="A74" s="996"/>
      <c r="B74" s="997"/>
      <c r="C74" s="437" t="s">
        <v>3693</v>
      </c>
      <c r="D74" s="437" t="s">
        <v>3694</v>
      </c>
      <c r="E74" s="437" t="s">
        <v>2928</v>
      </c>
      <c r="F74" s="438" t="s">
        <v>2875</v>
      </c>
      <c r="G74" s="438" t="s">
        <v>2875</v>
      </c>
      <c r="H74" s="438" t="s">
        <v>2875</v>
      </c>
      <c r="I74" s="438" t="s">
        <v>2875</v>
      </c>
      <c r="J74" s="441" t="s">
        <v>2875</v>
      </c>
      <c r="K74" s="441" t="s">
        <v>2875</v>
      </c>
      <c r="L74" s="441" t="s">
        <v>2875</v>
      </c>
      <c r="M74" s="441" t="s">
        <v>2875</v>
      </c>
      <c r="N74" s="442">
        <v>40000</v>
      </c>
      <c r="O74" s="436" t="s">
        <v>2875</v>
      </c>
      <c r="P74" s="436" t="s">
        <v>2875</v>
      </c>
      <c r="Q74" s="436" t="s">
        <v>2875</v>
      </c>
      <c r="R74" s="443">
        <v>0</v>
      </c>
    </row>
    <row r="75" spans="1:18" ht="24">
      <c r="A75" s="996"/>
      <c r="B75" s="997"/>
      <c r="C75" s="437" t="s">
        <v>3695</v>
      </c>
      <c r="D75" s="437" t="s">
        <v>3694</v>
      </c>
      <c r="E75" s="437" t="s">
        <v>2928</v>
      </c>
      <c r="F75" s="438" t="s">
        <v>2875</v>
      </c>
      <c r="G75" s="438" t="s">
        <v>2875</v>
      </c>
      <c r="H75" s="438" t="s">
        <v>2875</v>
      </c>
      <c r="I75" s="438" t="s">
        <v>2875</v>
      </c>
      <c r="J75" s="441" t="s">
        <v>2875</v>
      </c>
      <c r="K75" s="441" t="s">
        <v>2875</v>
      </c>
      <c r="L75" s="441" t="s">
        <v>2875</v>
      </c>
      <c r="M75" s="441" t="s">
        <v>2875</v>
      </c>
      <c r="N75" s="442">
        <v>238500</v>
      </c>
      <c r="O75" s="436" t="s">
        <v>2875</v>
      </c>
      <c r="P75" s="436" t="s">
        <v>2875</v>
      </c>
      <c r="Q75" s="436" t="s">
        <v>2875</v>
      </c>
      <c r="R75" s="443">
        <v>0</v>
      </c>
    </row>
    <row r="76" spans="1:18" ht="24">
      <c r="A76" s="996"/>
      <c r="B76" s="997"/>
      <c r="C76" s="437" t="s">
        <v>3696</v>
      </c>
      <c r="D76" s="437" t="s">
        <v>3694</v>
      </c>
      <c r="E76" s="437" t="s">
        <v>2928</v>
      </c>
      <c r="F76" s="438" t="s">
        <v>2875</v>
      </c>
      <c r="G76" s="438" t="s">
        <v>2875</v>
      </c>
      <c r="H76" s="438" t="s">
        <v>2875</v>
      </c>
      <c r="I76" s="438" t="s">
        <v>2875</v>
      </c>
      <c r="J76" s="441" t="s">
        <v>2875</v>
      </c>
      <c r="K76" s="441" t="s">
        <v>2875</v>
      </c>
      <c r="L76" s="441" t="s">
        <v>2875</v>
      </c>
      <c r="M76" s="441" t="s">
        <v>2875</v>
      </c>
      <c r="N76" s="442">
        <v>135500</v>
      </c>
      <c r="O76" s="436" t="s">
        <v>2875</v>
      </c>
      <c r="P76" s="436" t="s">
        <v>2875</v>
      </c>
      <c r="Q76" s="436" t="s">
        <v>2875</v>
      </c>
      <c r="R76" s="443">
        <v>0</v>
      </c>
    </row>
    <row r="77" spans="1:18" ht="24">
      <c r="A77" s="996"/>
      <c r="B77" s="997"/>
      <c r="C77" s="437" t="s">
        <v>3697</v>
      </c>
      <c r="D77" s="437" t="s">
        <v>3694</v>
      </c>
      <c r="E77" s="437" t="s">
        <v>2928</v>
      </c>
      <c r="F77" s="438" t="s">
        <v>2875</v>
      </c>
      <c r="G77" s="438" t="s">
        <v>2875</v>
      </c>
      <c r="H77" s="438" t="s">
        <v>2875</v>
      </c>
      <c r="I77" s="438" t="s">
        <v>2875</v>
      </c>
      <c r="J77" s="441" t="s">
        <v>2875</v>
      </c>
      <c r="K77" s="441" t="s">
        <v>2875</v>
      </c>
      <c r="L77" s="441" t="s">
        <v>2875</v>
      </c>
      <c r="M77" s="441" t="s">
        <v>2875</v>
      </c>
      <c r="N77" s="442">
        <v>230400</v>
      </c>
      <c r="O77" s="436" t="s">
        <v>2875</v>
      </c>
      <c r="P77" s="436" t="s">
        <v>2875</v>
      </c>
      <c r="Q77" s="436" t="s">
        <v>2875</v>
      </c>
      <c r="R77" s="443">
        <v>0</v>
      </c>
    </row>
    <row r="78" spans="1:18" ht="24">
      <c r="A78" s="996"/>
      <c r="B78" s="997"/>
      <c r="C78" s="437" t="s">
        <v>3698</v>
      </c>
      <c r="D78" s="437" t="s">
        <v>3694</v>
      </c>
      <c r="E78" s="437" t="s">
        <v>2928</v>
      </c>
      <c r="F78" s="438" t="s">
        <v>2875</v>
      </c>
      <c r="G78" s="438" t="s">
        <v>2875</v>
      </c>
      <c r="H78" s="438" t="s">
        <v>2875</v>
      </c>
      <c r="I78" s="438" t="s">
        <v>2875</v>
      </c>
      <c r="J78" s="441" t="s">
        <v>2875</v>
      </c>
      <c r="K78" s="441" t="s">
        <v>2875</v>
      </c>
      <c r="L78" s="441" t="s">
        <v>2875</v>
      </c>
      <c r="M78" s="441" t="s">
        <v>2875</v>
      </c>
      <c r="N78" s="442">
        <v>47040</v>
      </c>
      <c r="O78" s="436" t="s">
        <v>2875</v>
      </c>
      <c r="P78" s="436" t="s">
        <v>2875</v>
      </c>
      <c r="Q78" s="436" t="s">
        <v>2875</v>
      </c>
      <c r="R78" s="443">
        <v>0</v>
      </c>
    </row>
    <row r="79" spans="1:18" ht="24">
      <c r="A79" s="996"/>
      <c r="B79" s="997"/>
      <c r="C79" s="437" t="s">
        <v>3699</v>
      </c>
      <c r="D79" s="437" t="s">
        <v>3694</v>
      </c>
      <c r="E79" s="437" t="s">
        <v>2928</v>
      </c>
      <c r="F79" s="438" t="s">
        <v>2875</v>
      </c>
      <c r="G79" s="438" t="s">
        <v>2875</v>
      </c>
      <c r="H79" s="438" t="s">
        <v>2875</v>
      </c>
      <c r="I79" s="438" t="s">
        <v>2875</v>
      </c>
      <c r="J79" s="441" t="s">
        <v>2875</v>
      </c>
      <c r="K79" s="441" t="s">
        <v>2875</v>
      </c>
      <c r="L79" s="441" t="s">
        <v>2875</v>
      </c>
      <c r="M79" s="441" t="s">
        <v>2875</v>
      </c>
      <c r="N79" s="442">
        <v>43200</v>
      </c>
      <c r="O79" s="436" t="s">
        <v>2875</v>
      </c>
      <c r="P79" s="436" t="s">
        <v>2875</v>
      </c>
      <c r="Q79" s="436" t="s">
        <v>2875</v>
      </c>
      <c r="R79" s="443">
        <v>0</v>
      </c>
    </row>
    <row r="80" spans="1:18" ht="24">
      <c r="A80" s="996"/>
      <c r="B80" s="997"/>
      <c r="C80" s="437" t="s">
        <v>3700</v>
      </c>
      <c r="D80" s="437" t="s">
        <v>3694</v>
      </c>
      <c r="E80" s="437" t="s">
        <v>2928</v>
      </c>
      <c r="F80" s="438" t="s">
        <v>2875</v>
      </c>
      <c r="G80" s="438" t="s">
        <v>2875</v>
      </c>
      <c r="H80" s="438" t="s">
        <v>2875</v>
      </c>
      <c r="I80" s="438" t="s">
        <v>2875</v>
      </c>
      <c r="J80" s="441" t="s">
        <v>2875</v>
      </c>
      <c r="K80" s="441" t="s">
        <v>2875</v>
      </c>
      <c r="L80" s="441" t="s">
        <v>2875</v>
      </c>
      <c r="M80" s="441" t="s">
        <v>2875</v>
      </c>
      <c r="N80" s="442">
        <v>18000</v>
      </c>
      <c r="O80" s="436" t="s">
        <v>2875</v>
      </c>
      <c r="P80" s="436" t="s">
        <v>2875</v>
      </c>
      <c r="Q80" s="436" t="s">
        <v>2875</v>
      </c>
      <c r="R80" s="443">
        <v>0</v>
      </c>
    </row>
    <row r="81" spans="1:18" ht="24">
      <c r="A81" s="996"/>
      <c r="B81" s="997"/>
      <c r="C81" s="437" t="s">
        <v>3701</v>
      </c>
      <c r="D81" s="437" t="s">
        <v>3694</v>
      </c>
      <c r="E81" s="437" t="s">
        <v>2928</v>
      </c>
      <c r="F81" s="438" t="s">
        <v>2875</v>
      </c>
      <c r="G81" s="438" t="s">
        <v>2875</v>
      </c>
      <c r="H81" s="438" t="s">
        <v>2875</v>
      </c>
      <c r="I81" s="438" t="s">
        <v>2875</v>
      </c>
      <c r="J81" s="441" t="s">
        <v>2875</v>
      </c>
      <c r="K81" s="441" t="s">
        <v>2875</v>
      </c>
      <c r="L81" s="441" t="s">
        <v>2875</v>
      </c>
      <c r="M81" s="441" t="s">
        <v>2875</v>
      </c>
      <c r="N81" s="442">
        <v>51730</v>
      </c>
      <c r="O81" s="436" t="s">
        <v>2875</v>
      </c>
      <c r="P81" s="436" t="s">
        <v>2875</v>
      </c>
      <c r="Q81" s="436" t="s">
        <v>2875</v>
      </c>
      <c r="R81" s="443">
        <v>0</v>
      </c>
    </row>
    <row r="82" spans="1:18" ht="24">
      <c r="A82" s="996"/>
      <c r="B82" s="997"/>
      <c r="C82" s="437" t="s">
        <v>3702</v>
      </c>
      <c r="D82" s="437" t="s">
        <v>3694</v>
      </c>
      <c r="E82" s="437" t="s">
        <v>2928</v>
      </c>
      <c r="F82" s="438" t="s">
        <v>2875</v>
      </c>
      <c r="G82" s="438" t="s">
        <v>2875</v>
      </c>
      <c r="H82" s="438" t="s">
        <v>2875</v>
      </c>
      <c r="I82" s="438" t="s">
        <v>2875</v>
      </c>
      <c r="J82" s="441" t="s">
        <v>2875</v>
      </c>
      <c r="K82" s="441" t="s">
        <v>2875</v>
      </c>
      <c r="L82" s="441" t="s">
        <v>2875</v>
      </c>
      <c r="M82" s="441" t="s">
        <v>2875</v>
      </c>
      <c r="N82" s="442">
        <v>13500</v>
      </c>
      <c r="O82" s="436" t="s">
        <v>2875</v>
      </c>
      <c r="P82" s="436" t="s">
        <v>2875</v>
      </c>
      <c r="Q82" s="436" t="s">
        <v>2875</v>
      </c>
      <c r="R82" s="443">
        <v>0</v>
      </c>
    </row>
    <row r="83" spans="1:18" ht="24">
      <c r="A83" s="996"/>
      <c r="B83" s="997"/>
      <c r="C83" s="437" t="s">
        <v>3703</v>
      </c>
      <c r="D83" s="437" t="s">
        <v>3694</v>
      </c>
      <c r="E83" s="437" t="s">
        <v>2928</v>
      </c>
      <c r="F83" s="438" t="s">
        <v>2875</v>
      </c>
      <c r="G83" s="438" t="s">
        <v>2875</v>
      </c>
      <c r="H83" s="438" t="s">
        <v>2875</v>
      </c>
      <c r="I83" s="438" t="s">
        <v>2875</v>
      </c>
      <c r="J83" s="441" t="s">
        <v>2875</v>
      </c>
      <c r="K83" s="441" t="s">
        <v>2875</v>
      </c>
      <c r="L83" s="441" t="s">
        <v>2875</v>
      </c>
      <c r="M83" s="441" t="s">
        <v>2875</v>
      </c>
      <c r="N83" s="442">
        <v>61936</v>
      </c>
      <c r="O83" s="436" t="s">
        <v>2875</v>
      </c>
      <c r="P83" s="436" t="s">
        <v>2875</v>
      </c>
      <c r="Q83" s="436" t="s">
        <v>2875</v>
      </c>
      <c r="R83" s="443">
        <v>0</v>
      </c>
    </row>
    <row r="84" spans="1:18" ht="24">
      <c r="A84" s="996"/>
      <c r="B84" s="997"/>
      <c r="C84" s="437" t="s">
        <v>3704</v>
      </c>
      <c r="D84" s="437" t="s">
        <v>3694</v>
      </c>
      <c r="E84" s="437" t="s">
        <v>2928</v>
      </c>
      <c r="F84" s="438" t="s">
        <v>2875</v>
      </c>
      <c r="G84" s="438" t="s">
        <v>2875</v>
      </c>
      <c r="H84" s="438" t="s">
        <v>2875</v>
      </c>
      <c r="I84" s="438" t="s">
        <v>2875</v>
      </c>
      <c r="J84" s="441" t="s">
        <v>2875</v>
      </c>
      <c r="K84" s="441" t="s">
        <v>2875</v>
      </c>
      <c r="L84" s="441" t="s">
        <v>2875</v>
      </c>
      <c r="M84" s="441" t="s">
        <v>2875</v>
      </c>
      <c r="N84" s="442">
        <v>4752</v>
      </c>
      <c r="O84" s="436" t="s">
        <v>2875</v>
      </c>
      <c r="P84" s="436" t="s">
        <v>2875</v>
      </c>
      <c r="Q84" s="436" t="s">
        <v>2875</v>
      </c>
      <c r="R84" s="443">
        <v>0</v>
      </c>
    </row>
    <row r="85" spans="1:18" ht="24">
      <c r="A85" s="996"/>
      <c r="B85" s="997"/>
      <c r="C85" s="437" t="s">
        <v>3705</v>
      </c>
      <c r="D85" s="437" t="s">
        <v>3694</v>
      </c>
      <c r="E85" s="437" t="s">
        <v>2928</v>
      </c>
      <c r="F85" s="438" t="s">
        <v>2875</v>
      </c>
      <c r="G85" s="438" t="s">
        <v>2875</v>
      </c>
      <c r="H85" s="438" t="s">
        <v>2875</v>
      </c>
      <c r="I85" s="438" t="s">
        <v>2875</v>
      </c>
      <c r="J85" s="441" t="s">
        <v>2875</v>
      </c>
      <c r="K85" s="441" t="s">
        <v>2875</v>
      </c>
      <c r="L85" s="441" t="s">
        <v>2875</v>
      </c>
      <c r="M85" s="441" t="s">
        <v>2875</v>
      </c>
      <c r="N85" s="442">
        <v>250000</v>
      </c>
      <c r="O85" s="436" t="s">
        <v>2875</v>
      </c>
      <c r="P85" s="436" t="s">
        <v>2875</v>
      </c>
      <c r="Q85" s="436" t="s">
        <v>2875</v>
      </c>
      <c r="R85" s="443">
        <v>0</v>
      </c>
    </row>
    <row r="86" spans="1:18" ht="24">
      <c r="A86" s="996"/>
      <c r="B86" s="997"/>
      <c r="C86" s="437" t="s">
        <v>3706</v>
      </c>
      <c r="D86" s="437" t="s">
        <v>3694</v>
      </c>
      <c r="E86" s="437" t="s">
        <v>2928</v>
      </c>
      <c r="F86" s="438" t="s">
        <v>2875</v>
      </c>
      <c r="G86" s="438" t="s">
        <v>2875</v>
      </c>
      <c r="H86" s="438" t="s">
        <v>2875</v>
      </c>
      <c r="I86" s="438" t="s">
        <v>2875</v>
      </c>
      <c r="J86" s="441" t="s">
        <v>2875</v>
      </c>
      <c r="K86" s="441" t="s">
        <v>2875</v>
      </c>
      <c r="L86" s="441" t="s">
        <v>2875</v>
      </c>
      <c r="M86" s="441" t="s">
        <v>2875</v>
      </c>
      <c r="N86" s="442">
        <v>11400</v>
      </c>
      <c r="O86" s="436" t="s">
        <v>2875</v>
      </c>
      <c r="P86" s="436" t="s">
        <v>2875</v>
      </c>
      <c r="Q86" s="436" t="s">
        <v>2875</v>
      </c>
      <c r="R86" s="443">
        <v>0</v>
      </c>
    </row>
    <row r="87" spans="1:18" ht="24">
      <c r="A87" s="996"/>
      <c r="B87" s="997"/>
      <c r="C87" s="437" t="s">
        <v>3707</v>
      </c>
      <c r="D87" s="437" t="s">
        <v>3694</v>
      </c>
      <c r="E87" s="437" t="s">
        <v>2928</v>
      </c>
      <c r="F87" s="438" t="s">
        <v>2875</v>
      </c>
      <c r="G87" s="438" t="s">
        <v>2875</v>
      </c>
      <c r="H87" s="438" t="s">
        <v>2875</v>
      </c>
      <c r="I87" s="438" t="s">
        <v>2875</v>
      </c>
      <c r="J87" s="441" t="s">
        <v>2875</v>
      </c>
      <c r="K87" s="441" t="s">
        <v>2875</v>
      </c>
      <c r="L87" s="441" t="s">
        <v>2875</v>
      </c>
      <c r="M87" s="441" t="s">
        <v>2875</v>
      </c>
      <c r="N87" s="442">
        <v>11160</v>
      </c>
      <c r="O87" s="436" t="s">
        <v>2875</v>
      </c>
      <c r="P87" s="436" t="s">
        <v>2875</v>
      </c>
      <c r="Q87" s="436" t="s">
        <v>2875</v>
      </c>
      <c r="R87" s="443">
        <v>0</v>
      </c>
    </row>
    <row r="88" spans="1:18">
      <c r="A88" s="350"/>
      <c r="B88" s="351" t="s">
        <v>2918</v>
      </c>
      <c r="C88" s="351"/>
      <c r="D88" s="351"/>
      <c r="E88" s="373"/>
      <c r="F88" s="374"/>
      <c r="G88" s="374"/>
      <c r="H88" s="374"/>
      <c r="I88" s="374"/>
      <c r="J88" s="374"/>
      <c r="K88" s="354"/>
      <c r="L88" s="354"/>
      <c r="M88" s="355"/>
      <c r="N88" s="356">
        <f>SUM(N42:N87)</f>
        <v>4100426.67</v>
      </c>
      <c r="O88" s="354"/>
      <c r="P88" s="354"/>
      <c r="Q88" s="354"/>
      <c r="R88" s="356">
        <f>SUM(R42:R87)</f>
        <v>0</v>
      </c>
    </row>
    <row r="89" spans="1:18">
      <c r="A89" s="998">
        <v>5</v>
      </c>
      <c r="B89" s="1000" t="s">
        <v>564</v>
      </c>
      <c r="C89" s="444" t="s">
        <v>3708</v>
      </c>
      <c r="D89" s="444" t="s">
        <v>3709</v>
      </c>
      <c r="E89" s="444" t="s">
        <v>61</v>
      </c>
      <c r="F89" s="432" t="s">
        <v>935</v>
      </c>
      <c r="G89" s="432" t="s">
        <v>3710</v>
      </c>
      <c r="H89" s="432" t="s">
        <v>936</v>
      </c>
      <c r="I89" s="432" t="s">
        <v>928</v>
      </c>
      <c r="J89" s="432" t="s">
        <v>3406</v>
      </c>
      <c r="K89" s="432" t="s">
        <v>3131</v>
      </c>
      <c r="L89" s="445">
        <v>250000</v>
      </c>
      <c r="M89" s="445"/>
      <c r="N89" s="445">
        <v>250000</v>
      </c>
      <c r="O89" s="432" t="s">
        <v>2877</v>
      </c>
      <c r="P89" s="432" t="s">
        <v>2877</v>
      </c>
      <c r="Q89" s="432" t="s">
        <v>2877</v>
      </c>
      <c r="R89" s="445">
        <v>0</v>
      </c>
    </row>
    <row r="90" spans="1:18">
      <c r="A90" s="998"/>
      <c r="B90" s="1000"/>
      <c r="C90" s="444" t="s">
        <v>3711</v>
      </c>
      <c r="D90" s="444" t="s">
        <v>3712</v>
      </c>
      <c r="E90" s="444" t="s">
        <v>3713</v>
      </c>
      <c r="F90" s="432" t="s">
        <v>3713</v>
      </c>
      <c r="G90" s="432" t="s">
        <v>3714</v>
      </c>
      <c r="H90" s="432" t="s">
        <v>936</v>
      </c>
      <c r="I90" s="432" t="s">
        <v>937</v>
      </c>
      <c r="J90" s="432" t="s">
        <v>3120</v>
      </c>
      <c r="K90" s="432" t="s">
        <v>840</v>
      </c>
      <c r="L90" s="445">
        <v>410000</v>
      </c>
      <c r="M90" s="445"/>
      <c r="N90" s="445">
        <v>410000</v>
      </c>
      <c r="O90" s="432" t="s">
        <v>2877</v>
      </c>
      <c r="P90" s="432" t="s">
        <v>2877</v>
      </c>
      <c r="Q90" s="432" t="s">
        <v>2877</v>
      </c>
      <c r="R90" s="445">
        <v>0</v>
      </c>
    </row>
    <row r="91" spans="1:18">
      <c r="A91" s="998"/>
      <c r="B91" s="1000"/>
      <c r="C91" s="444" t="s">
        <v>3715</v>
      </c>
      <c r="D91" s="444" t="s">
        <v>3716</v>
      </c>
      <c r="E91" s="444" t="s">
        <v>935</v>
      </c>
      <c r="F91" s="432" t="s">
        <v>935</v>
      </c>
      <c r="G91" s="432" t="s">
        <v>936</v>
      </c>
      <c r="H91" s="432" t="s">
        <v>936</v>
      </c>
      <c r="I91" s="432" t="s">
        <v>937</v>
      </c>
      <c r="J91" s="432" t="s">
        <v>3406</v>
      </c>
      <c r="K91" s="432" t="s">
        <v>3131</v>
      </c>
      <c r="L91" s="445">
        <v>210000</v>
      </c>
      <c r="M91" s="445"/>
      <c r="N91" s="445">
        <v>210000</v>
      </c>
      <c r="O91" s="446" t="s">
        <v>2877</v>
      </c>
      <c r="P91" s="432" t="s">
        <v>2877</v>
      </c>
      <c r="Q91" s="432" t="s">
        <v>2877</v>
      </c>
      <c r="R91" s="445">
        <v>0</v>
      </c>
    </row>
    <row r="92" spans="1:18">
      <c r="A92" s="350"/>
      <c r="B92" s="351" t="s">
        <v>3025</v>
      </c>
      <c r="C92" s="351"/>
      <c r="D92" s="351"/>
      <c r="E92" s="373"/>
      <c r="F92" s="374"/>
      <c r="G92" s="374"/>
      <c r="H92" s="374"/>
      <c r="I92" s="374"/>
      <c r="J92" s="374"/>
      <c r="K92" s="354"/>
      <c r="L92" s="354"/>
      <c r="M92" s="355"/>
      <c r="N92" s="356">
        <f>SUM(N89:N91)</f>
        <v>870000</v>
      </c>
      <c r="O92" s="354"/>
      <c r="P92" s="354"/>
      <c r="Q92" s="354"/>
      <c r="R92" s="356">
        <f>SUM(R89:R91)</f>
        <v>0</v>
      </c>
    </row>
    <row r="93" spans="1:18">
      <c r="A93" s="996">
        <v>6</v>
      </c>
      <c r="B93" s="997" t="s">
        <v>590</v>
      </c>
      <c r="C93" s="447" t="s">
        <v>3717</v>
      </c>
      <c r="D93" s="447" t="s">
        <v>852</v>
      </c>
      <c r="E93" s="447" t="s">
        <v>2875</v>
      </c>
      <c r="F93" s="436" t="s">
        <v>3718</v>
      </c>
      <c r="G93" s="447" t="s">
        <v>2875</v>
      </c>
      <c r="H93" s="447" t="s">
        <v>2875</v>
      </c>
      <c r="I93" s="436" t="s">
        <v>3719</v>
      </c>
      <c r="J93" s="447" t="s">
        <v>2875</v>
      </c>
      <c r="K93" s="447" t="s">
        <v>2875</v>
      </c>
      <c r="L93" s="447" t="s">
        <v>2875</v>
      </c>
      <c r="M93" s="447" t="s">
        <v>2875</v>
      </c>
      <c r="N93" s="442">
        <v>391290.33</v>
      </c>
      <c r="O93" s="436" t="s">
        <v>2877</v>
      </c>
      <c r="P93" s="436" t="s">
        <v>2877</v>
      </c>
      <c r="Q93" s="436" t="s">
        <v>2877</v>
      </c>
      <c r="R93" s="442">
        <v>0</v>
      </c>
    </row>
    <row r="94" spans="1:18">
      <c r="A94" s="996"/>
      <c r="B94" s="997"/>
      <c r="C94" s="447" t="s">
        <v>3720</v>
      </c>
      <c r="D94" s="447" t="s">
        <v>852</v>
      </c>
      <c r="E94" s="447" t="s">
        <v>2875</v>
      </c>
      <c r="F94" s="436" t="s">
        <v>3718</v>
      </c>
      <c r="G94" s="447" t="s">
        <v>2875</v>
      </c>
      <c r="H94" s="447" t="s">
        <v>2875</v>
      </c>
      <c r="I94" s="436" t="s">
        <v>3721</v>
      </c>
      <c r="J94" s="447" t="s">
        <v>2875</v>
      </c>
      <c r="K94" s="447" t="s">
        <v>2875</v>
      </c>
      <c r="L94" s="447" t="s">
        <v>2875</v>
      </c>
      <c r="M94" s="447" t="s">
        <v>2875</v>
      </c>
      <c r="N94" s="442">
        <v>70874.83</v>
      </c>
      <c r="O94" s="436" t="s">
        <v>2877</v>
      </c>
      <c r="P94" s="436" t="s">
        <v>2877</v>
      </c>
      <c r="Q94" s="436" t="s">
        <v>2877</v>
      </c>
      <c r="R94" s="442">
        <v>0</v>
      </c>
    </row>
    <row r="95" spans="1:18">
      <c r="A95" s="996"/>
      <c r="B95" s="997"/>
      <c r="C95" s="447" t="s">
        <v>3722</v>
      </c>
      <c r="D95" s="447" t="s">
        <v>852</v>
      </c>
      <c r="E95" s="447" t="s">
        <v>2875</v>
      </c>
      <c r="F95" s="436" t="s">
        <v>3718</v>
      </c>
      <c r="G95" s="447" t="s">
        <v>2875</v>
      </c>
      <c r="H95" s="447" t="s">
        <v>2875</v>
      </c>
      <c r="I95" s="436" t="s">
        <v>3721</v>
      </c>
      <c r="J95" s="447" t="s">
        <v>2875</v>
      </c>
      <c r="K95" s="447" t="s">
        <v>2875</v>
      </c>
      <c r="L95" s="447" t="s">
        <v>2875</v>
      </c>
      <c r="M95" s="447" t="s">
        <v>2875</v>
      </c>
      <c r="N95" s="442">
        <v>37082</v>
      </c>
      <c r="O95" s="436" t="s">
        <v>2877</v>
      </c>
      <c r="P95" s="436" t="s">
        <v>2877</v>
      </c>
      <c r="Q95" s="436" t="s">
        <v>2877</v>
      </c>
      <c r="R95" s="442">
        <v>0</v>
      </c>
    </row>
    <row r="96" spans="1:18">
      <c r="A96" s="996"/>
      <c r="B96" s="997"/>
      <c r="C96" s="447" t="s">
        <v>3723</v>
      </c>
      <c r="D96" s="447" t="s">
        <v>852</v>
      </c>
      <c r="E96" s="447" t="s">
        <v>2875</v>
      </c>
      <c r="F96" s="436" t="s">
        <v>3718</v>
      </c>
      <c r="G96" s="447" t="s">
        <v>2875</v>
      </c>
      <c r="H96" s="447" t="s">
        <v>2875</v>
      </c>
      <c r="I96" s="436" t="s">
        <v>3721</v>
      </c>
      <c r="J96" s="447" t="s">
        <v>2875</v>
      </c>
      <c r="K96" s="447" t="s">
        <v>2875</v>
      </c>
      <c r="L96" s="447" t="s">
        <v>2875</v>
      </c>
      <c r="M96" s="447" t="s">
        <v>2875</v>
      </c>
      <c r="N96" s="442">
        <v>84513.07</v>
      </c>
      <c r="O96" s="436" t="s">
        <v>2877</v>
      </c>
      <c r="P96" s="436" t="s">
        <v>2877</v>
      </c>
      <c r="Q96" s="436" t="s">
        <v>2877</v>
      </c>
      <c r="R96" s="442">
        <v>0</v>
      </c>
    </row>
    <row r="97" spans="1:18">
      <c r="A97" s="996"/>
      <c r="B97" s="997"/>
      <c r="C97" s="447" t="s">
        <v>3724</v>
      </c>
      <c r="D97" s="447" t="s">
        <v>852</v>
      </c>
      <c r="E97" s="447" t="s">
        <v>2875</v>
      </c>
      <c r="F97" s="436" t="s">
        <v>3718</v>
      </c>
      <c r="G97" s="447" t="s">
        <v>2875</v>
      </c>
      <c r="H97" s="447" t="s">
        <v>2875</v>
      </c>
      <c r="I97" s="436" t="s">
        <v>3721</v>
      </c>
      <c r="J97" s="447" t="s">
        <v>2875</v>
      </c>
      <c r="K97" s="447" t="s">
        <v>2875</v>
      </c>
      <c r="L97" s="447" t="s">
        <v>2875</v>
      </c>
      <c r="M97" s="447" t="s">
        <v>2875</v>
      </c>
      <c r="N97" s="442">
        <v>57478.720000000001</v>
      </c>
      <c r="O97" s="436" t="s">
        <v>2877</v>
      </c>
      <c r="P97" s="436" t="s">
        <v>2877</v>
      </c>
      <c r="Q97" s="436" t="s">
        <v>2877</v>
      </c>
      <c r="R97" s="442">
        <v>0</v>
      </c>
    </row>
    <row r="98" spans="1:18">
      <c r="A98" s="996"/>
      <c r="B98" s="997"/>
      <c r="C98" s="447" t="s">
        <v>3725</v>
      </c>
      <c r="D98" s="447" t="s">
        <v>852</v>
      </c>
      <c r="E98" s="447" t="s">
        <v>2875</v>
      </c>
      <c r="F98" s="436" t="s">
        <v>3718</v>
      </c>
      <c r="G98" s="447" t="s">
        <v>2875</v>
      </c>
      <c r="H98" s="447" t="s">
        <v>2875</v>
      </c>
      <c r="I98" s="436" t="s">
        <v>928</v>
      </c>
      <c r="J98" s="447" t="s">
        <v>2875</v>
      </c>
      <c r="K98" s="447" t="s">
        <v>2875</v>
      </c>
      <c r="L98" s="447" t="s">
        <v>2875</v>
      </c>
      <c r="M98" s="447" t="s">
        <v>2875</v>
      </c>
      <c r="N98" s="442">
        <v>34900</v>
      </c>
      <c r="O98" s="436" t="s">
        <v>2877</v>
      </c>
      <c r="P98" s="436" t="s">
        <v>2877</v>
      </c>
      <c r="Q98" s="436" t="s">
        <v>2877</v>
      </c>
      <c r="R98" s="442">
        <v>0</v>
      </c>
    </row>
    <row r="99" spans="1:18">
      <c r="A99" s="350"/>
      <c r="B99" s="351" t="s">
        <v>3726</v>
      </c>
      <c r="C99" s="351"/>
      <c r="D99" s="351"/>
      <c r="E99" s="373"/>
      <c r="F99" s="374"/>
      <c r="G99" s="374"/>
      <c r="H99" s="374"/>
      <c r="I99" s="374"/>
      <c r="J99" s="374"/>
      <c r="K99" s="354"/>
      <c r="L99" s="354"/>
      <c r="M99" s="355"/>
      <c r="N99" s="356">
        <f>SUM(N93:N98)</f>
        <v>676138.95</v>
      </c>
      <c r="O99" s="354"/>
      <c r="P99" s="354"/>
      <c r="Q99" s="354"/>
      <c r="R99" s="356">
        <f>SUM(R93:R98)</f>
        <v>0</v>
      </c>
    </row>
    <row r="100" spans="1:18">
      <c r="A100" s="998">
        <v>7</v>
      </c>
      <c r="B100" s="1000" t="s">
        <v>74</v>
      </c>
      <c r="C100" s="444" t="s">
        <v>939</v>
      </c>
      <c r="D100" s="444" t="s">
        <v>2875</v>
      </c>
      <c r="E100" s="444" t="s">
        <v>940</v>
      </c>
      <c r="F100" s="432" t="s">
        <v>61</v>
      </c>
      <c r="G100" s="432" t="s">
        <v>941</v>
      </c>
      <c r="H100" s="444" t="s">
        <v>2875</v>
      </c>
      <c r="I100" s="432" t="s">
        <v>934</v>
      </c>
      <c r="J100" s="432" t="s">
        <v>2875</v>
      </c>
      <c r="K100" s="432" t="s">
        <v>2875</v>
      </c>
      <c r="L100" s="432" t="s">
        <v>2875</v>
      </c>
      <c r="M100" s="445">
        <v>20616</v>
      </c>
      <c r="N100" s="445">
        <v>20616</v>
      </c>
      <c r="O100" s="445" t="s">
        <v>2877</v>
      </c>
      <c r="P100" s="432" t="s">
        <v>2877</v>
      </c>
      <c r="Q100" s="432" t="s">
        <v>2877</v>
      </c>
      <c r="R100" s="445">
        <v>0</v>
      </c>
    </row>
    <row r="101" spans="1:18">
      <c r="A101" s="998"/>
      <c r="B101" s="1000"/>
      <c r="C101" s="444" t="s">
        <v>942</v>
      </c>
      <c r="D101" s="444" t="s">
        <v>2875</v>
      </c>
      <c r="E101" s="444" t="s">
        <v>940</v>
      </c>
      <c r="F101" s="432" t="s">
        <v>61</v>
      </c>
      <c r="G101" s="432" t="s">
        <v>941</v>
      </c>
      <c r="H101" s="444" t="s">
        <v>2875</v>
      </c>
      <c r="I101" s="432" t="s">
        <v>934</v>
      </c>
      <c r="J101" s="432" t="s">
        <v>2875</v>
      </c>
      <c r="K101" s="432" t="s">
        <v>2875</v>
      </c>
      <c r="L101" s="432" t="s">
        <v>2875</v>
      </c>
      <c r="M101" s="445">
        <v>20616</v>
      </c>
      <c r="N101" s="445">
        <v>20616</v>
      </c>
      <c r="O101" s="445" t="s">
        <v>2877</v>
      </c>
      <c r="P101" s="432" t="s">
        <v>2877</v>
      </c>
      <c r="Q101" s="432" t="s">
        <v>2877</v>
      </c>
      <c r="R101" s="445">
        <v>0</v>
      </c>
    </row>
    <row r="102" spans="1:18">
      <c r="A102" s="998"/>
      <c r="B102" s="1000"/>
      <c r="C102" s="444" t="s">
        <v>943</v>
      </c>
      <c r="D102" s="444" t="s">
        <v>2875</v>
      </c>
      <c r="E102" s="444" t="s">
        <v>940</v>
      </c>
      <c r="F102" s="432" t="s">
        <v>61</v>
      </c>
      <c r="G102" s="432" t="s">
        <v>941</v>
      </c>
      <c r="H102" s="444" t="s">
        <v>2875</v>
      </c>
      <c r="I102" s="432" t="s">
        <v>934</v>
      </c>
      <c r="J102" s="432" t="s">
        <v>2875</v>
      </c>
      <c r="K102" s="432" t="s">
        <v>2875</v>
      </c>
      <c r="L102" s="432" t="s">
        <v>2875</v>
      </c>
      <c r="M102" s="445">
        <v>29376</v>
      </c>
      <c r="N102" s="445">
        <v>29376</v>
      </c>
      <c r="O102" s="445" t="s">
        <v>2877</v>
      </c>
      <c r="P102" s="432" t="s">
        <v>2877</v>
      </c>
      <c r="Q102" s="432" t="s">
        <v>2877</v>
      </c>
      <c r="R102" s="445">
        <v>0</v>
      </c>
    </row>
    <row r="103" spans="1:18">
      <c r="A103" s="998"/>
      <c r="B103" s="1000"/>
      <c r="C103" s="444" t="s">
        <v>944</v>
      </c>
      <c r="D103" s="444" t="s">
        <v>2875</v>
      </c>
      <c r="E103" s="444" t="s">
        <v>945</v>
      </c>
      <c r="F103" s="432" t="s">
        <v>911</v>
      </c>
      <c r="G103" s="432" t="s">
        <v>941</v>
      </c>
      <c r="H103" s="444" t="s">
        <v>2875</v>
      </c>
      <c r="I103" s="432" t="s">
        <v>934</v>
      </c>
      <c r="J103" s="432" t="s">
        <v>2875</v>
      </c>
      <c r="K103" s="432" t="s">
        <v>2875</v>
      </c>
      <c r="L103" s="432" t="s">
        <v>2875</v>
      </c>
      <c r="M103" s="445">
        <v>76684</v>
      </c>
      <c r="N103" s="445">
        <v>76684</v>
      </c>
      <c r="O103" s="445" t="s">
        <v>2877</v>
      </c>
      <c r="P103" s="446" t="s">
        <v>2877</v>
      </c>
      <c r="Q103" s="432" t="s">
        <v>2877</v>
      </c>
      <c r="R103" s="445">
        <v>0</v>
      </c>
    </row>
    <row r="104" spans="1:18">
      <c r="A104" s="350"/>
      <c r="B104" s="351" t="s">
        <v>3072</v>
      </c>
      <c r="C104" s="351"/>
      <c r="D104" s="351"/>
      <c r="E104" s="373"/>
      <c r="F104" s="374"/>
      <c r="G104" s="374"/>
      <c r="H104" s="374"/>
      <c r="I104" s="374"/>
      <c r="J104" s="374"/>
      <c r="K104" s="354"/>
      <c r="L104" s="354"/>
      <c r="M104" s="355"/>
      <c r="N104" s="356">
        <f>SUM(N100:N103)</f>
        <v>147292</v>
      </c>
      <c r="O104" s="354"/>
      <c r="P104" s="354"/>
      <c r="Q104" s="354"/>
      <c r="R104" s="356">
        <f>SUM(R100:R103)</f>
        <v>0</v>
      </c>
    </row>
    <row r="105" spans="1:18">
      <c r="A105" s="996">
        <v>8</v>
      </c>
      <c r="B105" s="997" t="s">
        <v>630</v>
      </c>
      <c r="C105" s="447" t="s">
        <v>3727</v>
      </c>
      <c r="D105" s="447" t="s">
        <v>3728</v>
      </c>
      <c r="E105" s="447" t="s">
        <v>61</v>
      </c>
      <c r="F105" s="436" t="s">
        <v>2875</v>
      </c>
      <c r="G105" s="436" t="s">
        <v>3729</v>
      </c>
      <c r="H105" s="436" t="s">
        <v>2875</v>
      </c>
      <c r="I105" s="436" t="s">
        <v>2875</v>
      </c>
      <c r="J105" s="436" t="s">
        <v>2875</v>
      </c>
      <c r="K105" s="436" t="s">
        <v>2875</v>
      </c>
      <c r="L105" s="442">
        <v>18000</v>
      </c>
      <c r="M105" s="442">
        <v>0</v>
      </c>
      <c r="N105" s="442">
        <v>18000</v>
      </c>
      <c r="O105" s="436" t="s">
        <v>2877</v>
      </c>
      <c r="P105" s="436" t="s">
        <v>2877</v>
      </c>
      <c r="Q105" s="436" t="s">
        <v>2877</v>
      </c>
      <c r="R105" s="442">
        <v>0</v>
      </c>
    </row>
    <row r="106" spans="1:18">
      <c r="A106" s="996"/>
      <c r="B106" s="997"/>
      <c r="C106" s="447" t="s">
        <v>3730</v>
      </c>
      <c r="D106" s="447" t="s">
        <v>3731</v>
      </c>
      <c r="E106" s="447" t="s">
        <v>3732</v>
      </c>
      <c r="F106" s="436" t="s">
        <v>854</v>
      </c>
      <c r="G106" s="436" t="s">
        <v>3733</v>
      </c>
      <c r="H106" s="436" t="s">
        <v>3734</v>
      </c>
      <c r="I106" s="436" t="s">
        <v>2875</v>
      </c>
      <c r="J106" s="436" t="s">
        <v>2875</v>
      </c>
      <c r="K106" s="436" t="s">
        <v>2875</v>
      </c>
      <c r="L106" s="442">
        <v>7320</v>
      </c>
      <c r="M106" s="442">
        <v>0</v>
      </c>
      <c r="N106" s="442">
        <v>7320</v>
      </c>
      <c r="O106" s="436" t="s">
        <v>2877</v>
      </c>
      <c r="P106" s="436" t="s">
        <v>2877</v>
      </c>
      <c r="Q106" s="436" t="s">
        <v>2877</v>
      </c>
      <c r="R106" s="442">
        <v>0</v>
      </c>
    </row>
    <row r="107" spans="1:18">
      <c r="A107" s="996"/>
      <c r="B107" s="997"/>
      <c r="C107" s="447" t="s">
        <v>3735</v>
      </c>
      <c r="D107" s="447" t="s">
        <v>3736</v>
      </c>
      <c r="E107" s="447" t="s">
        <v>3732</v>
      </c>
      <c r="F107" s="436" t="s">
        <v>854</v>
      </c>
      <c r="G107" s="436" t="s">
        <v>3733</v>
      </c>
      <c r="H107" s="436" t="s">
        <v>3737</v>
      </c>
      <c r="I107" s="436" t="s">
        <v>2875</v>
      </c>
      <c r="J107" s="436" t="s">
        <v>2875</v>
      </c>
      <c r="K107" s="436" t="s">
        <v>2875</v>
      </c>
      <c r="L107" s="442">
        <v>27561.599999999999</v>
      </c>
      <c r="M107" s="442">
        <v>0</v>
      </c>
      <c r="N107" s="442">
        <v>27561.599999999999</v>
      </c>
      <c r="O107" s="436" t="s">
        <v>2877</v>
      </c>
      <c r="P107" s="436" t="s">
        <v>2877</v>
      </c>
      <c r="Q107" s="436" t="s">
        <v>2877</v>
      </c>
      <c r="R107" s="442">
        <v>0</v>
      </c>
    </row>
    <row r="108" spans="1:18">
      <c r="A108" s="996"/>
      <c r="B108" s="997"/>
      <c r="C108" s="447" t="s">
        <v>3738</v>
      </c>
      <c r="D108" s="447" t="s">
        <v>3734</v>
      </c>
      <c r="E108" s="447" t="s">
        <v>3732</v>
      </c>
      <c r="F108" s="436" t="s">
        <v>854</v>
      </c>
      <c r="G108" s="436" t="s">
        <v>3733</v>
      </c>
      <c r="H108" s="436" t="s">
        <v>3734</v>
      </c>
      <c r="I108" s="436" t="s">
        <v>3739</v>
      </c>
      <c r="J108" s="436" t="s">
        <v>2875</v>
      </c>
      <c r="K108" s="436" t="s">
        <v>2875</v>
      </c>
      <c r="L108" s="442">
        <v>36600</v>
      </c>
      <c r="M108" s="442">
        <v>0</v>
      </c>
      <c r="N108" s="442">
        <v>36600</v>
      </c>
      <c r="O108" s="436" t="s">
        <v>2877</v>
      </c>
      <c r="P108" s="436" t="s">
        <v>2877</v>
      </c>
      <c r="Q108" s="436" t="s">
        <v>2877</v>
      </c>
      <c r="R108" s="442">
        <v>0</v>
      </c>
    </row>
    <row r="109" spans="1:18">
      <c r="A109" s="996"/>
      <c r="B109" s="997"/>
      <c r="C109" s="447" t="s">
        <v>3740</v>
      </c>
      <c r="D109" s="447" t="s">
        <v>2875</v>
      </c>
      <c r="E109" s="447" t="s">
        <v>2875</v>
      </c>
      <c r="F109" s="436" t="s">
        <v>2875</v>
      </c>
      <c r="G109" s="436" t="s">
        <v>2875</v>
      </c>
      <c r="H109" s="436" t="s">
        <v>2875</v>
      </c>
      <c r="I109" s="436" t="s">
        <v>3741</v>
      </c>
      <c r="J109" s="436" t="s">
        <v>2875</v>
      </c>
      <c r="K109" s="436" t="s">
        <v>2875</v>
      </c>
      <c r="L109" s="442">
        <v>134765.84</v>
      </c>
      <c r="M109" s="442">
        <v>0</v>
      </c>
      <c r="N109" s="442">
        <v>134765.84</v>
      </c>
      <c r="O109" s="436" t="s">
        <v>2877</v>
      </c>
      <c r="P109" s="436" t="s">
        <v>2877</v>
      </c>
      <c r="Q109" s="436" t="s">
        <v>2877</v>
      </c>
      <c r="R109" s="442">
        <v>0</v>
      </c>
    </row>
    <row r="110" spans="1:18">
      <c r="A110" s="350"/>
      <c r="B110" s="351" t="s">
        <v>3535</v>
      </c>
      <c r="C110" s="351"/>
      <c r="D110" s="351"/>
      <c r="E110" s="373"/>
      <c r="F110" s="374"/>
      <c r="G110" s="374"/>
      <c r="H110" s="374"/>
      <c r="I110" s="374"/>
      <c r="J110" s="374"/>
      <c r="K110" s="354"/>
      <c r="L110" s="354"/>
      <c r="M110" s="355"/>
      <c r="N110" s="356">
        <f>SUM(N105:N109)</f>
        <v>224247.44</v>
      </c>
      <c r="O110" s="354"/>
      <c r="P110" s="354"/>
      <c r="Q110" s="354"/>
      <c r="R110" s="356">
        <f>SUM(R105:R109)</f>
        <v>0</v>
      </c>
    </row>
    <row r="111" spans="1:18" ht="26.5" customHeight="1">
      <c r="A111" s="432">
        <v>9</v>
      </c>
      <c r="B111" s="433" t="s">
        <v>651</v>
      </c>
      <c r="C111" s="433" t="s">
        <v>3742</v>
      </c>
      <c r="D111" s="433" t="s">
        <v>2875</v>
      </c>
      <c r="E111" s="444" t="s">
        <v>2875</v>
      </c>
      <c r="F111" s="432" t="s">
        <v>2875</v>
      </c>
      <c r="G111" s="432" t="s">
        <v>2875</v>
      </c>
      <c r="H111" s="432" t="s">
        <v>2875</v>
      </c>
      <c r="I111" s="432" t="s">
        <v>2875</v>
      </c>
      <c r="J111" s="432" t="s">
        <v>2875</v>
      </c>
      <c r="K111" s="432" t="s">
        <v>2875</v>
      </c>
      <c r="L111" s="432" t="s">
        <v>2875</v>
      </c>
      <c r="M111" s="445">
        <v>126919</v>
      </c>
      <c r="N111" s="445">
        <v>126919</v>
      </c>
      <c r="O111" s="445" t="s">
        <v>2877</v>
      </c>
      <c r="P111" s="432" t="s">
        <v>2877</v>
      </c>
      <c r="Q111" s="432" t="s">
        <v>2877</v>
      </c>
      <c r="R111" s="445">
        <v>0</v>
      </c>
    </row>
    <row r="112" spans="1:18">
      <c r="A112" s="350"/>
      <c r="B112" s="351" t="s">
        <v>3575</v>
      </c>
      <c r="C112" s="351"/>
      <c r="D112" s="351"/>
      <c r="E112" s="373"/>
      <c r="F112" s="374"/>
      <c r="G112" s="374"/>
      <c r="H112" s="374"/>
      <c r="I112" s="374"/>
      <c r="J112" s="374"/>
      <c r="K112" s="354"/>
      <c r="L112" s="354"/>
      <c r="M112" s="355"/>
      <c r="N112" s="356">
        <f>+N111</f>
        <v>126919</v>
      </c>
      <c r="O112" s="354"/>
      <c r="P112" s="354"/>
      <c r="Q112" s="354"/>
      <c r="R112" s="356">
        <f>+R111</f>
        <v>0</v>
      </c>
    </row>
    <row r="113" spans="1:18" ht="24">
      <c r="A113" s="996">
        <v>10</v>
      </c>
      <c r="B113" s="997" t="s">
        <v>2761</v>
      </c>
      <c r="C113" s="437" t="s">
        <v>3743</v>
      </c>
      <c r="D113" s="437" t="s">
        <v>3103</v>
      </c>
      <c r="E113" s="437" t="s">
        <v>3100</v>
      </c>
      <c r="F113" s="438" t="s">
        <v>3103</v>
      </c>
      <c r="G113" s="436" t="s">
        <v>2875</v>
      </c>
      <c r="H113" s="436" t="s">
        <v>2875</v>
      </c>
      <c r="I113" s="436" t="s">
        <v>2875</v>
      </c>
      <c r="J113" s="436" t="s">
        <v>2877</v>
      </c>
      <c r="K113" s="436" t="s">
        <v>2877</v>
      </c>
      <c r="L113" s="436" t="s">
        <v>2877</v>
      </c>
      <c r="M113" s="436" t="s">
        <v>2877</v>
      </c>
      <c r="N113" s="442">
        <v>0</v>
      </c>
      <c r="O113" s="442" t="s">
        <v>3316</v>
      </c>
      <c r="P113" s="436" t="s">
        <v>3744</v>
      </c>
      <c r="Q113" s="442">
        <v>10000</v>
      </c>
      <c r="R113" s="442">
        <v>15000</v>
      </c>
    </row>
    <row r="114" spans="1:18" ht="24">
      <c r="A114" s="996"/>
      <c r="B114" s="997"/>
      <c r="C114" s="437" t="s">
        <v>3745</v>
      </c>
      <c r="D114" s="437" t="s">
        <v>3103</v>
      </c>
      <c r="E114" s="437" t="s">
        <v>3100</v>
      </c>
      <c r="F114" s="438" t="s">
        <v>3103</v>
      </c>
      <c r="G114" s="436" t="s">
        <v>2875</v>
      </c>
      <c r="H114" s="436" t="s">
        <v>2875</v>
      </c>
      <c r="I114" s="436" t="s">
        <v>2875</v>
      </c>
      <c r="J114" s="436" t="s">
        <v>2877</v>
      </c>
      <c r="K114" s="436" t="s">
        <v>2877</v>
      </c>
      <c r="L114" s="436" t="s">
        <v>2877</v>
      </c>
      <c r="M114" s="436" t="s">
        <v>2877</v>
      </c>
      <c r="N114" s="442">
        <v>0</v>
      </c>
      <c r="O114" s="442" t="s">
        <v>3746</v>
      </c>
      <c r="P114" s="436" t="s">
        <v>3747</v>
      </c>
      <c r="Q114" s="442">
        <v>2000</v>
      </c>
      <c r="R114" s="442">
        <v>2000</v>
      </c>
    </row>
    <row r="115" spans="1:18" ht="24">
      <c r="A115" s="996"/>
      <c r="B115" s="997"/>
      <c r="C115" s="437" t="s">
        <v>3748</v>
      </c>
      <c r="D115" s="437" t="s">
        <v>3103</v>
      </c>
      <c r="E115" s="437" t="s">
        <v>3100</v>
      </c>
      <c r="F115" s="438" t="s">
        <v>3103</v>
      </c>
      <c r="G115" s="436" t="s">
        <v>2875</v>
      </c>
      <c r="H115" s="436" t="s">
        <v>2875</v>
      </c>
      <c r="I115" s="436" t="s">
        <v>2875</v>
      </c>
      <c r="J115" s="436" t="s">
        <v>2877</v>
      </c>
      <c r="K115" s="436" t="s">
        <v>2877</v>
      </c>
      <c r="L115" s="436" t="s">
        <v>2877</v>
      </c>
      <c r="M115" s="436" t="s">
        <v>2877</v>
      </c>
      <c r="N115" s="442">
        <v>0</v>
      </c>
      <c r="O115" s="442" t="s">
        <v>3749</v>
      </c>
      <c r="P115" s="436" t="s">
        <v>3750</v>
      </c>
      <c r="Q115" s="442">
        <v>1500</v>
      </c>
      <c r="R115" s="442">
        <v>1500</v>
      </c>
    </row>
    <row r="116" spans="1:18" ht="24">
      <c r="A116" s="996"/>
      <c r="B116" s="997"/>
      <c r="C116" s="437" t="s">
        <v>3751</v>
      </c>
      <c r="D116" s="437" t="s">
        <v>3103</v>
      </c>
      <c r="E116" s="437" t="s">
        <v>3100</v>
      </c>
      <c r="F116" s="438" t="s">
        <v>3103</v>
      </c>
      <c r="G116" s="436" t="s">
        <v>2875</v>
      </c>
      <c r="H116" s="436" t="s">
        <v>2875</v>
      </c>
      <c r="I116" s="436" t="s">
        <v>2875</v>
      </c>
      <c r="J116" s="436" t="s">
        <v>2877</v>
      </c>
      <c r="K116" s="436" t="s">
        <v>2877</v>
      </c>
      <c r="L116" s="436" t="s">
        <v>2877</v>
      </c>
      <c r="M116" s="436" t="s">
        <v>2877</v>
      </c>
      <c r="N116" s="442">
        <v>0</v>
      </c>
      <c r="O116" s="442" t="s">
        <v>3227</v>
      </c>
      <c r="P116" s="436" t="s">
        <v>3752</v>
      </c>
      <c r="Q116" s="442">
        <v>6000</v>
      </c>
      <c r="R116" s="442">
        <v>8000</v>
      </c>
    </row>
    <row r="117" spans="1:18" ht="24">
      <c r="A117" s="996"/>
      <c r="B117" s="997"/>
      <c r="C117" s="437" t="s">
        <v>3753</v>
      </c>
      <c r="D117" s="437" t="s">
        <v>3754</v>
      </c>
      <c r="E117" s="437" t="s">
        <v>3100</v>
      </c>
      <c r="F117" s="438" t="s">
        <v>3754</v>
      </c>
      <c r="G117" s="436" t="s">
        <v>2875</v>
      </c>
      <c r="H117" s="436" t="s">
        <v>2875</v>
      </c>
      <c r="I117" s="436" t="s">
        <v>2875</v>
      </c>
      <c r="J117" s="436" t="s">
        <v>2877</v>
      </c>
      <c r="K117" s="436" t="s">
        <v>2877</v>
      </c>
      <c r="L117" s="436" t="s">
        <v>2877</v>
      </c>
      <c r="M117" s="436" t="s">
        <v>2877</v>
      </c>
      <c r="N117" s="442">
        <v>0</v>
      </c>
      <c r="O117" s="442" t="s">
        <v>3755</v>
      </c>
      <c r="P117" s="436" t="s">
        <v>3756</v>
      </c>
      <c r="Q117" s="442">
        <v>221451</v>
      </c>
      <c r="R117" s="442">
        <v>250000</v>
      </c>
    </row>
    <row r="118" spans="1:18" ht="24">
      <c r="A118" s="996"/>
      <c r="B118" s="997"/>
      <c r="C118" s="437" t="s">
        <v>3757</v>
      </c>
      <c r="D118" s="437" t="s">
        <v>2761</v>
      </c>
      <c r="E118" s="437" t="s">
        <v>3100</v>
      </c>
      <c r="F118" s="438" t="s">
        <v>2761</v>
      </c>
      <c r="G118" s="436" t="s">
        <v>2875</v>
      </c>
      <c r="H118" s="436" t="s">
        <v>2875</v>
      </c>
      <c r="I118" s="436" t="s">
        <v>2875</v>
      </c>
      <c r="J118" s="436" t="s">
        <v>2877</v>
      </c>
      <c r="K118" s="436" t="s">
        <v>2877</v>
      </c>
      <c r="L118" s="436" t="s">
        <v>2877</v>
      </c>
      <c r="M118" s="436" t="s">
        <v>2877</v>
      </c>
      <c r="N118" s="442">
        <v>0</v>
      </c>
      <c r="O118" s="442" t="s">
        <v>3758</v>
      </c>
      <c r="P118" s="436" t="s">
        <v>3759</v>
      </c>
      <c r="Q118" s="442">
        <v>10758.92</v>
      </c>
      <c r="R118" s="442">
        <v>12000</v>
      </c>
    </row>
    <row r="119" spans="1:18" ht="24">
      <c r="A119" s="996"/>
      <c r="B119" s="997"/>
      <c r="C119" s="437" t="s">
        <v>3760</v>
      </c>
      <c r="D119" s="437" t="s">
        <v>2761</v>
      </c>
      <c r="E119" s="437" t="s">
        <v>3100</v>
      </c>
      <c r="F119" s="438" t="s">
        <v>2761</v>
      </c>
      <c r="G119" s="436" t="s">
        <v>2875</v>
      </c>
      <c r="H119" s="436" t="s">
        <v>2875</v>
      </c>
      <c r="I119" s="436" t="s">
        <v>2875</v>
      </c>
      <c r="J119" s="436" t="s">
        <v>2877</v>
      </c>
      <c r="K119" s="436" t="s">
        <v>2877</v>
      </c>
      <c r="L119" s="436" t="s">
        <v>2877</v>
      </c>
      <c r="M119" s="436" t="s">
        <v>2877</v>
      </c>
      <c r="N119" s="442">
        <v>0</v>
      </c>
      <c r="O119" s="442" t="s">
        <v>3761</v>
      </c>
      <c r="P119" s="436" t="s">
        <v>3113</v>
      </c>
      <c r="Q119" s="442">
        <v>104656.63</v>
      </c>
      <c r="R119" s="442">
        <v>150000</v>
      </c>
    </row>
    <row r="120" spans="1:18">
      <c r="A120" s="350"/>
      <c r="B120" s="351" t="s">
        <v>3762</v>
      </c>
      <c r="C120" s="351"/>
      <c r="D120" s="351"/>
      <c r="E120" s="373"/>
      <c r="F120" s="374"/>
      <c r="G120" s="374"/>
      <c r="H120" s="374"/>
      <c r="I120" s="374"/>
      <c r="J120" s="374"/>
      <c r="K120" s="354"/>
      <c r="L120" s="354"/>
      <c r="M120" s="355"/>
      <c r="N120" s="356">
        <f>SUM(N113:N119)</f>
        <v>0</v>
      </c>
      <c r="O120" s="354"/>
      <c r="P120" s="354"/>
      <c r="Q120" s="354"/>
      <c r="R120" s="356">
        <f>SUM(R113:R119)</f>
        <v>438500</v>
      </c>
    </row>
    <row r="121" spans="1:18">
      <c r="A121" s="998">
        <v>11</v>
      </c>
      <c r="B121" s="999" t="s">
        <v>666</v>
      </c>
      <c r="C121" s="433" t="s">
        <v>3763</v>
      </c>
      <c r="D121" s="433" t="s">
        <v>3764</v>
      </c>
      <c r="E121" s="433" t="s">
        <v>3765</v>
      </c>
      <c r="F121" s="434" t="s">
        <v>2875</v>
      </c>
      <c r="G121" s="432" t="s">
        <v>2875</v>
      </c>
      <c r="H121" s="432" t="s">
        <v>2875</v>
      </c>
      <c r="I121" s="432" t="s">
        <v>928</v>
      </c>
      <c r="J121" s="432" t="s">
        <v>2875</v>
      </c>
      <c r="K121" s="432" t="s">
        <v>2875</v>
      </c>
      <c r="L121" s="432" t="s">
        <v>2875</v>
      </c>
      <c r="M121" s="445">
        <v>144000</v>
      </c>
      <c r="N121" s="445">
        <v>144000</v>
      </c>
      <c r="O121" s="445" t="s">
        <v>2877</v>
      </c>
      <c r="P121" s="432" t="s">
        <v>2877</v>
      </c>
      <c r="Q121" s="445" t="s">
        <v>2877</v>
      </c>
      <c r="R121" s="445">
        <v>0</v>
      </c>
    </row>
    <row r="122" spans="1:18" ht="36">
      <c r="A122" s="998"/>
      <c r="B122" s="999"/>
      <c r="C122" s="433" t="s">
        <v>3766</v>
      </c>
      <c r="D122" s="433" t="s">
        <v>3764</v>
      </c>
      <c r="E122" s="433" t="s">
        <v>3765</v>
      </c>
      <c r="F122" s="434" t="s">
        <v>2875</v>
      </c>
      <c r="G122" s="432" t="s">
        <v>2875</v>
      </c>
      <c r="H122" s="432" t="s">
        <v>2875</v>
      </c>
      <c r="I122" s="432" t="s">
        <v>928</v>
      </c>
      <c r="J122" s="432" t="s">
        <v>2875</v>
      </c>
      <c r="K122" s="432" t="s">
        <v>2875</v>
      </c>
      <c r="L122" s="432" t="s">
        <v>2875</v>
      </c>
      <c r="M122" s="445">
        <v>231000</v>
      </c>
      <c r="N122" s="445">
        <v>231000</v>
      </c>
      <c r="O122" s="445" t="s">
        <v>2877</v>
      </c>
      <c r="P122" s="432" t="s">
        <v>2877</v>
      </c>
      <c r="Q122" s="445" t="s">
        <v>2877</v>
      </c>
      <c r="R122" s="445">
        <v>0</v>
      </c>
    </row>
    <row r="123" spans="1:18">
      <c r="A123" s="998"/>
      <c r="B123" s="999"/>
      <c r="C123" s="433" t="s">
        <v>3724</v>
      </c>
      <c r="D123" s="433" t="s">
        <v>3764</v>
      </c>
      <c r="E123" s="433" t="s">
        <v>3765</v>
      </c>
      <c r="F123" s="434" t="s">
        <v>2875</v>
      </c>
      <c r="G123" s="432" t="s">
        <v>2875</v>
      </c>
      <c r="H123" s="432" t="s">
        <v>2875</v>
      </c>
      <c r="I123" s="432" t="s">
        <v>928</v>
      </c>
      <c r="J123" s="432" t="s">
        <v>2875</v>
      </c>
      <c r="K123" s="432" t="s">
        <v>2875</v>
      </c>
      <c r="L123" s="432" t="s">
        <v>2875</v>
      </c>
      <c r="M123" s="445">
        <v>355780</v>
      </c>
      <c r="N123" s="445">
        <v>355780</v>
      </c>
      <c r="O123" s="445" t="s">
        <v>2877</v>
      </c>
      <c r="P123" s="432" t="s">
        <v>2877</v>
      </c>
      <c r="Q123" s="445" t="s">
        <v>2877</v>
      </c>
      <c r="R123" s="445">
        <v>0</v>
      </c>
    </row>
    <row r="124" spans="1:18">
      <c r="A124" s="998"/>
      <c r="B124" s="999"/>
      <c r="C124" s="433" t="s">
        <v>3767</v>
      </c>
      <c r="D124" s="433" t="s">
        <v>3764</v>
      </c>
      <c r="E124" s="433" t="s">
        <v>3765</v>
      </c>
      <c r="F124" s="434" t="s">
        <v>2875</v>
      </c>
      <c r="G124" s="432" t="s">
        <v>2875</v>
      </c>
      <c r="H124" s="432" t="s">
        <v>2875</v>
      </c>
      <c r="I124" s="432" t="s">
        <v>928</v>
      </c>
      <c r="J124" s="432" t="s">
        <v>2875</v>
      </c>
      <c r="K124" s="432" t="s">
        <v>2875</v>
      </c>
      <c r="L124" s="432" t="s">
        <v>2875</v>
      </c>
      <c r="M124" s="445">
        <v>13340</v>
      </c>
      <c r="N124" s="445">
        <v>13340</v>
      </c>
      <c r="O124" s="445" t="s">
        <v>2877</v>
      </c>
      <c r="P124" s="432" t="s">
        <v>2877</v>
      </c>
      <c r="Q124" s="445" t="s">
        <v>2877</v>
      </c>
      <c r="R124" s="445">
        <v>0</v>
      </c>
    </row>
    <row r="125" spans="1:18">
      <c r="A125" s="350"/>
      <c r="B125" s="351" t="s">
        <v>3768</v>
      </c>
      <c r="C125" s="351"/>
      <c r="D125" s="351"/>
      <c r="E125" s="373"/>
      <c r="F125" s="374"/>
      <c r="G125" s="374"/>
      <c r="H125" s="374"/>
      <c r="I125" s="374"/>
      <c r="J125" s="374"/>
      <c r="K125" s="354"/>
      <c r="L125" s="354"/>
      <c r="M125" s="355"/>
      <c r="N125" s="356">
        <f>SUM(N121:N124)</f>
        <v>744120</v>
      </c>
      <c r="O125" s="354"/>
      <c r="P125" s="354"/>
      <c r="Q125" s="354"/>
      <c r="R125" s="356">
        <f>SUM(R121:R124)</f>
        <v>0</v>
      </c>
    </row>
    <row r="126" spans="1:18">
      <c r="A126" s="996">
        <v>12</v>
      </c>
      <c r="B126" s="997" t="s">
        <v>692</v>
      </c>
      <c r="C126" s="437" t="s">
        <v>3769</v>
      </c>
      <c r="D126" s="437"/>
      <c r="E126" s="437" t="s">
        <v>2815</v>
      </c>
      <c r="F126" s="438" t="s">
        <v>2815</v>
      </c>
      <c r="G126" s="436"/>
      <c r="H126" s="436" t="s">
        <v>1916</v>
      </c>
      <c r="I126" s="436"/>
      <c r="J126" s="441">
        <v>45047</v>
      </c>
      <c r="K126" s="436" t="s">
        <v>2875</v>
      </c>
      <c r="L126" s="442" t="s">
        <v>2875</v>
      </c>
      <c r="M126" s="442" t="s">
        <v>2875</v>
      </c>
      <c r="N126" s="442">
        <v>24122.400000000001</v>
      </c>
      <c r="O126" s="442" t="s">
        <v>2877</v>
      </c>
      <c r="P126" s="441" t="s">
        <v>2877</v>
      </c>
      <c r="Q126" s="442" t="s">
        <v>2877</v>
      </c>
      <c r="R126" s="442">
        <v>0</v>
      </c>
    </row>
    <row r="127" spans="1:18">
      <c r="A127" s="996"/>
      <c r="B127" s="997"/>
      <c r="C127" s="437" t="s">
        <v>3770</v>
      </c>
      <c r="D127" s="437"/>
      <c r="E127" s="437" t="s">
        <v>2815</v>
      </c>
      <c r="F127" s="438" t="s">
        <v>2815</v>
      </c>
      <c r="G127" s="436"/>
      <c r="H127" s="436" t="s">
        <v>1916</v>
      </c>
      <c r="I127" s="436"/>
      <c r="J127" s="441">
        <v>45047</v>
      </c>
      <c r="K127" s="436" t="s">
        <v>2875</v>
      </c>
      <c r="L127" s="442" t="s">
        <v>2875</v>
      </c>
      <c r="M127" s="442" t="s">
        <v>2875</v>
      </c>
      <c r="N127" s="442">
        <v>21124.400000000001</v>
      </c>
      <c r="O127" s="442" t="s">
        <v>2877</v>
      </c>
      <c r="P127" s="441" t="s">
        <v>2877</v>
      </c>
      <c r="Q127" s="442" t="s">
        <v>2877</v>
      </c>
      <c r="R127" s="442">
        <v>0</v>
      </c>
    </row>
    <row r="128" spans="1:18">
      <c r="A128" s="996"/>
      <c r="B128" s="997"/>
      <c r="C128" s="437" t="s">
        <v>3771</v>
      </c>
      <c r="D128" s="437"/>
      <c r="E128" s="437" t="s">
        <v>2815</v>
      </c>
      <c r="F128" s="438" t="s">
        <v>2815</v>
      </c>
      <c r="G128" s="436"/>
      <c r="H128" s="436" t="s">
        <v>1916</v>
      </c>
      <c r="I128" s="436"/>
      <c r="J128" s="441">
        <v>45047</v>
      </c>
      <c r="K128" s="436" t="s">
        <v>2875</v>
      </c>
      <c r="L128" s="442" t="s">
        <v>2875</v>
      </c>
      <c r="M128" s="442" t="s">
        <v>2875</v>
      </c>
      <c r="N128" s="442">
        <v>24122.400000000001</v>
      </c>
      <c r="O128" s="442" t="s">
        <v>2877</v>
      </c>
      <c r="P128" s="441" t="s">
        <v>2877</v>
      </c>
      <c r="Q128" s="442" t="s">
        <v>2877</v>
      </c>
      <c r="R128" s="442">
        <v>0</v>
      </c>
    </row>
    <row r="129" spans="1:18">
      <c r="A129" s="996"/>
      <c r="B129" s="997"/>
      <c r="C129" s="437" t="s">
        <v>3772</v>
      </c>
      <c r="D129" s="437"/>
      <c r="E129" s="437" t="s">
        <v>2815</v>
      </c>
      <c r="F129" s="438" t="s">
        <v>2815</v>
      </c>
      <c r="G129" s="436"/>
      <c r="H129" s="436" t="s">
        <v>1916</v>
      </c>
      <c r="I129" s="436"/>
      <c r="J129" s="441">
        <v>45078</v>
      </c>
      <c r="K129" s="436" t="s">
        <v>2875</v>
      </c>
      <c r="L129" s="442" t="s">
        <v>2875</v>
      </c>
      <c r="M129" s="442" t="s">
        <v>2875</v>
      </c>
      <c r="N129" s="442">
        <v>24122.400000000001</v>
      </c>
      <c r="O129" s="442" t="s">
        <v>2877</v>
      </c>
      <c r="P129" s="441" t="s">
        <v>2877</v>
      </c>
      <c r="Q129" s="442" t="s">
        <v>2877</v>
      </c>
      <c r="R129" s="442">
        <v>0</v>
      </c>
    </row>
    <row r="130" spans="1:18">
      <c r="A130" s="996"/>
      <c r="B130" s="997"/>
      <c r="C130" s="437" t="s">
        <v>3773</v>
      </c>
      <c r="D130" s="437"/>
      <c r="E130" s="437" t="s">
        <v>3774</v>
      </c>
      <c r="F130" s="438" t="s">
        <v>3774</v>
      </c>
      <c r="G130" s="436"/>
      <c r="H130" s="436" t="s">
        <v>1916</v>
      </c>
      <c r="I130" s="436"/>
      <c r="J130" s="441">
        <v>45108</v>
      </c>
      <c r="K130" s="436" t="s">
        <v>2875</v>
      </c>
      <c r="L130" s="442" t="s">
        <v>2875</v>
      </c>
      <c r="M130" s="442" t="s">
        <v>2875</v>
      </c>
      <c r="N130" s="442">
        <v>24122.400000000001</v>
      </c>
      <c r="O130" s="442" t="s">
        <v>2877</v>
      </c>
      <c r="P130" s="436" t="s">
        <v>2877</v>
      </c>
      <c r="Q130" s="442" t="s">
        <v>2877</v>
      </c>
      <c r="R130" s="442">
        <v>0</v>
      </c>
    </row>
    <row r="131" spans="1:18">
      <c r="A131" s="350"/>
      <c r="B131" s="351" t="s">
        <v>8316</v>
      </c>
      <c r="C131" s="351"/>
      <c r="D131" s="351"/>
      <c r="E131" s="373"/>
      <c r="F131" s="374"/>
      <c r="G131" s="374"/>
      <c r="H131" s="374"/>
      <c r="I131" s="374"/>
      <c r="J131" s="374"/>
      <c r="K131" s="354"/>
      <c r="L131" s="354"/>
      <c r="M131" s="355"/>
      <c r="N131" s="356">
        <f>SUM(N126:N130)</f>
        <v>117614</v>
      </c>
      <c r="O131" s="354"/>
      <c r="P131" s="354"/>
      <c r="Q131" s="354"/>
      <c r="R131" s="356">
        <f>SUM(R126:R130)</f>
        <v>0</v>
      </c>
    </row>
    <row r="132" spans="1:18">
      <c r="A132" s="998">
        <v>13</v>
      </c>
      <c r="B132" s="999" t="s">
        <v>188</v>
      </c>
      <c r="C132" s="444" t="s">
        <v>3775</v>
      </c>
      <c r="D132" s="444" t="s">
        <v>3776</v>
      </c>
      <c r="E132" s="444" t="s">
        <v>2875</v>
      </c>
      <c r="F132" s="432" t="s">
        <v>2875</v>
      </c>
      <c r="G132" s="432" t="s">
        <v>2875</v>
      </c>
      <c r="H132" s="432" t="s">
        <v>2875</v>
      </c>
      <c r="I132" s="432" t="s">
        <v>2875</v>
      </c>
      <c r="J132" s="432" t="s">
        <v>2875</v>
      </c>
      <c r="K132" s="432" t="s">
        <v>2875</v>
      </c>
      <c r="L132" s="432" t="s">
        <v>2875</v>
      </c>
      <c r="M132" s="432" t="s">
        <v>2875</v>
      </c>
      <c r="N132" s="445">
        <v>23934.39</v>
      </c>
      <c r="O132" s="445" t="s">
        <v>2877</v>
      </c>
      <c r="P132" s="432" t="s">
        <v>2877</v>
      </c>
      <c r="Q132" s="432" t="s">
        <v>2877</v>
      </c>
      <c r="R132" s="445">
        <v>0</v>
      </c>
    </row>
    <row r="133" spans="1:18">
      <c r="A133" s="998"/>
      <c r="B133" s="999"/>
      <c r="C133" s="444" t="s">
        <v>3775</v>
      </c>
      <c r="D133" s="444" t="s">
        <v>3776</v>
      </c>
      <c r="E133" s="444" t="s">
        <v>2875</v>
      </c>
      <c r="F133" s="432" t="s">
        <v>2875</v>
      </c>
      <c r="G133" s="432" t="s">
        <v>2875</v>
      </c>
      <c r="H133" s="432" t="s">
        <v>2875</v>
      </c>
      <c r="I133" s="432" t="s">
        <v>2875</v>
      </c>
      <c r="J133" s="432" t="s">
        <v>2875</v>
      </c>
      <c r="K133" s="432" t="s">
        <v>2875</v>
      </c>
      <c r="L133" s="432" t="s">
        <v>2875</v>
      </c>
      <c r="M133" s="432" t="s">
        <v>2875</v>
      </c>
      <c r="N133" s="445">
        <v>27517.97</v>
      </c>
      <c r="O133" s="445" t="s">
        <v>2877</v>
      </c>
      <c r="P133" s="432" t="s">
        <v>2877</v>
      </c>
      <c r="Q133" s="432" t="s">
        <v>2877</v>
      </c>
      <c r="R133" s="445">
        <v>0</v>
      </c>
    </row>
    <row r="134" spans="1:18">
      <c r="A134" s="998"/>
      <c r="B134" s="999"/>
      <c r="C134" s="444" t="s">
        <v>3775</v>
      </c>
      <c r="D134" s="444" t="s">
        <v>3776</v>
      </c>
      <c r="E134" s="444" t="s">
        <v>2875</v>
      </c>
      <c r="F134" s="432" t="s">
        <v>2875</v>
      </c>
      <c r="G134" s="432" t="s">
        <v>2875</v>
      </c>
      <c r="H134" s="432" t="s">
        <v>2875</v>
      </c>
      <c r="I134" s="432" t="s">
        <v>2875</v>
      </c>
      <c r="J134" s="432" t="s">
        <v>2875</v>
      </c>
      <c r="K134" s="432" t="s">
        <v>2875</v>
      </c>
      <c r="L134" s="432" t="s">
        <v>2875</v>
      </c>
      <c r="M134" s="432" t="s">
        <v>2875</v>
      </c>
      <c r="N134" s="445">
        <v>20094.34</v>
      </c>
      <c r="O134" s="445" t="s">
        <v>2877</v>
      </c>
      <c r="P134" s="432" t="s">
        <v>2877</v>
      </c>
      <c r="Q134" s="432" t="s">
        <v>2877</v>
      </c>
      <c r="R134" s="445">
        <v>0</v>
      </c>
    </row>
    <row r="135" spans="1:18">
      <c r="A135" s="998"/>
      <c r="B135" s="999"/>
      <c r="C135" s="444" t="s">
        <v>3777</v>
      </c>
      <c r="D135" s="444" t="s">
        <v>2875</v>
      </c>
      <c r="E135" s="444" t="s">
        <v>2875</v>
      </c>
      <c r="F135" s="432" t="s">
        <v>2875</v>
      </c>
      <c r="G135" s="432" t="s">
        <v>2875</v>
      </c>
      <c r="H135" s="432" t="s">
        <v>2875</v>
      </c>
      <c r="I135" s="432" t="s">
        <v>2875</v>
      </c>
      <c r="J135" s="432" t="s">
        <v>2875</v>
      </c>
      <c r="K135" s="432" t="s">
        <v>2875</v>
      </c>
      <c r="L135" s="432" t="s">
        <v>2875</v>
      </c>
      <c r="M135" s="432" t="s">
        <v>2875</v>
      </c>
      <c r="N135" s="445">
        <v>27826</v>
      </c>
      <c r="O135" s="445" t="s">
        <v>2877</v>
      </c>
      <c r="P135" s="432" t="s">
        <v>2877</v>
      </c>
      <c r="Q135" s="432" t="s">
        <v>2877</v>
      </c>
      <c r="R135" s="445">
        <v>0</v>
      </c>
    </row>
    <row r="136" spans="1:18">
      <c r="A136" s="998"/>
      <c r="B136" s="999"/>
      <c r="C136" s="444" t="s">
        <v>3778</v>
      </c>
      <c r="D136" s="444" t="s">
        <v>2875</v>
      </c>
      <c r="E136" s="444" t="s">
        <v>2875</v>
      </c>
      <c r="F136" s="432" t="s">
        <v>2875</v>
      </c>
      <c r="G136" s="432" t="s">
        <v>2875</v>
      </c>
      <c r="H136" s="432" t="s">
        <v>2875</v>
      </c>
      <c r="I136" s="432" t="s">
        <v>2875</v>
      </c>
      <c r="J136" s="432" t="s">
        <v>2875</v>
      </c>
      <c r="K136" s="432" t="s">
        <v>2875</v>
      </c>
      <c r="L136" s="432" t="s">
        <v>2875</v>
      </c>
      <c r="M136" s="432" t="s">
        <v>2875</v>
      </c>
      <c r="N136" s="445">
        <v>44473.74</v>
      </c>
      <c r="O136" s="445" t="s">
        <v>2877</v>
      </c>
      <c r="P136" s="432" t="s">
        <v>2877</v>
      </c>
      <c r="Q136" s="432" t="s">
        <v>2877</v>
      </c>
      <c r="R136" s="445">
        <v>0</v>
      </c>
    </row>
    <row r="137" spans="1:18">
      <c r="A137" s="998"/>
      <c r="B137" s="999"/>
      <c r="C137" s="444" t="s">
        <v>3779</v>
      </c>
      <c r="D137" s="444" t="s">
        <v>3776</v>
      </c>
      <c r="E137" s="444" t="s">
        <v>2875</v>
      </c>
      <c r="F137" s="432" t="s">
        <v>2875</v>
      </c>
      <c r="G137" s="432" t="s">
        <v>2875</v>
      </c>
      <c r="H137" s="432" t="s">
        <v>2875</v>
      </c>
      <c r="I137" s="432" t="s">
        <v>2875</v>
      </c>
      <c r="J137" s="432" t="s">
        <v>2875</v>
      </c>
      <c r="K137" s="432" t="s">
        <v>2875</v>
      </c>
      <c r="L137" s="432" t="s">
        <v>2875</v>
      </c>
      <c r="M137" s="432" t="s">
        <v>2875</v>
      </c>
      <c r="N137" s="445">
        <v>116089.46</v>
      </c>
      <c r="O137" s="445" t="s">
        <v>2877</v>
      </c>
      <c r="P137" s="432" t="s">
        <v>2877</v>
      </c>
      <c r="Q137" s="432" t="s">
        <v>2877</v>
      </c>
      <c r="R137" s="445">
        <v>0</v>
      </c>
    </row>
    <row r="138" spans="1:18">
      <c r="A138" s="350"/>
      <c r="B138" s="351" t="s">
        <v>8317</v>
      </c>
      <c r="C138" s="351"/>
      <c r="D138" s="351"/>
      <c r="E138" s="373"/>
      <c r="F138" s="374"/>
      <c r="G138" s="374"/>
      <c r="H138" s="374"/>
      <c r="I138" s="374"/>
      <c r="J138" s="374"/>
      <c r="K138" s="354"/>
      <c r="L138" s="354"/>
      <c r="M138" s="355"/>
      <c r="N138" s="356">
        <f>SUM(N132:N137)</f>
        <v>259935.90000000002</v>
      </c>
      <c r="O138" s="354"/>
      <c r="P138" s="354"/>
      <c r="Q138" s="354"/>
      <c r="R138" s="356">
        <f>SUM(R132:R137)</f>
        <v>0</v>
      </c>
    </row>
    <row r="139" spans="1:18">
      <c r="A139" s="996">
        <v>14</v>
      </c>
      <c r="B139" s="997" t="s">
        <v>607</v>
      </c>
      <c r="C139" s="437" t="s">
        <v>8319</v>
      </c>
      <c r="D139" s="437" t="s">
        <v>1</v>
      </c>
      <c r="E139" s="437" t="s">
        <v>8307</v>
      </c>
      <c r="F139" s="438" t="s">
        <v>8342</v>
      </c>
      <c r="G139" s="436" t="s">
        <v>2875</v>
      </c>
      <c r="H139" s="436" t="s">
        <v>2875</v>
      </c>
      <c r="I139" s="436" t="s">
        <v>2875</v>
      </c>
      <c r="J139" s="441" t="s">
        <v>2875</v>
      </c>
      <c r="K139" s="436" t="s">
        <v>2875</v>
      </c>
      <c r="L139" s="442" t="s">
        <v>2875</v>
      </c>
      <c r="M139" s="442">
        <v>6800</v>
      </c>
      <c r="N139" s="442">
        <v>6800</v>
      </c>
      <c r="O139" s="442" t="s">
        <v>2877</v>
      </c>
      <c r="P139" s="441" t="s">
        <v>2877</v>
      </c>
      <c r="Q139" s="442" t="s">
        <v>2877</v>
      </c>
      <c r="R139" s="442">
        <v>0</v>
      </c>
    </row>
    <row r="140" spans="1:18">
      <c r="A140" s="996"/>
      <c r="B140" s="997"/>
      <c r="C140" s="437" t="s">
        <v>8320</v>
      </c>
      <c r="D140" s="437" t="s">
        <v>8335</v>
      </c>
      <c r="E140" s="437" t="s">
        <v>8307</v>
      </c>
      <c r="F140" s="438" t="s">
        <v>8342</v>
      </c>
      <c r="G140" s="436" t="s">
        <v>2875</v>
      </c>
      <c r="H140" s="436" t="s">
        <v>2875</v>
      </c>
      <c r="I140" s="436" t="s">
        <v>2875</v>
      </c>
      <c r="J140" s="441" t="s">
        <v>2875</v>
      </c>
      <c r="K140" s="436" t="s">
        <v>2875</v>
      </c>
      <c r="L140" s="442" t="s">
        <v>2875</v>
      </c>
      <c r="M140" s="442">
        <v>5420</v>
      </c>
      <c r="N140" s="442">
        <v>5420</v>
      </c>
      <c r="O140" s="442" t="s">
        <v>2877</v>
      </c>
      <c r="P140" s="441" t="s">
        <v>2877</v>
      </c>
      <c r="Q140" s="442" t="s">
        <v>2877</v>
      </c>
      <c r="R140" s="442">
        <v>0</v>
      </c>
    </row>
    <row r="141" spans="1:18">
      <c r="A141" s="996"/>
      <c r="B141" s="997"/>
      <c r="C141" s="437" t="s">
        <v>8321</v>
      </c>
      <c r="D141" s="437" t="s">
        <v>1</v>
      </c>
      <c r="E141" s="437" t="s">
        <v>8307</v>
      </c>
      <c r="F141" s="438" t="s">
        <v>8342</v>
      </c>
      <c r="G141" s="436" t="s">
        <v>2875</v>
      </c>
      <c r="H141" s="436" t="s">
        <v>2875</v>
      </c>
      <c r="I141" s="436" t="s">
        <v>2875</v>
      </c>
      <c r="J141" s="441" t="s">
        <v>2875</v>
      </c>
      <c r="K141" s="436" t="s">
        <v>2875</v>
      </c>
      <c r="L141" s="442" t="s">
        <v>2875</v>
      </c>
      <c r="M141" s="442">
        <v>7970.08</v>
      </c>
      <c r="N141" s="442">
        <v>7970.08</v>
      </c>
      <c r="O141" s="442" t="s">
        <v>2877</v>
      </c>
      <c r="P141" s="441" t="s">
        <v>2877</v>
      </c>
      <c r="Q141" s="442" t="s">
        <v>2877</v>
      </c>
      <c r="R141" s="442">
        <v>0</v>
      </c>
    </row>
    <row r="142" spans="1:18">
      <c r="A142" s="996"/>
      <c r="B142" s="997"/>
      <c r="C142" s="437" t="s">
        <v>8322</v>
      </c>
      <c r="D142" s="437" t="s">
        <v>1</v>
      </c>
      <c r="E142" s="437" t="s">
        <v>8307</v>
      </c>
      <c r="F142" s="438" t="s">
        <v>8342</v>
      </c>
      <c r="G142" s="436" t="s">
        <v>2875</v>
      </c>
      <c r="H142" s="436" t="s">
        <v>2875</v>
      </c>
      <c r="I142" s="436" t="s">
        <v>2875</v>
      </c>
      <c r="J142" s="441" t="s">
        <v>2875</v>
      </c>
      <c r="K142" s="436" t="s">
        <v>2875</v>
      </c>
      <c r="L142" s="442" t="s">
        <v>2875</v>
      </c>
      <c r="M142" s="442">
        <v>7211.45</v>
      </c>
      <c r="N142" s="442">
        <v>7211.45</v>
      </c>
      <c r="O142" s="442" t="s">
        <v>2877</v>
      </c>
      <c r="P142" s="441" t="s">
        <v>2877</v>
      </c>
      <c r="Q142" s="442" t="s">
        <v>2877</v>
      </c>
      <c r="R142" s="442">
        <v>0</v>
      </c>
    </row>
    <row r="143" spans="1:18">
      <c r="A143" s="996"/>
      <c r="B143" s="997"/>
      <c r="C143" s="437" t="s">
        <v>8322</v>
      </c>
      <c r="D143" s="437" t="s">
        <v>1</v>
      </c>
      <c r="E143" s="437" t="s">
        <v>8307</v>
      </c>
      <c r="F143" s="438" t="s">
        <v>8342</v>
      </c>
      <c r="G143" s="436" t="s">
        <v>2875</v>
      </c>
      <c r="H143" s="436" t="s">
        <v>2875</v>
      </c>
      <c r="I143" s="436" t="s">
        <v>2875</v>
      </c>
      <c r="J143" s="441" t="s">
        <v>2875</v>
      </c>
      <c r="K143" s="436" t="s">
        <v>2875</v>
      </c>
      <c r="L143" s="442" t="s">
        <v>2875</v>
      </c>
      <c r="M143" s="442">
        <v>7564</v>
      </c>
      <c r="N143" s="442">
        <v>7564</v>
      </c>
      <c r="O143" s="442" t="s">
        <v>2877</v>
      </c>
      <c r="P143" s="441" t="s">
        <v>2877</v>
      </c>
      <c r="Q143" s="442" t="s">
        <v>2877</v>
      </c>
      <c r="R143" s="442">
        <v>0</v>
      </c>
    </row>
    <row r="144" spans="1:18">
      <c r="A144" s="996"/>
      <c r="B144" s="997"/>
      <c r="C144" s="437" t="s">
        <v>8320</v>
      </c>
      <c r="D144" s="437" t="s">
        <v>8336</v>
      </c>
      <c r="E144" s="437" t="s">
        <v>8307</v>
      </c>
      <c r="F144" s="438" t="s">
        <v>8342</v>
      </c>
      <c r="G144" s="436" t="s">
        <v>2875</v>
      </c>
      <c r="H144" s="436" t="s">
        <v>2875</v>
      </c>
      <c r="I144" s="436" t="s">
        <v>2875</v>
      </c>
      <c r="J144" s="441" t="s">
        <v>2875</v>
      </c>
      <c r="K144" s="436" t="s">
        <v>2875</v>
      </c>
      <c r="L144" s="442" t="s">
        <v>2875</v>
      </c>
      <c r="M144" s="442">
        <v>5420</v>
      </c>
      <c r="N144" s="442">
        <v>5420</v>
      </c>
      <c r="O144" s="442" t="s">
        <v>2877</v>
      </c>
      <c r="P144" s="441" t="s">
        <v>2877</v>
      </c>
      <c r="Q144" s="442" t="s">
        <v>2877</v>
      </c>
      <c r="R144" s="442">
        <v>0</v>
      </c>
    </row>
    <row r="145" spans="1:18">
      <c r="A145" s="996"/>
      <c r="B145" s="997"/>
      <c r="C145" s="437" t="s">
        <v>8320</v>
      </c>
      <c r="D145" s="437" t="s">
        <v>8337</v>
      </c>
      <c r="E145" s="437" t="s">
        <v>8307</v>
      </c>
      <c r="F145" s="438" t="s">
        <v>8342</v>
      </c>
      <c r="G145" s="436" t="s">
        <v>2875</v>
      </c>
      <c r="H145" s="436" t="s">
        <v>2875</v>
      </c>
      <c r="I145" s="436" t="s">
        <v>2875</v>
      </c>
      <c r="J145" s="441" t="s">
        <v>2875</v>
      </c>
      <c r="K145" s="436" t="s">
        <v>2875</v>
      </c>
      <c r="L145" s="442" t="s">
        <v>2875</v>
      </c>
      <c r="M145" s="442">
        <v>5420</v>
      </c>
      <c r="N145" s="442">
        <v>5420</v>
      </c>
      <c r="O145" s="442" t="s">
        <v>2877</v>
      </c>
      <c r="P145" s="441" t="s">
        <v>2877</v>
      </c>
      <c r="Q145" s="442" t="s">
        <v>2877</v>
      </c>
      <c r="R145" s="442">
        <v>0</v>
      </c>
    </row>
    <row r="146" spans="1:18">
      <c r="A146" s="996"/>
      <c r="B146" s="997"/>
      <c r="C146" s="437" t="s">
        <v>8323</v>
      </c>
      <c r="D146" s="437" t="s">
        <v>8337</v>
      </c>
      <c r="E146" s="437" t="s">
        <v>8307</v>
      </c>
      <c r="F146" s="438" t="s">
        <v>8342</v>
      </c>
      <c r="G146" s="436" t="s">
        <v>2875</v>
      </c>
      <c r="H146" s="436" t="s">
        <v>2875</v>
      </c>
      <c r="I146" s="436" t="s">
        <v>2875</v>
      </c>
      <c r="J146" s="441" t="s">
        <v>2875</v>
      </c>
      <c r="K146" s="436" t="s">
        <v>2875</v>
      </c>
      <c r="L146" s="442" t="s">
        <v>2875</v>
      </c>
      <c r="M146" s="442">
        <v>5420</v>
      </c>
      <c r="N146" s="442">
        <v>5420</v>
      </c>
      <c r="O146" s="442" t="s">
        <v>2877</v>
      </c>
      <c r="P146" s="441" t="s">
        <v>2877</v>
      </c>
      <c r="Q146" s="442" t="s">
        <v>2877</v>
      </c>
      <c r="R146" s="442">
        <v>0</v>
      </c>
    </row>
    <row r="147" spans="1:18">
      <c r="A147" s="996"/>
      <c r="B147" s="997"/>
      <c r="C147" s="437" t="s">
        <v>8324</v>
      </c>
      <c r="D147" s="437" t="s">
        <v>8338</v>
      </c>
      <c r="E147" s="437" t="s">
        <v>8307</v>
      </c>
      <c r="F147" s="438" t="s">
        <v>8342</v>
      </c>
      <c r="G147" s="436" t="s">
        <v>2875</v>
      </c>
      <c r="H147" s="436" t="s">
        <v>2875</v>
      </c>
      <c r="I147" s="436" t="s">
        <v>2875</v>
      </c>
      <c r="J147" s="441" t="s">
        <v>2875</v>
      </c>
      <c r="K147" s="436" t="s">
        <v>2875</v>
      </c>
      <c r="L147" s="442" t="s">
        <v>2875</v>
      </c>
      <c r="M147" s="442">
        <v>2790</v>
      </c>
      <c r="N147" s="442">
        <v>2790</v>
      </c>
      <c r="O147" s="442" t="s">
        <v>2877</v>
      </c>
      <c r="P147" s="441" t="s">
        <v>2877</v>
      </c>
      <c r="Q147" s="442" t="s">
        <v>2877</v>
      </c>
      <c r="R147" s="442">
        <v>0</v>
      </c>
    </row>
    <row r="148" spans="1:18">
      <c r="A148" s="996"/>
      <c r="B148" s="997"/>
      <c r="C148" s="437" t="s">
        <v>8325</v>
      </c>
      <c r="D148" s="437" t="s">
        <v>8337</v>
      </c>
      <c r="E148" s="437" t="s">
        <v>8307</v>
      </c>
      <c r="F148" s="438" t="s">
        <v>8342</v>
      </c>
      <c r="G148" s="436" t="s">
        <v>2875</v>
      </c>
      <c r="H148" s="436" t="s">
        <v>2875</v>
      </c>
      <c r="I148" s="436" t="s">
        <v>2875</v>
      </c>
      <c r="J148" s="441" t="s">
        <v>2875</v>
      </c>
      <c r="K148" s="436" t="s">
        <v>2875</v>
      </c>
      <c r="L148" s="442" t="s">
        <v>2875</v>
      </c>
      <c r="M148" s="442">
        <v>5420</v>
      </c>
      <c r="N148" s="442">
        <v>5420</v>
      </c>
      <c r="O148" s="442" t="s">
        <v>2877</v>
      </c>
      <c r="P148" s="441" t="s">
        <v>2877</v>
      </c>
      <c r="Q148" s="442" t="s">
        <v>2877</v>
      </c>
      <c r="R148" s="442">
        <v>0</v>
      </c>
    </row>
    <row r="149" spans="1:18">
      <c r="A149" s="996"/>
      <c r="B149" s="997"/>
      <c r="C149" s="437" t="s">
        <v>8326</v>
      </c>
      <c r="D149" s="437" t="s">
        <v>8339</v>
      </c>
      <c r="E149" s="437" t="s">
        <v>8307</v>
      </c>
      <c r="F149" s="438" t="s">
        <v>8342</v>
      </c>
      <c r="G149" s="436" t="s">
        <v>2875</v>
      </c>
      <c r="H149" s="436" t="s">
        <v>2875</v>
      </c>
      <c r="I149" s="436" t="s">
        <v>2875</v>
      </c>
      <c r="J149" s="441" t="s">
        <v>2875</v>
      </c>
      <c r="K149" s="436" t="s">
        <v>2875</v>
      </c>
      <c r="L149" s="442" t="s">
        <v>2875</v>
      </c>
      <c r="M149" s="442">
        <v>17500</v>
      </c>
      <c r="N149" s="442">
        <v>17500</v>
      </c>
      <c r="O149" s="442" t="s">
        <v>2877</v>
      </c>
      <c r="P149" s="441" t="s">
        <v>2877</v>
      </c>
      <c r="Q149" s="442" t="s">
        <v>2877</v>
      </c>
      <c r="R149" s="442">
        <v>0</v>
      </c>
    </row>
    <row r="150" spans="1:18">
      <c r="A150" s="996"/>
      <c r="B150" s="997"/>
      <c r="C150" s="437" t="s">
        <v>8327</v>
      </c>
      <c r="D150" s="437" t="s">
        <v>8340</v>
      </c>
      <c r="E150" s="437" t="s">
        <v>8307</v>
      </c>
      <c r="F150" s="438" t="s">
        <v>8342</v>
      </c>
      <c r="G150" s="436" t="s">
        <v>2875</v>
      </c>
      <c r="H150" s="436" t="s">
        <v>2875</v>
      </c>
      <c r="I150" s="436" t="s">
        <v>2875</v>
      </c>
      <c r="J150" s="441" t="s">
        <v>2875</v>
      </c>
      <c r="K150" s="436" t="s">
        <v>2875</v>
      </c>
      <c r="L150" s="442" t="s">
        <v>2875</v>
      </c>
      <c r="M150" s="442">
        <v>11000</v>
      </c>
      <c r="N150" s="442">
        <v>11000</v>
      </c>
      <c r="O150" s="442" t="s">
        <v>2877</v>
      </c>
      <c r="P150" s="441" t="s">
        <v>2877</v>
      </c>
      <c r="Q150" s="442" t="s">
        <v>2877</v>
      </c>
      <c r="R150" s="442">
        <v>0</v>
      </c>
    </row>
    <row r="151" spans="1:18">
      <c r="A151" s="996"/>
      <c r="B151" s="997"/>
      <c r="C151" s="437" t="s">
        <v>8328</v>
      </c>
      <c r="D151" s="437" t="s">
        <v>8335</v>
      </c>
      <c r="E151" s="437" t="s">
        <v>8307</v>
      </c>
      <c r="F151" s="438" t="s">
        <v>8342</v>
      </c>
      <c r="G151" s="436" t="s">
        <v>2875</v>
      </c>
      <c r="H151" s="436" t="s">
        <v>2875</v>
      </c>
      <c r="I151" s="436" t="s">
        <v>2875</v>
      </c>
      <c r="J151" s="441" t="s">
        <v>2875</v>
      </c>
      <c r="K151" s="436" t="s">
        <v>2875</v>
      </c>
      <c r="L151" s="442" t="s">
        <v>2875</v>
      </c>
      <c r="M151" s="442">
        <v>9250</v>
      </c>
      <c r="N151" s="442">
        <v>9250</v>
      </c>
      <c r="O151" s="442" t="s">
        <v>2877</v>
      </c>
      <c r="P151" s="441" t="s">
        <v>2877</v>
      </c>
      <c r="Q151" s="442" t="s">
        <v>2877</v>
      </c>
      <c r="R151" s="442">
        <v>0</v>
      </c>
    </row>
    <row r="152" spans="1:18">
      <c r="A152" s="996"/>
      <c r="B152" s="997"/>
      <c r="C152" s="437" t="s">
        <v>8329</v>
      </c>
      <c r="D152" s="437" t="s">
        <v>8337</v>
      </c>
      <c r="E152" s="437" t="s">
        <v>8307</v>
      </c>
      <c r="F152" s="438" t="s">
        <v>8342</v>
      </c>
      <c r="G152" s="436" t="s">
        <v>2875</v>
      </c>
      <c r="H152" s="436" t="s">
        <v>2875</v>
      </c>
      <c r="I152" s="436" t="s">
        <v>2875</v>
      </c>
      <c r="J152" s="441" t="s">
        <v>2875</v>
      </c>
      <c r="K152" s="436" t="s">
        <v>2875</v>
      </c>
      <c r="L152" s="442" t="s">
        <v>2875</v>
      </c>
      <c r="M152" s="442">
        <v>5420</v>
      </c>
      <c r="N152" s="442">
        <v>5420</v>
      </c>
      <c r="O152" s="442" t="s">
        <v>2877</v>
      </c>
      <c r="P152" s="441" t="s">
        <v>2877</v>
      </c>
      <c r="Q152" s="442" t="s">
        <v>2877</v>
      </c>
      <c r="R152" s="442">
        <v>0</v>
      </c>
    </row>
    <row r="153" spans="1:18">
      <c r="A153" s="996"/>
      <c r="B153" s="997"/>
      <c r="C153" s="437" t="s">
        <v>8330</v>
      </c>
      <c r="D153" s="437"/>
      <c r="E153" s="437" t="s">
        <v>8307</v>
      </c>
      <c r="F153" s="438" t="s">
        <v>8342</v>
      </c>
      <c r="G153" s="436" t="s">
        <v>2875</v>
      </c>
      <c r="H153" s="436" t="s">
        <v>2875</v>
      </c>
      <c r="I153" s="436" t="s">
        <v>2875</v>
      </c>
      <c r="J153" s="441" t="s">
        <v>2875</v>
      </c>
      <c r="K153" s="436" t="s">
        <v>2875</v>
      </c>
      <c r="L153" s="442" t="s">
        <v>2875</v>
      </c>
      <c r="M153" s="442">
        <v>10000</v>
      </c>
      <c r="N153" s="442">
        <v>10000</v>
      </c>
      <c r="O153" s="442" t="s">
        <v>2877</v>
      </c>
      <c r="P153" s="441" t="s">
        <v>2877</v>
      </c>
      <c r="Q153" s="442" t="s">
        <v>2877</v>
      </c>
      <c r="R153" s="442">
        <v>0</v>
      </c>
    </row>
    <row r="154" spans="1:18">
      <c r="A154" s="996"/>
      <c r="B154" s="997"/>
      <c r="C154" s="437" t="s">
        <v>8331</v>
      </c>
      <c r="D154" s="437" t="s">
        <v>8335</v>
      </c>
      <c r="E154" s="437" t="s">
        <v>8307</v>
      </c>
      <c r="F154" s="438" t="s">
        <v>8342</v>
      </c>
      <c r="G154" s="436" t="s">
        <v>2875</v>
      </c>
      <c r="H154" s="436" t="s">
        <v>2875</v>
      </c>
      <c r="I154" s="436" t="s">
        <v>2875</v>
      </c>
      <c r="J154" s="441" t="s">
        <v>2875</v>
      </c>
      <c r="K154" s="436" t="s">
        <v>2875</v>
      </c>
      <c r="L154" s="442" t="s">
        <v>2875</v>
      </c>
      <c r="M154" s="442">
        <v>5420</v>
      </c>
      <c r="N154" s="442">
        <v>5420</v>
      </c>
      <c r="O154" s="442" t="s">
        <v>2877</v>
      </c>
      <c r="P154" s="441" t="s">
        <v>2877</v>
      </c>
      <c r="Q154" s="442" t="s">
        <v>2877</v>
      </c>
      <c r="R154" s="442">
        <v>0</v>
      </c>
    </row>
    <row r="155" spans="1:18">
      <c r="A155" s="996"/>
      <c r="B155" s="997"/>
      <c r="C155" s="437" t="s">
        <v>8332</v>
      </c>
      <c r="D155" s="437" t="s">
        <v>8340</v>
      </c>
      <c r="E155" s="437" t="s">
        <v>8307</v>
      </c>
      <c r="F155" s="438" t="s">
        <v>8342</v>
      </c>
      <c r="G155" s="436" t="s">
        <v>2875</v>
      </c>
      <c r="H155" s="436" t="s">
        <v>2875</v>
      </c>
      <c r="I155" s="436" t="s">
        <v>2875</v>
      </c>
      <c r="J155" s="441" t="s">
        <v>2875</v>
      </c>
      <c r="K155" s="436" t="s">
        <v>2875</v>
      </c>
      <c r="L155" s="442" t="s">
        <v>2875</v>
      </c>
      <c r="M155" s="442">
        <v>13300</v>
      </c>
      <c r="N155" s="442">
        <v>13300</v>
      </c>
      <c r="O155" s="442" t="s">
        <v>2877</v>
      </c>
      <c r="P155" s="441" t="s">
        <v>2877</v>
      </c>
      <c r="Q155" s="442" t="s">
        <v>2877</v>
      </c>
      <c r="R155" s="442">
        <v>0</v>
      </c>
    </row>
    <row r="156" spans="1:18">
      <c r="A156" s="996"/>
      <c r="B156" s="997"/>
      <c r="C156" s="437" t="s">
        <v>8333</v>
      </c>
      <c r="D156" s="437" t="s">
        <v>8341</v>
      </c>
      <c r="E156" s="437" t="s">
        <v>8307</v>
      </c>
      <c r="F156" s="438" t="s">
        <v>8342</v>
      </c>
      <c r="G156" s="436" t="s">
        <v>2875</v>
      </c>
      <c r="H156" s="436" t="s">
        <v>2875</v>
      </c>
      <c r="I156" s="436" t="s">
        <v>2875</v>
      </c>
      <c r="J156" s="441" t="s">
        <v>2875</v>
      </c>
      <c r="K156" s="436" t="s">
        <v>2875</v>
      </c>
      <c r="L156" s="442" t="s">
        <v>2875</v>
      </c>
      <c r="M156" s="442">
        <v>250</v>
      </c>
      <c r="N156" s="442">
        <v>250</v>
      </c>
      <c r="O156" s="442" t="s">
        <v>2877</v>
      </c>
      <c r="P156" s="441" t="s">
        <v>2877</v>
      </c>
      <c r="Q156" s="442" t="s">
        <v>2877</v>
      </c>
      <c r="R156" s="442">
        <v>0</v>
      </c>
    </row>
    <row r="157" spans="1:18">
      <c r="A157" s="996"/>
      <c r="B157" s="997"/>
      <c r="C157" s="437" t="s">
        <v>8334</v>
      </c>
      <c r="D157" s="437" t="s">
        <v>8337</v>
      </c>
      <c r="E157" s="437" t="s">
        <v>8307</v>
      </c>
      <c r="F157" s="438" t="s">
        <v>8342</v>
      </c>
      <c r="G157" s="436" t="s">
        <v>2875</v>
      </c>
      <c r="H157" s="436" t="s">
        <v>2875</v>
      </c>
      <c r="I157" s="436" t="s">
        <v>2875</v>
      </c>
      <c r="J157" s="441" t="s">
        <v>2875</v>
      </c>
      <c r="K157" s="436" t="s">
        <v>2875</v>
      </c>
      <c r="L157" s="442" t="s">
        <v>2875</v>
      </c>
      <c r="M157" s="442">
        <v>5420</v>
      </c>
      <c r="N157" s="442">
        <v>5420</v>
      </c>
      <c r="O157" s="442" t="s">
        <v>2877</v>
      </c>
      <c r="P157" s="441" t="s">
        <v>2877</v>
      </c>
      <c r="Q157" s="442" t="s">
        <v>2877</v>
      </c>
      <c r="R157" s="442">
        <v>0</v>
      </c>
    </row>
    <row r="158" spans="1:18">
      <c r="A158" s="350"/>
      <c r="B158" s="351" t="s">
        <v>8318</v>
      </c>
      <c r="C158" s="351"/>
      <c r="D158" s="351"/>
      <c r="E158" s="373"/>
      <c r="F158" s="374"/>
      <c r="G158" s="374"/>
      <c r="H158" s="374"/>
      <c r="I158" s="374"/>
      <c r="J158" s="374"/>
      <c r="K158" s="354"/>
      <c r="L158" s="354"/>
      <c r="M158" s="355"/>
      <c r="N158" s="356">
        <f>SUM(N139:N157)</f>
        <v>136995.53</v>
      </c>
      <c r="O158" s="354"/>
      <c r="P158" s="354"/>
      <c r="Q158" s="354"/>
      <c r="R158" s="356">
        <f>SUM(R139:R157)</f>
        <v>0</v>
      </c>
    </row>
    <row r="159" spans="1:18">
      <c r="A159" s="390" t="s">
        <v>3171</v>
      </c>
      <c r="L159" s="448"/>
      <c r="M159" s="448"/>
      <c r="N159" s="448"/>
      <c r="O159" s="448"/>
      <c r="P159" s="448"/>
      <c r="Q159" s="448"/>
      <c r="R159" s="448"/>
    </row>
    <row r="160" spans="1:18" ht="14.5" thickBot="1"/>
    <row r="161" spans="14:18" ht="14.5" thickBot="1">
      <c r="N161" s="394">
        <f>N21+N41+N88+N92+N99+N104+N110+N112+N120+N125+N131+N138+N13+N158</f>
        <v>11132741.219999999</v>
      </c>
      <c r="O161" s="319"/>
      <c r="P161" s="319"/>
      <c r="Q161" s="393"/>
      <c r="R161" s="394">
        <f>R21+R41+R88+R92+R99+R104+R110+R112+R120+R125+R131+R138+R13+R158</f>
        <v>438500</v>
      </c>
    </row>
    <row r="162" spans="14:18" ht="14.5" thickBot="1">
      <c r="N162" s="321"/>
      <c r="O162" s="319"/>
      <c r="P162" s="319"/>
      <c r="Q162" s="320"/>
      <c r="R162" s="320"/>
    </row>
    <row r="163" spans="14:18" ht="14.5" thickBot="1">
      <c r="N163" s="321"/>
      <c r="O163" s="976" t="s">
        <v>3780</v>
      </c>
      <c r="P163" s="977"/>
      <c r="Q163" s="978"/>
      <c r="R163" s="395">
        <f>N161+R161</f>
        <v>11571241.219999999</v>
      </c>
    </row>
  </sheetData>
  <autoFilter ref="A7:B159" xr:uid="{C1025667-F743-47CA-8D7B-4E259985B32E}"/>
  <mergeCells count="38">
    <mergeCell ref="D7:D8"/>
    <mergeCell ref="E7:E8"/>
    <mergeCell ref="F7:F8"/>
    <mergeCell ref="A9:A12"/>
    <mergeCell ref="B9:B12"/>
    <mergeCell ref="A7:A8"/>
    <mergeCell ref="B7:B8"/>
    <mergeCell ref="C7:C8"/>
    <mergeCell ref="G7:G8"/>
    <mergeCell ref="H7:H8"/>
    <mergeCell ref="I7:I8"/>
    <mergeCell ref="J7:N7"/>
    <mergeCell ref="O7:R7"/>
    <mergeCell ref="A14:A20"/>
    <mergeCell ref="B14:B20"/>
    <mergeCell ref="A22:A40"/>
    <mergeCell ref="B22:B40"/>
    <mergeCell ref="A42:A87"/>
    <mergeCell ref="B42:B87"/>
    <mergeCell ref="A89:A91"/>
    <mergeCell ref="B89:B91"/>
    <mergeCell ref="A93:A98"/>
    <mergeCell ref="B93:B98"/>
    <mergeCell ref="A100:A103"/>
    <mergeCell ref="B100:B103"/>
    <mergeCell ref="A105:A109"/>
    <mergeCell ref="B105:B109"/>
    <mergeCell ref="A113:A119"/>
    <mergeCell ref="B113:B119"/>
    <mergeCell ref="A121:A124"/>
    <mergeCell ref="B121:B124"/>
    <mergeCell ref="O163:Q163"/>
    <mergeCell ref="A126:A130"/>
    <mergeCell ref="B126:B130"/>
    <mergeCell ref="A132:A137"/>
    <mergeCell ref="B132:B137"/>
    <mergeCell ref="A139:A157"/>
    <mergeCell ref="B139:B157"/>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19602-00F4-401D-94B4-BA4C162E5E0A}">
  <sheetPr>
    <tabColor rgb="FF92D050"/>
  </sheetPr>
  <dimension ref="A2:BR76"/>
  <sheetViews>
    <sheetView showGridLines="0" zoomScaleNormal="100" workbookViewId="0">
      <pane xSplit="3" ySplit="9" topLeftCell="BH56" activePane="bottomRight" state="frozen"/>
      <selection activeCell="A2" sqref="A2"/>
      <selection pane="topRight" activeCell="A2" sqref="A2"/>
      <selection pane="bottomLeft" activeCell="A2" sqref="A2"/>
      <selection pane="bottomRight" activeCell="BP76" activeCellId="1" sqref="BP59 BP76"/>
    </sheetView>
  </sheetViews>
  <sheetFormatPr baseColWidth="10" defaultColWidth="11.5" defaultRowHeight="12"/>
  <cols>
    <col min="1" max="1" width="10.25" style="136" customWidth="1"/>
    <col min="2" max="2" width="48.25" style="136" bestFit="1" customWidth="1"/>
    <col min="3" max="3" width="15.25" style="136" bestFit="1" customWidth="1"/>
    <col min="4" max="4" width="7.75" style="154" bestFit="1" customWidth="1"/>
    <col min="5" max="5" width="18" style="136" bestFit="1" customWidth="1"/>
    <col min="6" max="6" width="5.75" style="136" bestFit="1" customWidth="1"/>
    <col min="7" max="7" width="18" style="136" bestFit="1" customWidth="1"/>
    <col min="8" max="8" width="7.25" style="136" bestFit="1" customWidth="1"/>
    <col min="9" max="9" width="18" style="136" bestFit="1" customWidth="1"/>
    <col min="10" max="10" width="7.25" style="136" bestFit="1" customWidth="1"/>
    <col min="11" max="11" width="18" style="136" bestFit="1" customWidth="1"/>
    <col min="12" max="12" width="8.25" style="136" bestFit="1" customWidth="1"/>
    <col min="13" max="13" width="19" style="136" bestFit="1" customWidth="1"/>
    <col min="14" max="14" width="7.25" style="136" bestFit="1" customWidth="1"/>
    <col min="15" max="15" width="18" style="136" bestFit="1" customWidth="1"/>
    <col min="16" max="16" width="8.25" style="136" bestFit="1" customWidth="1"/>
    <col min="17" max="17" width="18" style="136" bestFit="1" customWidth="1"/>
    <col min="18" max="18" width="7.25" style="136" bestFit="1" customWidth="1"/>
    <col min="19" max="19" width="18" style="136" bestFit="1" customWidth="1"/>
    <col min="20" max="20" width="5.75" style="136" bestFit="1" customWidth="1"/>
    <col min="21" max="21" width="15.25" style="136" bestFit="1" customWidth="1"/>
    <col min="22" max="22" width="5.75" style="136" bestFit="1" customWidth="1"/>
    <col min="23" max="23" width="15.25" style="136" bestFit="1" customWidth="1"/>
    <col min="24" max="24" width="7.25" style="136" bestFit="1" customWidth="1"/>
    <col min="25" max="25" width="14.1640625" style="136" customWidth="1"/>
    <col min="26" max="26" width="5.75" style="136" bestFit="1" customWidth="1"/>
    <col min="27" max="27" width="14.1640625" style="136" customWidth="1"/>
    <col min="28" max="28" width="7.25" style="136" bestFit="1" customWidth="1"/>
    <col min="29" max="29" width="16.83203125" style="136" bestFit="1" customWidth="1"/>
    <col min="30" max="30" width="5.75" style="136" bestFit="1" customWidth="1"/>
    <col min="31" max="31" width="15.25" style="136" bestFit="1" customWidth="1"/>
    <col min="32" max="32" width="8.25" style="136" bestFit="1" customWidth="1"/>
    <col min="33" max="33" width="19" style="136" bestFit="1" customWidth="1"/>
    <col min="34" max="34" width="7.25" style="136" bestFit="1" customWidth="1"/>
    <col min="35" max="35" width="18" style="136" bestFit="1" customWidth="1"/>
    <col min="36" max="36" width="5.75" style="456" bestFit="1" customWidth="1"/>
    <col min="37" max="37" width="16.83203125" style="136" bestFit="1" customWidth="1"/>
    <col min="38" max="38" width="4.75" style="456" bestFit="1" customWidth="1"/>
    <col min="39" max="39" width="16.83203125" style="136" bestFit="1" customWidth="1"/>
    <col min="40" max="40" width="5.75" style="456" bestFit="1" customWidth="1"/>
    <col min="41" max="41" width="16.83203125" style="136" bestFit="1" customWidth="1"/>
    <col min="42" max="42" width="4.75" style="456" bestFit="1" customWidth="1"/>
    <col min="43" max="43" width="16.83203125" style="136" bestFit="1" customWidth="1"/>
    <col min="44" max="44" width="7.25" style="456" bestFit="1" customWidth="1"/>
    <col min="45" max="45" width="16.83203125" style="136" bestFit="1" customWidth="1"/>
    <col min="46" max="46" width="5.75" style="456" bestFit="1" customWidth="1"/>
    <col min="47" max="47" width="16.83203125" style="136" bestFit="1" customWidth="1"/>
    <col min="48" max="48" width="7.25" style="456" bestFit="1" customWidth="1"/>
    <col min="49" max="49" width="16.83203125" style="136" bestFit="1" customWidth="1"/>
    <col min="50" max="50" width="5.75" style="456" bestFit="1" customWidth="1"/>
    <col min="51" max="51" width="16.83203125" style="136" bestFit="1" customWidth="1"/>
    <col min="52" max="52" width="5.25" style="456" bestFit="1" customWidth="1"/>
    <col min="53" max="53" width="5.25" style="136" bestFit="1" customWidth="1"/>
    <col min="54" max="54" width="4.25" style="456" bestFit="1" customWidth="1"/>
    <col min="55" max="55" width="14.25" style="136" bestFit="1" customWidth="1"/>
    <col min="56" max="56" width="5.75" style="456" bestFit="1" customWidth="1"/>
    <col min="57" max="57" width="14.25" style="136" bestFit="1" customWidth="1"/>
    <col min="58" max="58" width="4.75" style="456" bestFit="1" customWidth="1"/>
    <col min="59" max="59" width="15.25" style="136" bestFit="1" customWidth="1"/>
    <col min="60" max="60" width="5.5" style="456" bestFit="1" customWidth="1"/>
    <col min="61" max="61" width="14.25" style="136" bestFit="1" customWidth="1"/>
    <col min="62" max="62" width="4.75" style="456" bestFit="1" customWidth="1"/>
    <col min="63" max="63" width="14.25" style="136" bestFit="1" customWidth="1"/>
    <col min="64" max="64" width="7.1640625" style="456" bestFit="1" customWidth="1"/>
    <col min="65" max="65" width="16.83203125" style="136" bestFit="1" customWidth="1"/>
    <col min="66" max="66" width="4.75" style="456" bestFit="1" customWidth="1"/>
    <col min="67" max="67" width="15.25" style="136" bestFit="1" customWidth="1"/>
    <col min="68" max="68" width="11.75" style="456" bestFit="1" customWidth="1"/>
    <col min="69" max="69" width="19.83203125" style="136" bestFit="1" customWidth="1"/>
    <col min="70" max="16384" width="11.5" style="136"/>
  </cols>
  <sheetData>
    <row r="2" spans="1:69">
      <c r="A2" s="187" t="s">
        <v>7245</v>
      </c>
      <c r="G2" s="455" t="s">
        <v>516</v>
      </c>
      <c r="H2" s="455">
        <v>49</v>
      </c>
    </row>
    <row r="3" spans="1:69">
      <c r="G3" s="455" t="s">
        <v>517</v>
      </c>
      <c r="H3" s="455">
        <f>+H2-H4</f>
        <v>36</v>
      </c>
    </row>
    <row r="4" spans="1:69">
      <c r="B4" s="187" t="s">
        <v>5629</v>
      </c>
      <c r="G4" s="457" t="s">
        <v>518</v>
      </c>
      <c r="H4" s="457">
        <v>13</v>
      </c>
      <c r="I4" s="136" t="s">
        <v>5625</v>
      </c>
    </row>
    <row r="7" spans="1:69" ht="19.5" customHeight="1">
      <c r="A7" s="855" t="s">
        <v>519</v>
      </c>
      <c r="B7" s="855" t="s">
        <v>520</v>
      </c>
      <c r="C7" s="1015" t="s">
        <v>521</v>
      </c>
      <c r="D7" s="1010" t="s">
        <v>2466</v>
      </c>
      <c r="E7" s="1011"/>
      <c r="F7" s="1011"/>
      <c r="G7" s="1011"/>
      <c r="H7" s="1011"/>
      <c r="I7" s="1011"/>
      <c r="J7" s="1011"/>
      <c r="K7" s="1011"/>
      <c r="L7" s="1011"/>
      <c r="M7" s="1011"/>
      <c r="N7" s="1011"/>
      <c r="O7" s="1011"/>
      <c r="P7" s="1011"/>
      <c r="Q7" s="1011"/>
      <c r="R7" s="1011"/>
      <c r="S7" s="1012"/>
      <c r="T7" s="1010" t="s">
        <v>2467</v>
      </c>
      <c r="U7" s="1011"/>
      <c r="V7" s="1011"/>
      <c r="W7" s="1011"/>
      <c r="X7" s="1011"/>
      <c r="Y7" s="1011"/>
      <c r="Z7" s="1011"/>
      <c r="AA7" s="1011"/>
      <c r="AB7" s="1011"/>
      <c r="AC7" s="1011"/>
      <c r="AD7" s="1011"/>
      <c r="AE7" s="1011"/>
      <c r="AF7" s="1011"/>
      <c r="AG7" s="1011"/>
      <c r="AH7" s="1011"/>
      <c r="AI7" s="1012"/>
      <c r="AJ7" s="1010" t="s">
        <v>2468</v>
      </c>
      <c r="AK7" s="1011"/>
      <c r="AL7" s="1011"/>
      <c r="AM7" s="1011"/>
      <c r="AN7" s="1011"/>
      <c r="AO7" s="1011"/>
      <c r="AP7" s="1011"/>
      <c r="AQ7" s="1011"/>
      <c r="AR7" s="1011"/>
      <c r="AS7" s="1011"/>
      <c r="AT7" s="1011"/>
      <c r="AU7" s="1011"/>
      <c r="AV7" s="1011"/>
      <c r="AW7" s="1011"/>
      <c r="AX7" s="1011"/>
      <c r="AY7" s="1012"/>
      <c r="AZ7" s="1010" t="s">
        <v>2469</v>
      </c>
      <c r="BA7" s="1011"/>
      <c r="BB7" s="1011"/>
      <c r="BC7" s="1011"/>
      <c r="BD7" s="1011"/>
      <c r="BE7" s="1011"/>
      <c r="BF7" s="1011"/>
      <c r="BG7" s="1011"/>
      <c r="BH7" s="1011"/>
      <c r="BI7" s="1011"/>
      <c r="BJ7" s="1011"/>
      <c r="BK7" s="1011"/>
      <c r="BL7" s="1011"/>
      <c r="BM7" s="1011"/>
      <c r="BN7" s="1011"/>
      <c r="BO7" s="1012"/>
      <c r="BP7" s="1013" t="s">
        <v>2470</v>
      </c>
      <c r="BQ7" s="1015" t="s">
        <v>2471</v>
      </c>
    </row>
    <row r="8" spans="1:69" ht="18.399999999999999" customHeight="1">
      <c r="A8" s="855"/>
      <c r="B8" s="855"/>
      <c r="C8" s="1015"/>
      <c r="D8" s="1004" t="s">
        <v>2472</v>
      </c>
      <c r="E8" s="1005"/>
      <c r="F8" s="1005"/>
      <c r="G8" s="1006"/>
      <c r="H8" s="1004" t="s">
        <v>2473</v>
      </c>
      <c r="I8" s="1005"/>
      <c r="J8" s="1005"/>
      <c r="K8" s="1006"/>
      <c r="L8" s="1004" t="s">
        <v>2474</v>
      </c>
      <c r="M8" s="1005"/>
      <c r="N8" s="1005"/>
      <c r="O8" s="1006"/>
      <c r="P8" s="1004" t="s">
        <v>2475</v>
      </c>
      <c r="Q8" s="1005"/>
      <c r="R8" s="1005"/>
      <c r="S8" s="1006"/>
      <c r="T8" s="1004" t="s">
        <v>2472</v>
      </c>
      <c r="U8" s="1005"/>
      <c r="V8" s="1005"/>
      <c r="W8" s="1006"/>
      <c r="X8" s="1004" t="s">
        <v>2473</v>
      </c>
      <c r="Y8" s="1005"/>
      <c r="Z8" s="1005"/>
      <c r="AA8" s="1006"/>
      <c r="AB8" s="1004" t="s">
        <v>2474</v>
      </c>
      <c r="AC8" s="1005"/>
      <c r="AD8" s="1005"/>
      <c r="AE8" s="1006"/>
      <c r="AF8" s="1004" t="s">
        <v>2475</v>
      </c>
      <c r="AG8" s="1005"/>
      <c r="AH8" s="1005"/>
      <c r="AI8" s="1006"/>
      <c r="AJ8" s="1004" t="s">
        <v>2472</v>
      </c>
      <c r="AK8" s="1005"/>
      <c r="AL8" s="1005"/>
      <c r="AM8" s="1006"/>
      <c r="AN8" s="1004" t="s">
        <v>2473</v>
      </c>
      <c r="AO8" s="1005"/>
      <c r="AP8" s="1005"/>
      <c r="AQ8" s="1006"/>
      <c r="AR8" s="1004" t="s">
        <v>2474</v>
      </c>
      <c r="AS8" s="1005"/>
      <c r="AT8" s="1005"/>
      <c r="AU8" s="1006"/>
      <c r="AV8" s="1004" t="s">
        <v>2475</v>
      </c>
      <c r="AW8" s="1005"/>
      <c r="AX8" s="1005"/>
      <c r="AY8" s="1006"/>
      <c r="AZ8" s="1004" t="s">
        <v>2472</v>
      </c>
      <c r="BA8" s="1005"/>
      <c r="BB8" s="1005"/>
      <c r="BC8" s="1006"/>
      <c r="BD8" s="1004" t="s">
        <v>2473</v>
      </c>
      <c r="BE8" s="1005"/>
      <c r="BF8" s="1005"/>
      <c r="BG8" s="1006"/>
      <c r="BH8" s="1004" t="s">
        <v>2474</v>
      </c>
      <c r="BI8" s="1005"/>
      <c r="BJ8" s="1005"/>
      <c r="BK8" s="1006"/>
      <c r="BL8" s="1004" t="s">
        <v>2475</v>
      </c>
      <c r="BM8" s="1005"/>
      <c r="BN8" s="1005"/>
      <c r="BO8" s="1006"/>
      <c r="BP8" s="1013"/>
      <c r="BQ8" s="1015"/>
    </row>
    <row r="9" spans="1:69">
      <c r="A9" s="856"/>
      <c r="B9" s="856"/>
      <c r="C9" s="1016"/>
      <c r="D9" s="1007" t="s">
        <v>2302</v>
      </c>
      <c r="E9" s="1008"/>
      <c r="F9" s="1007" t="s">
        <v>2476</v>
      </c>
      <c r="G9" s="1008"/>
      <c r="H9" s="1007" t="s">
        <v>2302</v>
      </c>
      <c r="I9" s="1008"/>
      <c r="J9" s="1007" t="s">
        <v>2476</v>
      </c>
      <c r="K9" s="1008"/>
      <c r="L9" s="1007" t="s">
        <v>2302</v>
      </c>
      <c r="M9" s="1008"/>
      <c r="N9" s="1007" t="s">
        <v>2476</v>
      </c>
      <c r="O9" s="1008"/>
      <c r="P9" s="1007" t="s">
        <v>2302</v>
      </c>
      <c r="Q9" s="1008"/>
      <c r="R9" s="1007" t="s">
        <v>2476</v>
      </c>
      <c r="S9" s="1008"/>
      <c r="T9" s="1007" t="s">
        <v>2302</v>
      </c>
      <c r="U9" s="1008"/>
      <c r="V9" s="1007" t="s">
        <v>2476</v>
      </c>
      <c r="W9" s="1008"/>
      <c r="X9" s="1007" t="s">
        <v>2302</v>
      </c>
      <c r="Y9" s="1008"/>
      <c r="Z9" s="1007" t="s">
        <v>2476</v>
      </c>
      <c r="AA9" s="1008"/>
      <c r="AB9" s="1007" t="s">
        <v>2302</v>
      </c>
      <c r="AC9" s="1008"/>
      <c r="AD9" s="1007" t="s">
        <v>2476</v>
      </c>
      <c r="AE9" s="1008"/>
      <c r="AF9" s="1007" t="s">
        <v>2302</v>
      </c>
      <c r="AG9" s="1008"/>
      <c r="AH9" s="1007" t="s">
        <v>2476</v>
      </c>
      <c r="AI9" s="1008"/>
      <c r="AJ9" s="1007" t="s">
        <v>2302</v>
      </c>
      <c r="AK9" s="1008"/>
      <c r="AL9" s="1007" t="s">
        <v>2476</v>
      </c>
      <c r="AM9" s="1008"/>
      <c r="AN9" s="1007" t="s">
        <v>2302</v>
      </c>
      <c r="AO9" s="1008"/>
      <c r="AP9" s="1007" t="s">
        <v>2476</v>
      </c>
      <c r="AQ9" s="1008"/>
      <c r="AR9" s="1007" t="s">
        <v>2302</v>
      </c>
      <c r="AS9" s="1008"/>
      <c r="AT9" s="1007" t="s">
        <v>2476</v>
      </c>
      <c r="AU9" s="1008"/>
      <c r="AV9" s="1007" t="s">
        <v>2302</v>
      </c>
      <c r="AW9" s="1008"/>
      <c r="AX9" s="1007" t="s">
        <v>2476</v>
      </c>
      <c r="AY9" s="1008"/>
      <c r="AZ9" s="1007" t="s">
        <v>2302</v>
      </c>
      <c r="BA9" s="1008"/>
      <c r="BB9" s="1007" t="s">
        <v>2476</v>
      </c>
      <c r="BC9" s="1008"/>
      <c r="BD9" s="1007" t="s">
        <v>2302</v>
      </c>
      <c r="BE9" s="1008"/>
      <c r="BF9" s="1007" t="s">
        <v>2476</v>
      </c>
      <c r="BG9" s="1008"/>
      <c r="BH9" s="1007" t="s">
        <v>2302</v>
      </c>
      <c r="BI9" s="1008"/>
      <c r="BJ9" s="1007" t="s">
        <v>2476</v>
      </c>
      <c r="BK9" s="1008"/>
      <c r="BL9" s="1007" t="s">
        <v>2302</v>
      </c>
      <c r="BM9" s="1008"/>
      <c r="BN9" s="1007" t="s">
        <v>2476</v>
      </c>
      <c r="BO9" s="1008"/>
      <c r="BP9" s="1014"/>
      <c r="BQ9" s="1016"/>
    </row>
    <row r="10" spans="1:69">
      <c r="A10" s="53">
        <v>1</v>
      </c>
      <c r="B10" s="222" t="s">
        <v>69</v>
      </c>
      <c r="C10" s="53" t="s">
        <v>528</v>
      </c>
      <c r="D10" s="174">
        <v>176</v>
      </c>
      <c r="E10" s="82">
        <v>22852719.390000001</v>
      </c>
      <c r="F10" s="174">
        <v>3</v>
      </c>
      <c r="G10" s="82">
        <v>2347399.8899999997</v>
      </c>
      <c r="H10" s="174">
        <v>930</v>
      </c>
      <c r="I10" s="82">
        <v>52301269.039999992</v>
      </c>
      <c r="J10" s="174">
        <v>140</v>
      </c>
      <c r="K10" s="82">
        <v>31806996.039999999</v>
      </c>
      <c r="L10" s="174">
        <v>4856</v>
      </c>
      <c r="M10" s="82">
        <v>119660546.37000017</v>
      </c>
      <c r="N10" s="174"/>
      <c r="O10" s="82"/>
      <c r="P10" s="174">
        <v>126</v>
      </c>
      <c r="Q10" s="82">
        <v>2193445.0799999991</v>
      </c>
      <c r="R10" s="174"/>
      <c r="S10" s="82"/>
      <c r="T10" s="174"/>
      <c r="U10" s="82"/>
      <c r="V10" s="174"/>
      <c r="W10" s="82"/>
      <c r="X10" s="174"/>
      <c r="Y10" s="82"/>
      <c r="Z10" s="174"/>
      <c r="AA10" s="82"/>
      <c r="AB10" s="174"/>
      <c r="AC10" s="82"/>
      <c r="AD10" s="174"/>
      <c r="AE10" s="82"/>
      <c r="AF10" s="174"/>
      <c r="AG10" s="82"/>
      <c r="AH10" s="174"/>
      <c r="AI10" s="82"/>
      <c r="AJ10" s="174">
        <v>13</v>
      </c>
      <c r="AK10" s="82">
        <v>1423792.6500000001</v>
      </c>
      <c r="AL10" s="174"/>
      <c r="AM10" s="82"/>
      <c r="AN10" s="174">
        <v>78</v>
      </c>
      <c r="AO10" s="82">
        <v>3871611.6199999992</v>
      </c>
      <c r="AP10" s="174">
        <v>8</v>
      </c>
      <c r="AQ10" s="82">
        <v>1356588.9599999997</v>
      </c>
      <c r="AR10" s="174">
        <v>164</v>
      </c>
      <c r="AS10" s="82">
        <v>3260080.73</v>
      </c>
      <c r="AT10" s="174"/>
      <c r="AU10" s="82"/>
      <c r="AV10" s="174">
        <v>5</v>
      </c>
      <c r="AW10" s="82">
        <v>74109.64</v>
      </c>
      <c r="AX10" s="174"/>
      <c r="AY10" s="82"/>
      <c r="AZ10" s="174"/>
      <c r="BA10" s="82"/>
      <c r="BB10" s="174"/>
      <c r="BC10" s="82"/>
      <c r="BD10" s="174"/>
      <c r="BE10" s="82"/>
      <c r="BF10" s="174"/>
      <c r="BG10" s="82"/>
      <c r="BH10" s="174"/>
      <c r="BI10" s="82"/>
      <c r="BJ10" s="174"/>
      <c r="BK10" s="82"/>
      <c r="BL10" s="174"/>
      <c r="BM10" s="82"/>
      <c r="BN10" s="174"/>
      <c r="BO10" s="82"/>
      <c r="BP10" s="174">
        <f>BN10+BL10+BJ10+BH10+BF10+BD10+BB10+AZ10+AX10+AV10+AT10+AR10+AP10+AN10+AL10+AJ10+AH10+AF10+AD10+AB10+Z10+X10+V10+T10+R10+P10+N10+L10+J10+H10+F10+D10</f>
        <v>6499</v>
      </c>
      <c r="BQ10" s="82">
        <f>BO10+BM10+BK10+BI10+BG10+BE10+BC10+BA10+AY10+AW10+AU10+AS10+AQ10+AO10+AM10+AK10+AI10+AG10+AE10+AC10+AA10+Y10+W10+U10+S10+Q10+O10+M10+K10+I10+G10+E10</f>
        <v>241148559.41000015</v>
      </c>
    </row>
    <row r="11" spans="1:69">
      <c r="A11" s="51">
        <v>2</v>
      </c>
      <c r="B11" s="50" t="s">
        <v>534</v>
      </c>
      <c r="C11" s="51" t="s">
        <v>535</v>
      </c>
      <c r="D11" s="175">
        <v>34</v>
      </c>
      <c r="E11" s="81">
        <v>11574016572.2791</v>
      </c>
      <c r="F11" s="175">
        <v>31</v>
      </c>
      <c r="G11" s="81">
        <v>12137477407.9727</v>
      </c>
      <c r="H11" s="175">
        <v>294</v>
      </c>
      <c r="I11" s="81">
        <v>57578963475.054695</v>
      </c>
      <c r="J11" s="175">
        <v>153</v>
      </c>
      <c r="K11" s="81">
        <v>13645216534.803108</v>
      </c>
      <c r="L11" s="175">
        <v>2272</v>
      </c>
      <c r="M11" s="81">
        <v>179156785736.66928</v>
      </c>
      <c r="N11" s="175">
        <v>374</v>
      </c>
      <c r="O11" s="81">
        <v>10491130210.66048</v>
      </c>
      <c r="P11" s="175">
        <v>238</v>
      </c>
      <c r="Q11" s="81">
        <v>12441992997.106598</v>
      </c>
      <c r="R11" s="175"/>
      <c r="S11" s="81"/>
      <c r="T11" s="175"/>
      <c r="U11" s="81"/>
      <c r="V11" s="175"/>
      <c r="W11" s="81"/>
      <c r="X11" s="175"/>
      <c r="Y11" s="81"/>
      <c r="Z11" s="175"/>
      <c r="AA11" s="81"/>
      <c r="AB11" s="175"/>
      <c r="AC11" s="81"/>
      <c r="AD11" s="175"/>
      <c r="AE11" s="81"/>
      <c r="AF11" s="175">
        <v>13825</v>
      </c>
      <c r="AG11" s="81">
        <v>118458553690.334</v>
      </c>
      <c r="AH11" s="175">
        <v>2155</v>
      </c>
      <c r="AI11" s="81">
        <v>18464968043.592751</v>
      </c>
      <c r="AJ11" s="175">
        <v>3</v>
      </c>
      <c r="AK11" s="81">
        <v>980339092.71850002</v>
      </c>
      <c r="AL11" s="175">
        <v>4</v>
      </c>
      <c r="AM11" s="81">
        <v>587330601.13810003</v>
      </c>
      <c r="AN11" s="175">
        <v>21</v>
      </c>
      <c r="AO11" s="81">
        <v>3672785703.1924</v>
      </c>
      <c r="AP11" s="175">
        <v>13</v>
      </c>
      <c r="AQ11" s="81">
        <v>918555777.04170012</v>
      </c>
      <c r="AR11" s="175">
        <v>74</v>
      </c>
      <c r="AS11" s="81">
        <v>5960966711.0104008</v>
      </c>
      <c r="AT11" s="175">
        <v>32</v>
      </c>
      <c r="AU11" s="81">
        <v>990461492.9531002</v>
      </c>
      <c r="AV11" s="175">
        <v>14</v>
      </c>
      <c r="AW11" s="81">
        <v>652443073.71559989</v>
      </c>
      <c r="AX11" s="175"/>
      <c r="AY11" s="81"/>
      <c r="AZ11" s="175"/>
      <c r="BA11" s="81"/>
      <c r="BB11" s="175"/>
      <c r="BC11" s="81"/>
      <c r="BD11" s="175"/>
      <c r="BE11" s="81"/>
      <c r="BF11" s="175"/>
      <c r="BG11" s="81"/>
      <c r="BH11" s="175"/>
      <c r="BI11" s="81"/>
      <c r="BJ11" s="175"/>
      <c r="BK11" s="81"/>
      <c r="BL11" s="175">
        <v>488</v>
      </c>
      <c r="BM11" s="81">
        <v>4181394155.5792398</v>
      </c>
      <c r="BN11" s="175">
        <v>44</v>
      </c>
      <c r="BO11" s="81">
        <v>377010948.45386595</v>
      </c>
      <c r="BP11" s="175">
        <f t="shared" ref="BP11:BQ39" si="0">BN11+BL11+BJ11+BH11+BF11+BD11+BB11+AZ11+AX11+AV11+AT11+AR11+AP11+AN11+AL11+AJ11+AH11+AF11+AD11+AB11+Z11+X11+V11+T11+R11+P11+N11+L11+J11+H11+F11+D11</f>
        <v>20069</v>
      </c>
      <c r="BQ11" s="81">
        <f t="shared" si="0"/>
        <v>452270392224.27563</v>
      </c>
    </row>
    <row r="12" spans="1:69">
      <c r="A12" s="53">
        <v>3</v>
      </c>
      <c r="B12" s="222" t="s">
        <v>539</v>
      </c>
      <c r="C12" s="53" t="s">
        <v>540</v>
      </c>
      <c r="D12" s="174">
        <v>2</v>
      </c>
      <c r="E12" s="82">
        <v>460763924.26819998</v>
      </c>
      <c r="F12" s="174">
        <v>6</v>
      </c>
      <c r="G12" s="82">
        <v>1106251362.2967</v>
      </c>
      <c r="H12" s="174">
        <v>5</v>
      </c>
      <c r="I12" s="82">
        <v>260263670.74680001</v>
      </c>
      <c r="J12" s="174">
        <v>3</v>
      </c>
      <c r="K12" s="82">
        <v>305821582.20380002</v>
      </c>
      <c r="L12" s="174">
        <v>294</v>
      </c>
      <c r="M12" s="82">
        <v>7975416238.4429998</v>
      </c>
      <c r="N12" s="174">
        <v>214</v>
      </c>
      <c r="O12" s="82">
        <v>11457692692.556801</v>
      </c>
      <c r="P12" s="174">
        <v>1741</v>
      </c>
      <c r="Q12" s="82">
        <v>29093370597.423</v>
      </c>
      <c r="R12" s="174">
        <v>7</v>
      </c>
      <c r="S12" s="82">
        <v>103817278.3783</v>
      </c>
      <c r="T12" s="174"/>
      <c r="U12" s="82"/>
      <c r="V12" s="174"/>
      <c r="W12" s="82"/>
      <c r="X12" s="174"/>
      <c r="Y12" s="82"/>
      <c r="Z12" s="174"/>
      <c r="AA12" s="82"/>
      <c r="AB12" s="174"/>
      <c r="AC12" s="82"/>
      <c r="AD12" s="174"/>
      <c r="AE12" s="82"/>
      <c r="AF12" s="174"/>
      <c r="AG12" s="82"/>
      <c r="AH12" s="174"/>
      <c r="AI12" s="82"/>
      <c r="AJ12" s="174"/>
      <c r="AK12" s="82"/>
      <c r="AL12" s="174"/>
      <c r="AM12" s="82"/>
      <c r="AN12" s="174"/>
      <c r="AO12" s="82"/>
      <c r="AP12" s="174"/>
      <c r="AQ12" s="82"/>
      <c r="AR12" s="174">
        <v>5</v>
      </c>
      <c r="AS12" s="82">
        <v>158962758.22040001</v>
      </c>
      <c r="AT12" s="174">
        <v>22</v>
      </c>
      <c r="AU12" s="82">
        <v>167959828539.358</v>
      </c>
      <c r="AV12" s="174">
        <v>19</v>
      </c>
      <c r="AW12" s="82">
        <v>163962746.49270001</v>
      </c>
      <c r="AX12" s="174"/>
      <c r="AY12" s="82"/>
      <c r="AZ12" s="174"/>
      <c r="BA12" s="82"/>
      <c r="BB12" s="174"/>
      <c r="BC12" s="82"/>
      <c r="BD12" s="174"/>
      <c r="BE12" s="82"/>
      <c r="BF12" s="174"/>
      <c r="BG12" s="82"/>
      <c r="BH12" s="174"/>
      <c r="BI12" s="82"/>
      <c r="BJ12" s="174"/>
      <c r="BK12" s="82"/>
      <c r="BL12" s="174"/>
      <c r="BM12" s="82"/>
      <c r="BN12" s="174"/>
      <c r="BO12" s="82"/>
      <c r="BP12" s="174">
        <f t="shared" si="0"/>
        <v>2318</v>
      </c>
      <c r="BQ12" s="82">
        <f t="shared" si="0"/>
        <v>219046151390.38766</v>
      </c>
    </row>
    <row r="13" spans="1:69">
      <c r="A13" s="51">
        <v>4</v>
      </c>
      <c r="B13" s="50" t="s">
        <v>544</v>
      </c>
      <c r="C13" s="51" t="s">
        <v>545</v>
      </c>
      <c r="D13" s="175">
        <v>85</v>
      </c>
      <c r="E13" s="81">
        <v>19488957.667052943</v>
      </c>
      <c r="F13" s="175"/>
      <c r="G13" s="81"/>
      <c r="H13" s="175">
        <v>136</v>
      </c>
      <c r="I13" s="81">
        <v>8881459.0571323577</v>
      </c>
      <c r="J13" s="175"/>
      <c r="K13" s="81"/>
      <c r="L13" s="175">
        <v>906</v>
      </c>
      <c r="M13" s="81">
        <v>4588061.5207781466</v>
      </c>
      <c r="N13" s="175"/>
      <c r="O13" s="81"/>
      <c r="P13" s="175">
        <v>861</v>
      </c>
      <c r="Q13" s="81">
        <v>2463210.5759396059</v>
      </c>
      <c r="R13" s="175"/>
      <c r="S13" s="81"/>
      <c r="T13" s="175">
        <v>3</v>
      </c>
      <c r="U13" s="81">
        <v>19827343.906500001</v>
      </c>
      <c r="V13" s="175">
        <v>23</v>
      </c>
      <c r="W13" s="81"/>
      <c r="X13" s="175">
        <v>5</v>
      </c>
      <c r="Y13" s="81">
        <v>3518958.2765000002</v>
      </c>
      <c r="Z13" s="175">
        <v>117</v>
      </c>
      <c r="AA13" s="81"/>
      <c r="AB13" s="175"/>
      <c r="AC13" s="81"/>
      <c r="AD13" s="175"/>
      <c r="AE13" s="81"/>
      <c r="AF13" s="175"/>
      <c r="AG13" s="81"/>
      <c r="AH13" s="175"/>
      <c r="AI13" s="81"/>
      <c r="AJ13" s="175">
        <v>5</v>
      </c>
      <c r="AK13" s="81">
        <v>31074617.3862</v>
      </c>
      <c r="AL13" s="175"/>
      <c r="AM13" s="81"/>
      <c r="AN13" s="175">
        <v>17</v>
      </c>
      <c r="AO13" s="81">
        <v>7881068.7156764725</v>
      </c>
      <c r="AP13" s="175"/>
      <c r="AQ13" s="81"/>
      <c r="AR13" s="175">
        <v>96</v>
      </c>
      <c r="AS13" s="81">
        <v>4658723.8140312498</v>
      </c>
      <c r="AT13" s="175"/>
      <c r="AU13" s="81"/>
      <c r="AV13" s="175">
        <v>85</v>
      </c>
      <c r="AW13" s="81">
        <v>1565985.9306764712</v>
      </c>
      <c r="AX13" s="175"/>
      <c r="AY13" s="81"/>
      <c r="AZ13" s="175"/>
      <c r="BA13" s="81"/>
      <c r="BB13" s="175">
        <v>2</v>
      </c>
      <c r="BC13" s="81"/>
      <c r="BD13" s="175">
        <v>2</v>
      </c>
      <c r="BE13" s="81">
        <v>6048325.2039999999</v>
      </c>
      <c r="BF13" s="175"/>
      <c r="BG13" s="81"/>
      <c r="BH13" s="175"/>
      <c r="BI13" s="81"/>
      <c r="BJ13" s="175">
        <v>5</v>
      </c>
      <c r="BK13" s="81"/>
      <c r="BL13" s="175"/>
      <c r="BM13" s="81"/>
      <c r="BN13" s="175"/>
      <c r="BO13" s="81"/>
      <c r="BP13" s="175">
        <f t="shared" si="0"/>
        <v>2348</v>
      </c>
      <c r="BQ13" s="81">
        <f t="shared" si="0"/>
        <v>109996712.05448726</v>
      </c>
    </row>
    <row r="14" spans="1:69">
      <c r="A14" s="53">
        <v>5</v>
      </c>
      <c r="B14" s="222" t="s">
        <v>553</v>
      </c>
      <c r="C14" s="53" t="s">
        <v>554</v>
      </c>
      <c r="D14" s="174"/>
      <c r="E14" s="82"/>
      <c r="F14" s="174">
        <v>6</v>
      </c>
      <c r="G14" s="82">
        <v>1993446093.5900199</v>
      </c>
      <c r="H14" s="174">
        <v>6</v>
      </c>
      <c r="I14" s="82">
        <v>836469077.14348495</v>
      </c>
      <c r="J14" s="174">
        <v>12</v>
      </c>
      <c r="K14" s="82">
        <v>2413425036.4169898</v>
      </c>
      <c r="L14" s="174">
        <v>55</v>
      </c>
      <c r="M14" s="82">
        <v>3175825712.3852501</v>
      </c>
      <c r="N14" s="174">
        <v>85</v>
      </c>
      <c r="O14" s="82">
        <v>12811761261.809799</v>
      </c>
      <c r="P14" s="174">
        <v>785</v>
      </c>
      <c r="Q14" s="82">
        <v>19646173061.010201</v>
      </c>
      <c r="R14" s="174"/>
      <c r="S14" s="82"/>
      <c r="T14" s="174"/>
      <c r="U14" s="82"/>
      <c r="V14" s="174"/>
      <c r="W14" s="82"/>
      <c r="X14" s="174"/>
      <c r="Y14" s="82"/>
      <c r="Z14" s="174"/>
      <c r="AA14" s="82"/>
      <c r="AB14" s="174"/>
      <c r="AC14" s="82"/>
      <c r="AD14" s="174"/>
      <c r="AE14" s="82"/>
      <c r="AF14" s="174"/>
      <c r="AG14" s="82"/>
      <c r="AH14" s="174"/>
      <c r="AI14" s="82"/>
      <c r="AJ14" s="174"/>
      <c r="AK14" s="82"/>
      <c r="AL14" s="174"/>
      <c r="AM14" s="82"/>
      <c r="AN14" s="174"/>
      <c r="AO14" s="82"/>
      <c r="AP14" s="174">
        <v>6</v>
      </c>
      <c r="AQ14" s="82">
        <v>1039162523.34378</v>
      </c>
      <c r="AR14" s="174">
        <v>5</v>
      </c>
      <c r="AS14" s="82">
        <v>218655490.56</v>
      </c>
      <c r="AT14" s="174">
        <v>14</v>
      </c>
      <c r="AU14" s="82">
        <v>2092818368.6375699</v>
      </c>
      <c r="AV14" s="174">
        <v>46</v>
      </c>
      <c r="AW14" s="82">
        <v>946695269.52337694</v>
      </c>
      <c r="AX14" s="174"/>
      <c r="AY14" s="82"/>
      <c r="AZ14" s="174"/>
      <c r="BA14" s="82"/>
      <c r="BB14" s="174"/>
      <c r="BC14" s="82"/>
      <c r="BD14" s="174"/>
      <c r="BE14" s="82"/>
      <c r="BF14" s="174"/>
      <c r="BG14" s="82"/>
      <c r="BH14" s="174"/>
      <c r="BI14" s="82"/>
      <c r="BJ14" s="174"/>
      <c r="BK14" s="82"/>
      <c r="BL14" s="174"/>
      <c r="BM14" s="82"/>
      <c r="BN14" s="174"/>
      <c r="BO14" s="82"/>
      <c r="BP14" s="174">
        <f t="shared" si="0"/>
        <v>1020</v>
      </c>
      <c r="BQ14" s="82">
        <f t="shared" si="0"/>
        <v>45174431894.420471</v>
      </c>
    </row>
    <row r="15" spans="1:69">
      <c r="A15" s="51">
        <v>6</v>
      </c>
      <c r="B15" s="177" t="s">
        <v>2586</v>
      </c>
      <c r="C15" s="51" t="s">
        <v>2478</v>
      </c>
      <c r="D15" s="175"/>
      <c r="E15" s="81"/>
      <c r="F15" s="175"/>
      <c r="G15" s="81"/>
      <c r="H15" s="175"/>
      <c r="I15" s="81"/>
      <c r="J15" s="175"/>
      <c r="K15" s="81"/>
      <c r="L15" s="175"/>
      <c r="M15" s="81"/>
      <c r="N15" s="175"/>
      <c r="O15" s="81"/>
      <c r="P15" s="175"/>
      <c r="Q15" s="81"/>
      <c r="R15" s="175"/>
      <c r="S15" s="81"/>
      <c r="T15" s="175"/>
      <c r="U15" s="81"/>
      <c r="V15" s="175">
        <v>10</v>
      </c>
      <c r="W15" s="81"/>
      <c r="X15" s="175">
        <v>3</v>
      </c>
      <c r="Y15" s="81"/>
      <c r="Z15" s="175">
        <v>10</v>
      </c>
      <c r="AA15" s="81"/>
      <c r="AB15" s="175">
        <v>3</v>
      </c>
      <c r="AC15" s="81"/>
      <c r="AD15" s="175">
        <v>17</v>
      </c>
      <c r="AE15" s="81"/>
      <c r="AF15" s="175"/>
      <c r="AG15" s="81"/>
      <c r="AH15" s="175">
        <v>52</v>
      </c>
      <c r="AI15" s="81"/>
      <c r="AJ15" s="175"/>
      <c r="AK15" s="81"/>
      <c r="AL15" s="175"/>
      <c r="AM15" s="81"/>
      <c r="AN15" s="175"/>
      <c r="AO15" s="81"/>
      <c r="AP15" s="175"/>
      <c r="AQ15" s="81"/>
      <c r="AR15" s="175"/>
      <c r="AS15" s="81"/>
      <c r="AT15" s="175"/>
      <c r="AU15" s="81"/>
      <c r="AV15" s="175"/>
      <c r="AW15" s="81"/>
      <c r="AX15" s="175"/>
      <c r="AY15" s="81"/>
      <c r="AZ15" s="175"/>
      <c r="BA15" s="81"/>
      <c r="BB15" s="175">
        <v>1</v>
      </c>
      <c r="BC15" s="81"/>
      <c r="BD15" s="175"/>
      <c r="BE15" s="81"/>
      <c r="BF15" s="175">
        <v>2</v>
      </c>
      <c r="BG15" s="81"/>
      <c r="BH15" s="175">
        <v>3</v>
      </c>
      <c r="BI15" s="81"/>
      <c r="BJ15" s="175">
        <v>8</v>
      </c>
      <c r="BK15" s="81"/>
      <c r="BL15" s="175"/>
      <c r="BM15" s="81"/>
      <c r="BN15" s="175"/>
      <c r="BO15" s="81"/>
      <c r="BP15" s="175">
        <f t="shared" si="0"/>
        <v>109</v>
      </c>
      <c r="BQ15" s="81">
        <f t="shared" si="0"/>
        <v>0</v>
      </c>
    </row>
    <row r="16" spans="1:69">
      <c r="A16" s="53">
        <v>7</v>
      </c>
      <c r="B16" s="231" t="s">
        <v>558</v>
      </c>
      <c r="C16" s="53" t="s">
        <v>559</v>
      </c>
      <c r="D16" s="174">
        <v>95</v>
      </c>
      <c r="E16" s="82"/>
      <c r="F16" s="174">
        <v>30</v>
      </c>
      <c r="G16" s="82"/>
      <c r="H16" s="174">
        <v>164</v>
      </c>
      <c r="I16" s="82"/>
      <c r="J16" s="174">
        <v>24</v>
      </c>
      <c r="K16" s="82"/>
      <c r="L16" s="174">
        <v>2174</v>
      </c>
      <c r="M16" s="82"/>
      <c r="N16" s="174"/>
      <c r="O16" s="82"/>
      <c r="P16" s="174">
        <v>1363</v>
      </c>
      <c r="Q16" s="82"/>
      <c r="R16" s="174"/>
      <c r="S16" s="82"/>
      <c r="T16" s="174">
        <v>145</v>
      </c>
      <c r="U16" s="82"/>
      <c r="V16" s="174">
        <v>182</v>
      </c>
      <c r="W16" s="82"/>
      <c r="X16" s="174">
        <v>823</v>
      </c>
      <c r="Y16" s="82"/>
      <c r="Z16" s="174">
        <v>317</v>
      </c>
      <c r="AA16" s="82"/>
      <c r="AB16" s="174">
        <v>2978</v>
      </c>
      <c r="AC16" s="82"/>
      <c r="AD16" s="174">
        <v>242</v>
      </c>
      <c r="AE16" s="82"/>
      <c r="AF16" s="174">
        <v>6710</v>
      </c>
      <c r="AG16" s="82"/>
      <c r="AH16" s="174"/>
      <c r="AI16" s="82"/>
      <c r="AJ16" s="174">
        <v>8</v>
      </c>
      <c r="AK16" s="82"/>
      <c r="AL16" s="174">
        <v>2</v>
      </c>
      <c r="AM16" s="82"/>
      <c r="AN16" s="174">
        <v>21</v>
      </c>
      <c r="AO16" s="82"/>
      <c r="AP16" s="174">
        <v>2</v>
      </c>
      <c r="AQ16" s="82"/>
      <c r="AR16" s="174">
        <v>77</v>
      </c>
      <c r="AS16" s="82"/>
      <c r="AT16" s="174">
        <v>0</v>
      </c>
      <c r="AU16" s="82"/>
      <c r="AV16" s="174">
        <v>170</v>
      </c>
      <c r="AW16" s="82"/>
      <c r="AX16" s="174">
        <v>0</v>
      </c>
      <c r="AY16" s="82"/>
      <c r="AZ16" s="174"/>
      <c r="BA16" s="82"/>
      <c r="BB16" s="174"/>
      <c r="BC16" s="82"/>
      <c r="BD16" s="174"/>
      <c r="BE16" s="82"/>
      <c r="BF16" s="174"/>
      <c r="BG16" s="82"/>
      <c r="BH16" s="174"/>
      <c r="BI16" s="82"/>
      <c r="BJ16" s="174">
        <v>36</v>
      </c>
      <c r="BK16" s="82"/>
      <c r="BL16" s="174">
        <v>351</v>
      </c>
      <c r="BM16" s="82"/>
      <c r="BN16" s="174"/>
      <c r="BO16" s="82"/>
      <c r="BP16" s="174">
        <f t="shared" si="0"/>
        <v>15914</v>
      </c>
      <c r="BQ16" s="82">
        <f t="shared" si="0"/>
        <v>0</v>
      </c>
    </row>
    <row r="17" spans="1:70">
      <c r="A17" s="51">
        <v>8</v>
      </c>
      <c r="B17" s="50" t="s">
        <v>5626</v>
      </c>
      <c r="C17" s="51" t="s">
        <v>563</v>
      </c>
      <c r="D17" s="175">
        <v>19</v>
      </c>
      <c r="E17" s="81">
        <v>161958.9</v>
      </c>
      <c r="F17" s="175"/>
      <c r="G17" s="81"/>
      <c r="H17" s="175">
        <v>126</v>
      </c>
      <c r="I17" s="81">
        <v>393765.05</v>
      </c>
      <c r="J17" s="175"/>
      <c r="K17" s="81"/>
      <c r="L17" s="175">
        <v>911</v>
      </c>
      <c r="M17" s="81">
        <v>1165634.81</v>
      </c>
      <c r="N17" s="175"/>
      <c r="O17" s="81"/>
      <c r="P17" s="175">
        <v>112</v>
      </c>
      <c r="Q17" s="81">
        <v>61205.29</v>
      </c>
      <c r="R17" s="175"/>
      <c r="S17" s="81"/>
      <c r="T17" s="175">
        <v>1</v>
      </c>
      <c r="U17" s="81">
        <v>8320.65</v>
      </c>
      <c r="V17" s="175">
        <v>22</v>
      </c>
      <c r="W17" s="81">
        <v>308013.60000000003</v>
      </c>
      <c r="X17" s="175">
        <v>4</v>
      </c>
      <c r="Y17" s="81">
        <v>10370.57</v>
      </c>
      <c r="Z17" s="175"/>
      <c r="AA17" s="81"/>
      <c r="AB17" s="175">
        <v>7</v>
      </c>
      <c r="AC17" s="81">
        <v>7742.67</v>
      </c>
      <c r="AD17" s="175"/>
      <c r="AE17" s="81"/>
      <c r="AF17" s="175">
        <v>3</v>
      </c>
      <c r="AG17" s="81">
        <v>1660.97</v>
      </c>
      <c r="AH17" s="175"/>
      <c r="AI17" s="81"/>
      <c r="AJ17" s="175">
        <v>1</v>
      </c>
      <c r="AK17" s="81">
        <v>7938.52</v>
      </c>
      <c r="AL17" s="175"/>
      <c r="AM17" s="81"/>
      <c r="AN17" s="175">
        <v>7</v>
      </c>
      <c r="AO17" s="81">
        <v>22270.18</v>
      </c>
      <c r="AP17" s="175"/>
      <c r="AQ17" s="81"/>
      <c r="AR17" s="175">
        <v>21</v>
      </c>
      <c r="AS17" s="81">
        <v>26161.91</v>
      </c>
      <c r="AT17" s="175"/>
      <c r="AU17" s="81"/>
      <c r="AV17" s="175">
        <v>4</v>
      </c>
      <c r="AW17" s="81">
        <v>1893.56</v>
      </c>
      <c r="AX17" s="175"/>
      <c r="AY17" s="81"/>
      <c r="AZ17" s="175"/>
      <c r="BA17" s="81"/>
      <c r="BB17" s="175">
        <v>1</v>
      </c>
      <c r="BC17" s="81">
        <v>12411.58</v>
      </c>
      <c r="BD17" s="175"/>
      <c r="BE17" s="81"/>
      <c r="BF17" s="175"/>
      <c r="BG17" s="81"/>
      <c r="BH17" s="175"/>
      <c r="BI17" s="81"/>
      <c r="BJ17" s="175"/>
      <c r="BK17" s="81"/>
      <c r="BL17" s="175"/>
      <c r="BM17" s="81"/>
      <c r="BN17" s="175"/>
      <c r="BO17" s="81"/>
      <c r="BP17" s="175">
        <f t="shared" si="0"/>
        <v>1239</v>
      </c>
      <c r="BQ17" s="81">
        <f t="shared" si="0"/>
        <v>2189348.2600000002</v>
      </c>
    </row>
    <row r="18" spans="1:70">
      <c r="A18" s="53">
        <v>9</v>
      </c>
      <c r="B18" s="222" t="s">
        <v>564</v>
      </c>
      <c r="C18" s="53" t="s">
        <v>565</v>
      </c>
      <c r="D18" s="174">
        <v>19</v>
      </c>
      <c r="E18" s="82">
        <v>11587725624.350447</v>
      </c>
      <c r="F18" s="174">
        <v>5</v>
      </c>
      <c r="G18" s="82">
        <v>3491046378.0432944</v>
      </c>
      <c r="H18" s="174">
        <v>204</v>
      </c>
      <c r="I18" s="82">
        <v>15222954559.0441</v>
      </c>
      <c r="J18" s="174">
        <v>54</v>
      </c>
      <c r="K18" s="82">
        <v>26826212133.805801</v>
      </c>
      <c r="L18" s="174">
        <v>1473</v>
      </c>
      <c r="M18" s="82">
        <v>109925024382.065</v>
      </c>
      <c r="N18" s="174">
        <v>125</v>
      </c>
      <c r="O18" s="82">
        <v>62090632857.264099</v>
      </c>
      <c r="P18" s="174">
        <v>84</v>
      </c>
      <c r="Q18" s="82">
        <v>6269910964.5012703</v>
      </c>
      <c r="R18" s="174"/>
      <c r="S18" s="82"/>
      <c r="T18" s="174"/>
      <c r="U18" s="82"/>
      <c r="V18" s="174"/>
      <c r="W18" s="82"/>
      <c r="X18" s="174"/>
      <c r="Y18" s="82"/>
      <c r="Z18" s="174"/>
      <c r="AA18" s="82"/>
      <c r="AB18" s="174"/>
      <c r="AC18" s="82"/>
      <c r="AD18" s="174"/>
      <c r="AE18" s="82"/>
      <c r="AF18" s="174"/>
      <c r="AG18" s="82"/>
      <c r="AH18" s="174"/>
      <c r="AI18" s="82"/>
      <c r="AJ18" s="174">
        <v>1</v>
      </c>
      <c r="AK18" s="82">
        <v>69511208.032165006</v>
      </c>
      <c r="AL18" s="174"/>
      <c r="AM18" s="82"/>
      <c r="AN18" s="174">
        <v>22</v>
      </c>
      <c r="AO18" s="82">
        <v>1640464509.5590899</v>
      </c>
      <c r="AP18" s="174"/>
      <c r="AQ18" s="82"/>
      <c r="AR18" s="174">
        <v>76</v>
      </c>
      <c r="AS18" s="82">
        <v>5672114575.4246597</v>
      </c>
      <c r="AT18" s="174"/>
      <c r="AU18" s="82"/>
      <c r="AV18" s="174">
        <v>3</v>
      </c>
      <c r="AW18" s="82">
        <v>222435865.70292801</v>
      </c>
      <c r="AX18" s="174"/>
      <c r="AY18" s="82"/>
      <c r="AZ18" s="174"/>
      <c r="BA18" s="82"/>
      <c r="BB18" s="174"/>
      <c r="BC18" s="82"/>
      <c r="BD18" s="174"/>
      <c r="BE18" s="82"/>
      <c r="BF18" s="174"/>
      <c r="BG18" s="82"/>
      <c r="BH18" s="174"/>
      <c r="BI18" s="82"/>
      <c r="BJ18" s="174"/>
      <c r="BK18" s="82"/>
      <c r="BL18" s="174"/>
      <c r="BM18" s="82"/>
      <c r="BN18" s="174"/>
      <c r="BO18" s="82"/>
      <c r="BP18" s="174">
        <f t="shared" si="0"/>
        <v>2066</v>
      </c>
      <c r="BQ18" s="82">
        <f t="shared" si="0"/>
        <v>243018033057.79282</v>
      </c>
    </row>
    <row r="19" spans="1:70">
      <c r="A19" s="51">
        <v>10</v>
      </c>
      <c r="B19" s="698" t="s">
        <v>570</v>
      </c>
      <c r="C19" s="51" t="s">
        <v>571</v>
      </c>
      <c r="D19" s="175">
        <v>263</v>
      </c>
      <c r="E19" s="81">
        <v>13530916</v>
      </c>
      <c r="F19" s="175">
        <v>2</v>
      </c>
      <c r="G19" s="81">
        <v>1313661</v>
      </c>
      <c r="H19" s="175">
        <v>873</v>
      </c>
      <c r="I19" s="81">
        <v>44657166</v>
      </c>
      <c r="J19" s="175">
        <v>4</v>
      </c>
      <c r="K19" s="81">
        <f>257242+2627323</f>
        <v>2884565</v>
      </c>
      <c r="L19" s="175">
        <v>148</v>
      </c>
      <c r="M19" s="81">
        <v>7614356</v>
      </c>
      <c r="N19" s="175"/>
      <c r="O19" s="81"/>
      <c r="P19" s="175">
        <v>3955</v>
      </c>
      <c r="Q19" s="81">
        <f>25849677+58958</f>
        <v>25908635</v>
      </c>
      <c r="R19" s="175"/>
      <c r="S19" s="81"/>
      <c r="T19" s="175"/>
      <c r="U19" s="81"/>
      <c r="V19" s="175"/>
      <c r="W19" s="81"/>
      <c r="X19" s="175"/>
      <c r="Y19" s="81"/>
      <c r="Z19" s="175"/>
      <c r="AA19" s="81"/>
      <c r="AB19" s="175"/>
      <c r="AC19" s="81"/>
      <c r="AD19" s="175"/>
      <c r="AE19" s="81"/>
      <c r="AF19" s="175"/>
      <c r="AG19" s="81"/>
      <c r="AH19" s="175"/>
      <c r="AI19" s="81"/>
      <c r="AJ19" s="175">
        <v>29</v>
      </c>
      <c r="AK19" s="81">
        <v>1492002</v>
      </c>
      <c r="AL19" s="175"/>
      <c r="AM19" s="81"/>
      <c r="AN19" s="175">
        <v>192</v>
      </c>
      <c r="AO19" s="81">
        <f>9826635+51448</f>
        <v>9878083</v>
      </c>
      <c r="AP19" s="175">
        <v>1</v>
      </c>
      <c r="AQ19" s="81">
        <v>656831</v>
      </c>
      <c r="AR19" s="175">
        <v>84</v>
      </c>
      <c r="AS19" s="81">
        <v>4321661</v>
      </c>
      <c r="AT19" s="175"/>
      <c r="AU19" s="81"/>
      <c r="AV19" s="175">
        <v>553</v>
      </c>
      <c r="AW19" s="81">
        <f>3589869+32754</f>
        <v>3622623</v>
      </c>
      <c r="AX19" s="175"/>
      <c r="AY19" s="81"/>
      <c r="AZ19" s="175"/>
      <c r="BA19" s="81"/>
      <c r="BB19" s="175"/>
      <c r="BC19" s="81"/>
      <c r="BD19" s="175"/>
      <c r="BE19" s="81"/>
      <c r="BF19" s="175"/>
      <c r="BG19" s="81"/>
      <c r="BH19" s="175"/>
      <c r="BI19" s="81"/>
      <c r="BJ19" s="175"/>
      <c r="BK19" s="81"/>
      <c r="BL19" s="175"/>
      <c r="BM19" s="81"/>
      <c r="BN19" s="175"/>
      <c r="BO19" s="81"/>
      <c r="BP19" s="175">
        <f t="shared" si="0"/>
        <v>6104</v>
      </c>
      <c r="BQ19" s="81">
        <f t="shared" si="0"/>
        <v>115880499</v>
      </c>
    </row>
    <row r="20" spans="1:70">
      <c r="A20" s="53">
        <v>11</v>
      </c>
      <c r="B20" s="222" t="s">
        <v>574</v>
      </c>
      <c r="C20" s="53" t="s">
        <v>575</v>
      </c>
      <c r="D20" s="174">
        <v>62</v>
      </c>
      <c r="E20" s="82">
        <v>9351255</v>
      </c>
      <c r="F20" s="174">
        <v>36</v>
      </c>
      <c r="G20" s="82">
        <v>13174054</v>
      </c>
      <c r="H20" s="174">
        <v>173</v>
      </c>
      <c r="I20" s="82">
        <v>12602651</v>
      </c>
      <c r="J20" s="174"/>
      <c r="K20" s="82"/>
      <c r="L20" s="174">
        <v>1688</v>
      </c>
      <c r="M20" s="82">
        <v>38408959</v>
      </c>
      <c r="N20" s="174"/>
      <c r="O20" s="82"/>
      <c r="P20" s="174">
        <v>503</v>
      </c>
      <c r="Q20" s="82">
        <v>6432842</v>
      </c>
      <c r="R20" s="174"/>
      <c r="S20" s="82"/>
      <c r="T20" s="174"/>
      <c r="U20" s="82"/>
      <c r="V20" s="174"/>
      <c r="W20" s="82"/>
      <c r="X20" s="174"/>
      <c r="Y20" s="82"/>
      <c r="Z20" s="174"/>
      <c r="AA20" s="82"/>
      <c r="AB20" s="174"/>
      <c r="AC20" s="82"/>
      <c r="AD20" s="174"/>
      <c r="AE20" s="82"/>
      <c r="AF20" s="174"/>
      <c r="AG20" s="82"/>
      <c r="AH20" s="174"/>
      <c r="AI20" s="82"/>
      <c r="AJ20" s="174">
        <v>8</v>
      </c>
      <c r="AK20" s="82">
        <v>1032952</v>
      </c>
      <c r="AL20" s="174">
        <v>4</v>
      </c>
      <c r="AM20" s="82">
        <v>1463784</v>
      </c>
      <c r="AN20" s="174">
        <v>14</v>
      </c>
      <c r="AO20" s="82">
        <v>884696</v>
      </c>
      <c r="AP20" s="174"/>
      <c r="AQ20" s="82"/>
      <c r="AR20" s="174">
        <v>58</v>
      </c>
      <c r="AS20" s="82">
        <v>1146123</v>
      </c>
      <c r="AT20" s="174"/>
      <c r="AU20" s="82"/>
      <c r="AV20" s="174"/>
      <c r="AW20" s="82"/>
      <c r="AX20" s="174"/>
      <c r="AY20" s="82"/>
      <c r="AZ20" s="174"/>
      <c r="BA20" s="82"/>
      <c r="BB20" s="174"/>
      <c r="BC20" s="82"/>
      <c r="BD20" s="174"/>
      <c r="BE20" s="82"/>
      <c r="BF20" s="174"/>
      <c r="BG20" s="82"/>
      <c r="BH20" s="174"/>
      <c r="BI20" s="82"/>
      <c r="BJ20" s="174"/>
      <c r="BK20" s="82"/>
      <c r="BL20" s="174"/>
      <c r="BM20" s="82"/>
      <c r="BN20" s="174"/>
      <c r="BO20" s="82"/>
      <c r="BP20" s="174">
        <f t="shared" si="0"/>
        <v>2546</v>
      </c>
      <c r="BQ20" s="82">
        <f t="shared" si="0"/>
        <v>84497316</v>
      </c>
    </row>
    <row r="21" spans="1:70">
      <c r="A21" s="51">
        <v>12</v>
      </c>
      <c r="B21" s="177" t="s">
        <v>578</v>
      </c>
      <c r="C21" s="51" t="s">
        <v>579</v>
      </c>
      <c r="D21" s="175">
        <v>3</v>
      </c>
      <c r="E21" s="81"/>
      <c r="F21" s="175">
        <v>5</v>
      </c>
      <c r="G21" s="81"/>
      <c r="H21" s="175">
        <v>288</v>
      </c>
      <c r="I21" s="81"/>
      <c r="J21" s="175">
        <v>23</v>
      </c>
      <c r="K21" s="81"/>
      <c r="L21" s="175">
        <v>1890</v>
      </c>
      <c r="M21" s="81"/>
      <c r="N21" s="175">
        <v>103</v>
      </c>
      <c r="O21" s="81"/>
      <c r="P21" s="175">
        <v>23</v>
      </c>
      <c r="Q21" s="81"/>
      <c r="R21" s="175"/>
      <c r="S21" s="81"/>
      <c r="T21" s="175"/>
      <c r="U21" s="81"/>
      <c r="V21" s="175"/>
      <c r="W21" s="81"/>
      <c r="X21" s="175"/>
      <c r="Y21" s="81"/>
      <c r="Z21" s="175"/>
      <c r="AA21" s="81"/>
      <c r="AB21" s="175"/>
      <c r="AC21" s="81"/>
      <c r="AD21" s="175"/>
      <c r="AE21" s="81"/>
      <c r="AF21" s="175"/>
      <c r="AG21" s="81"/>
      <c r="AH21" s="175"/>
      <c r="AI21" s="81"/>
      <c r="AJ21" s="175">
        <v>6</v>
      </c>
      <c r="AK21" s="81"/>
      <c r="AL21" s="175">
        <v>2</v>
      </c>
      <c r="AM21" s="81"/>
      <c r="AN21" s="175">
        <v>4</v>
      </c>
      <c r="AO21" s="81"/>
      <c r="AP21" s="175">
        <v>1</v>
      </c>
      <c r="AQ21" s="81"/>
      <c r="AR21" s="175"/>
      <c r="AS21" s="81"/>
      <c r="AT21" s="175"/>
      <c r="AU21" s="81"/>
      <c r="AV21" s="175"/>
      <c r="AW21" s="81"/>
      <c r="AX21" s="175"/>
      <c r="AY21" s="81"/>
      <c r="AZ21" s="175"/>
      <c r="BA21" s="81"/>
      <c r="BB21" s="175"/>
      <c r="BC21" s="81"/>
      <c r="BD21" s="175"/>
      <c r="BE21" s="81"/>
      <c r="BF21" s="175"/>
      <c r="BG21" s="81"/>
      <c r="BH21" s="175"/>
      <c r="BI21" s="81"/>
      <c r="BJ21" s="175"/>
      <c r="BK21" s="81"/>
      <c r="BL21" s="175"/>
      <c r="BM21" s="81"/>
      <c r="BN21" s="175"/>
      <c r="BO21" s="81"/>
      <c r="BP21" s="175">
        <f t="shared" si="0"/>
        <v>2348</v>
      </c>
      <c r="BQ21" s="81">
        <f t="shared" si="0"/>
        <v>0</v>
      </c>
    </row>
    <row r="22" spans="1:70">
      <c r="A22" s="53">
        <v>13</v>
      </c>
      <c r="B22" s="231" t="s">
        <v>582</v>
      </c>
      <c r="C22" s="53" t="s">
        <v>583</v>
      </c>
      <c r="D22" s="174">
        <v>3</v>
      </c>
      <c r="E22" s="82"/>
      <c r="F22" s="174">
        <v>3</v>
      </c>
      <c r="G22" s="82"/>
      <c r="H22" s="174">
        <v>17</v>
      </c>
      <c r="I22" s="82"/>
      <c r="J22" s="174">
        <v>19</v>
      </c>
      <c r="K22" s="82"/>
      <c r="L22" s="174">
        <v>100</v>
      </c>
      <c r="M22" s="82"/>
      <c r="N22" s="174">
        <v>14</v>
      </c>
      <c r="O22" s="82"/>
      <c r="P22" s="174">
        <v>685</v>
      </c>
      <c r="Q22" s="82"/>
      <c r="R22" s="174">
        <v>57</v>
      </c>
      <c r="S22" s="82"/>
      <c r="T22" s="174"/>
      <c r="U22" s="82"/>
      <c r="V22" s="174"/>
      <c r="W22" s="82"/>
      <c r="X22" s="174"/>
      <c r="Y22" s="82"/>
      <c r="Z22" s="174"/>
      <c r="AA22" s="82"/>
      <c r="AB22" s="174"/>
      <c r="AC22" s="82"/>
      <c r="AD22" s="174"/>
      <c r="AE22" s="82"/>
      <c r="AF22" s="174">
        <v>164</v>
      </c>
      <c r="AG22" s="82"/>
      <c r="AH22" s="174"/>
      <c r="AI22" s="82"/>
      <c r="AJ22" s="174"/>
      <c r="AK22" s="82"/>
      <c r="AL22" s="174"/>
      <c r="AM22" s="82"/>
      <c r="AN22" s="174"/>
      <c r="AO22" s="82"/>
      <c r="AP22" s="174"/>
      <c r="AQ22" s="82"/>
      <c r="AR22" s="174"/>
      <c r="AS22" s="82"/>
      <c r="AT22" s="174">
        <v>2</v>
      </c>
      <c r="AU22" s="82"/>
      <c r="AV22" s="174">
        <v>6</v>
      </c>
      <c r="AW22" s="82"/>
      <c r="AX22" s="174">
        <v>1</v>
      </c>
      <c r="AY22" s="82"/>
      <c r="AZ22" s="174"/>
      <c r="BA22" s="82"/>
      <c r="BB22" s="174"/>
      <c r="BC22" s="82"/>
      <c r="BD22" s="174"/>
      <c r="BE22" s="82"/>
      <c r="BF22" s="174"/>
      <c r="BG22" s="82"/>
      <c r="BH22" s="174"/>
      <c r="BI22" s="82"/>
      <c r="BJ22" s="174"/>
      <c r="BK22" s="82"/>
      <c r="BL22" s="174">
        <v>4</v>
      </c>
      <c r="BM22" s="82"/>
      <c r="BN22" s="174">
        <v>3</v>
      </c>
      <c r="BO22" s="82"/>
      <c r="BP22" s="174">
        <f t="shared" si="0"/>
        <v>1078</v>
      </c>
      <c r="BQ22" s="82">
        <f t="shared" si="0"/>
        <v>0</v>
      </c>
    </row>
    <row r="23" spans="1:70">
      <c r="A23" s="51">
        <v>14</v>
      </c>
      <c r="B23" s="50" t="s">
        <v>590</v>
      </c>
      <c r="C23" s="51" t="s">
        <v>2589</v>
      </c>
      <c r="D23" s="175">
        <v>33</v>
      </c>
      <c r="E23" s="81">
        <v>859355620.32016683</v>
      </c>
      <c r="F23" s="175">
        <v>19</v>
      </c>
      <c r="G23" s="81">
        <v>901635836.50912118</v>
      </c>
      <c r="H23" s="175">
        <v>179</v>
      </c>
      <c r="I23" s="81">
        <v>1516569238.0995004</v>
      </c>
      <c r="J23" s="175">
        <v>40</v>
      </c>
      <c r="K23" s="81">
        <v>970340161.81818199</v>
      </c>
      <c r="L23" s="175">
        <v>162</v>
      </c>
      <c r="M23" s="81">
        <v>644392147.04583347</v>
      </c>
      <c r="N23" s="175"/>
      <c r="O23" s="81"/>
      <c r="P23" s="175">
        <v>332</v>
      </c>
      <c r="Q23" s="81">
        <v>1176556897.1225457</v>
      </c>
      <c r="R23" s="175"/>
      <c r="S23" s="81"/>
      <c r="T23" s="175"/>
      <c r="U23" s="81"/>
      <c r="V23" s="175"/>
      <c r="W23" s="81"/>
      <c r="X23" s="175">
        <v>2155</v>
      </c>
      <c r="Y23" s="81"/>
      <c r="Z23" s="175">
        <v>54</v>
      </c>
      <c r="AA23" s="81"/>
      <c r="AB23" s="175"/>
      <c r="AC23" s="81"/>
      <c r="AD23" s="175"/>
      <c r="AE23" s="81"/>
      <c r="AF23" s="175"/>
      <c r="AG23" s="81"/>
      <c r="AH23" s="175"/>
      <c r="AI23" s="81"/>
      <c r="AJ23" s="175">
        <v>6</v>
      </c>
      <c r="AK23" s="81">
        <v>139300674.57583299</v>
      </c>
      <c r="AL23" s="175">
        <v>1</v>
      </c>
      <c r="AM23" s="81">
        <v>42010639.141414143</v>
      </c>
      <c r="AN23" s="175">
        <v>27</v>
      </c>
      <c r="AO23" s="81">
        <v>283720039.15752</v>
      </c>
      <c r="AP23" s="175">
        <v>9</v>
      </c>
      <c r="AQ23" s="81">
        <v>159404962.8888889</v>
      </c>
      <c r="AR23" s="175">
        <v>47</v>
      </c>
      <c r="AS23" s="81">
        <v>173581725.45566666</v>
      </c>
      <c r="AT23" s="175"/>
      <c r="AU23" s="81"/>
      <c r="AV23" s="175">
        <v>38</v>
      </c>
      <c r="AW23" s="81">
        <v>89628998.465499997</v>
      </c>
      <c r="AX23" s="175"/>
      <c r="AY23" s="81"/>
      <c r="AZ23" s="175"/>
      <c r="BA23" s="81"/>
      <c r="BB23" s="175"/>
      <c r="BC23" s="81"/>
      <c r="BD23" s="175">
        <v>180</v>
      </c>
      <c r="BE23" s="81"/>
      <c r="BF23" s="175"/>
      <c r="BG23" s="81"/>
      <c r="BH23" s="175"/>
      <c r="BI23" s="81"/>
      <c r="BJ23" s="175"/>
      <c r="BK23" s="81"/>
      <c r="BL23" s="175"/>
      <c r="BM23" s="81"/>
      <c r="BN23" s="175"/>
      <c r="BO23" s="81"/>
      <c r="BP23" s="175">
        <f t="shared" si="0"/>
        <v>3282</v>
      </c>
      <c r="BQ23" s="81">
        <f t="shared" si="0"/>
        <v>6956496940.600172</v>
      </c>
    </row>
    <row r="24" spans="1:70">
      <c r="A24" s="53">
        <v>15</v>
      </c>
      <c r="B24" s="222" t="s">
        <v>68</v>
      </c>
      <c r="C24" s="53" t="s">
        <v>596</v>
      </c>
      <c r="D24" s="174">
        <v>5</v>
      </c>
      <c r="E24" s="82">
        <v>268432</v>
      </c>
      <c r="F24" s="174">
        <v>10</v>
      </c>
      <c r="G24" s="82">
        <v>377651</v>
      </c>
      <c r="H24" s="174">
        <v>17</v>
      </c>
      <c r="I24" s="82">
        <v>147269</v>
      </c>
      <c r="J24" s="174">
        <v>8</v>
      </c>
      <c r="K24" s="82">
        <v>256647</v>
      </c>
      <c r="L24" s="174">
        <v>571</v>
      </c>
      <c r="M24" s="82">
        <v>4047072</v>
      </c>
      <c r="N24" s="174">
        <v>46</v>
      </c>
      <c r="O24" s="82">
        <v>1035595</v>
      </c>
      <c r="P24" s="174">
        <v>143</v>
      </c>
      <c r="Q24" s="82">
        <v>1100455</v>
      </c>
      <c r="R24" s="174">
        <v>23</v>
      </c>
      <c r="S24" s="82">
        <v>423104</v>
      </c>
      <c r="T24" s="174"/>
      <c r="U24" s="82"/>
      <c r="V24" s="174"/>
      <c r="W24" s="82"/>
      <c r="X24" s="174"/>
      <c r="Y24" s="82"/>
      <c r="Z24" s="174"/>
      <c r="AA24" s="82"/>
      <c r="AB24" s="174"/>
      <c r="AC24" s="82"/>
      <c r="AD24" s="174"/>
      <c r="AE24" s="82"/>
      <c r="AF24" s="174"/>
      <c r="AG24" s="82"/>
      <c r="AH24" s="174"/>
      <c r="AI24" s="82"/>
      <c r="AJ24" s="174">
        <v>1</v>
      </c>
      <c r="AK24" s="82">
        <v>56183</v>
      </c>
      <c r="AL24" s="174"/>
      <c r="AM24" s="82"/>
      <c r="AN24" s="174">
        <v>4</v>
      </c>
      <c r="AO24" s="82">
        <v>3265</v>
      </c>
      <c r="AP24" s="174">
        <v>1</v>
      </c>
      <c r="AQ24" s="82">
        <v>34442</v>
      </c>
      <c r="AR24" s="174">
        <v>15</v>
      </c>
      <c r="AS24" s="82">
        <v>19816</v>
      </c>
      <c r="AT24" s="174">
        <v>13</v>
      </c>
      <c r="AU24" s="82">
        <v>278389</v>
      </c>
      <c r="AV24" s="174">
        <v>20</v>
      </c>
      <c r="AW24" s="82">
        <v>204021</v>
      </c>
      <c r="AX24" s="174">
        <v>14</v>
      </c>
      <c r="AY24" s="82">
        <v>0</v>
      </c>
      <c r="AZ24" s="174"/>
      <c r="BA24" s="82"/>
      <c r="BB24" s="174"/>
      <c r="BC24" s="82"/>
      <c r="BD24" s="174"/>
      <c r="BE24" s="82"/>
      <c r="BF24" s="174"/>
      <c r="BG24" s="82"/>
      <c r="BH24" s="174"/>
      <c r="BI24" s="82"/>
      <c r="BJ24" s="174"/>
      <c r="BK24" s="82"/>
      <c r="BL24" s="174"/>
      <c r="BM24" s="82"/>
      <c r="BN24" s="174"/>
      <c r="BO24" s="82"/>
      <c r="BP24" s="174">
        <f t="shared" si="0"/>
        <v>891</v>
      </c>
      <c r="BQ24" s="82">
        <f t="shared" si="0"/>
        <v>8252341</v>
      </c>
      <c r="BR24" s="495"/>
    </row>
    <row r="25" spans="1:70">
      <c r="A25" s="51">
        <v>16</v>
      </c>
      <c r="B25" s="177" t="s">
        <v>599</v>
      </c>
      <c r="C25" s="51" t="s">
        <v>600</v>
      </c>
      <c r="D25" s="175"/>
      <c r="E25" s="81"/>
      <c r="F25" s="175"/>
      <c r="G25" s="81"/>
      <c r="H25" s="175"/>
      <c r="I25" s="81"/>
      <c r="J25" s="175"/>
      <c r="K25" s="81"/>
      <c r="L25" s="175"/>
      <c r="M25" s="81"/>
      <c r="N25" s="175"/>
      <c r="O25" s="81"/>
      <c r="P25" s="175"/>
      <c r="Q25" s="81"/>
      <c r="R25" s="175"/>
      <c r="S25" s="81"/>
      <c r="T25" s="175"/>
      <c r="U25" s="81"/>
      <c r="V25" s="175"/>
      <c r="W25" s="81"/>
      <c r="X25" s="175"/>
      <c r="Y25" s="81"/>
      <c r="Z25" s="175"/>
      <c r="AA25" s="81"/>
      <c r="AB25" s="175"/>
      <c r="AC25" s="81"/>
      <c r="AD25" s="175"/>
      <c r="AE25" s="81"/>
      <c r="AF25" s="175"/>
      <c r="AG25" s="81"/>
      <c r="AH25" s="175"/>
      <c r="AI25" s="81"/>
      <c r="AJ25" s="175"/>
      <c r="AK25" s="81"/>
      <c r="AL25" s="175"/>
      <c r="AM25" s="81"/>
      <c r="AN25" s="175"/>
      <c r="AO25" s="81"/>
      <c r="AP25" s="175"/>
      <c r="AQ25" s="81"/>
      <c r="AR25" s="175"/>
      <c r="AS25" s="81"/>
      <c r="AT25" s="175"/>
      <c r="AU25" s="81"/>
      <c r="AV25" s="175"/>
      <c r="AW25" s="81"/>
      <c r="AX25" s="175"/>
      <c r="AY25" s="81"/>
      <c r="AZ25" s="175"/>
      <c r="BA25" s="81"/>
      <c r="BB25" s="175"/>
      <c r="BC25" s="81"/>
      <c r="BD25" s="175"/>
      <c r="BE25" s="81"/>
      <c r="BF25" s="175"/>
      <c r="BG25" s="81"/>
      <c r="BH25" s="175"/>
      <c r="BI25" s="81"/>
      <c r="BJ25" s="175"/>
      <c r="BK25" s="81"/>
      <c r="BL25" s="175"/>
      <c r="BM25" s="81"/>
      <c r="BN25" s="175"/>
      <c r="BO25" s="81"/>
      <c r="BP25" s="175">
        <f t="shared" si="0"/>
        <v>0</v>
      </c>
      <c r="BQ25" s="81">
        <f t="shared" si="0"/>
        <v>0</v>
      </c>
    </row>
    <row r="26" spans="1:70">
      <c r="A26" s="53">
        <v>17</v>
      </c>
      <c r="B26" s="222" t="s">
        <v>607</v>
      </c>
      <c r="C26" s="53" t="s">
        <v>608</v>
      </c>
      <c r="D26" s="174">
        <v>25</v>
      </c>
      <c r="E26" s="82">
        <v>458000</v>
      </c>
      <c r="F26" s="174">
        <v>10</v>
      </c>
      <c r="G26" s="82">
        <v>568952</v>
      </c>
      <c r="H26" s="174">
        <v>18</v>
      </c>
      <c r="I26" s="82">
        <v>189750</v>
      </c>
      <c r="J26" s="174">
        <v>338</v>
      </c>
      <c r="K26" s="82">
        <v>8980024</v>
      </c>
      <c r="L26" s="174">
        <v>40</v>
      </c>
      <c r="M26" s="82">
        <v>179480</v>
      </c>
      <c r="N26" s="174"/>
      <c r="O26" s="82"/>
      <c r="P26" s="174">
        <v>1282</v>
      </c>
      <c r="Q26" s="82">
        <v>24113763</v>
      </c>
      <c r="R26" s="174"/>
      <c r="S26" s="82"/>
      <c r="T26" s="174"/>
      <c r="U26" s="82"/>
      <c r="V26" s="174"/>
      <c r="W26" s="82"/>
      <c r="X26" s="174"/>
      <c r="Y26" s="82"/>
      <c r="Z26" s="174"/>
      <c r="AA26" s="82"/>
      <c r="AB26" s="174"/>
      <c r="AC26" s="82"/>
      <c r="AD26" s="174"/>
      <c r="AE26" s="82"/>
      <c r="AF26" s="174"/>
      <c r="AG26" s="82"/>
      <c r="AH26" s="174"/>
      <c r="AI26" s="82"/>
      <c r="AJ26" s="174"/>
      <c r="AK26" s="82"/>
      <c r="AL26" s="174"/>
      <c r="AM26" s="82"/>
      <c r="AN26" s="174"/>
      <c r="AO26" s="82"/>
      <c r="AP26" s="174"/>
      <c r="AQ26" s="82"/>
      <c r="AR26" s="174"/>
      <c r="AS26" s="82"/>
      <c r="AT26" s="174"/>
      <c r="AU26" s="82"/>
      <c r="AV26" s="174"/>
      <c r="AW26" s="82"/>
      <c r="AX26" s="174"/>
      <c r="AY26" s="82"/>
      <c r="AZ26" s="174"/>
      <c r="BA26" s="82"/>
      <c r="BB26" s="174"/>
      <c r="BC26" s="82"/>
      <c r="BD26" s="174"/>
      <c r="BE26" s="82"/>
      <c r="BF26" s="174"/>
      <c r="BG26" s="82"/>
      <c r="BH26" s="174"/>
      <c r="BI26" s="82"/>
      <c r="BJ26" s="174"/>
      <c r="BK26" s="82"/>
      <c r="BL26" s="174"/>
      <c r="BM26" s="82"/>
      <c r="BN26" s="174"/>
      <c r="BO26" s="82"/>
      <c r="BP26" s="174">
        <f t="shared" si="0"/>
        <v>1713</v>
      </c>
      <c r="BQ26" s="82">
        <f t="shared" si="0"/>
        <v>34489969</v>
      </c>
    </row>
    <row r="27" spans="1:70">
      <c r="A27" s="51">
        <v>18</v>
      </c>
      <c r="B27" s="50" t="s">
        <v>74</v>
      </c>
      <c r="C27" s="51" t="s">
        <v>609</v>
      </c>
      <c r="D27" s="175">
        <v>50</v>
      </c>
      <c r="E27" s="81">
        <v>11687971097</v>
      </c>
      <c r="F27" s="175">
        <v>26</v>
      </c>
      <c r="G27" s="81">
        <v>11380896038.290001</v>
      </c>
      <c r="H27" s="175">
        <v>41</v>
      </c>
      <c r="I27" s="81">
        <v>3270042142.9899998</v>
      </c>
      <c r="J27" s="175">
        <v>7</v>
      </c>
      <c r="K27" s="81">
        <v>11072907563.23</v>
      </c>
      <c r="L27" s="175">
        <v>220</v>
      </c>
      <c r="M27" s="81">
        <v>10437854982.15</v>
      </c>
      <c r="N27" s="175">
        <v>12</v>
      </c>
      <c r="O27" s="81">
        <v>5343841311.4200001</v>
      </c>
      <c r="P27" s="175">
        <v>552</v>
      </c>
      <c r="Q27" s="81">
        <v>14213878006.5</v>
      </c>
      <c r="R27" s="175">
        <v>1</v>
      </c>
      <c r="S27" s="81">
        <v>403939611.89999998</v>
      </c>
      <c r="T27" s="175"/>
      <c r="U27" s="81"/>
      <c r="V27" s="175"/>
      <c r="W27" s="81"/>
      <c r="X27" s="175"/>
      <c r="Y27" s="81"/>
      <c r="Z27" s="175"/>
      <c r="AA27" s="81"/>
      <c r="AB27" s="175"/>
      <c r="AC27" s="81"/>
      <c r="AD27" s="175"/>
      <c r="AE27" s="81"/>
      <c r="AF27" s="175"/>
      <c r="AG27" s="81"/>
      <c r="AH27" s="175"/>
      <c r="AI27" s="81"/>
      <c r="AJ27" s="175">
        <v>6</v>
      </c>
      <c r="AK27" s="81">
        <v>1468925917.04</v>
      </c>
      <c r="AL27" s="175">
        <v>3</v>
      </c>
      <c r="AM27" s="81">
        <v>522458807.48000002</v>
      </c>
      <c r="AN27" s="175">
        <v>9</v>
      </c>
      <c r="AO27" s="81">
        <v>876512115.39999998</v>
      </c>
      <c r="AP27" s="175">
        <v>0</v>
      </c>
      <c r="AQ27" s="81">
        <v>541251916.5</v>
      </c>
      <c r="AR27" s="175">
        <v>21</v>
      </c>
      <c r="AS27" s="81">
        <v>842406649.50999999</v>
      </c>
      <c r="AT27" s="175">
        <v>2</v>
      </c>
      <c r="AU27" s="81">
        <v>1134382424.98</v>
      </c>
      <c r="AV27" s="175">
        <v>12</v>
      </c>
      <c r="AW27" s="81">
        <v>282404629.74000001</v>
      </c>
      <c r="AX27" s="175">
        <v>1</v>
      </c>
      <c r="AY27" s="81">
        <v>159795469.37</v>
      </c>
      <c r="AZ27" s="175"/>
      <c r="BA27" s="81"/>
      <c r="BB27" s="175"/>
      <c r="BC27" s="81"/>
      <c r="BD27" s="175"/>
      <c r="BE27" s="81"/>
      <c r="BF27" s="175"/>
      <c r="BG27" s="81"/>
      <c r="BH27" s="175"/>
      <c r="BI27" s="81"/>
      <c r="BJ27" s="175"/>
      <c r="BK27" s="81"/>
      <c r="BL27" s="175"/>
      <c r="BM27" s="81"/>
      <c r="BN27" s="175"/>
      <c r="BO27" s="81"/>
      <c r="BP27" s="175">
        <f t="shared" si="0"/>
        <v>963</v>
      </c>
      <c r="BQ27" s="81">
        <f t="shared" si="0"/>
        <v>73639468683.5</v>
      </c>
    </row>
    <row r="28" spans="1:70">
      <c r="A28" s="53">
        <f>+A27+1</f>
        <v>19</v>
      </c>
      <c r="B28" s="222" t="s">
        <v>1632</v>
      </c>
      <c r="C28" s="53" t="s">
        <v>1244</v>
      </c>
      <c r="D28" s="174">
        <v>290</v>
      </c>
      <c r="E28" s="82">
        <v>8821080600</v>
      </c>
      <c r="F28" s="174">
        <v>36</v>
      </c>
      <c r="G28" s="82">
        <v>12205826100</v>
      </c>
      <c r="H28" s="174">
        <v>42</v>
      </c>
      <c r="I28" s="82">
        <v>5705075850</v>
      </c>
      <c r="J28" s="174">
        <v>16</v>
      </c>
      <c r="K28" s="82">
        <v>9906551550</v>
      </c>
      <c r="L28" s="174">
        <v>192</v>
      </c>
      <c r="M28" s="82">
        <v>12501371100</v>
      </c>
      <c r="N28" s="174">
        <v>15</v>
      </c>
      <c r="O28" s="82">
        <v>2890552650</v>
      </c>
      <c r="P28" s="174">
        <v>1250</v>
      </c>
      <c r="Q28" s="82">
        <v>50539084200</v>
      </c>
      <c r="R28" s="174">
        <v>4</v>
      </c>
      <c r="S28" s="82">
        <v>581095050</v>
      </c>
      <c r="T28" s="174"/>
      <c r="U28" s="82"/>
      <c r="V28" s="174"/>
      <c r="W28" s="82"/>
      <c r="X28" s="174"/>
      <c r="Y28" s="82"/>
      <c r="Z28" s="174"/>
      <c r="AA28" s="82"/>
      <c r="AB28" s="174"/>
      <c r="AC28" s="82"/>
      <c r="AD28" s="174"/>
      <c r="AE28" s="82"/>
      <c r="AF28" s="174"/>
      <c r="AG28" s="82"/>
      <c r="AH28" s="174"/>
      <c r="AI28" s="82"/>
      <c r="AJ28" s="174"/>
      <c r="AK28" s="82"/>
      <c r="AL28" s="174"/>
      <c r="AM28" s="82"/>
      <c r="AN28" s="174"/>
      <c r="AO28" s="82"/>
      <c r="AP28" s="174"/>
      <c r="AQ28" s="82"/>
      <c r="AR28" s="174"/>
      <c r="AS28" s="82"/>
      <c r="AT28" s="174"/>
      <c r="AU28" s="82"/>
      <c r="AV28" s="174"/>
      <c r="AW28" s="82"/>
      <c r="AX28" s="174"/>
      <c r="AY28" s="82"/>
      <c r="AZ28" s="174"/>
      <c r="BA28" s="82"/>
      <c r="BB28" s="174"/>
      <c r="BC28" s="82"/>
      <c r="BD28" s="174"/>
      <c r="BE28" s="82"/>
      <c r="BF28" s="174"/>
      <c r="BG28" s="82"/>
      <c r="BH28" s="174"/>
      <c r="BI28" s="82"/>
      <c r="BJ28" s="174"/>
      <c r="BK28" s="82"/>
      <c r="BL28" s="174"/>
      <c r="BM28" s="82"/>
      <c r="BN28" s="174"/>
      <c r="BO28" s="82"/>
      <c r="BP28" s="174">
        <f>BN28+BL28+BJ28+BH28+BF28+BD28+BB28+AZ28+AX28+AV28+AT28+AR28+AP28+AN28+AL28+AJ28+AH28+AF28+AD28+AB28+Z28+X28+V28+T28+R28+P28+N28+L28+J28+H28+F28+D28</f>
        <v>1845</v>
      </c>
      <c r="BQ28" s="82">
        <f>BO28+BM28+BK28+BI28+BG28+BE28+BC28+BA28+AY28+AW28+AU28+AS28+AQ28+AO28+AM28+AK28+AI28+AG28+AE28+AC28+AA28+Y28+W28+U28+S28+Q28+O28+M28+K28+I28+G28+E28</f>
        <v>103150637100</v>
      </c>
    </row>
    <row r="29" spans="1:70">
      <c r="A29" s="51">
        <f t="shared" ref="A29:A57" si="1">+A28+1</f>
        <v>20</v>
      </c>
      <c r="B29" s="50" t="s">
        <v>190</v>
      </c>
      <c r="C29" s="51" t="s">
        <v>612</v>
      </c>
      <c r="D29" s="175"/>
      <c r="E29" s="81"/>
      <c r="F29" s="175">
        <v>1</v>
      </c>
      <c r="G29" s="81">
        <v>33044403</v>
      </c>
      <c r="H29" s="175"/>
      <c r="I29" s="81"/>
      <c r="J29" s="175"/>
      <c r="K29" s="81"/>
      <c r="L29" s="175">
        <v>12</v>
      </c>
      <c r="M29" s="81">
        <v>331176194.60000002</v>
      </c>
      <c r="N29" s="175">
        <v>6</v>
      </c>
      <c r="O29" s="81">
        <v>188014032</v>
      </c>
      <c r="P29" s="175">
        <v>945</v>
      </c>
      <c r="Q29" s="81">
        <v>9691739733.2000008</v>
      </c>
      <c r="R29" s="175">
        <v>53</v>
      </c>
      <c r="S29" s="81">
        <v>1469515538.8416901</v>
      </c>
      <c r="T29" s="175"/>
      <c r="U29" s="81"/>
      <c r="V29" s="175"/>
      <c r="W29" s="81"/>
      <c r="X29" s="175"/>
      <c r="Y29" s="81"/>
      <c r="Z29" s="175"/>
      <c r="AA29" s="81"/>
      <c r="AB29" s="175"/>
      <c r="AC29" s="81"/>
      <c r="AD29" s="175"/>
      <c r="AE29" s="81"/>
      <c r="AF29" s="175"/>
      <c r="AG29" s="81"/>
      <c r="AH29" s="175"/>
      <c r="AI29" s="81"/>
      <c r="AJ29" s="175"/>
      <c r="AK29" s="81"/>
      <c r="AL29" s="175"/>
      <c r="AM29" s="81"/>
      <c r="AN29" s="175"/>
      <c r="AO29" s="81"/>
      <c r="AP29" s="175"/>
      <c r="AQ29" s="81"/>
      <c r="AR29" s="175"/>
      <c r="AS29" s="81"/>
      <c r="AT29" s="175"/>
      <c r="AU29" s="81"/>
      <c r="AV29" s="175">
        <v>2</v>
      </c>
      <c r="AW29" s="81">
        <v>22615430</v>
      </c>
      <c r="AX29" s="175">
        <v>5</v>
      </c>
      <c r="AY29" s="81">
        <v>159335984.15830699</v>
      </c>
      <c r="AZ29" s="175"/>
      <c r="BA29" s="81"/>
      <c r="BB29" s="175"/>
      <c r="BC29" s="81"/>
      <c r="BD29" s="175"/>
      <c r="BE29" s="81"/>
      <c r="BF29" s="175"/>
      <c r="BG29" s="81"/>
      <c r="BH29" s="175"/>
      <c r="BI29" s="81"/>
      <c r="BJ29" s="175"/>
      <c r="BK29" s="81"/>
      <c r="BL29" s="175"/>
      <c r="BM29" s="81"/>
      <c r="BN29" s="175"/>
      <c r="BO29" s="81"/>
      <c r="BP29" s="175">
        <f t="shared" si="0"/>
        <v>1024</v>
      </c>
      <c r="BQ29" s="81">
        <f t="shared" si="0"/>
        <v>11895441315.799997</v>
      </c>
    </row>
    <row r="30" spans="1:70">
      <c r="A30" s="53">
        <f t="shared" si="1"/>
        <v>21</v>
      </c>
      <c r="B30" s="231" t="s">
        <v>615</v>
      </c>
      <c r="C30" s="53" t="s">
        <v>616</v>
      </c>
      <c r="D30" s="174"/>
      <c r="E30" s="82"/>
      <c r="F30" s="174"/>
      <c r="G30" s="82"/>
      <c r="H30" s="174"/>
      <c r="I30" s="82"/>
      <c r="J30" s="174"/>
      <c r="K30" s="82"/>
      <c r="L30" s="174"/>
      <c r="M30" s="82"/>
      <c r="N30" s="174"/>
      <c r="O30" s="82"/>
      <c r="P30" s="174"/>
      <c r="Q30" s="82"/>
      <c r="R30" s="174"/>
      <c r="S30" s="82"/>
      <c r="T30" s="174"/>
      <c r="U30" s="82"/>
      <c r="V30" s="174"/>
      <c r="W30" s="82"/>
      <c r="X30" s="174"/>
      <c r="Y30" s="82"/>
      <c r="Z30" s="174"/>
      <c r="AA30" s="82"/>
      <c r="AB30" s="174"/>
      <c r="AC30" s="82"/>
      <c r="AD30" s="174"/>
      <c r="AE30" s="82"/>
      <c r="AF30" s="174"/>
      <c r="AG30" s="82"/>
      <c r="AH30" s="174"/>
      <c r="AI30" s="82"/>
      <c r="AJ30" s="174"/>
      <c r="AK30" s="82"/>
      <c r="AL30" s="174"/>
      <c r="AM30" s="82"/>
      <c r="AN30" s="174"/>
      <c r="AO30" s="82"/>
      <c r="AP30" s="174"/>
      <c r="AQ30" s="82"/>
      <c r="AR30" s="174"/>
      <c r="AS30" s="82"/>
      <c r="AT30" s="174"/>
      <c r="AU30" s="82"/>
      <c r="AV30" s="174"/>
      <c r="AW30" s="82"/>
      <c r="AX30" s="174"/>
      <c r="AY30" s="82"/>
      <c r="AZ30" s="174"/>
      <c r="BA30" s="82"/>
      <c r="BB30" s="174"/>
      <c r="BC30" s="82"/>
      <c r="BD30" s="174"/>
      <c r="BE30" s="82"/>
      <c r="BF30" s="174"/>
      <c r="BG30" s="82"/>
      <c r="BH30" s="174"/>
      <c r="BI30" s="82"/>
      <c r="BJ30" s="174"/>
      <c r="BK30" s="82"/>
      <c r="BL30" s="174"/>
      <c r="BM30" s="82"/>
      <c r="BN30" s="174"/>
      <c r="BO30" s="82"/>
      <c r="BP30" s="174">
        <f t="shared" si="0"/>
        <v>0</v>
      </c>
      <c r="BQ30" s="82">
        <f t="shared" si="0"/>
        <v>0</v>
      </c>
    </row>
    <row r="31" spans="1:70">
      <c r="A31" s="51">
        <f t="shared" si="1"/>
        <v>22</v>
      </c>
      <c r="B31" s="50" t="s">
        <v>618</v>
      </c>
      <c r="C31" s="51" t="s">
        <v>619</v>
      </c>
      <c r="D31" s="175">
        <v>1</v>
      </c>
      <c r="E31" s="81">
        <v>78000</v>
      </c>
      <c r="F31" s="175">
        <v>7</v>
      </c>
      <c r="G31" s="81">
        <v>672000</v>
      </c>
      <c r="H31" s="175">
        <v>11</v>
      </c>
      <c r="I31" s="81">
        <v>18000</v>
      </c>
      <c r="J31" s="175">
        <v>18</v>
      </c>
      <c r="K31" s="81">
        <v>413000</v>
      </c>
      <c r="L31" s="175">
        <v>91</v>
      </c>
      <c r="M31" s="81">
        <v>150000</v>
      </c>
      <c r="N31" s="175">
        <v>42</v>
      </c>
      <c r="O31" s="81"/>
      <c r="P31" s="175">
        <v>1180</v>
      </c>
      <c r="Q31" s="81">
        <v>20813994</v>
      </c>
      <c r="R31" s="175">
        <v>52</v>
      </c>
      <c r="S31" s="81">
        <v>0</v>
      </c>
      <c r="T31" s="175"/>
      <c r="U31" s="81"/>
      <c r="V31" s="175"/>
      <c r="W31" s="81"/>
      <c r="X31" s="175"/>
      <c r="Y31" s="81"/>
      <c r="Z31" s="175"/>
      <c r="AA31" s="81"/>
      <c r="AB31" s="175"/>
      <c r="AC31" s="81"/>
      <c r="AD31" s="175"/>
      <c r="AE31" s="81"/>
      <c r="AF31" s="175"/>
      <c r="AG31" s="81"/>
      <c r="AH31" s="175"/>
      <c r="AI31" s="81"/>
      <c r="AJ31" s="175">
        <v>1</v>
      </c>
      <c r="AK31" s="81">
        <v>54000</v>
      </c>
      <c r="AL31" s="175"/>
      <c r="AM31" s="81"/>
      <c r="AN31" s="175">
        <v>1</v>
      </c>
      <c r="AO31" s="81">
        <v>4000</v>
      </c>
      <c r="AP31" s="175">
        <v>1</v>
      </c>
      <c r="AQ31" s="81">
        <v>57200</v>
      </c>
      <c r="AR31" s="175"/>
      <c r="AS31" s="81"/>
      <c r="AT31" s="175"/>
      <c r="AU31" s="81"/>
      <c r="AV31" s="175">
        <v>15</v>
      </c>
      <c r="AW31" s="81">
        <v>252291</v>
      </c>
      <c r="AX31" s="175">
        <v>12</v>
      </c>
      <c r="AY31" s="81"/>
      <c r="AZ31" s="175"/>
      <c r="BA31" s="81"/>
      <c r="BB31" s="175"/>
      <c r="BC31" s="81"/>
      <c r="BD31" s="175"/>
      <c r="BE31" s="81"/>
      <c r="BF31" s="175"/>
      <c r="BG31" s="81"/>
      <c r="BH31" s="175"/>
      <c r="BI31" s="81"/>
      <c r="BJ31" s="175"/>
      <c r="BK31" s="81"/>
      <c r="BL31" s="175"/>
      <c r="BM31" s="81"/>
      <c r="BN31" s="175"/>
      <c r="BO31" s="81"/>
      <c r="BP31" s="175">
        <f t="shared" si="0"/>
        <v>1432</v>
      </c>
      <c r="BQ31" s="81">
        <f t="shared" si="0"/>
        <v>22512485</v>
      </c>
    </row>
    <row r="32" spans="1:70">
      <c r="A32" s="53">
        <f t="shared" si="1"/>
        <v>23</v>
      </c>
      <c r="B32" s="222" t="s">
        <v>622</v>
      </c>
      <c r="C32" s="53" t="s">
        <v>623</v>
      </c>
      <c r="D32" s="174"/>
      <c r="E32" s="82"/>
      <c r="F32" s="174">
        <v>8</v>
      </c>
      <c r="G32" s="82">
        <v>28000000</v>
      </c>
      <c r="H32" s="174"/>
      <c r="I32" s="82"/>
      <c r="J32" s="174"/>
      <c r="K32" s="82"/>
      <c r="L32" s="174">
        <v>539</v>
      </c>
      <c r="M32" s="82"/>
      <c r="N32" s="174">
        <v>73</v>
      </c>
      <c r="O32" s="82">
        <v>604321887.80999994</v>
      </c>
      <c r="P32" s="174"/>
      <c r="Q32" s="82"/>
      <c r="R32" s="174"/>
      <c r="S32" s="82"/>
      <c r="T32" s="174"/>
      <c r="U32" s="82"/>
      <c r="V32" s="174"/>
      <c r="W32" s="82"/>
      <c r="X32" s="174"/>
      <c r="Y32" s="82"/>
      <c r="Z32" s="174"/>
      <c r="AA32" s="82"/>
      <c r="AB32" s="174"/>
      <c r="AC32" s="82"/>
      <c r="AD32" s="174"/>
      <c r="AE32" s="82"/>
      <c r="AF32" s="174"/>
      <c r="AG32" s="82"/>
      <c r="AH32" s="174"/>
      <c r="AI32" s="82"/>
      <c r="AJ32" s="174"/>
      <c r="AK32" s="82"/>
      <c r="AL32" s="174"/>
      <c r="AM32" s="82"/>
      <c r="AN32" s="174"/>
      <c r="AO32" s="82"/>
      <c r="AP32" s="174"/>
      <c r="AQ32" s="82"/>
      <c r="AR32" s="174"/>
      <c r="AS32" s="82"/>
      <c r="AT32" s="174"/>
      <c r="AU32" s="82"/>
      <c r="AV32" s="174"/>
      <c r="AW32" s="82"/>
      <c r="AX32" s="174"/>
      <c r="AY32" s="82"/>
      <c r="AZ32" s="174"/>
      <c r="BA32" s="82"/>
      <c r="BB32" s="174"/>
      <c r="BC32" s="82"/>
      <c r="BD32" s="174"/>
      <c r="BE32" s="82"/>
      <c r="BF32" s="174"/>
      <c r="BG32" s="82"/>
      <c r="BH32" s="174"/>
      <c r="BI32" s="82"/>
      <c r="BJ32" s="174"/>
      <c r="BK32" s="82"/>
      <c r="BL32" s="174"/>
      <c r="BM32" s="82"/>
      <c r="BN32" s="174"/>
      <c r="BO32" s="82"/>
      <c r="BP32" s="174">
        <f t="shared" si="0"/>
        <v>620</v>
      </c>
      <c r="BQ32" s="82">
        <f t="shared" si="0"/>
        <v>632321887.80999994</v>
      </c>
    </row>
    <row r="33" spans="1:70">
      <c r="A33" s="51">
        <f t="shared" si="1"/>
        <v>24</v>
      </c>
      <c r="B33" s="177" t="s">
        <v>130</v>
      </c>
      <c r="C33" s="51" t="s">
        <v>627</v>
      </c>
      <c r="D33" s="175"/>
      <c r="E33" s="81"/>
      <c r="F33" s="175"/>
      <c r="G33" s="81"/>
      <c r="H33" s="175"/>
      <c r="I33" s="81"/>
      <c r="J33" s="175"/>
      <c r="K33" s="81"/>
      <c r="L33" s="175"/>
      <c r="M33" s="81"/>
      <c r="N33" s="175"/>
      <c r="O33" s="81"/>
      <c r="P33" s="175"/>
      <c r="Q33" s="81"/>
      <c r="R33" s="175"/>
      <c r="S33" s="81"/>
      <c r="T33" s="175"/>
      <c r="U33" s="81"/>
      <c r="V33" s="175"/>
      <c r="W33" s="81"/>
      <c r="X33" s="175"/>
      <c r="Y33" s="81"/>
      <c r="Z33" s="175"/>
      <c r="AA33" s="81"/>
      <c r="AB33" s="175"/>
      <c r="AC33" s="81"/>
      <c r="AD33" s="175"/>
      <c r="AE33" s="81"/>
      <c r="AF33" s="175"/>
      <c r="AG33" s="81"/>
      <c r="AH33" s="175"/>
      <c r="AI33" s="81"/>
      <c r="AJ33" s="175"/>
      <c r="AK33" s="81"/>
      <c r="AL33" s="175"/>
      <c r="AM33" s="81"/>
      <c r="AN33" s="175"/>
      <c r="AO33" s="81"/>
      <c r="AP33" s="175"/>
      <c r="AQ33" s="81"/>
      <c r="AR33" s="175"/>
      <c r="AS33" s="81"/>
      <c r="AT33" s="175"/>
      <c r="AU33" s="81"/>
      <c r="AV33" s="175"/>
      <c r="AW33" s="81"/>
      <c r="AX33" s="175"/>
      <c r="AY33" s="81"/>
      <c r="AZ33" s="175"/>
      <c r="BA33" s="81"/>
      <c r="BB33" s="175"/>
      <c r="BC33" s="81"/>
      <c r="BD33" s="175"/>
      <c r="BE33" s="81"/>
      <c r="BF33" s="175"/>
      <c r="BG33" s="81"/>
      <c r="BH33" s="175"/>
      <c r="BI33" s="81"/>
      <c r="BJ33" s="175"/>
      <c r="BK33" s="81"/>
      <c r="BL33" s="175"/>
      <c r="BM33" s="81"/>
      <c r="BN33" s="175"/>
      <c r="BO33" s="81"/>
      <c r="BP33" s="175">
        <f t="shared" si="0"/>
        <v>0</v>
      </c>
      <c r="BQ33" s="81">
        <f t="shared" si="0"/>
        <v>0</v>
      </c>
    </row>
    <row r="34" spans="1:70">
      <c r="A34" s="53">
        <f t="shared" si="1"/>
        <v>25</v>
      </c>
      <c r="B34" s="222" t="s">
        <v>630</v>
      </c>
      <c r="C34" s="53" t="s">
        <v>631</v>
      </c>
      <c r="D34" s="174">
        <v>1</v>
      </c>
      <c r="E34" s="82">
        <v>753771117.67999995</v>
      </c>
      <c r="F34" s="174">
        <v>8</v>
      </c>
      <c r="G34" s="82">
        <v>3231442953.5</v>
      </c>
      <c r="H34" s="174">
        <v>55</v>
      </c>
      <c r="I34" s="82">
        <v>530837027.75999999</v>
      </c>
      <c r="J34" s="174">
        <v>31</v>
      </c>
      <c r="K34" s="82">
        <v>5010429603</v>
      </c>
      <c r="L34" s="174">
        <v>88</v>
      </c>
      <c r="M34" s="82">
        <v>3953185134.5100002</v>
      </c>
      <c r="N34" s="174">
        <v>4</v>
      </c>
      <c r="O34" s="82">
        <v>1963590280.94839</v>
      </c>
      <c r="P34" s="174">
        <v>223</v>
      </c>
      <c r="Q34" s="82">
        <v>5179953745.1099997</v>
      </c>
      <c r="R34" s="174"/>
      <c r="S34" s="82"/>
      <c r="T34" s="174"/>
      <c r="U34" s="82"/>
      <c r="V34" s="174"/>
      <c r="W34" s="82"/>
      <c r="X34" s="174"/>
      <c r="Y34" s="82"/>
      <c r="Z34" s="174"/>
      <c r="AA34" s="82"/>
      <c r="AB34" s="174">
        <v>116</v>
      </c>
      <c r="AC34" s="82">
        <v>2021177312</v>
      </c>
      <c r="AD34" s="174"/>
      <c r="AE34" s="82"/>
      <c r="AF34" s="174">
        <v>172</v>
      </c>
      <c r="AG34" s="82">
        <v>288887225</v>
      </c>
      <c r="AH34" s="174"/>
      <c r="AI34" s="82"/>
      <c r="AJ34" s="174">
        <v>1</v>
      </c>
      <c r="AK34" s="82">
        <v>753771117.67999995</v>
      </c>
      <c r="AL34" s="174"/>
      <c r="AM34" s="82"/>
      <c r="AN34" s="174">
        <v>7</v>
      </c>
      <c r="AO34" s="82">
        <v>411640015.25999999</v>
      </c>
      <c r="AP34" s="174">
        <v>4</v>
      </c>
      <c r="AQ34" s="82">
        <v>248430981.34999999</v>
      </c>
      <c r="AR34" s="174">
        <v>7</v>
      </c>
      <c r="AS34" s="82">
        <v>303322926.89159024</v>
      </c>
      <c r="AT34" s="174"/>
      <c r="AU34" s="82"/>
      <c r="AV34" s="174">
        <v>22</v>
      </c>
      <c r="AW34" s="82">
        <v>4100748837.23</v>
      </c>
      <c r="AX34" s="174"/>
      <c r="AY34" s="82"/>
      <c r="AZ34" s="174"/>
      <c r="BA34" s="82"/>
      <c r="BB34" s="174"/>
      <c r="BC34" s="82"/>
      <c r="BD34" s="174"/>
      <c r="BE34" s="82"/>
      <c r="BF34" s="174"/>
      <c r="BG34" s="82"/>
      <c r="BH34" s="174">
        <v>2</v>
      </c>
      <c r="BI34" s="82">
        <v>43122156</v>
      </c>
      <c r="BJ34" s="174"/>
      <c r="BK34" s="82"/>
      <c r="BL34" s="174">
        <v>23</v>
      </c>
      <c r="BM34" s="82">
        <v>247806821</v>
      </c>
      <c r="BN34" s="174"/>
      <c r="BO34" s="82"/>
      <c r="BP34" s="174">
        <f t="shared" si="0"/>
        <v>764</v>
      </c>
      <c r="BQ34" s="82">
        <f t="shared" si="0"/>
        <v>29042117254.919979</v>
      </c>
    </row>
    <row r="35" spans="1:70">
      <c r="A35" s="51">
        <f t="shared" si="1"/>
        <v>26</v>
      </c>
      <c r="B35" s="177" t="s">
        <v>99</v>
      </c>
      <c r="C35" s="51" t="s">
        <v>637</v>
      </c>
      <c r="D35" s="175"/>
      <c r="E35" s="81"/>
      <c r="F35" s="175"/>
      <c r="G35" s="81"/>
      <c r="H35" s="175"/>
      <c r="I35" s="81"/>
      <c r="J35" s="175"/>
      <c r="K35" s="81"/>
      <c r="L35" s="175"/>
      <c r="M35" s="81"/>
      <c r="N35" s="175"/>
      <c r="O35" s="81"/>
      <c r="P35" s="175"/>
      <c r="Q35" s="81"/>
      <c r="R35" s="175"/>
      <c r="S35" s="81"/>
      <c r="T35" s="175"/>
      <c r="U35" s="81"/>
      <c r="V35" s="175"/>
      <c r="W35" s="81"/>
      <c r="X35" s="175"/>
      <c r="Y35" s="81"/>
      <c r="Z35" s="175"/>
      <c r="AA35" s="81"/>
      <c r="AB35" s="175"/>
      <c r="AC35" s="81"/>
      <c r="AD35" s="175"/>
      <c r="AE35" s="81"/>
      <c r="AF35" s="175"/>
      <c r="AG35" s="81"/>
      <c r="AH35" s="175"/>
      <c r="AI35" s="81"/>
      <c r="AJ35" s="175"/>
      <c r="AK35" s="81"/>
      <c r="AL35" s="175"/>
      <c r="AM35" s="81"/>
      <c r="AN35" s="175"/>
      <c r="AO35" s="81"/>
      <c r="AP35" s="175"/>
      <c r="AQ35" s="81"/>
      <c r="AR35" s="175"/>
      <c r="AS35" s="81"/>
      <c r="AT35" s="175"/>
      <c r="AU35" s="81"/>
      <c r="AV35" s="175"/>
      <c r="AW35" s="81"/>
      <c r="AX35" s="175"/>
      <c r="AY35" s="81"/>
      <c r="AZ35" s="175"/>
      <c r="BA35" s="81"/>
      <c r="BB35" s="175"/>
      <c r="BC35" s="81"/>
      <c r="BD35" s="175"/>
      <c r="BE35" s="81"/>
      <c r="BF35" s="175"/>
      <c r="BG35" s="81"/>
      <c r="BH35" s="175"/>
      <c r="BI35" s="81"/>
      <c r="BJ35" s="175"/>
      <c r="BK35" s="81"/>
      <c r="BL35" s="175"/>
      <c r="BM35" s="81"/>
      <c r="BN35" s="175"/>
      <c r="BO35" s="81"/>
      <c r="BP35" s="175">
        <f t="shared" si="0"/>
        <v>0</v>
      </c>
      <c r="BQ35" s="81">
        <f t="shared" si="0"/>
        <v>0</v>
      </c>
    </row>
    <row r="36" spans="1:70">
      <c r="A36" s="53">
        <f t="shared" si="1"/>
        <v>27</v>
      </c>
      <c r="B36" s="231" t="s">
        <v>87</v>
      </c>
      <c r="C36" s="53" t="s">
        <v>642</v>
      </c>
      <c r="D36" s="174">
        <v>5</v>
      </c>
      <c r="E36" s="82"/>
      <c r="F36" s="174">
        <v>5</v>
      </c>
      <c r="G36" s="82"/>
      <c r="H36" s="174">
        <v>10</v>
      </c>
      <c r="I36" s="82"/>
      <c r="J36" s="174">
        <v>2</v>
      </c>
      <c r="K36" s="82"/>
      <c r="L36" s="174">
        <v>158</v>
      </c>
      <c r="M36" s="82"/>
      <c r="N36" s="174">
        <v>78</v>
      </c>
      <c r="O36" s="82"/>
      <c r="P36" s="174">
        <v>938</v>
      </c>
      <c r="Q36" s="82"/>
      <c r="R36" s="174"/>
      <c r="S36" s="82"/>
      <c r="T36" s="174"/>
      <c r="U36" s="82"/>
      <c r="V36" s="174"/>
      <c r="W36" s="82"/>
      <c r="X36" s="174"/>
      <c r="Y36" s="82"/>
      <c r="Z36" s="174"/>
      <c r="AA36" s="82"/>
      <c r="AB36" s="174"/>
      <c r="AC36" s="82"/>
      <c r="AD36" s="174"/>
      <c r="AE36" s="82"/>
      <c r="AF36" s="174"/>
      <c r="AG36" s="82"/>
      <c r="AH36" s="174"/>
      <c r="AI36" s="82"/>
      <c r="AJ36" s="174"/>
      <c r="AK36" s="82"/>
      <c r="AL36" s="174"/>
      <c r="AM36" s="82"/>
      <c r="AN36" s="174"/>
      <c r="AO36" s="82"/>
      <c r="AP36" s="174"/>
      <c r="AQ36" s="82"/>
      <c r="AR36" s="174">
        <v>3</v>
      </c>
      <c r="AS36" s="82"/>
      <c r="AT36" s="174"/>
      <c r="AU36" s="82"/>
      <c r="AV36" s="174">
        <v>30</v>
      </c>
      <c r="AW36" s="82"/>
      <c r="AX36" s="174"/>
      <c r="AY36" s="82"/>
      <c r="AZ36" s="174"/>
      <c r="BA36" s="82"/>
      <c r="BB36" s="174"/>
      <c r="BC36" s="82"/>
      <c r="BD36" s="174"/>
      <c r="BE36" s="82"/>
      <c r="BF36" s="174"/>
      <c r="BG36" s="82"/>
      <c r="BH36" s="174"/>
      <c r="BI36" s="82"/>
      <c r="BJ36" s="174"/>
      <c r="BK36" s="82"/>
      <c r="BL36" s="174"/>
      <c r="BM36" s="82"/>
      <c r="BN36" s="174"/>
      <c r="BO36" s="82"/>
      <c r="BP36" s="174">
        <f>BN36+BL36+BJ36+BH36+BF36+BD36+BB36+AZ36+AX36+AV36+AT36+AR36+AP36+AN36+AL36+AJ36+AH36+AF36+AD36+AB36+Z36+X36+V36+T36+R36+P36+N36+L36+J36+H36+F36+D36</f>
        <v>1229</v>
      </c>
      <c r="BQ36" s="82">
        <f t="shared" si="0"/>
        <v>0</v>
      </c>
    </row>
    <row r="37" spans="1:70">
      <c r="A37" s="51">
        <f t="shared" si="1"/>
        <v>28</v>
      </c>
      <c r="B37" s="50" t="s">
        <v>646</v>
      </c>
      <c r="C37" s="51" t="s">
        <v>647</v>
      </c>
      <c r="D37" s="175">
        <v>1</v>
      </c>
      <c r="E37" s="81">
        <v>36956364</v>
      </c>
      <c r="F37" s="175">
        <v>4</v>
      </c>
      <c r="G37" s="81">
        <v>255414720</v>
      </c>
      <c r="H37" s="175"/>
      <c r="I37" s="81"/>
      <c r="J37" s="175"/>
      <c r="K37" s="81"/>
      <c r="L37" s="175">
        <v>41</v>
      </c>
      <c r="M37" s="81">
        <v>449268258</v>
      </c>
      <c r="N37" s="175">
        <v>73</v>
      </c>
      <c r="O37" s="81">
        <v>2129856765</v>
      </c>
      <c r="P37" s="175">
        <v>560</v>
      </c>
      <c r="Q37" s="81">
        <v>4833389345</v>
      </c>
      <c r="R37" s="175"/>
      <c r="S37" s="81"/>
      <c r="T37" s="175"/>
      <c r="U37" s="81"/>
      <c r="V37" s="175"/>
      <c r="W37" s="81"/>
      <c r="X37" s="175"/>
      <c r="Y37" s="81"/>
      <c r="Z37" s="175"/>
      <c r="AA37" s="81"/>
      <c r="AB37" s="175"/>
      <c r="AC37" s="81"/>
      <c r="AD37" s="175"/>
      <c r="AE37" s="81"/>
      <c r="AF37" s="175"/>
      <c r="AG37" s="81"/>
      <c r="AH37" s="175"/>
      <c r="AI37" s="81"/>
      <c r="AJ37" s="175"/>
      <c r="AK37" s="81"/>
      <c r="AL37" s="175"/>
      <c r="AM37" s="81"/>
      <c r="AN37" s="175"/>
      <c r="AO37" s="81"/>
      <c r="AP37" s="175"/>
      <c r="AQ37" s="81"/>
      <c r="AR37" s="175"/>
      <c r="AS37" s="81"/>
      <c r="AT37" s="175">
        <v>6</v>
      </c>
      <c r="AU37" s="81">
        <v>201698880</v>
      </c>
      <c r="AV37" s="175">
        <v>11</v>
      </c>
      <c r="AW37" s="81">
        <v>94156392</v>
      </c>
      <c r="AX37" s="175"/>
      <c r="AY37" s="81"/>
      <c r="AZ37" s="175"/>
      <c r="BA37" s="81"/>
      <c r="BB37" s="175"/>
      <c r="BC37" s="81"/>
      <c r="BD37" s="175"/>
      <c r="BE37" s="81"/>
      <c r="BF37" s="175"/>
      <c r="BG37" s="81"/>
      <c r="BH37" s="175"/>
      <c r="BI37" s="81"/>
      <c r="BJ37" s="175"/>
      <c r="BK37" s="81"/>
      <c r="BL37" s="175"/>
      <c r="BM37" s="81"/>
      <c r="BN37" s="175"/>
      <c r="BO37" s="81"/>
      <c r="BP37" s="175">
        <f t="shared" si="0"/>
        <v>696</v>
      </c>
      <c r="BQ37" s="81">
        <f t="shared" si="0"/>
        <v>8000740724</v>
      </c>
    </row>
    <row r="38" spans="1:70">
      <c r="A38" s="53">
        <f t="shared" si="1"/>
        <v>29</v>
      </c>
      <c r="B38" s="222" t="s">
        <v>651</v>
      </c>
      <c r="C38" s="53" t="s">
        <v>652</v>
      </c>
      <c r="D38" s="174">
        <v>3</v>
      </c>
      <c r="E38" s="82">
        <v>3008877286.7999997</v>
      </c>
      <c r="F38" s="174">
        <v>7</v>
      </c>
      <c r="G38" s="82">
        <v>7741364400</v>
      </c>
      <c r="H38" s="174">
        <v>9</v>
      </c>
      <c r="I38" s="82">
        <v>1033025994</v>
      </c>
      <c r="J38" s="174">
        <v>35</v>
      </c>
      <c r="K38" s="82">
        <v>5908518000</v>
      </c>
      <c r="L38" s="174">
        <v>43</v>
      </c>
      <c r="M38" s="82">
        <v>3370266900</v>
      </c>
      <c r="N38" s="174">
        <v>181</v>
      </c>
      <c r="O38" s="82">
        <v>20370319200</v>
      </c>
      <c r="P38" s="174">
        <v>2725</v>
      </c>
      <c r="Q38" s="82">
        <v>87900392580</v>
      </c>
      <c r="R38" s="174">
        <v>354</v>
      </c>
      <c r="S38" s="82">
        <v>31872234240</v>
      </c>
      <c r="T38" s="174"/>
      <c r="U38" s="82"/>
      <c r="V38" s="174"/>
      <c r="W38" s="82"/>
      <c r="X38" s="174"/>
      <c r="Y38" s="82"/>
      <c r="Z38" s="174"/>
      <c r="AA38" s="82"/>
      <c r="AB38" s="174"/>
      <c r="AC38" s="82"/>
      <c r="AD38" s="174"/>
      <c r="AE38" s="82"/>
      <c r="AF38" s="174"/>
      <c r="AG38" s="82"/>
      <c r="AH38" s="174"/>
      <c r="AI38" s="82"/>
      <c r="AJ38" s="174"/>
      <c r="AK38" s="82"/>
      <c r="AL38" s="174">
        <v>1</v>
      </c>
      <c r="AM38" s="82">
        <v>630756403.19999993</v>
      </c>
      <c r="AN38" s="174">
        <v>1</v>
      </c>
      <c r="AO38" s="82">
        <v>114780666</v>
      </c>
      <c r="AP38" s="174"/>
      <c r="AQ38" s="82"/>
      <c r="AR38" s="174">
        <v>2</v>
      </c>
      <c r="AS38" s="82">
        <v>156756600</v>
      </c>
      <c r="AT38" s="174">
        <v>34</v>
      </c>
      <c r="AU38" s="82">
        <v>3826468800</v>
      </c>
      <c r="AV38" s="174">
        <v>4</v>
      </c>
      <c r="AW38" s="82">
        <v>129028099.2</v>
      </c>
      <c r="AX38" s="174"/>
      <c r="AY38" s="82"/>
      <c r="AZ38" s="174"/>
      <c r="BA38" s="82"/>
      <c r="BB38" s="174"/>
      <c r="BC38" s="82"/>
      <c r="BD38" s="174"/>
      <c r="BE38" s="82"/>
      <c r="BF38" s="174"/>
      <c r="BG38" s="82"/>
      <c r="BH38" s="174"/>
      <c r="BI38" s="82"/>
      <c r="BJ38" s="174"/>
      <c r="BK38" s="82"/>
      <c r="BL38" s="174"/>
      <c r="BM38" s="82"/>
      <c r="BN38" s="174"/>
      <c r="BO38" s="82"/>
      <c r="BP38" s="174">
        <f t="shared" si="0"/>
        <v>3399</v>
      </c>
      <c r="BQ38" s="82">
        <f t="shared" si="0"/>
        <v>166062789169.19998</v>
      </c>
    </row>
    <row r="39" spans="1:70">
      <c r="A39" s="51">
        <f t="shared" si="1"/>
        <v>30</v>
      </c>
      <c r="B39" s="50" t="s">
        <v>5627</v>
      </c>
      <c r="C39" s="51" t="s">
        <v>1246</v>
      </c>
      <c r="D39" s="175">
        <v>4</v>
      </c>
      <c r="E39" s="81"/>
      <c r="F39" s="175"/>
      <c r="G39" s="81"/>
      <c r="H39" s="175">
        <v>130</v>
      </c>
      <c r="I39" s="81"/>
      <c r="J39" s="175">
        <v>5</v>
      </c>
      <c r="K39" s="81"/>
      <c r="L39" s="175">
        <v>367</v>
      </c>
      <c r="M39" s="81"/>
      <c r="N39" s="175">
        <v>59</v>
      </c>
      <c r="O39" s="81"/>
      <c r="P39" s="175">
        <v>472</v>
      </c>
      <c r="Q39" s="81"/>
      <c r="R39" s="175">
        <v>7</v>
      </c>
      <c r="S39" s="81"/>
      <c r="T39" s="175"/>
      <c r="U39" s="81"/>
      <c r="V39" s="175"/>
      <c r="W39" s="81"/>
      <c r="X39" s="175"/>
      <c r="Y39" s="81"/>
      <c r="Z39" s="175"/>
      <c r="AA39" s="81"/>
      <c r="AB39" s="175"/>
      <c r="AC39" s="81"/>
      <c r="AD39" s="175"/>
      <c r="AE39" s="81"/>
      <c r="AF39" s="175"/>
      <c r="AG39" s="81"/>
      <c r="AH39" s="175"/>
      <c r="AI39" s="81"/>
      <c r="AJ39" s="175"/>
      <c r="AK39" s="81"/>
      <c r="AL39" s="175"/>
      <c r="AM39" s="81"/>
      <c r="AN39" s="175">
        <v>5</v>
      </c>
      <c r="AO39" s="81"/>
      <c r="AP39" s="175"/>
      <c r="AQ39" s="81"/>
      <c r="AR39" s="175">
        <v>9</v>
      </c>
      <c r="AS39" s="81"/>
      <c r="AT39" s="175">
        <v>5</v>
      </c>
      <c r="AU39" s="81"/>
      <c r="AV39" s="175"/>
      <c r="AW39" s="81"/>
      <c r="AX39" s="175"/>
      <c r="AY39" s="81"/>
      <c r="AZ39" s="175"/>
      <c r="BA39" s="81"/>
      <c r="BB39" s="175"/>
      <c r="BC39" s="81"/>
      <c r="BD39" s="175"/>
      <c r="BE39" s="81"/>
      <c r="BF39" s="175"/>
      <c r="BG39" s="81"/>
      <c r="BH39" s="175"/>
      <c r="BI39" s="81"/>
      <c r="BJ39" s="175"/>
      <c r="BK39" s="81"/>
      <c r="BL39" s="175"/>
      <c r="BM39" s="81"/>
      <c r="BN39" s="175"/>
      <c r="BO39" s="81"/>
      <c r="BP39" s="175">
        <f t="shared" si="0"/>
        <v>1063</v>
      </c>
      <c r="BQ39" s="249">
        <v>1008238527.765972</v>
      </c>
      <c r="BR39" s="458" t="s">
        <v>5628</v>
      </c>
    </row>
    <row r="40" spans="1:70">
      <c r="A40" s="53">
        <f t="shared" si="1"/>
        <v>31</v>
      </c>
      <c r="B40" s="222" t="s">
        <v>659</v>
      </c>
      <c r="C40" s="53" t="s">
        <v>660</v>
      </c>
      <c r="D40" s="174">
        <v>4</v>
      </c>
      <c r="E40" s="82">
        <v>28779738.75</v>
      </c>
      <c r="F40" s="174">
        <v>4</v>
      </c>
      <c r="G40" s="82">
        <v>23856385</v>
      </c>
      <c r="H40" s="174"/>
      <c r="I40" s="82"/>
      <c r="J40" s="174"/>
      <c r="K40" s="82"/>
      <c r="L40" s="174">
        <v>47</v>
      </c>
      <c r="M40" s="82">
        <v>61628622.5</v>
      </c>
      <c r="N40" s="174">
        <v>18</v>
      </c>
      <c r="O40" s="82">
        <v>39745125</v>
      </c>
      <c r="P40" s="174">
        <v>257</v>
      </c>
      <c r="Q40" s="82">
        <v>248064499</v>
      </c>
      <c r="R40" s="174"/>
      <c r="S40" s="82"/>
      <c r="T40" s="174"/>
      <c r="U40" s="82"/>
      <c r="V40" s="174"/>
      <c r="W40" s="82"/>
      <c r="X40" s="174"/>
      <c r="Y40" s="82"/>
      <c r="Z40" s="174"/>
      <c r="AA40" s="82"/>
      <c r="AB40" s="174"/>
      <c r="AC40" s="82"/>
      <c r="AD40" s="174"/>
      <c r="AE40" s="82"/>
      <c r="AF40" s="174"/>
      <c r="AG40" s="82"/>
      <c r="AH40" s="174"/>
      <c r="AI40" s="82"/>
      <c r="AJ40" s="174">
        <v>1</v>
      </c>
      <c r="AK40" s="82">
        <v>9593246.25</v>
      </c>
      <c r="AL40" s="174"/>
      <c r="AM40" s="82"/>
      <c r="AN40" s="174"/>
      <c r="AO40" s="82"/>
      <c r="AP40" s="174"/>
      <c r="AQ40" s="82"/>
      <c r="AR40" s="174">
        <v>5</v>
      </c>
      <c r="AS40" s="82">
        <v>18840127.5</v>
      </c>
      <c r="AT40" s="174"/>
      <c r="AU40" s="82"/>
      <c r="AV40" s="174">
        <v>22</v>
      </c>
      <c r="AW40" s="82">
        <v>12560085</v>
      </c>
      <c r="AX40" s="174"/>
      <c r="AY40" s="82"/>
      <c r="AZ40" s="174"/>
      <c r="BA40" s="82"/>
      <c r="BB40" s="174"/>
      <c r="BC40" s="82"/>
      <c r="BD40" s="174"/>
      <c r="BE40" s="82"/>
      <c r="BF40" s="174"/>
      <c r="BG40" s="82"/>
      <c r="BH40" s="174"/>
      <c r="BI40" s="82"/>
      <c r="BJ40" s="174"/>
      <c r="BK40" s="82"/>
      <c r="BL40" s="174"/>
      <c r="BM40" s="82"/>
      <c r="BN40" s="174"/>
      <c r="BO40" s="82"/>
      <c r="BP40" s="174">
        <f t="shared" ref="BP40:BQ55" si="2">BN40+BL40+BJ40+BH40+BF40+BD40+BB40+AZ40+AX40+AV40+AT40+AR40+AP40+AN40+AL40+AJ40+AH40+AF40+AD40+AB40+Z40+X40+V40+T40+R40+P40+N40+L40+J40+H40+F40+D40</f>
        <v>358</v>
      </c>
      <c r="BQ40" s="82">
        <f t="shared" si="2"/>
        <v>443067829</v>
      </c>
    </row>
    <row r="41" spans="1:70">
      <c r="A41" s="51">
        <f t="shared" si="1"/>
        <v>32</v>
      </c>
      <c r="B41" s="177" t="s">
        <v>662</v>
      </c>
      <c r="C41" s="51" t="s">
        <v>663</v>
      </c>
      <c r="D41" s="175">
        <v>47</v>
      </c>
      <c r="E41" s="81"/>
      <c r="F41" s="175">
        <v>19</v>
      </c>
      <c r="G41" s="81"/>
      <c r="H41" s="175"/>
      <c r="I41" s="81"/>
      <c r="J41" s="175"/>
      <c r="K41" s="81"/>
      <c r="L41" s="175">
        <v>215</v>
      </c>
      <c r="M41" s="81"/>
      <c r="N41" s="175">
        <v>8</v>
      </c>
      <c r="O41" s="81"/>
      <c r="P41" s="175"/>
      <c r="Q41" s="81"/>
      <c r="R41" s="175"/>
      <c r="S41" s="81"/>
      <c r="T41" s="175"/>
      <c r="U41" s="81"/>
      <c r="V41" s="175"/>
      <c r="W41" s="81"/>
      <c r="X41" s="175"/>
      <c r="Y41" s="81"/>
      <c r="Z41" s="175"/>
      <c r="AA41" s="81"/>
      <c r="AB41" s="175"/>
      <c r="AC41" s="81"/>
      <c r="AD41" s="175"/>
      <c r="AE41" s="81"/>
      <c r="AF41" s="175"/>
      <c r="AG41" s="81"/>
      <c r="AH41" s="175"/>
      <c r="AI41" s="81"/>
      <c r="AJ41" s="175"/>
      <c r="AK41" s="81"/>
      <c r="AL41" s="175"/>
      <c r="AM41" s="81"/>
      <c r="AN41" s="175"/>
      <c r="AO41" s="81"/>
      <c r="AP41" s="175"/>
      <c r="AQ41" s="81"/>
      <c r="AR41" s="175"/>
      <c r="AS41" s="81"/>
      <c r="AT41" s="175"/>
      <c r="AU41" s="81"/>
      <c r="AV41" s="175"/>
      <c r="AW41" s="81"/>
      <c r="AX41" s="175"/>
      <c r="AY41" s="81"/>
      <c r="AZ41" s="175"/>
      <c r="BA41" s="81"/>
      <c r="BB41" s="175"/>
      <c r="BC41" s="81"/>
      <c r="BD41" s="175"/>
      <c r="BE41" s="81"/>
      <c r="BF41" s="175"/>
      <c r="BG41" s="81"/>
      <c r="BH41" s="175"/>
      <c r="BI41" s="81"/>
      <c r="BJ41" s="175"/>
      <c r="BK41" s="81"/>
      <c r="BL41" s="175"/>
      <c r="BM41" s="81"/>
      <c r="BN41" s="175"/>
      <c r="BO41" s="81"/>
      <c r="BP41" s="175">
        <f t="shared" si="2"/>
        <v>289</v>
      </c>
      <c r="BQ41" s="81">
        <f t="shared" si="2"/>
        <v>0</v>
      </c>
    </row>
    <row r="42" spans="1:70">
      <c r="A42" s="53">
        <f t="shared" si="1"/>
        <v>33</v>
      </c>
      <c r="B42" s="222" t="s">
        <v>666</v>
      </c>
      <c r="C42" s="53" t="s">
        <v>667</v>
      </c>
      <c r="D42" s="174">
        <v>1</v>
      </c>
      <c r="E42" s="82"/>
      <c r="F42" s="174">
        <v>7</v>
      </c>
      <c r="G42" s="82"/>
      <c r="H42" s="174">
        <v>11</v>
      </c>
      <c r="I42" s="82"/>
      <c r="J42" s="174">
        <v>17</v>
      </c>
      <c r="K42" s="82"/>
      <c r="L42" s="174">
        <v>14</v>
      </c>
      <c r="M42" s="82"/>
      <c r="N42" s="174">
        <v>162</v>
      </c>
      <c r="O42" s="82"/>
      <c r="P42" s="174">
        <v>363</v>
      </c>
      <c r="Q42" s="82"/>
      <c r="R42" s="174">
        <v>129</v>
      </c>
      <c r="S42" s="82"/>
      <c r="T42" s="174"/>
      <c r="U42" s="82"/>
      <c r="V42" s="174"/>
      <c r="W42" s="82"/>
      <c r="X42" s="174"/>
      <c r="Y42" s="82"/>
      <c r="Z42" s="174"/>
      <c r="AA42" s="82"/>
      <c r="AB42" s="174">
        <v>43</v>
      </c>
      <c r="AC42" s="82"/>
      <c r="AD42" s="174"/>
      <c r="AE42" s="82"/>
      <c r="AF42" s="174">
        <v>2522</v>
      </c>
      <c r="AG42" s="82"/>
      <c r="AH42" s="174"/>
      <c r="AI42" s="82"/>
      <c r="AJ42" s="174">
        <v>1</v>
      </c>
      <c r="AK42" s="82"/>
      <c r="AL42" s="174"/>
      <c r="AM42" s="82"/>
      <c r="AN42" s="174">
        <v>4</v>
      </c>
      <c r="AO42" s="82"/>
      <c r="AP42" s="174"/>
      <c r="AQ42" s="82"/>
      <c r="AR42" s="174">
        <v>1</v>
      </c>
      <c r="AS42" s="82"/>
      <c r="AT42" s="174">
        <v>17</v>
      </c>
      <c r="AU42" s="82"/>
      <c r="AV42" s="174">
        <v>1</v>
      </c>
      <c r="AW42" s="82"/>
      <c r="AX42" s="174"/>
      <c r="AY42" s="82"/>
      <c r="AZ42" s="174"/>
      <c r="BA42" s="82"/>
      <c r="BB42" s="174"/>
      <c r="BC42" s="82"/>
      <c r="BD42" s="174"/>
      <c r="BE42" s="82"/>
      <c r="BF42" s="174"/>
      <c r="BG42" s="82"/>
      <c r="BH42" s="174">
        <v>3</v>
      </c>
      <c r="BI42" s="82"/>
      <c r="BJ42" s="174"/>
      <c r="BK42" s="82"/>
      <c r="BL42" s="174">
        <v>59</v>
      </c>
      <c r="BM42" s="82"/>
      <c r="BN42" s="174"/>
      <c r="BO42" s="82"/>
      <c r="BP42" s="174">
        <f t="shared" si="2"/>
        <v>3355</v>
      </c>
      <c r="BQ42" s="459">
        <v>18348689</v>
      </c>
      <c r="BR42" s="458" t="s">
        <v>5628</v>
      </c>
    </row>
    <row r="43" spans="1:70">
      <c r="A43" s="51">
        <f t="shared" si="1"/>
        <v>34</v>
      </c>
      <c r="B43" s="50" t="s">
        <v>673</v>
      </c>
      <c r="C43" s="51" t="s">
        <v>674</v>
      </c>
      <c r="D43" s="175"/>
      <c r="E43" s="81"/>
      <c r="F43" s="175"/>
      <c r="G43" s="81"/>
      <c r="H43" s="175">
        <v>2</v>
      </c>
      <c r="I43" s="81">
        <v>64947000</v>
      </c>
      <c r="J43" s="175"/>
      <c r="K43" s="81"/>
      <c r="L43" s="175">
        <v>39</v>
      </c>
      <c r="M43" s="81">
        <v>506360400</v>
      </c>
      <c r="N43" s="175"/>
      <c r="O43" s="81"/>
      <c r="P43" s="175">
        <v>457</v>
      </c>
      <c r="Q43" s="81">
        <v>3336835000</v>
      </c>
      <c r="R43" s="175"/>
      <c r="S43" s="81"/>
      <c r="T43" s="175"/>
      <c r="U43" s="81"/>
      <c r="V43" s="175">
        <v>5</v>
      </c>
      <c r="W43" s="81">
        <v>171641364</v>
      </c>
      <c r="X43" s="175"/>
      <c r="Y43" s="81"/>
      <c r="Z43" s="175">
        <v>29</v>
      </c>
      <c r="AA43" s="81">
        <v>597611484</v>
      </c>
      <c r="AB43" s="175"/>
      <c r="AC43" s="81"/>
      <c r="AD43" s="175">
        <v>36</v>
      </c>
      <c r="AE43" s="81">
        <v>571089954</v>
      </c>
      <c r="AF43" s="175"/>
      <c r="AG43" s="81"/>
      <c r="AH43" s="175"/>
      <c r="AI43" s="81"/>
      <c r="AJ43" s="175"/>
      <c r="AK43" s="81"/>
      <c r="AL43" s="175"/>
      <c r="AM43" s="81"/>
      <c r="AN43" s="175"/>
      <c r="AO43" s="81"/>
      <c r="AP43" s="175"/>
      <c r="AQ43" s="81"/>
      <c r="AR43" s="175">
        <v>2</v>
      </c>
      <c r="AS43" s="81">
        <v>27600000</v>
      </c>
      <c r="AT43" s="175"/>
      <c r="AU43" s="81"/>
      <c r="AV43" s="175">
        <v>16</v>
      </c>
      <c r="AW43" s="81">
        <v>89086800</v>
      </c>
      <c r="AX43" s="175"/>
      <c r="AY43" s="81"/>
      <c r="AZ43" s="175"/>
      <c r="BA43" s="81"/>
      <c r="BB43" s="175">
        <v>1</v>
      </c>
      <c r="BC43" s="81">
        <v>36760440</v>
      </c>
      <c r="BD43" s="175"/>
      <c r="BE43" s="81"/>
      <c r="BF43" s="175">
        <v>9</v>
      </c>
      <c r="BG43" s="81">
        <v>164034942</v>
      </c>
      <c r="BH43" s="175"/>
      <c r="BI43" s="81"/>
      <c r="BJ43" s="175">
        <v>1</v>
      </c>
      <c r="BK43" s="81">
        <v>16814886</v>
      </c>
      <c r="BL43" s="175"/>
      <c r="BM43" s="81"/>
      <c r="BN43" s="175"/>
      <c r="BO43" s="81"/>
      <c r="BP43" s="175">
        <f t="shared" si="2"/>
        <v>597</v>
      </c>
      <c r="BQ43" s="81">
        <f t="shared" si="2"/>
        <v>5582782270</v>
      </c>
    </row>
    <row r="44" spans="1:70">
      <c r="A44" s="53">
        <f t="shared" si="1"/>
        <v>35</v>
      </c>
      <c r="B44" s="222" t="s">
        <v>676</v>
      </c>
      <c r="C44" s="53" t="s">
        <v>677</v>
      </c>
      <c r="D44" s="174">
        <v>2</v>
      </c>
      <c r="E44" s="82">
        <v>497391275</v>
      </c>
      <c r="F44" s="174">
        <v>6</v>
      </c>
      <c r="G44" s="82">
        <v>745959675</v>
      </c>
      <c r="H44" s="174">
        <v>16</v>
      </c>
      <c r="I44" s="82">
        <v>2102982000</v>
      </c>
      <c r="J44" s="174">
        <v>45</v>
      </c>
      <c r="K44" s="82">
        <v>2185561800</v>
      </c>
      <c r="L44" s="174">
        <v>252</v>
      </c>
      <c r="M44" s="82">
        <v>3721578775</v>
      </c>
      <c r="N44" s="174">
        <v>72</v>
      </c>
      <c r="O44" s="82">
        <v>1545746100</v>
      </c>
      <c r="P44" s="174">
        <v>231</v>
      </c>
      <c r="Q44" s="82">
        <v>1362800550</v>
      </c>
      <c r="R44" s="174"/>
      <c r="S44" s="82"/>
      <c r="T44" s="174"/>
      <c r="U44" s="82"/>
      <c r="V44" s="174"/>
      <c r="W44" s="82"/>
      <c r="X44" s="174"/>
      <c r="Y44" s="82"/>
      <c r="Z44" s="174"/>
      <c r="AA44" s="82"/>
      <c r="AB44" s="174"/>
      <c r="AC44" s="82"/>
      <c r="AD44" s="174"/>
      <c r="AE44" s="82"/>
      <c r="AF44" s="174"/>
      <c r="AG44" s="82"/>
      <c r="AH44" s="174"/>
      <c r="AI44" s="82"/>
      <c r="AJ44" s="174"/>
      <c r="AK44" s="82"/>
      <c r="AL44" s="174"/>
      <c r="AM44" s="82"/>
      <c r="AN44" s="174"/>
      <c r="AO44" s="82"/>
      <c r="AP44" s="174"/>
      <c r="AQ44" s="82"/>
      <c r="AR44" s="174"/>
      <c r="AS44" s="82"/>
      <c r="AT44" s="174"/>
      <c r="AU44" s="82"/>
      <c r="AV44" s="174">
        <v>53</v>
      </c>
      <c r="AW44" s="82">
        <v>328599475</v>
      </c>
      <c r="AX44" s="174"/>
      <c r="AY44" s="82"/>
      <c r="AZ44" s="174"/>
      <c r="BA44" s="82"/>
      <c r="BB44" s="174"/>
      <c r="BC44" s="82"/>
      <c r="BD44" s="174"/>
      <c r="BE44" s="82"/>
      <c r="BF44" s="174"/>
      <c r="BG44" s="82"/>
      <c r="BH44" s="174"/>
      <c r="BI44" s="82"/>
      <c r="BJ44" s="174"/>
      <c r="BK44" s="82"/>
      <c r="BL44" s="174"/>
      <c r="BM44" s="82"/>
      <c r="BN44" s="174"/>
      <c r="BO44" s="82"/>
      <c r="BP44" s="174">
        <f t="shared" si="2"/>
        <v>677</v>
      </c>
      <c r="BQ44" s="82">
        <f t="shared" si="2"/>
        <v>12490619650</v>
      </c>
    </row>
    <row r="45" spans="1:70">
      <c r="A45" s="51">
        <f t="shared" si="1"/>
        <v>36</v>
      </c>
      <c r="B45" s="50" t="s">
        <v>681</v>
      </c>
      <c r="C45" s="51" t="s">
        <v>682</v>
      </c>
      <c r="D45" s="175"/>
      <c r="E45" s="81"/>
      <c r="F45" s="175">
        <v>12</v>
      </c>
      <c r="G45" s="81">
        <v>23608824</v>
      </c>
      <c r="H45" s="175"/>
      <c r="I45" s="81"/>
      <c r="J45" s="175">
        <v>36</v>
      </c>
      <c r="K45" s="81">
        <v>46037206.799999997</v>
      </c>
      <c r="L45" s="175">
        <v>60</v>
      </c>
      <c r="M45" s="81">
        <v>21840000</v>
      </c>
      <c r="N45" s="175">
        <v>12</v>
      </c>
      <c r="O45" s="81">
        <v>15345735.6</v>
      </c>
      <c r="P45" s="175">
        <v>2408</v>
      </c>
      <c r="Q45" s="81">
        <v>1085696500</v>
      </c>
      <c r="R45" s="175">
        <v>239</v>
      </c>
      <c r="S45" s="81">
        <v>331285904.27499998</v>
      </c>
      <c r="T45" s="175"/>
      <c r="U45" s="81"/>
      <c r="V45" s="175"/>
      <c r="W45" s="81"/>
      <c r="X45" s="175"/>
      <c r="Y45" s="81"/>
      <c r="Z45" s="175"/>
      <c r="AA45" s="81"/>
      <c r="AB45" s="175"/>
      <c r="AC45" s="81"/>
      <c r="AD45" s="175"/>
      <c r="AE45" s="81"/>
      <c r="AF45" s="175">
        <v>371</v>
      </c>
      <c r="AG45" s="81">
        <v>100227000</v>
      </c>
      <c r="AH45" s="175"/>
      <c r="AI45" s="81"/>
      <c r="AJ45" s="175"/>
      <c r="AK45" s="81"/>
      <c r="AL45" s="175"/>
      <c r="AM45" s="81"/>
      <c r="AN45" s="175"/>
      <c r="AO45" s="81"/>
      <c r="AP45" s="175">
        <v>36</v>
      </c>
      <c r="AQ45" s="81">
        <v>46037206.799999997</v>
      </c>
      <c r="AR45" s="175"/>
      <c r="AS45" s="81"/>
      <c r="AT45" s="175"/>
      <c r="AU45" s="81"/>
      <c r="AV45" s="175">
        <v>72</v>
      </c>
      <c r="AW45" s="81">
        <v>22464000</v>
      </c>
      <c r="AX45" s="175">
        <v>72</v>
      </c>
      <c r="AY45" s="81">
        <v>92074413.599999994</v>
      </c>
      <c r="AZ45" s="175"/>
      <c r="BA45" s="81"/>
      <c r="BB45" s="175"/>
      <c r="BC45" s="81"/>
      <c r="BD45" s="175"/>
      <c r="BE45" s="81"/>
      <c r="BF45" s="175"/>
      <c r="BG45" s="81"/>
      <c r="BH45" s="175"/>
      <c r="BI45" s="81"/>
      <c r="BJ45" s="175"/>
      <c r="BK45" s="81"/>
      <c r="BL45" s="175"/>
      <c r="BM45" s="81"/>
      <c r="BN45" s="175"/>
      <c r="BO45" s="81"/>
      <c r="BP45" s="175">
        <f t="shared" si="2"/>
        <v>3318</v>
      </c>
      <c r="BQ45" s="81">
        <f t="shared" si="2"/>
        <v>1784616791.0749998</v>
      </c>
    </row>
    <row r="46" spans="1:70">
      <c r="A46" s="53">
        <f t="shared" si="1"/>
        <v>37</v>
      </c>
      <c r="B46" s="231" t="s">
        <v>462</v>
      </c>
      <c r="C46" s="53" t="s">
        <v>685</v>
      </c>
      <c r="D46" s="174"/>
      <c r="E46" s="82"/>
      <c r="F46" s="174"/>
      <c r="G46" s="82"/>
      <c r="H46" s="174"/>
      <c r="I46" s="82"/>
      <c r="J46" s="174"/>
      <c r="K46" s="82"/>
      <c r="L46" s="174"/>
      <c r="M46" s="82"/>
      <c r="N46" s="174"/>
      <c r="O46" s="82"/>
      <c r="P46" s="174"/>
      <c r="Q46" s="82"/>
      <c r="R46" s="174"/>
      <c r="S46" s="82"/>
      <c r="T46" s="174"/>
      <c r="U46" s="82"/>
      <c r="V46" s="174"/>
      <c r="W46" s="82"/>
      <c r="X46" s="174"/>
      <c r="Y46" s="82"/>
      <c r="Z46" s="174"/>
      <c r="AA46" s="82"/>
      <c r="AB46" s="174"/>
      <c r="AC46" s="82"/>
      <c r="AD46" s="174"/>
      <c r="AE46" s="82"/>
      <c r="AF46" s="174"/>
      <c r="AG46" s="82"/>
      <c r="AH46" s="174"/>
      <c r="AI46" s="82"/>
      <c r="AJ46" s="174"/>
      <c r="AK46" s="82"/>
      <c r="AL46" s="174"/>
      <c r="AM46" s="82"/>
      <c r="AN46" s="174"/>
      <c r="AO46" s="82"/>
      <c r="AP46" s="174"/>
      <c r="AQ46" s="82"/>
      <c r="AR46" s="174"/>
      <c r="AS46" s="82"/>
      <c r="AT46" s="174"/>
      <c r="AU46" s="82"/>
      <c r="AV46" s="174"/>
      <c r="AW46" s="82"/>
      <c r="AX46" s="174"/>
      <c r="AY46" s="82"/>
      <c r="AZ46" s="174"/>
      <c r="BA46" s="82"/>
      <c r="BB46" s="174"/>
      <c r="BC46" s="82"/>
      <c r="BD46" s="174"/>
      <c r="BE46" s="82"/>
      <c r="BF46" s="174"/>
      <c r="BG46" s="82"/>
      <c r="BH46" s="174"/>
      <c r="BI46" s="82"/>
      <c r="BJ46" s="174"/>
      <c r="BK46" s="82"/>
      <c r="BL46" s="174"/>
      <c r="BM46" s="82"/>
      <c r="BN46" s="174"/>
      <c r="BO46" s="82"/>
      <c r="BP46" s="174">
        <f t="shared" si="2"/>
        <v>0</v>
      </c>
      <c r="BQ46" s="82">
        <f t="shared" si="2"/>
        <v>0</v>
      </c>
    </row>
    <row r="47" spans="1:70">
      <c r="A47" s="51">
        <f t="shared" si="1"/>
        <v>38</v>
      </c>
      <c r="B47" s="50" t="s">
        <v>1248</v>
      </c>
      <c r="C47" s="51" t="s">
        <v>1249</v>
      </c>
      <c r="D47" s="175">
        <v>1</v>
      </c>
      <c r="E47" s="81">
        <v>16143795.84</v>
      </c>
      <c r="F47" s="175">
        <v>4</v>
      </c>
      <c r="G47" s="81">
        <v>55595259.600000001</v>
      </c>
      <c r="H47" s="175"/>
      <c r="I47" s="81"/>
      <c r="J47" s="175">
        <v>9</v>
      </c>
      <c r="K47" s="81">
        <v>121348606.68000001</v>
      </c>
      <c r="L47" s="175"/>
      <c r="M47" s="81"/>
      <c r="N47" s="175">
        <v>2</v>
      </c>
      <c r="O47" s="81">
        <v>4552481.5199999996</v>
      </c>
      <c r="P47" s="175">
        <v>65</v>
      </c>
      <c r="Q47" s="81">
        <v>263413071.72</v>
      </c>
      <c r="R47" s="175">
        <v>9</v>
      </c>
      <c r="S47" s="81">
        <v>116782004.40000001</v>
      </c>
      <c r="T47" s="175"/>
      <c r="U47" s="81"/>
      <c r="V47" s="175"/>
      <c r="W47" s="81"/>
      <c r="X47" s="175"/>
      <c r="Y47" s="81"/>
      <c r="Z47" s="175"/>
      <c r="AA47" s="81"/>
      <c r="AB47" s="175"/>
      <c r="AC47" s="81"/>
      <c r="AD47" s="175"/>
      <c r="AE47" s="81"/>
      <c r="AF47" s="175"/>
      <c r="AG47" s="81"/>
      <c r="AH47" s="175"/>
      <c r="AI47" s="81"/>
      <c r="AJ47" s="175"/>
      <c r="AK47" s="81"/>
      <c r="AL47" s="175"/>
      <c r="AM47" s="81"/>
      <c r="AN47" s="175"/>
      <c r="AO47" s="81"/>
      <c r="AP47" s="175"/>
      <c r="AQ47" s="81"/>
      <c r="AR47" s="175">
        <v>10</v>
      </c>
      <c r="AS47" s="81"/>
      <c r="AT47" s="175">
        <v>2</v>
      </c>
      <c r="AU47" s="81">
        <v>4552481.5199999996</v>
      </c>
      <c r="AV47" s="175"/>
      <c r="AW47" s="81"/>
      <c r="AX47" s="175"/>
      <c r="AY47" s="81"/>
      <c r="AZ47" s="175"/>
      <c r="BA47" s="81"/>
      <c r="BB47" s="175"/>
      <c r="BC47" s="81"/>
      <c r="BD47" s="175"/>
      <c r="BE47" s="81"/>
      <c r="BF47" s="175"/>
      <c r="BG47" s="81"/>
      <c r="BH47" s="175"/>
      <c r="BI47" s="81"/>
      <c r="BJ47" s="175"/>
      <c r="BK47" s="81"/>
      <c r="BL47" s="175"/>
      <c r="BM47" s="81"/>
      <c r="BN47" s="175"/>
      <c r="BO47" s="81"/>
      <c r="BP47" s="175">
        <f t="shared" si="2"/>
        <v>102</v>
      </c>
      <c r="BQ47" s="81">
        <f t="shared" si="2"/>
        <v>582387701.27999997</v>
      </c>
    </row>
    <row r="48" spans="1:70">
      <c r="A48" s="53">
        <f t="shared" si="1"/>
        <v>39</v>
      </c>
      <c r="B48" s="222" t="s">
        <v>188</v>
      </c>
      <c r="C48" s="53" t="s">
        <v>686</v>
      </c>
      <c r="D48" s="174">
        <v>14</v>
      </c>
      <c r="E48" s="82">
        <v>144185.47469999999</v>
      </c>
      <c r="F48" s="174">
        <v>6</v>
      </c>
      <c r="G48" s="82">
        <v>165551</v>
      </c>
      <c r="H48" s="174">
        <v>83</v>
      </c>
      <c r="I48" s="82">
        <v>494255.3665</v>
      </c>
      <c r="J48" s="174">
        <v>21</v>
      </c>
      <c r="K48" s="82">
        <v>332514</v>
      </c>
      <c r="L48" s="174">
        <v>616</v>
      </c>
      <c r="M48" s="82">
        <v>3511351.6450999998</v>
      </c>
      <c r="N48" s="174">
        <v>64</v>
      </c>
      <c r="O48" s="82">
        <v>658662</v>
      </c>
      <c r="P48" s="174">
        <v>89</v>
      </c>
      <c r="Q48" s="82">
        <v>437043.4313</v>
      </c>
      <c r="R48" s="174">
        <v>29</v>
      </c>
      <c r="S48" s="82">
        <v>295939</v>
      </c>
      <c r="T48" s="174"/>
      <c r="U48" s="82"/>
      <c r="V48" s="174"/>
      <c r="W48" s="82"/>
      <c r="X48" s="174"/>
      <c r="Y48" s="82"/>
      <c r="Z48" s="174"/>
      <c r="AA48" s="82"/>
      <c r="AB48" s="174"/>
      <c r="AC48" s="82"/>
      <c r="AD48" s="174"/>
      <c r="AE48" s="82"/>
      <c r="AF48" s="174"/>
      <c r="AG48" s="82"/>
      <c r="AH48" s="174"/>
      <c r="AI48" s="82"/>
      <c r="AJ48" s="174">
        <v>2</v>
      </c>
      <c r="AK48" s="82">
        <v>11309.180200000001</v>
      </c>
      <c r="AL48" s="174"/>
      <c r="AM48" s="82"/>
      <c r="AN48" s="174">
        <v>2</v>
      </c>
      <c r="AO48" s="82">
        <v>17419.317299999999</v>
      </c>
      <c r="AP48" s="174">
        <v>1</v>
      </c>
      <c r="AQ48" s="82">
        <v>14397</v>
      </c>
      <c r="AR48" s="174">
        <v>7</v>
      </c>
      <c r="AS48" s="82">
        <v>20671.120299999999</v>
      </c>
      <c r="AT48" s="174"/>
      <c r="AU48" s="82"/>
      <c r="AV48" s="174">
        <v>6</v>
      </c>
      <c r="AW48" s="82">
        <v>28502.274000000001</v>
      </c>
      <c r="AX48" s="174">
        <v>15</v>
      </c>
      <c r="AY48" s="82">
        <v>152951</v>
      </c>
      <c r="AZ48" s="174"/>
      <c r="BA48" s="82"/>
      <c r="BB48" s="174"/>
      <c r="BC48" s="82"/>
      <c r="BD48" s="174"/>
      <c r="BE48" s="82"/>
      <c r="BF48" s="174"/>
      <c r="BG48" s="82"/>
      <c r="BH48" s="174"/>
      <c r="BI48" s="82"/>
      <c r="BJ48" s="174"/>
      <c r="BK48" s="82"/>
      <c r="BL48" s="174"/>
      <c r="BM48" s="82"/>
      <c r="BN48" s="174"/>
      <c r="BO48" s="82"/>
      <c r="BP48" s="174">
        <f t="shared" si="2"/>
        <v>955</v>
      </c>
      <c r="BQ48" s="82">
        <f t="shared" si="2"/>
        <v>6284751.8093999997</v>
      </c>
    </row>
    <row r="49" spans="1:69">
      <c r="A49" s="51">
        <f t="shared" si="1"/>
        <v>40</v>
      </c>
      <c r="B49" s="50" t="s">
        <v>974</v>
      </c>
      <c r="C49" s="51" t="s">
        <v>1252</v>
      </c>
      <c r="D49" s="175">
        <v>7</v>
      </c>
      <c r="E49" s="81">
        <v>62182642.459204897</v>
      </c>
      <c r="F49" s="175"/>
      <c r="G49" s="81"/>
      <c r="H49" s="175"/>
      <c r="I49" s="81"/>
      <c r="J49" s="175"/>
      <c r="K49" s="81"/>
      <c r="L49" s="175"/>
      <c r="M49" s="81"/>
      <c r="N49" s="175"/>
      <c r="O49" s="81"/>
      <c r="P49" s="175"/>
      <c r="Q49" s="81"/>
      <c r="R49" s="175"/>
      <c r="S49" s="81"/>
      <c r="T49" s="175">
        <v>43</v>
      </c>
      <c r="U49" s="81">
        <v>381979089.392259</v>
      </c>
      <c r="V49" s="175">
        <v>3</v>
      </c>
      <c r="W49" s="81">
        <v>78632754.413964897</v>
      </c>
      <c r="X49" s="175"/>
      <c r="Y49" s="81"/>
      <c r="Z49" s="175"/>
      <c r="AA49" s="81"/>
      <c r="AB49" s="175">
        <v>429</v>
      </c>
      <c r="AC49" s="81">
        <v>3810907659.2855601</v>
      </c>
      <c r="AD49" s="175"/>
      <c r="AE49" s="81"/>
      <c r="AF49" s="175">
        <v>471</v>
      </c>
      <c r="AG49" s="81">
        <v>4184003514.0407901</v>
      </c>
      <c r="AH49" s="175">
        <v>46</v>
      </c>
      <c r="AI49" s="81">
        <v>1205702234.34746</v>
      </c>
      <c r="AJ49" s="175"/>
      <c r="AK49" s="81"/>
      <c r="AL49" s="175"/>
      <c r="AM49" s="81"/>
      <c r="AN49" s="175"/>
      <c r="AO49" s="81"/>
      <c r="AP49" s="175"/>
      <c r="AQ49" s="81"/>
      <c r="AR49" s="175"/>
      <c r="AS49" s="81"/>
      <c r="AT49" s="175"/>
      <c r="AU49" s="81"/>
      <c r="AV49" s="175">
        <v>25</v>
      </c>
      <c r="AW49" s="81">
        <v>222080865.92573199</v>
      </c>
      <c r="AX49" s="175">
        <v>5</v>
      </c>
      <c r="AY49" s="81">
        <v>131054590.689942</v>
      </c>
      <c r="AZ49" s="175"/>
      <c r="BA49" s="81"/>
      <c r="BB49" s="175"/>
      <c r="BC49" s="81"/>
      <c r="BD49" s="175"/>
      <c r="BE49" s="81"/>
      <c r="BF49" s="175"/>
      <c r="BG49" s="81"/>
      <c r="BH49" s="175"/>
      <c r="BI49" s="81"/>
      <c r="BJ49" s="175"/>
      <c r="BK49" s="81"/>
      <c r="BL49" s="175"/>
      <c r="BM49" s="81"/>
      <c r="BN49" s="175"/>
      <c r="BO49" s="81"/>
      <c r="BP49" s="175">
        <f t="shared" si="2"/>
        <v>1029</v>
      </c>
      <c r="BQ49" s="81">
        <f t="shared" si="2"/>
        <v>10076543350.554914</v>
      </c>
    </row>
    <row r="50" spans="1:69">
      <c r="A50" s="53">
        <f t="shared" si="1"/>
        <v>41</v>
      </c>
      <c r="B50" s="222" t="s">
        <v>141</v>
      </c>
      <c r="C50" s="53" t="s">
        <v>689</v>
      </c>
      <c r="D50" s="174"/>
      <c r="E50" s="82"/>
      <c r="F50" s="174">
        <v>1</v>
      </c>
      <c r="G50" s="82">
        <v>38316408</v>
      </c>
      <c r="H50" s="174">
        <v>9</v>
      </c>
      <c r="I50" s="82">
        <v>414301283</v>
      </c>
      <c r="J50" s="174"/>
      <c r="K50" s="82"/>
      <c r="L50" s="174">
        <v>5</v>
      </c>
      <c r="M50" s="82">
        <v>113407803</v>
      </c>
      <c r="N50" s="174"/>
      <c r="O50" s="82"/>
      <c r="P50" s="174">
        <v>25</v>
      </c>
      <c r="Q50" s="82">
        <v>202706956</v>
      </c>
      <c r="R50" s="174"/>
      <c r="S50" s="82"/>
      <c r="T50" s="174"/>
      <c r="U50" s="82"/>
      <c r="V50" s="174">
        <v>3</v>
      </c>
      <c r="W50" s="82">
        <v>113744904</v>
      </c>
      <c r="X50" s="174">
        <v>24</v>
      </c>
      <c r="Y50" s="82">
        <v>388621527</v>
      </c>
      <c r="Z50" s="174">
        <v>13</v>
      </c>
      <c r="AA50" s="82">
        <v>478242024</v>
      </c>
      <c r="AB50" s="174">
        <v>287</v>
      </c>
      <c r="AC50" s="82">
        <v>3105940333</v>
      </c>
      <c r="AD50" s="174"/>
      <c r="AE50" s="82"/>
      <c r="AF50" s="174">
        <v>409</v>
      </c>
      <c r="AG50" s="82">
        <v>3366379122</v>
      </c>
      <c r="AH50" s="174">
        <v>17</v>
      </c>
      <c r="AI50" s="82">
        <v>614647176</v>
      </c>
      <c r="AJ50" s="174"/>
      <c r="AK50" s="82"/>
      <c r="AL50" s="174"/>
      <c r="AM50" s="82"/>
      <c r="AN50" s="174"/>
      <c r="AO50" s="82"/>
      <c r="AP50" s="174"/>
      <c r="AQ50" s="82"/>
      <c r="AR50" s="174"/>
      <c r="AS50" s="82"/>
      <c r="AT50" s="174"/>
      <c r="AU50" s="82"/>
      <c r="AV50" s="174">
        <v>1</v>
      </c>
      <c r="AW50" s="82">
        <v>8643202</v>
      </c>
      <c r="AX50" s="174"/>
      <c r="AY50" s="82"/>
      <c r="AZ50" s="174"/>
      <c r="BA50" s="82"/>
      <c r="BB50" s="174"/>
      <c r="BC50" s="82"/>
      <c r="BD50" s="174"/>
      <c r="BE50" s="82"/>
      <c r="BF50" s="174">
        <v>1</v>
      </c>
      <c r="BG50" s="82">
        <v>37112088</v>
      </c>
      <c r="BH50" s="174"/>
      <c r="BI50" s="82"/>
      <c r="BJ50" s="174"/>
      <c r="BK50" s="82"/>
      <c r="BL50" s="174">
        <v>3</v>
      </c>
      <c r="BM50" s="82">
        <v>6348054</v>
      </c>
      <c r="BN50" s="174"/>
      <c r="BO50" s="82"/>
      <c r="BP50" s="174">
        <f t="shared" si="2"/>
        <v>798</v>
      </c>
      <c r="BQ50" s="82">
        <f t="shared" si="2"/>
        <v>8888410880</v>
      </c>
    </row>
    <row r="51" spans="1:69">
      <c r="A51" s="51">
        <f t="shared" si="1"/>
        <v>42</v>
      </c>
      <c r="B51" s="50" t="s">
        <v>692</v>
      </c>
      <c r="C51" s="51" t="s">
        <v>693</v>
      </c>
      <c r="D51" s="175">
        <v>2</v>
      </c>
      <c r="E51" s="81">
        <v>15897714.6</v>
      </c>
      <c r="F51" s="175"/>
      <c r="G51" s="81"/>
      <c r="H51" s="175">
        <v>38</v>
      </c>
      <c r="I51" s="81">
        <v>126156362.8</v>
      </c>
      <c r="J51" s="175"/>
      <c r="K51" s="81"/>
      <c r="L51" s="175">
        <v>54</v>
      </c>
      <c r="M51" s="81">
        <v>171335716.80000001</v>
      </c>
      <c r="N51" s="175"/>
      <c r="O51" s="81"/>
      <c r="P51" s="175">
        <v>780</v>
      </c>
      <c r="Q51" s="81">
        <v>23630609668.5</v>
      </c>
      <c r="R51" s="175"/>
      <c r="S51" s="81"/>
      <c r="T51" s="175"/>
      <c r="U51" s="81"/>
      <c r="V51" s="175"/>
      <c r="W51" s="81"/>
      <c r="X51" s="175"/>
      <c r="Y51" s="81"/>
      <c r="Z51" s="175"/>
      <c r="AA51" s="81"/>
      <c r="AB51" s="175"/>
      <c r="AC51" s="81"/>
      <c r="AD51" s="175"/>
      <c r="AE51" s="81"/>
      <c r="AF51" s="175">
        <v>40</v>
      </c>
      <c r="AG51" s="81">
        <v>23192000</v>
      </c>
      <c r="AH51" s="175"/>
      <c r="AI51" s="81"/>
      <c r="AJ51" s="175"/>
      <c r="AK51" s="81"/>
      <c r="AL51" s="175"/>
      <c r="AM51" s="81"/>
      <c r="AN51" s="175">
        <v>1</v>
      </c>
      <c r="AO51" s="81">
        <v>3879129.6</v>
      </c>
      <c r="AP51" s="175"/>
      <c r="AQ51" s="81"/>
      <c r="AR51" s="175">
        <v>3</v>
      </c>
      <c r="AS51" s="81">
        <v>3349437.7</v>
      </c>
      <c r="AT51" s="175"/>
      <c r="AU51" s="81"/>
      <c r="AV51" s="175"/>
      <c r="AW51" s="81"/>
      <c r="AX51" s="175"/>
      <c r="AY51" s="81"/>
      <c r="AZ51" s="175"/>
      <c r="BA51" s="81"/>
      <c r="BB51" s="175"/>
      <c r="BC51" s="81"/>
      <c r="BD51" s="175"/>
      <c r="BE51" s="81"/>
      <c r="BF51" s="175"/>
      <c r="BG51" s="81"/>
      <c r="BH51" s="175"/>
      <c r="BI51" s="81"/>
      <c r="BJ51" s="175"/>
      <c r="BK51" s="81"/>
      <c r="BL51" s="175"/>
      <c r="BM51" s="81"/>
      <c r="BN51" s="175"/>
      <c r="BO51" s="81"/>
      <c r="BP51" s="175">
        <f>BN51+BL51+BJ51+BH51+BF51+BD51+BB51+AZ51+AX51+AV51+AT51+AR51+AP51+AN51+AL51+AJ51+AH51+AF51+AD51+AB51+Z51+X51+V51+T51+R51+P51+N51+L51+J51+H51+F51+D51</f>
        <v>918</v>
      </c>
      <c r="BQ51" s="81">
        <f t="shared" si="2"/>
        <v>23974420029.999996</v>
      </c>
    </row>
    <row r="52" spans="1:69">
      <c r="A52" s="53">
        <f t="shared" si="1"/>
        <v>43</v>
      </c>
      <c r="B52" s="222" t="s">
        <v>140</v>
      </c>
      <c r="C52" s="53" t="s">
        <v>698</v>
      </c>
      <c r="D52" s="174">
        <v>1</v>
      </c>
      <c r="E52" s="82">
        <v>154560000</v>
      </c>
      <c r="F52" s="174">
        <v>10</v>
      </c>
      <c r="G52" s="82">
        <v>265466459.05159998</v>
      </c>
      <c r="H52" s="174"/>
      <c r="I52" s="82"/>
      <c r="J52" s="174"/>
      <c r="K52" s="82"/>
      <c r="L52" s="174">
        <v>926</v>
      </c>
      <c r="M52" s="82">
        <v>426577156.94000006</v>
      </c>
      <c r="N52" s="174">
        <v>240</v>
      </c>
      <c r="O52" s="82">
        <v>6243771116.8936319</v>
      </c>
      <c r="P52" s="174"/>
      <c r="Q52" s="82"/>
      <c r="R52" s="174"/>
      <c r="S52" s="82"/>
      <c r="T52" s="174"/>
      <c r="U52" s="82"/>
      <c r="V52" s="174"/>
      <c r="W52" s="82"/>
      <c r="X52" s="174"/>
      <c r="Y52" s="82"/>
      <c r="Z52" s="174"/>
      <c r="AA52" s="82"/>
      <c r="AB52" s="174"/>
      <c r="AC52" s="82"/>
      <c r="AD52" s="174"/>
      <c r="AE52" s="82"/>
      <c r="AF52" s="174"/>
      <c r="AG52" s="82"/>
      <c r="AH52" s="174"/>
      <c r="AI52" s="82"/>
      <c r="AJ52" s="174"/>
      <c r="AK52" s="82"/>
      <c r="AL52" s="174">
        <v>5</v>
      </c>
      <c r="AM52" s="82">
        <v>127423900.344768</v>
      </c>
      <c r="AN52" s="174"/>
      <c r="AO52" s="82"/>
      <c r="AP52" s="174"/>
      <c r="AQ52" s="82"/>
      <c r="AR52" s="174"/>
      <c r="AS52" s="82"/>
      <c r="AT52" s="174"/>
      <c r="AU52" s="82"/>
      <c r="AV52" s="174"/>
      <c r="AW52" s="82"/>
      <c r="AX52" s="174"/>
      <c r="AY52" s="82"/>
      <c r="AZ52" s="174"/>
      <c r="BA52" s="82"/>
      <c r="BB52" s="174"/>
      <c r="BC52" s="82"/>
      <c r="BD52" s="174"/>
      <c r="BE52" s="82"/>
      <c r="BF52" s="174"/>
      <c r="BG52" s="82"/>
      <c r="BH52" s="174"/>
      <c r="BI52" s="82"/>
      <c r="BJ52" s="174"/>
      <c r="BK52" s="82"/>
      <c r="BL52" s="174"/>
      <c r="BM52" s="82"/>
      <c r="BN52" s="174"/>
      <c r="BO52" s="82"/>
      <c r="BP52" s="174">
        <f t="shared" si="2"/>
        <v>1182</v>
      </c>
      <c r="BQ52" s="82">
        <f t="shared" si="2"/>
        <v>7217798633.2299995</v>
      </c>
    </row>
    <row r="53" spans="1:69">
      <c r="A53" s="51">
        <f t="shared" si="1"/>
        <v>44</v>
      </c>
      <c r="B53" s="50" t="s">
        <v>709</v>
      </c>
      <c r="C53" s="51" t="s">
        <v>710</v>
      </c>
      <c r="D53" s="175"/>
      <c r="E53" s="81"/>
      <c r="F53" s="175"/>
      <c r="G53" s="81"/>
      <c r="H53" s="175"/>
      <c r="I53" s="81"/>
      <c r="J53" s="175"/>
      <c r="K53" s="81"/>
      <c r="L53" s="175">
        <v>580</v>
      </c>
      <c r="M53" s="81">
        <v>5924352000</v>
      </c>
      <c r="N53" s="175"/>
      <c r="O53" s="81"/>
      <c r="P53" s="175"/>
      <c r="Q53" s="81"/>
      <c r="R53" s="175"/>
      <c r="S53" s="81"/>
      <c r="T53" s="175"/>
      <c r="U53" s="81"/>
      <c r="V53" s="175"/>
      <c r="W53" s="81"/>
      <c r="X53" s="175"/>
      <c r="Y53" s="81"/>
      <c r="Z53" s="175"/>
      <c r="AA53" s="81"/>
      <c r="AB53" s="175"/>
      <c r="AC53" s="81"/>
      <c r="AD53" s="175"/>
      <c r="AE53" s="81"/>
      <c r="AF53" s="175"/>
      <c r="AG53" s="81"/>
      <c r="AH53" s="175"/>
      <c r="AI53" s="81"/>
      <c r="AJ53" s="175"/>
      <c r="AK53" s="81"/>
      <c r="AL53" s="175"/>
      <c r="AM53" s="81"/>
      <c r="AN53" s="175"/>
      <c r="AO53" s="81"/>
      <c r="AP53" s="175"/>
      <c r="AQ53" s="81"/>
      <c r="AR53" s="175">
        <v>45</v>
      </c>
      <c r="AS53" s="81">
        <v>459648000</v>
      </c>
      <c r="AT53" s="175"/>
      <c r="AU53" s="81"/>
      <c r="AV53" s="175"/>
      <c r="AW53" s="81"/>
      <c r="AX53" s="175"/>
      <c r="AY53" s="81"/>
      <c r="AZ53" s="175"/>
      <c r="BA53" s="81"/>
      <c r="BB53" s="175"/>
      <c r="BC53" s="81"/>
      <c r="BD53" s="175"/>
      <c r="BE53" s="81"/>
      <c r="BF53" s="175"/>
      <c r="BG53" s="81"/>
      <c r="BH53" s="175"/>
      <c r="BI53" s="81"/>
      <c r="BJ53" s="175"/>
      <c r="BK53" s="81"/>
      <c r="BL53" s="175"/>
      <c r="BM53" s="81"/>
      <c r="BN53" s="175"/>
      <c r="BO53" s="81"/>
      <c r="BP53" s="175">
        <f t="shared" si="2"/>
        <v>625</v>
      </c>
      <c r="BQ53" s="81">
        <f t="shared" si="2"/>
        <v>6384000000</v>
      </c>
    </row>
    <row r="54" spans="1:69">
      <c r="A54" s="53">
        <f t="shared" si="1"/>
        <v>45</v>
      </c>
      <c r="B54" s="222" t="s">
        <v>714</v>
      </c>
      <c r="C54" s="53" t="s">
        <v>715</v>
      </c>
      <c r="D54" s="174"/>
      <c r="E54" s="82"/>
      <c r="F54" s="174"/>
      <c r="G54" s="82"/>
      <c r="H54" s="174"/>
      <c r="I54" s="82"/>
      <c r="J54" s="174"/>
      <c r="K54" s="82"/>
      <c r="L54" s="174"/>
      <c r="M54" s="82"/>
      <c r="N54" s="174"/>
      <c r="O54" s="82"/>
      <c r="P54" s="174"/>
      <c r="Q54" s="82"/>
      <c r="R54" s="174"/>
      <c r="S54" s="82"/>
      <c r="T54" s="174">
        <v>3</v>
      </c>
      <c r="U54" s="82">
        <v>62100000</v>
      </c>
      <c r="V54" s="174"/>
      <c r="W54" s="82"/>
      <c r="X54" s="174">
        <v>4</v>
      </c>
      <c r="Y54" s="82">
        <v>28641600</v>
      </c>
      <c r="Z54" s="174"/>
      <c r="AA54" s="82"/>
      <c r="AB54" s="174">
        <v>8</v>
      </c>
      <c r="AC54" s="82">
        <v>34994700</v>
      </c>
      <c r="AD54" s="174"/>
      <c r="AE54" s="82"/>
      <c r="AF54" s="174">
        <v>24</v>
      </c>
      <c r="AG54" s="82">
        <v>37729800</v>
      </c>
      <c r="AH54" s="174"/>
      <c r="AI54" s="82"/>
      <c r="AJ54" s="174"/>
      <c r="AK54" s="82"/>
      <c r="AL54" s="174"/>
      <c r="AM54" s="82"/>
      <c r="AN54" s="174"/>
      <c r="AO54" s="82"/>
      <c r="AP54" s="174"/>
      <c r="AQ54" s="82"/>
      <c r="AR54" s="174"/>
      <c r="AS54" s="82"/>
      <c r="AT54" s="174"/>
      <c r="AU54" s="82"/>
      <c r="AV54" s="174"/>
      <c r="AW54" s="82"/>
      <c r="AX54" s="174"/>
      <c r="AY54" s="82"/>
      <c r="AZ54" s="174"/>
      <c r="BA54" s="82"/>
      <c r="BB54" s="174"/>
      <c r="BC54" s="82"/>
      <c r="BD54" s="174">
        <v>3</v>
      </c>
      <c r="BE54" s="82">
        <v>17242200</v>
      </c>
      <c r="BF54" s="174"/>
      <c r="BG54" s="82"/>
      <c r="BH54" s="174">
        <v>2</v>
      </c>
      <c r="BI54" s="82">
        <v>6879600</v>
      </c>
      <c r="BJ54" s="174"/>
      <c r="BK54" s="82"/>
      <c r="BL54" s="174">
        <v>1</v>
      </c>
      <c r="BM54" s="82">
        <v>1215000</v>
      </c>
      <c r="BN54" s="174"/>
      <c r="BO54" s="82"/>
      <c r="BP54" s="174">
        <f t="shared" si="2"/>
        <v>45</v>
      </c>
      <c r="BQ54" s="82">
        <f t="shared" si="2"/>
        <v>188802900</v>
      </c>
    </row>
    <row r="55" spans="1:69">
      <c r="A55" s="51">
        <f t="shared" si="1"/>
        <v>46</v>
      </c>
      <c r="B55" s="50" t="s">
        <v>54</v>
      </c>
      <c r="C55" s="51" t="s">
        <v>728</v>
      </c>
      <c r="D55" s="175">
        <v>5</v>
      </c>
      <c r="E55" s="81">
        <v>324895</v>
      </c>
      <c r="F55" s="175"/>
      <c r="G55" s="81"/>
      <c r="H55" s="175">
        <v>6</v>
      </c>
      <c r="I55" s="81">
        <v>124695</v>
      </c>
      <c r="J55" s="175"/>
      <c r="K55" s="81"/>
      <c r="L55" s="175">
        <v>49</v>
      </c>
      <c r="M55" s="81">
        <v>288908</v>
      </c>
      <c r="N55" s="175"/>
      <c r="O55" s="81"/>
      <c r="P55" s="175">
        <v>196</v>
      </c>
      <c r="Q55" s="81">
        <v>506696</v>
      </c>
      <c r="R55" s="175"/>
      <c r="S55" s="81"/>
      <c r="T55" s="175"/>
      <c r="U55" s="81"/>
      <c r="V55" s="175"/>
      <c r="W55" s="81"/>
      <c r="X55" s="175"/>
      <c r="Y55" s="81"/>
      <c r="Z55" s="175"/>
      <c r="AA55" s="81"/>
      <c r="AB55" s="175"/>
      <c r="AC55" s="81"/>
      <c r="AD55" s="175"/>
      <c r="AE55" s="81"/>
      <c r="AF55" s="175"/>
      <c r="AG55" s="81"/>
      <c r="AH55" s="175"/>
      <c r="AI55" s="81"/>
      <c r="AJ55" s="175">
        <v>1</v>
      </c>
      <c r="AK55" s="81"/>
      <c r="AL55" s="175"/>
      <c r="AM55" s="81"/>
      <c r="AN55" s="175">
        <v>3</v>
      </c>
      <c r="AO55" s="81"/>
      <c r="AP55" s="175"/>
      <c r="AQ55" s="81"/>
      <c r="AR55" s="175">
        <v>15</v>
      </c>
      <c r="AS55" s="81"/>
      <c r="AT55" s="175"/>
      <c r="AU55" s="81"/>
      <c r="AV55" s="175">
        <v>39</v>
      </c>
      <c r="AW55" s="81"/>
      <c r="AX55" s="175"/>
      <c r="AY55" s="81"/>
      <c r="AZ55" s="175"/>
      <c r="BA55" s="81"/>
      <c r="BB55" s="175"/>
      <c r="BC55" s="81"/>
      <c r="BD55" s="175"/>
      <c r="BE55" s="81"/>
      <c r="BF55" s="175"/>
      <c r="BG55" s="81"/>
      <c r="BH55" s="175"/>
      <c r="BI55" s="81"/>
      <c r="BJ55" s="175"/>
      <c r="BK55" s="81"/>
      <c r="BL55" s="175"/>
      <c r="BM55" s="81"/>
      <c r="BN55" s="175"/>
      <c r="BO55" s="81"/>
      <c r="BP55" s="175">
        <f t="shared" si="2"/>
        <v>314</v>
      </c>
      <c r="BQ55" s="81">
        <f t="shared" si="2"/>
        <v>1245194</v>
      </c>
    </row>
    <row r="56" spans="1:69">
      <c r="A56" s="53">
        <f t="shared" si="1"/>
        <v>47</v>
      </c>
      <c r="B56" s="222" t="s">
        <v>46</v>
      </c>
      <c r="C56" s="53" t="s">
        <v>729</v>
      </c>
      <c r="D56" s="174">
        <v>22</v>
      </c>
      <c r="E56" s="82">
        <v>67478.84</v>
      </c>
      <c r="F56" s="174"/>
      <c r="G56" s="82"/>
      <c r="H56" s="174">
        <v>379</v>
      </c>
      <c r="I56" s="82">
        <v>1162476.3799999999</v>
      </c>
      <c r="J56" s="174"/>
      <c r="K56" s="82"/>
      <c r="L56" s="174">
        <v>409</v>
      </c>
      <c r="M56" s="82">
        <v>1254492.98</v>
      </c>
      <c r="N56" s="174"/>
      <c r="O56" s="82"/>
      <c r="P56" s="174">
        <v>1203</v>
      </c>
      <c r="Q56" s="82">
        <v>3689865.6599999997</v>
      </c>
      <c r="R56" s="174"/>
      <c r="S56" s="82"/>
      <c r="T56" s="174">
        <v>3</v>
      </c>
      <c r="U56" s="82"/>
      <c r="V56" s="174"/>
      <c r="W56" s="82"/>
      <c r="X56" s="174">
        <v>1</v>
      </c>
      <c r="Y56" s="82"/>
      <c r="Z56" s="174"/>
      <c r="AA56" s="82"/>
      <c r="AB56" s="174">
        <v>12</v>
      </c>
      <c r="AC56" s="82"/>
      <c r="AD56" s="174"/>
      <c r="AE56" s="82"/>
      <c r="AF56" s="174"/>
      <c r="AG56" s="82"/>
      <c r="AH56" s="174"/>
      <c r="AI56" s="82"/>
      <c r="AJ56" s="174">
        <v>6</v>
      </c>
      <c r="AK56" s="82">
        <v>18403.32</v>
      </c>
      <c r="AL56" s="174"/>
      <c r="AM56" s="82"/>
      <c r="AN56" s="174">
        <v>111</v>
      </c>
      <c r="AO56" s="82">
        <v>340461.42</v>
      </c>
      <c r="AP56" s="174"/>
      <c r="AQ56" s="82"/>
      <c r="AR56" s="174">
        <v>176</v>
      </c>
      <c r="AS56" s="82">
        <v>539830.72</v>
      </c>
      <c r="AT56" s="174"/>
      <c r="AU56" s="82"/>
      <c r="AV56" s="174">
        <v>113</v>
      </c>
      <c r="AW56" s="82">
        <v>346595.86</v>
      </c>
      <c r="AX56" s="174"/>
      <c r="AY56" s="82"/>
      <c r="AZ56" s="174"/>
      <c r="BA56" s="82"/>
      <c r="BB56" s="174"/>
      <c r="BC56" s="82"/>
      <c r="BD56" s="174"/>
      <c r="BE56" s="82"/>
      <c r="BF56" s="174"/>
      <c r="BG56" s="82"/>
      <c r="BH56" s="174">
        <v>4</v>
      </c>
      <c r="BI56" s="82"/>
      <c r="BJ56" s="174"/>
      <c r="BK56" s="82"/>
      <c r="BL56" s="174"/>
      <c r="BM56" s="82"/>
      <c r="BN56" s="174"/>
      <c r="BO56" s="82"/>
      <c r="BP56" s="174">
        <f t="shared" ref="BP56:BQ58" si="3">BN56+BL56+BJ56+BH56+BF56+BD56+BB56+AZ56+AX56+AV56+AT56+AR56+AP56+AN56+AL56+AJ56+AH56+AF56+AD56+AB56+Z56+X56+V56+T56+R56+P56+N56+L56+J56+H56+F56+D56</f>
        <v>2439</v>
      </c>
      <c r="BQ56" s="82">
        <f t="shared" si="3"/>
        <v>7419605.1799999988</v>
      </c>
    </row>
    <row r="57" spans="1:69">
      <c r="A57" s="51">
        <f t="shared" si="1"/>
        <v>48</v>
      </c>
      <c r="B57" s="177" t="s">
        <v>64</v>
      </c>
      <c r="C57" s="51" t="s">
        <v>733</v>
      </c>
      <c r="D57" s="175">
        <v>14</v>
      </c>
      <c r="E57" s="81"/>
      <c r="F57" s="175"/>
      <c r="G57" s="81"/>
      <c r="H57" s="175">
        <v>35</v>
      </c>
      <c r="I57" s="81"/>
      <c r="J57" s="175"/>
      <c r="K57" s="81"/>
      <c r="L57" s="175">
        <v>60</v>
      </c>
      <c r="M57" s="81"/>
      <c r="N57" s="175"/>
      <c r="O57" s="81"/>
      <c r="P57" s="175">
        <v>195</v>
      </c>
      <c r="Q57" s="81"/>
      <c r="R57" s="175"/>
      <c r="S57" s="81"/>
      <c r="T57" s="175"/>
      <c r="U57" s="81"/>
      <c r="V57" s="175"/>
      <c r="W57" s="81"/>
      <c r="X57" s="175">
        <v>4</v>
      </c>
      <c r="Y57" s="81"/>
      <c r="Z57" s="175"/>
      <c r="AA57" s="81"/>
      <c r="AB57" s="175">
        <v>1</v>
      </c>
      <c r="AC57" s="81"/>
      <c r="AD57" s="175"/>
      <c r="AE57" s="81"/>
      <c r="AF57" s="175">
        <v>9</v>
      </c>
      <c r="AG57" s="81"/>
      <c r="AH57" s="175"/>
      <c r="AI57" s="81"/>
      <c r="AJ57" s="175">
        <v>3</v>
      </c>
      <c r="AK57" s="81"/>
      <c r="AL57" s="175"/>
      <c r="AM57" s="81"/>
      <c r="AN57" s="175">
        <v>10</v>
      </c>
      <c r="AO57" s="81"/>
      <c r="AP57" s="175"/>
      <c r="AQ57" s="81"/>
      <c r="AR57" s="175">
        <v>18</v>
      </c>
      <c r="AS57" s="81"/>
      <c r="AT57" s="175"/>
      <c r="AU57" s="81"/>
      <c r="AV57" s="175">
        <v>18</v>
      </c>
      <c r="AW57" s="81"/>
      <c r="AX57" s="175"/>
      <c r="AY57" s="81"/>
      <c r="AZ57" s="175"/>
      <c r="BA57" s="81"/>
      <c r="BB57" s="175"/>
      <c r="BC57" s="81"/>
      <c r="BD57" s="175"/>
      <c r="BE57" s="81"/>
      <c r="BF57" s="175"/>
      <c r="BG57" s="81"/>
      <c r="BH57" s="175">
        <v>1</v>
      </c>
      <c r="BI57" s="81"/>
      <c r="BJ57" s="175"/>
      <c r="BK57" s="81"/>
      <c r="BL57" s="175">
        <v>18</v>
      </c>
      <c r="BM57" s="81"/>
      <c r="BN57" s="175"/>
      <c r="BO57" s="81"/>
      <c r="BP57" s="175">
        <f t="shared" si="3"/>
        <v>386</v>
      </c>
      <c r="BQ57" s="81">
        <f t="shared" si="3"/>
        <v>0</v>
      </c>
    </row>
    <row r="58" spans="1:69">
      <c r="A58" s="53">
        <v>49</v>
      </c>
      <c r="B58" s="231" t="s">
        <v>1858</v>
      </c>
      <c r="C58" s="53" t="s">
        <v>790</v>
      </c>
      <c r="D58" s="174"/>
      <c r="E58" s="82"/>
      <c r="F58" s="174"/>
      <c r="G58" s="82"/>
      <c r="H58" s="174"/>
      <c r="I58" s="82"/>
      <c r="J58" s="174"/>
      <c r="K58" s="82"/>
      <c r="L58" s="174"/>
      <c r="M58" s="82"/>
      <c r="N58" s="174"/>
      <c r="O58" s="82"/>
      <c r="P58" s="174"/>
      <c r="Q58" s="82"/>
      <c r="R58" s="174"/>
      <c r="S58" s="82"/>
      <c r="T58" s="174">
        <v>14</v>
      </c>
      <c r="U58" s="82"/>
      <c r="V58" s="174"/>
      <c r="W58" s="82"/>
      <c r="X58" s="174">
        <v>313</v>
      </c>
      <c r="Y58" s="82"/>
      <c r="Z58" s="174"/>
      <c r="AA58" s="82"/>
      <c r="AB58" s="174">
        <v>353</v>
      </c>
      <c r="AC58" s="82"/>
      <c r="AD58" s="174"/>
      <c r="AE58" s="82"/>
      <c r="AF58" s="174">
        <v>99</v>
      </c>
      <c r="AG58" s="82"/>
      <c r="AH58" s="174"/>
      <c r="AI58" s="82"/>
      <c r="AJ58" s="174"/>
      <c r="AK58" s="82"/>
      <c r="AL58" s="174"/>
      <c r="AM58" s="82"/>
      <c r="AN58" s="174"/>
      <c r="AO58" s="82"/>
      <c r="AP58" s="174"/>
      <c r="AQ58" s="82"/>
      <c r="AR58" s="174"/>
      <c r="AS58" s="82"/>
      <c r="AT58" s="174"/>
      <c r="AU58" s="82"/>
      <c r="AV58" s="174"/>
      <c r="AW58" s="82"/>
      <c r="AX58" s="174"/>
      <c r="AY58" s="82"/>
      <c r="AZ58" s="174">
        <v>6</v>
      </c>
      <c r="BA58" s="82"/>
      <c r="BB58" s="174"/>
      <c r="BC58" s="82"/>
      <c r="BD58" s="174">
        <v>163</v>
      </c>
      <c r="BE58" s="82"/>
      <c r="BF58" s="174"/>
      <c r="BG58" s="82"/>
      <c r="BH58" s="174">
        <v>97</v>
      </c>
      <c r="BI58" s="82"/>
      <c r="BJ58" s="174"/>
      <c r="BK58" s="82"/>
      <c r="BL58" s="174">
        <v>53</v>
      </c>
      <c r="BM58" s="82"/>
      <c r="BN58" s="174"/>
      <c r="BO58" s="82"/>
      <c r="BP58" s="174">
        <f t="shared" si="3"/>
        <v>1098</v>
      </c>
      <c r="BQ58" s="82">
        <f t="shared" si="3"/>
        <v>0</v>
      </c>
    </row>
    <row r="59" spans="1:69">
      <c r="A59" s="1009" t="s">
        <v>516</v>
      </c>
      <c r="B59" s="1009"/>
      <c r="C59" s="1009"/>
      <c r="D59" s="460">
        <f>SUM(D10:D58)</f>
        <v>1299</v>
      </c>
      <c r="E59" s="461">
        <f t="shared" ref="E59:BO59" si="4">SUM(E10:E58)</f>
        <v>49632200171.618866</v>
      </c>
      <c r="F59" s="461">
        <f t="shared" si="4"/>
        <v>337</v>
      </c>
      <c r="G59" s="461">
        <f t="shared" si="4"/>
        <v>55677267972.743431</v>
      </c>
      <c r="H59" s="461">
        <f t="shared" si="4"/>
        <v>4307</v>
      </c>
      <c r="I59" s="461">
        <f t="shared" si="4"/>
        <v>88783560436.532227</v>
      </c>
      <c r="J59" s="461">
        <f t="shared" si="4"/>
        <v>1060</v>
      </c>
      <c r="K59" s="461">
        <f t="shared" si="4"/>
        <v>78457043524.797882</v>
      </c>
      <c r="L59" s="461">
        <f t="shared" si="4"/>
        <v>22617</v>
      </c>
      <c r="M59" s="461">
        <f t="shared" si="4"/>
        <v>343048516122.4342</v>
      </c>
      <c r="N59" s="461">
        <f t="shared" si="4"/>
        <v>2082</v>
      </c>
      <c r="O59" s="461">
        <f t="shared" si="4"/>
        <v>138192567965.48322</v>
      </c>
      <c r="P59" s="461">
        <f t="shared" si="4"/>
        <v>27347</v>
      </c>
      <c r="Q59" s="461">
        <f t="shared" si="4"/>
        <v>271204289527.23087</v>
      </c>
      <c r="R59" s="461">
        <f t="shared" si="4"/>
        <v>964</v>
      </c>
      <c r="S59" s="461">
        <f t="shared" si="4"/>
        <v>34879388670.794991</v>
      </c>
      <c r="T59" s="461">
        <f t="shared" si="4"/>
        <v>212</v>
      </c>
      <c r="U59" s="461">
        <f t="shared" si="4"/>
        <v>463914753.94875902</v>
      </c>
      <c r="V59" s="461">
        <f t="shared" si="4"/>
        <v>248</v>
      </c>
      <c r="W59" s="461">
        <f t="shared" si="4"/>
        <v>364327036.01396489</v>
      </c>
      <c r="X59" s="461">
        <f t="shared" si="4"/>
        <v>3336</v>
      </c>
      <c r="Y59" s="461">
        <f t="shared" si="4"/>
        <v>420792455.84649998</v>
      </c>
      <c r="Z59" s="461">
        <f t="shared" si="4"/>
        <v>540</v>
      </c>
      <c r="AA59" s="461">
        <f t="shared" si="4"/>
        <v>1075853508</v>
      </c>
      <c r="AB59" s="461">
        <f t="shared" si="4"/>
        <v>4237</v>
      </c>
      <c r="AC59" s="461">
        <f t="shared" si="4"/>
        <v>8973027746.9555607</v>
      </c>
      <c r="AD59" s="461">
        <f t="shared" si="4"/>
        <v>295</v>
      </c>
      <c r="AE59" s="461">
        <f t="shared" si="4"/>
        <v>571089954</v>
      </c>
      <c r="AF59" s="461">
        <f t="shared" si="4"/>
        <v>24819</v>
      </c>
      <c r="AG59" s="461">
        <f t="shared" si="4"/>
        <v>126458974012.34479</v>
      </c>
      <c r="AH59" s="461">
        <f t="shared" si="4"/>
        <v>2270</v>
      </c>
      <c r="AI59" s="461">
        <f t="shared" si="4"/>
        <v>20285317453.940212</v>
      </c>
      <c r="AJ59" s="462">
        <f t="shared" si="4"/>
        <v>103</v>
      </c>
      <c r="AK59" s="461">
        <f t="shared" si="4"/>
        <v>3456612454.3528981</v>
      </c>
      <c r="AL59" s="462">
        <f t="shared" si="4"/>
        <v>22</v>
      </c>
      <c r="AM59" s="461">
        <f t="shared" si="4"/>
        <v>1911444135.3042822</v>
      </c>
      <c r="AN59" s="462">
        <f t="shared" si="4"/>
        <v>561</v>
      </c>
      <c r="AO59" s="461">
        <f t="shared" si="4"/>
        <v>7026685053.4219866</v>
      </c>
      <c r="AP59" s="462">
        <f t="shared" si="4"/>
        <v>83</v>
      </c>
      <c r="AQ59" s="461">
        <f t="shared" si="4"/>
        <v>2954962826.8843694</v>
      </c>
      <c r="AR59" s="462">
        <f t="shared" si="4"/>
        <v>1046</v>
      </c>
      <c r="AS59" s="461">
        <f t="shared" si="4"/>
        <v>14010198070.567049</v>
      </c>
      <c r="AT59" s="462">
        <f t="shared" si="4"/>
        <v>149</v>
      </c>
      <c r="AU59" s="461">
        <f t="shared" si="4"/>
        <v>176210489376.44867</v>
      </c>
      <c r="AV59" s="462">
        <f t="shared" si="4"/>
        <v>1425</v>
      </c>
      <c r="AW59" s="461">
        <f t="shared" si="4"/>
        <v>7393649792.2605133</v>
      </c>
      <c r="AX59" s="462">
        <f t="shared" si="4"/>
        <v>125</v>
      </c>
      <c r="AY59" s="461">
        <f t="shared" si="4"/>
        <v>542413408.81824899</v>
      </c>
      <c r="AZ59" s="462">
        <f t="shared" si="4"/>
        <v>6</v>
      </c>
      <c r="BA59" s="461">
        <f t="shared" si="4"/>
        <v>0</v>
      </c>
      <c r="BB59" s="462">
        <f t="shared" si="4"/>
        <v>5</v>
      </c>
      <c r="BC59" s="461">
        <f t="shared" si="4"/>
        <v>36772851.579999998</v>
      </c>
      <c r="BD59" s="462">
        <f t="shared" si="4"/>
        <v>348</v>
      </c>
      <c r="BE59" s="461">
        <f t="shared" si="4"/>
        <v>23290525.204</v>
      </c>
      <c r="BF59" s="462">
        <f t="shared" si="4"/>
        <v>12</v>
      </c>
      <c r="BG59" s="461">
        <f t="shared" si="4"/>
        <v>201147030</v>
      </c>
      <c r="BH59" s="462">
        <f t="shared" si="4"/>
        <v>112</v>
      </c>
      <c r="BI59" s="461">
        <f t="shared" si="4"/>
        <v>50001756</v>
      </c>
      <c r="BJ59" s="462">
        <f t="shared" si="4"/>
        <v>50</v>
      </c>
      <c r="BK59" s="461">
        <f t="shared" si="4"/>
        <v>16814886</v>
      </c>
      <c r="BL59" s="462">
        <f t="shared" si="4"/>
        <v>1000</v>
      </c>
      <c r="BM59" s="461">
        <f t="shared" si="4"/>
        <v>4436764030.5792398</v>
      </c>
      <c r="BN59" s="462">
        <f t="shared" si="4"/>
        <v>47</v>
      </c>
      <c r="BO59" s="461">
        <f t="shared" si="4"/>
        <v>377010948.45386595</v>
      </c>
      <c r="BP59" s="461">
        <f>SUM(BP10:BP58)</f>
        <v>101064</v>
      </c>
      <c r="BQ59" s="461">
        <f>SUM(BQ10:BQ58)</f>
        <v>1438162975675.3262</v>
      </c>
    </row>
    <row r="60" spans="1:69">
      <c r="AA60" s="463"/>
    </row>
    <row r="61" spans="1:69">
      <c r="AA61" s="463"/>
    </row>
    <row r="62" spans="1:69">
      <c r="G62" s="455" t="s">
        <v>516</v>
      </c>
      <c r="H62" s="455">
        <v>7</v>
      </c>
      <c r="AA62" s="463"/>
      <c r="BQ62" s="463"/>
    </row>
    <row r="63" spans="1:69">
      <c r="B63" s="187" t="s">
        <v>5630</v>
      </c>
      <c r="G63" s="455" t="s">
        <v>517</v>
      </c>
      <c r="H63" s="464">
        <v>3</v>
      </c>
      <c r="I63" s="136" t="s">
        <v>5631</v>
      </c>
    </row>
    <row r="64" spans="1:69">
      <c r="G64" s="457" t="s">
        <v>518</v>
      </c>
      <c r="H64" s="457">
        <v>4</v>
      </c>
    </row>
    <row r="66" spans="1:69">
      <c r="A66" s="855" t="s">
        <v>519</v>
      </c>
      <c r="B66" s="855" t="s">
        <v>520</v>
      </c>
      <c r="C66" s="1015" t="s">
        <v>521</v>
      </c>
      <c r="D66" s="1010" t="s">
        <v>2466</v>
      </c>
      <c r="E66" s="1011"/>
      <c r="F66" s="1011"/>
      <c r="G66" s="1011"/>
      <c r="H66" s="1011"/>
      <c r="I66" s="1011"/>
      <c r="J66" s="1011"/>
      <c r="K66" s="1011"/>
      <c r="L66" s="1011"/>
      <c r="M66" s="1011"/>
      <c r="N66" s="1011"/>
      <c r="O66" s="1011"/>
      <c r="P66" s="1011"/>
      <c r="Q66" s="1011"/>
      <c r="R66" s="1011"/>
      <c r="S66" s="1012"/>
      <c r="T66" s="1010" t="s">
        <v>2467</v>
      </c>
      <c r="U66" s="1011"/>
      <c r="V66" s="1011"/>
      <c r="W66" s="1011"/>
      <c r="X66" s="1011"/>
      <c r="Y66" s="1011"/>
      <c r="Z66" s="1011"/>
      <c r="AA66" s="1011"/>
      <c r="AB66" s="1011"/>
      <c r="AC66" s="1011"/>
      <c r="AD66" s="1011"/>
      <c r="AE66" s="1011"/>
      <c r="AF66" s="1011"/>
      <c r="AG66" s="1011"/>
      <c r="AH66" s="1011"/>
      <c r="AI66" s="1012"/>
      <c r="AJ66" s="1010" t="s">
        <v>2468</v>
      </c>
      <c r="AK66" s="1011"/>
      <c r="AL66" s="1011"/>
      <c r="AM66" s="1011"/>
      <c r="AN66" s="1011"/>
      <c r="AO66" s="1011"/>
      <c r="AP66" s="1011"/>
      <c r="AQ66" s="1011"/>
      <c r="AR66" s="1011"/>
      <c r="AS66" s="1011"/>
      <c r="AT66" s="1011"/>
      <c r="AU66" s="1011"/>
      <c r="AV66" s="1011"/>
      <c r="AW66" s="1011"/>
      <c r="AX66" s="1011"/>
      <c r="AY66" s="1012"/>
      <c r="AZ66" s="1010" t="s">
        <v>2469</v>
      </c>
      <c r="BA66" s="1011"/>
      <c r="BB66" s="1011"/>
      <c r="BC66" s="1011"/>
      <c r="BD66" s="1011"/>
      <c r="BE66" s="1011"/>
      <c r="BF66" s="1011"/>
      <c r="BG66" s="1011"/>
      <c r="BH66" s="1011"/>
      <c r="BI66" s="1011"/>
      <c r="BJ66" s="1011"/>
      <c r="BK66" s="1011"/>
      <c r="BL66" s="1011"/>
      <c r="BM66" s="1011"/>
      <c r="BN66" s="1011"/>
      <c r="BO66" s="1012"/>
      <c r="BP66" s="1013" t="s">
        <v>2470</v>
      </c>
      <c r="BQ66" s="1015" t="s">
        <v>2471</v>
      </c>
    </row>
    <row r="67" spans="1:69">
      <c r="A67" s="855"/>
      <c r="B67" s="855"/>
      <c r="C67" s="1015"/>
      <c r="D67" s="1004" t="s">
        <v>2472</v>
      </c>
      <c r="E67" s="1005"/>
      <c r="F67" s="1005"/>
      <c r="G67" s="1006"/>
      <c r="H67" s="1004" t="s">
        <v>2473</v>
      </c>
      <c r="I67" s="1005"/>
      <c r="J67" s="1005"/>
      <c r="K67" s="1006"/>
      <c r="L67" s="1004" t="s">
        <v>2474</v>
      </c>
      <c r="M67" s="1005"/>
      <c r="N67" s="1005"/>
      <c r="O67" s="1006"/>
      <c r="P67" s="1004" t="s">
        <v>2475</v>
      </c>
      <c r="Q67" s="1005"/>
      <c r="R67" s="1005"/>
      <c r="S67" s="1006"/>
      <c r="T67" s="1004" t="s">
        <v>2472</v>
      </c>
      <c r="U67" s="1005"/>
      <c r="V67" s="1005"/>
      <c r="W67" s="1006"/>
      <c r="X67" s="1004" t="s">
        <v>2473</v>
      </c>
      <c r="Y67" s="1005"/>
      <c r="Z67" s="1005"/>
      <c r="AA67" s="1006"/>
      <c r="AB67" s="1004" t="s">
        <v>2474</v>
      </c>
      <c r="AC67" s="1005"/>
      <c r="AD67" s="1005"/>
      <c r="AE67" s="1006"/>
      <c r="AF67" s="1004" t="s">
        <v>2475</v>
      </c>
      <c r="AG67" s="1005"/>
      <c r="AH67" s="1005"/>
      <c r="AI67" s="1006"/>
      <c r="AJ67" s="1004" t="s">
        <v>2472</v>
      </c>
      <c r="AK67" s="1005"/>
      <c r="AL67" s="1005"/>
      <c r="AM67" s="1006"/>
      <c r="AN67" s="1004" t="s">
        <v>2473</v>
      </c>
      <c r="AO67" s="1005"/>
      <c r="AP67" s="1005"/>
      <c r="AQ67" s="1006"/>
      <c r="AR67" s="1004" t="s">
        <v>2474</v>
      </c>
      <c r="AS67" s="1005"/>
      <c r="AT67" s="1005"/>
      <c r="AU67" s="1006"/>
      <c r="AV67" s="1004" t="s">
        <v>2475</v>
      </c>
      <c r="AW67" s="1005"/>
      <c r="AX67" s="1005"/>
      <c r="AY67" s="1006"/>
      <c r="AZ67" s="1004" t="s">
        <v>2472</v>
      </c>
      <c r="BA67" s="1005"/>
      <c r="BB67" s="1005"/>
      <c r="BC67" s="1006"/>
      <c r="BD67" s="1004" t="s">
        <v>2473</v>
      </c>
      <c r="BE67" s="1005"/>
      <c r="BF67" s="1005"/>
      <c r="BG67" s="1006"/>
      <c r="BH67" s="1004" t="s">
        <v>2474</v>
      </c>
      <c r="BI67" s="1005"/>
      <c r="BJ67" s="1005"/>
      <c r="BK67" s="1006"/>
      <c r="BL67" s="1004" t="s">
        <v>2475</v>
      </c>
      <c r="BM67" s="1005"/>
      <c r="BN67" s="1005"/>
      <c r="BO67" s="1006"/>
      <c r="BP67" s="1013"/>
      <c r="BQ67" s="1015"/>
    </row>
    <row r="68" spans="1:69">
      <c r="A68" s="856"/>
      <c r="B68" s="856"/>
      <c r="C68" s="1016"/>
      <c r="D68" s="1007" t="s">
        <v>2302</v>
      </c>
      <c r="E68" s="1008"/>
      <c r="F68" s="1007" t="s">
        <v>2476</v>
      </c>
      <c r="G68" s="1008"/>
      <c r="H68" s="1007" t="s">
        <v>2302</v>
      </c>
      <c r="I68" s="1008"/>
      <c r="J68" s="1007" t="s">
        <v>2476</v>
      </c>
      <c r="K68" s="1008"/>
      <c r="L68" s="1007" t="s">
        <v>2302</v>
      </c>
      <c r="M68" s="1008"/>
      <c r="N68" s="1007" t="s">
        <v>2476</v>
      </c>
      <c r="O68" s="1008"/>
      <c r="P68" s="1007" t="s">
        <v>2302</v>
      </c>
      <c r="Q68" s="1008"/>
      <c r="R68" s="1007" t="s">
        <v>2476</v>
      </c>
      <c r="S68" s="1008"/>
      <c r="T68" s="1007" t="s">
        <v>2302</v>
      </c>
      <c r="U68" s="1008"/>
      <c r="V68" s="1007" t="s">
        <v>2476</v>
      </c>
      <c r="W68" s="1008"/>
      <c r="X68" s="1007" t="s">
        <v>2302</v>
      </c>
      <c r="Y68" s="1008"/>
      <c r="Z68" s="1007" t="s">
        <v>2476</v>
      </c>
      <c r="AA68" s="1008"/>
      <c r="AB68" s="1007" t="s">
        <v>2302</v>
      </c>
      <c r="AC68" s="1008"/>
      <c r="AD68" s="1007" t="s">
        <v>2476</v>
      </c>
      <c r="AE68" s="1008"/>
      <c r="AF68" s="1007" t="s">
        <v>2302</v>
      </c>
      <c r="AG68" s="1008"/>
      <c r="AH68" s="1007" t="s">
        <v>2476</v>
      </c>
      <c r="AI68" s="1008"/>
      <c r="AJ68" s="1007" t="s">
        <v>2302</v>
      </c>
      <c r="AK68" s="1008"/>
      <c r="AL68" s="1007" t="s">
        <v>2476</v>
      </c>
      <c r="AM68" s="1008"/>
      <c r="AN68" s="1007" t="s">
        <v>2302</v>
      </c>
      <c r="AO68" s="1008"/>
      <c r="AP68" s="1007" t="s">
        <v>2476</v>
      </c>
      <c r="AQ68" s="1008"/>
      <c r="AR68" s="1007" t="s">
        <v>2302</v>
      </c>
      <c r="AS68" s="1008"/>
      <c r="AT68" s="1007" t="s">
        <v>2476</v>
      </c>
      <c r="AU68" s="1008"/>
      <c r="AV68" s="1007" t="s">
        <v>2302</v>
      </c>
      <c r="AW68" s="1008"/>
      <c r="AX68" s="1007" t="s">
        <v>2476</v>
      </c>
      <c r="AY68" s="1008"/>
      <c r="AZ68" s="1007" t="s">
        <v>2302</v>
      </c>
      <c r="BA68" s="1008"/>
      <c r="BB68" s="1007" t="s">
        <v>2476</v>
      </c>
      <c r="BC68" s="1008"/>
      <c r="BD68" s="1007" t="s">
        <v>2302</v>
      </c>
      <c r="BE68" s="1008"/>
      <c r="BF68" s="1007" t="s">
        <v>2476</v>
      </c>
      <c r="BG68" s="1008"/>
      <c r="BH68" s="1007" t="s">
        <v>2302</v>
      </c>
      <c r="BI68" s="1008"/>
      <c r="BJ68" s="1007" t="s">
        <v>2476</v>
      </c>
      <c r="BK68" s="1008"/>
      <c r="BL68" s="1007" t="s">
        <v>2302</v>
      </c>
      <c r="BM68" s="1008"/>
      <c r="BN68" s="1007" t="s">
        <v>2476</v>
      </c>
      <c r="BO68" s="1008"/>
      <c r="BP68" s="1014"/>
      <c r="BQ68" s="1016"/>
    </row>
    <row r="69" spans="1:69">
      <c r="A69" s="53">
        <v>1</v>
      </c>
      <c r="B69" s="54" t="s">
        <v>755</v>
      </c>
      <c r="C69" s="53" t="s">
        <v>756</v>
      </c>
      <c r="D69" s="174">
        <v>6</v>
      </c>
      <c r="E69" s="82"/>
      <c r="F69" s="174"/>
      <c r="G69" s="82"/>
      <c r="H69" s="174">
        <v>38</v>
      </c>
      <c r="I69" s="82"/>
      <c r="J69" s="174"/>
      <c r="K69" s="82"/>
      <c r="L69" s="174">
        <v>9</v>
      </c>
      <c r="M69" s="82"/>
      <c r="N69" s="174"/>
      <c r="O69" s="82"/>
      <c r="P69" s="174">
        <v>1</v>
      </c>
      <c r="Q69" s="82"/>
      <c r="R69" s="174"/>
      <c r="S69" s="82"/>
      <c r="T69" s="174"/>
      <c r="U69" s="82"/>
      <c r="V69" s="174"/>
      <c r="W69" s="82"/>
      <c r="X69" s="174">
        <v>22</v>
      </c>
      <c r="Y69" s="82"/>
      <c r="Z69" s="174"/>
      <c r="AA69" s="82"/>
      <c r="AB69" s="174">
        <v>49</v>
      </c>
      <c r="AC69" s="82"/>
      <c r="AD69" s="174"/>
      <c r="AE69" s="82"/>
      <c r="AF69" s="174">
        <v>74</v>
      </c>
      <c r="AG69" s="82"/>
      <c r="AH69" s="174"/>
      <c r="AI69" s="82"/>
      <c r="AJ69" s="174"/>
      <c r="AK69" s="82"/>
      <c r="AL69" s="174"/>
      <c r="AM69" s="82"/>
      <c r="AN69" s="174">
        <v>3</v>
      </c>
      <c r="AO69" s="82"/>
      <c r="AP69" s="174"/>
      <c r="AQ69" s="82"/>
      <c r="AR69" s="174">
        <v>4</v>
      </c>
      <c r="AS69" s="82"/>
      <c r="AT69" s="174"/>
      <c r="AU69" s="82"/>
      <c r="AV69" s="174"/>
      <c r="AW69" s="82"/>
      <c r="AX69" s="174"/>
      <c r="AY69" s="82"/>
      <c r="AZ69" s="174"/>
      <c r="BA69" s="82"/>
      <c r="BB69" s="174"/>
      <c r="BC69" s="82"/>
      <c r="BD69" s="174"/>
      <c r="BE69" s="82"/>
      <c r="BF69" s="174"/>
      <c r="BG69" s="82"/>
      <c r="BH69" s="174">
        <v>1</v>
      </c>
      <c r="BI69" s="82"/>
      <c r="BJ69" s="174"/>
      <c r="BK69" s="82"/>
      <c r="BL69" s="174"/>
      <c r="BM69" s="82"/>
      <c r="BN69" s="174"/>
      <c r="BO69" s="82"/>
      <c r="BP69" s="174">
        <f>BN69+BL69+BJ69+BH69+BF69+BD69+BB69+AZ69+AX69+AV69+AT69+AR69+AP69+AN69+AL69+AJ69+AH69+AF69+AD69+AB69+Z69+X69+V69+T69+R69+P69+N69+L69+J69+H69+F69+D69</f>
        <v>207</v>
      </c>
      <c r="BQ69" s="82">
        <f>BO69+BM69+BK69+BI69+BG69+BE69+BC69+BA69+AY69+AW69+AU69+AS69+AQ69+AO69+AM69+AK69+AI69+AG69+AE69+AC69+AA69+Y69+W69+U69+S69+Q69+O69+M69+K69+I69+G69+E69</f>
        <v>0</v>
      </c>
    </row>
    <row r="70" spans="1:69">
      <c r="A70" s="51">
        <v>2</v>
      </c>
      <c r="B70" s="177" t="s">
        <v>759</v>
      </c>
      <c r="C70" s="51" t="s">
        <v>760</v>
      </c>
      <c r="D70" s="175"/>
      <c r="E70" s="81"/>
      <c r="F70" s="175"/>
      <c r="G70" s="81"/>
      <c r="H70" s="175"/>
      <c r="I70" s="81"/>
      <c r="J70" s="175"/>
      <c r="K70" s="81"/>
      <c r="L70" s="175"/>
      <c r="M70" s="81"/>
      <c r="N70" s="175"/>
      <c r="O70" s="81"/>
      <c r="P70" s="175"/>
      <c r="Q70" s="81"/>
      <c r="R70" s="175"/>
      <c r="S70" s="81"/>
      <c r="T70" s="175"/>
      <c r="U70" s="81"/>
      <c r="V70" s="175"/>
      <c r="W70" s="81"/>
      <c r="X70" s="175"/>
      <c r="Y70" s="81"/>
      <c r="Z70" s="175"/>
      <c r="AA70" s="81"/>
      <c r="AB70" s="175"/>
      <c r="AC70" s="81"/>
      <c r="AD70" s="175"/>
      <c r="AE70" s="81"/>
      <c r="AF70" s="175"/>
      <c r="AG70" s="81"/>
      <c r="AH70" s="175"/>
      <c r="AI70" s="81"/>
      <c r="AJ70" s="175"/>
      <c r="AK70" s="81"/>
      <c r="AL70" s="175"/>
      <c r="AM70" s="81"/>
      <c r="AN70" s="175"/>
      <c r="AO70" s="81"/>
      <c r="AP70" s="175"/>
      <c r="AQ70" s="81"/>
      <c r="AR70" s="175"/>
      <c r="AS70" s="81"/>
      <c r="AT70" s="175"/>
      <c r="AU70" s="81"/>
      <c r="AV70" s="175"/>
      <c r="AW70" s="81"/>
      <c r="AX70" s="175"/>
      <c r="AY70" s="81"/>
      <c r="AZ70" s="175"/>
      <c r="BA70" s="81"/>
      <c r="BB70" s="175"/>
      <c r="BC70" s="81"/>
      <c r="BD70" s="175"/>
      <c r="BE70" s="81"/>
      <c r="BF70" s="175"/>
      <c r="BG70" s="81"/>
      <c r="BH70" s="175"/>
      <c r="BI70" s="81"/>
      <c r="BJ70" s="175"/>
      <c r="BK70" s="81"/>
      <c r="BL70" s="175"/>
      <c r="BM70" s="81"/>
      <c r="BN70" s="175"/>
      <c r="BO70" s="81"/>
      <c r="BP70" s="175">
        <f t="shared" ref="BP70:BQ75" si="5">BN70+BL70+BJ70+BH70+BF70+BD70+BB70+AZ70+AX70+AV70+AT70+AR70+AP70+AN70+AL70+AJ70+AH70+AF70+AD70+AB70+Z70+X70+V70+T70+R70+P70+N70+L70+J70+H70+F70+D70</f>
        <v>0</v>
      </c>
      <c r="BQ70" s="81">
        <f t="shared" si="5"/>
        <v>0</v>
      </c>
    </row>
    <row r="71" spans="1:69">
      <c r="A71" s="53">
        <v>3</v>
      </c>
      <c r="B71" s="176" t="s">
        <v>761</v>
      </c>
      <c r="C71" s="53" t="s">
        <v>762</v>
      </c>
      <c r="D71" s="174"/>
      <c r="E71" s="174"/>
      <c r="F71" s="174"/>
      <c r="G71" s="174"/>
      <c r="H71" s="174"/>
      <c r="I71" s="174"/>
      <c r="J71" s="174"/>
      <c r="K71" s="174"/>
      <c r="L71" s="174"/>
      <c r="M71" s="174"/>
      <c r="N71" s="174"/>
      <c r="O71" s="174"/>
      <c r="P71" s="174"/>
      <c r="Q71" s="174"/>
      <c r="R71" s="174"/>
      <c r="S71" s="174"/>
      <c r="T71" s="174"/>
      <c r="U71" s="174"/>
      <c r="V71" s="174"/>
      <c r="W71" s="174"/>
      <c r="X71" s="174"/>
      <c r="Y71" s="174"/>
      <c r="Z71" s="174"/>
      <c r="AA71" s="174"/>
      <c r="AB71" s="174"/>
      <c r="AC71" s="174"/>
      <c r="AD71" s="174"/>
      <c r="AE71" s="174"/>
      <c r="AF71" s="174"/>
      <c r="AG71" s="174"/>
      <c r="AH71" s="174"/>
      <c r="AI71" s="174"/>
      <c r="AJ71" s="174"/>
      <c r="AK71" s="174"/>
      <c r="AL71" s="174"/>
      <c r="AM71" s="174"/>
      <c r="AN71" s="174"/>
      <c r="AO71" s="174"/>
      <c r="AP71" s="174"/>
      <c r="AQ71" s="174"/>
      <c r="AR71" s="174"/>
      <c r="AS71" s="174"/>
      <c r="AT71" s="174"/>
      <c r="AU71" s="174"/>
      <c r="AV71" s="174"/>
      <c r="AW71" s="174"/>
      <c r="AX71" s="174"/>
      <c r="AY71" s="174"/>
      <c r="AZ71" s="174"/>
      <c r="BA71" s="174"/>
      <c r="BB71" s="174"/>
      <c r="BC71" s="174"/>
      <c r="BD71" s="174"/>
      <c r="BE71" s="174"/>
      <c r="BF71" s="174"/>
      <c r="BG71" s="174"/>
      <c r="BH71" s="174"/>
      <c r="BI71" s="174"/>
      <c r="BJ71" s="174"/>
      <c r="BK71" s="174"/>
      <c r="BL71" s="174"/>
      <c r="BM71" s="174"/>
      <c r="BN71" s="174"/>
      <c r="BO71" s="174"/>
      <c r="BP71" s="174">
        <f t="shared" si="5"/>
        <v>0</v>
      </c>
      <c r="BQ71" s="82">
        <f t="shared" si="5"/>
        <v>0</v>
      </c>
    </row>
    <row r="72" spans="1:69">
      <c r="A72" s="51">
        <v>4</v>
      </c>
      <c r="B72" s="50" t="s">
        <v>763</v>
      </c>
      <c r="C72" s="51" t="s">
        <v>764</v>
      </c>
      <c r="D72" s="175">
        <v>7</v>
      </c>
      <c r="E72" s="81"/>
      <c r="F72" s="175"/>
      <c r="G72" s="81"/>
      <c r="H72" s="175">
        <v>43</v>
      </c>
      <c r="I72" s="81"/>
      <c r="J72" s="175"/>
      <c r="K72" s="81"/>
      <c r="L72" s="175">
        <v>7</v>
      </c>
      <c r="M72" s="81"/>
      <c r="N72" s="175"/>
      <c r="O72" s="81"/>
      <c r="P72" s="175">
        <v>1</v>
      </c>
      <c r="Q72" s="81"/>
      <c r="R72" s="175"/>
      <c r="S72" s="81"/>
      <c r="T72" s="175"/>
      <c r="U72" s="81"/>
      <c r="V72" s="175"/>
      <c r="W72" s="81"/>
      <c r="X72" s="175">
        <v>48</v>
      </c>
      <c r="Y72" s="81"/>
      <c r="Z72" s="175"/>
      <c r="AA72" s="81"/>
      <c r="AB72" s="175">
        <v>140</v>
      </c>
      <c r="AC72" s="81"/>
      <c r="AD72" s="175"/>
      <c r="AE72" s="81"/>
      <c r="AF72" s="175">
        <v>359</v>
      </c>
      <c r="AG72" s="81"/>
      <c r="AH72" s="175"/>
      <c r="AI72" s="81"/>
      <c r="AJ72" s="175">
        <v>1</v>
      </c>
      <c r="AK72" s="81"/>
      <c r="AL72" s="175"/>
      <c r="AM72" s="81"/>
      <c r="AN72" s="175">
        <v>2</v>
      </c>
      <c r="AO72" s="81"/>
      <c r="AP72" s="175"/>
      <c r="AQ72" s="81"/>
      <c r="AR72" s="175">
        <v>2</v>
      </c>
      <c r="AS72" s="81"/>
      <c r="AT72" s="175"/>
      <c r="AU72" s="81"/>
      <c r="AV72" s="175"/>
      <c r="AW72" s="81"/>
      <c r="AX72" s="175"/>
      <c r="AY72" s="81"/>
      <c r="AZ72" s="175"/>
      <c r="BA72" s="81"/>
      <c r="BB72" s="175"/>
      <c r="BC72" s="81"/>
      <c r="BD72" s="175">
        <v>2</v>
      </c>
      <c r="BE72" s="81"/>
      <c r="BF72" s="175"/>
      <c r="BG72" s="81"/>
      <c r="BH72" s="175">
        <v>11</v>
      </c>
      <c r="BI72" s="81"/>
      <c r="BJ72" s="175"/>
      <c r="BK72" s="81"/>
      <c r="BL72" s="175">
        <v>2</v>
      </c>
      <c r="BM72" s="81"/>
      <c r="BN72" s="175"/>
      <c r="BO72" s="81"/>
      <c r="BP72" s="175">
        <f t="shared" si="5"/>
        <v>625</v>
      </c>
      <c r="BQ72" s="81">
        <f t="shared" si="5"/>
        <v>0</v>
      </c>
    </row>
    <row r="73" spans="1:69">
      <c r="A73" s="53">
        <v>5</v>
      </c>
      <c r="B73" s="176" t="s">
        <v>765</v>
      </c>
      <c r="C73" s="53" t="s">
        <v>766</v>
      </c>
      <c r="D73" s="174"/>
      <c r="E73" s="82"/>
      <c r="F73" s="174"/>
      <c r="G73" s="82"/>
      <c r="H73" s="174"/>
      <c r="I73" s="82"/>
      <c r="J73" s="174"/>
      <c r="K73" s="82"/>
      <c r="L73" s="174"/>
      <c r="M73" s="82"/>
      <c r="N73" s="174"/>
      <c r="O73" s="82"/>
      <c r="P73" s="174"/>
      <c r="Q73" s="82"/>
      <c r="R73" s="174"/>
      <c r="S73" s="82"/>
      <c r="T73" s="174"/>
      <c r="U73" s="82"/>
      <c r="V73" s="174"/>
      <c r="W73" s="82"/>
      <c r="X73" s="174"/>
      <c r="Y73" s="82"/>
      <c r="Z73" s="174"/>
      <c r="AA73" s="82"/>
      <c r="AB73" s="174"/>
      <c r="AC73" s="82"/>
      <c r="AD73" s="174"/>
      <c r="AE73" s="82"/>
      <c r="AF73" s="174"/>
      <c r="AG73" s="82"/>
      <c r="AH73" s="174"/>
      <c r="AI73" s="82"/>
      <c r="AJ73" s="174"/>
      <c r="AK73" s="82"/>
      <c r="AL73" s="174"/>
      <c r="AM73" s="82"/>
      <c r="AN73" s="174"/>
      <c r="AO73" s="82"/>
      <c r="AP73" s="174"/>
      <c r="AQ73" s="82"/>
      <c r="AR73" s="174"/>
      <c r="AS73" s="82"/>
      <c r="AT73" s="174"/>
      <c r="AU73" s="82"/>
      <c r="AV73" s="174"/>
      <c r="AW73" s="82"/>
      <c r="AX73" s="174"/>
      <c r="AY73" s="82"/>
      <c r="AZ73" s="174"/>
      <c r="BA73" s="82"/>
      <c r="BB73" s="174"/>
      <c r="BC73" s="82"/>
      <c r="BD73" s="174"/>
      <c r="BE73" s="82"/>
      <c r="BF73" s="174"/>
      <c r="BG73" s="82"/>
      <c r="BH73" s="174"/>
      <c r="BI73" s="82"/>
      <c r="BJ73" s="174"/>
      <c r="BK73" s="82"/>
      <c r="BL73" s="174"/>
      <c r="BM73" s="82"/>
      <c r="BN73" s="174"/>
      <c r="BO73" s="82"/>
      <c r="BP73" s="174">
        <f t="shared" si="5"/>
        <v>0</v>
      </c>
      <c r="BQ73" s="82">
        <f t="shared" si="5"/>
        <v>0</v>
      </c>
    </row>
    <row r="74" spans="1:69">
      <c r="A74" s="51">
        <v>6</v>
      </c>
      <c r="B74" s="177" t="s">
        <v>767</v>
      </c>
      <c r="C74" s="51" t="s">
        <v>768</v>
      </c>
      <c r="D74" s="175"/>
      <c r="E74" s="81"/>
      <c r="F74" s="175"/>
      <c r="G74" s="81"/>
      <c r="H74" s="175"/>
      <c r="I74" s="81"/>
      <c r="J74" s="175"/>
      <c r="K74" s="81"/>
      <c r="L74" s="175"/>
      <c r="M74" s="81"/>
      <c r="N74" s="175"/>
      <c r="O74" s="81"/>
      <c r="P74" s="175"/>
      <c r="Q74" s="81"/>
      <c r="R74" s="175"/>
      <c r="S74" s="81"/>
      <c r="T74" s="175"/>
      <c r="U74" s="81"/>
      <c r="V74" s="175"/>
      <c r="W74" s="81"/>
      <c r="X74" s="175"/>
      <c r="Y74" s="81"/>
      <c r="Z74" s="175"/>
      <c r="AA74" s="81"/>
      <c r="AB74" s="175"/>
      <c r="AC74" s="81"/>
      <c r="AD74" s="175"/>
      <c r="AE74" s="81"/>
      <c r="AF74" s="175"/>
      <c r="AG74" s="81"/>
      <c r="AH74" s="175"/>
      <c r="AI74" s="81"/>
      <c r="AJ74" s="175"/>
      <c r="AK74" s="81"/>
      <c r="AL74" s="175"/>
      <c r="AM74" s="81"/>
      <c r="AN74" s="175"/>
      <c r="AO74" s="81"/>
      <c r="AP74" s="175"/>
      <c r="AQ74" s="81"/>
      <c r="AR74" s="175"/>
      <c r="AS74" s="81"/>
      <c r="AT74" s="175"/>
      <c r="AU74" s="81"/>
      <c r="AV74" s="175"/>
      <c r="AW74" s="81"/>
      <c r="AX74" s="175"/>
      <c r="AY74" s="81"/>
      <c r="AZ74" s="175"/>
      <c r="BA74" s="81"/>
      <c r="BB74" s="175"/>
      <c r="BC74" s="81"/>
      <c r="BD74" s="175"/>
      <c r="BE74" s="81"/>
      <c r="BF74" s="175"/>
      <c r="BG74" s="81"/>
      <c r="BH74" s="175"/>
      <c r="BI74" s="81"/>
      <c r="BJ74" s="175"/>
      <c r="BK74" s="81"/>
      <c r="BL74" s="175"/>
      <c r="BM74" s="81"/>
      <c r="BN74" s="175"/>
      <c r="BO74" s="81"/>
      <c r="BP74" s="175">
        <f t="shared" si="5"/>
        <v>0</v>
      </c>
      <c r="BQ74" s="81">
        <f t="shared" si="5"/>
        <v>0</v>
      </c>
    </row>
    <row r="75" spans="1:69">
      <c r="A75" s="53">
        <v>7</v>
      </c>
      <c r="B75" s="54" t="s">
        <v>769</v>
      </c>
      <c r="C75" s="53" t="s">
        <v>770</v>
      </c>
      <c r="D75" s="174">
        <v>20</v>
      </c>
      <c r="E75" s="82">
        <v>123741434.47</v>
      </c>
      <c r="F75" s="174"/>
      <c r="G75" s="82"/>
      <c r="H75" s="174">
        <v>127</v>
      </c>
      <c r="I75" s="82">
        <v>551754775.67999995</v>
      </c>
      <c r="J75" s="174"/>
      <c r="K75" s="82"/>
      <c r="L75" s="174">
        <v>99</v>
      </c>
      <c r="M75" s="82">
        <v>161019633.47</v>
      </c>
      <c r="N75" s="174"/>
      <c r="O75" s="82"/>
      <c r="P75" s="174"/>
      <c r="Q75" s="82"/>
      <c r="R75" s="174"/>
      <c r="S75" s="82"/>
      <c r="T75" s="174"/>
      <c r="U75" s="82"/>
      <c r="V75" s="174"/>
      <c r="W75" s="82"/>
      <c r="X75" s="174">
        <v>4</v>
      </c>
      <c r="Y75" s="82">
        <v>10638691.68</v>
      </c>
      <c r="Z75" s="174"/>
      <c r="AA75" s="82"/>
      <c r="AB75" s="174">
        <v>7</v>
      </c>
      <c r="AC75" s="82">
        <v>10701283.470000001</v>
      </c>
      <c r="AD75" s="174"/>
      <c r="AE75" s="82"/>
      <c r="AF75" s="174"/>
      <c r="AG75" s="82"/>
      <c r="AH75" s="174"/>
      <c r="AI75" s="82"/>
      <c r="AJ75" s="174">
        <v>5</v>
      </c>
      <c r="AK75" s="82">
        <v>31041138.25</v>
      </c>
      <c r="AL75" s="174"/>
      <c r="AM75" s="82"/>
      <c r="AN75" s="174">
        <v>57</v>
      </c>
      <c r="AO75" s="82">
        <v>171166983.66</v>
      </c>
      <c r="AP75" s="174"/>
      <c r="AQ75" s="82"/>
      <c r="AR75" s="174">
        <v>20</v>
      </c>
      <c r="AS75" s="82">
        <v>29001932.539999999</v>
      </c>
      <c r="AT75" s="174"/>
      <c r="AU75" s="82"/>
      <c r="AV75" s="174"/>
      <c r="AW75" s="82"/>
      <c r="AX75" s="174"/>
      <c r="AY75" s="82"/>
      <c r="AZ75" s="174"/>
      <c r="BA75" s="82"/>
      <c r="BB75" s="174"/>
      <c r="BC75" s="82"/>
      <c r="BD75" s="174">
        <v>2</v>
      </c>
      <c r="BE75" s="82">
        <v>7561497.5099999998</v>
      </c>
      <c r="BF75" s="174"/>
      <c r="BG75" s="82"/>
      <c r="BH75" s="174">
        <v>3</v>
      </c>
      <c r="BI75" s="82">
        <v>5097521.4000000004</v>
      </c>
      <c r="BJ75" s="174"/>
      <c r="BK75" s="82"/>
      <c r="BL75" s="174"/>
      <c r="BM75" s="82"/>
      <c r="BN75" s="174"/>
      <c r="BO75" s="82"/>
      <c r="BP75" s="174">
        <f t="shared" si="5"/>
        <v>344</v>
      </c>
      <c r="BQ75" s="82">
        <f t="shared" si="5"/>
        <v>1101724892.1299999</v>
      </c>
    </row>
    <row r="76" spans="1:69">
      <c r="A76" s="1009" t="s">
        <v>516</v>
      </c>
      <c r="B76" s="1009"/>
      <c r="C76" s="1009"/>
      <c r="D76" s="461">
        <f>SUM(D69:D75)</f>
        <v>33</v>
      </c>
      <c r="E76" s="461">
        <f t="shared" ref="E76:BO76" si="6">SUM(E69:E75)</f>
        <v>123741434.47</v>
      </c>
      <c r="F76" s="461">
        <f t="shared" si="6"/>
        <v>0</v>
      </c>
      <c r="G76" s="461">
        <f t="shared" si="6"/>
        <v>0</v>
      </c>
      <c r="H76" s="461">
        <f t="shared" si="6"/>
        <v>208</v>
      </c>
      <c r="I76" s="461">
        <f t="shared" si="6"/>
        <v>551754775.67999995</v>
      </c>
      <c r="J76" s="461">
        <f t="shared" si="6"/>
        <v>0</v>
      </c>
      <c r="K76" s="461">
        <f t="shared" si="6"/>
        <v>0</v>
      </c>
      <c r="L76" s="461">
        <f t="shared" si="6"/>
        <v>115</v>
      </c>
      <c r="M76" s="461">
        <f t="shared" si="6"/>
        <v>161019633.47</v>
      </c>
      <c r="N76" s="461">
        <f t="shared" si="6"/>
        <v>0</v>
      </c>
      <c r="O76" s="461">
        <f t="shared" si="6"/>
        <v>0</v>
      </c>
      <c r="P76" s="461">
        <f t="shared" si="6"/>
        <v>2</v>
      </c>
      <c r="Q76" s="461">
        <f t="shared" si="6"/>
        <v>0</v>
      </c>
      <c r="R76" s="461">
        <f t="shared" si="6"/>
        <v>0</v>
      </c>
      <c r="S76" s="461">
        <f t="shared" si="6"/>
        <v>0</v>
      </c>
      <c r="T76" s="461">
        <f t="shared" si="6"/>
        <v>0</v>
      </c>
      <c r="U76" s="461">
        <f t="shared" si="6"/>
        <v>0</v>
      </c>
      <c r="V76" s="461">
        <f t="shared" si="6"/>
        <v>0</v>
      </c>
      <c r="W76" s="461">
        <f t="shared" si="6"/>
        <v>0</v>
      </c>
      <c r="X76" s="461">
        <f t="shared" si="6"/>
        <v>74</v>
      </c>
      <c r="Y76" s="461">
        <f t="shared" si="6"/>
        <v>10638691.68</v>
      </c>
      <c r="Z76" s="461">
        <f t="shared" si="6"/>
        <v>0</v>
      </c>
      <c r="AA76" s="461">
        <f t="shared" si="6"/>
        <v>0</v>
      </c>
      <c r="AB76" s="461">
        <f t="shared" si="6"/>
        <v>196</v>
      </c>
      <c r="AC76" s="461">
        <f t="shared" si="6"/>
        <v>10701283.470000001</v>
      </c>
      <c r="AD76" s="461">
        <f t="shared" si="6"/>
        <v>0</v>
      </c>
      <c r="AE76" s="461">
        <f t="shared" si="6"/>
        <v>0</v>
      </c>
      <c r="AF76" s="461">
        <f t="shared" si="6"/>
        <v>433</v>
      </c>
      <c r="AG76" s="461">
        <f t="shared" si="6"/>
        <v>0</v>
      </c>
      <c r="AH76" s="461">
        <f t="shared" si="6"/>
        <v>0</v>
      </c>
      <c r="AI76" s="461">
        <f t="shared" si="6"/>
        <v>0</v>
      </c>
      <c r="AJ76" s="462">
        <f t="shared" si="6"/>
        <v>6</v>
      </c>
      <c r="AK76" s="461">
        <f t="shared" si="6"/>
        <v>31041138.25</v>
      </c>
      <c r="AL76" s="462">
        <f t="shared" si="6"/>
        <v>0</v>
      </c>
      <c r="AM76" s="461">
        <f t="shared" si="6"/>
        <v>0</v>
      </c>
      <c r="AN76" s="462">
        <f t="shared" si="6"/>
        <v>62</v>
      </c>
      <c r="AO76" s="461">
        <f t="shared" si="6"/>
        <v>171166983.66</v>
      </c>
      <c r="AP76" s="462">
        <f t="shared" si="6"/>
        <v>0</v>
      </c>
      <c r="AQ76" s="461">
        <f t="shared" si="6"/>
        <v>0</v>
      </c>
      <c r="AR76" s="462">
        <f t="shared" si="6"/>
        <v>26</v>
      </c>
      <c r="AS76" s="461">
        <f t="shared" si="6"/>
        <v>29001932.539999999</v>
      </c>
      <c r="AT76" s="462">
        <f t="shared" si="6"/>
        <v>0</v>
      </c>
      <c r="AU76" s="461">
        <f t="shared" si="6"/>
        <v>0</v>
      </c>
      <c r="AV76" s="462">
        <f t="shared" si="6"/>
        <v>0</v>
      </c>
      <c r="AW76" s="461">
        <f t="shared" si="6"/>
        <v>0</v>
      </c>
      <c r="AX76" s="462">
        <f t="shared" si="6"/>
        <v>0</v>
      </c>
      <c r="AY76" s="461">
        <f t="shared" si="6"/>
        <v>0</v>
      </c>
      <c r="AZ76" s="462">
        <f t="shared" si="6"/>
        <v>0</v>
      </c>
      <c r="BA76" s="461">
        <f t="shared" si="6"/>
        <v>0</v>
      </c>
      <c r="BB76" s="462">
        <f t="shared" si="6"/>
        <v>0</v>
      </c>
      <c r="BC76" s="461">
        <f t="shared" si="6"/>
        <v>0</v>
      </c>
      <c r="BD76" s="462">
        <f t="shared" si="6"/>
        <v>4</v>
      </c>
      <c r="BE76" s="461">
        <f t="shared" si="6"/>
        <v>7561497.5099999998</v>
      </c>
      <c r="BF76" s="462">
        <f t="shared" si="6"/>
        <v>0</v>
      </c>
      <c r="BG76" s="461">
        <f t="shared" si="6"/>
        <v>0</v>
      </c>
      <c r="BH76" s="462">
        <f t="shared" si="6"/>
        <v>15</v>
      </c>
      <c r="BI76" s="461">
        <f t="shared" si="6"/>
        <v>5097521.4000000004</v>
      </c>
      <c r="BJ76" s="462">
        <f t="shared" si="6"/>
        <v>0</v>
      </c>
      <c r="BK76" s="461">
        <f t="shared" si="6"/>
        <v>0</v>
      </c>
      <c r="BL76" s="462">
        <f t="shared" si="6"/>
        <v>2</v>
      </c>
      <c r="BM76" s="461">
        <f t="shared" si="6"/>
        <v>0</v>
      </c>
      <c r="BN76" s="462">
        <f t="shared" si="6"/>
        <v>0</v>
      </c>
      <c r="BO76" s="461">
        <f t="shared" si="6"/>
        <v>0</v>
      </c>
      <c r="BP76" s="461">
        <f>SUM(BP69:BP75)</f>
        <v>1176</v>
      </c>
      <c r="BQ76" s="461">
        <f t="shared" ref="BQ76" si="7">SUM(BQ69:BQ75)</f>
        <v>1101724892.1299999</v>
      </c>
    </row>
  </sheetData>
  <autoFilter ref="A7:BQ59" xr:uid="{E743C2FA-CE47-42AB-ADB2-D0545510BC2F}">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7" showButton="0"/>
    <filterColumn colId="48" showButton="0"/>
    <filterColumn colId="49" showButton="0"/>
    <filterColumn colId="51" showButton="0"/>
    <filterColumn colId="52" showButton="0"/>
    <filterColumn colId="53" showButton="0"/>
    <filterColumn colId="54" showButton="0"/>
    <filterColumn colId="55" showButton="0"/>
    <filterColumn colId="56" showButton="0"/>
    <filterColumn colId="57" showButton="0"/>
    <filterColumn colId="58" showButton="0"/>
    <filterColumn colId="59" showButton="0"/>
    <filterColumn colId="60" showButton="0"/>
    <filterColumn colId="61" showButton="0"/>
    <filterColumn colId="62" showButton="0"/>
    <filterColumn colId="63" showButton="0"/>
    <filterColumn colId="64" showButton="0"/>
    <filterColumn colId="65" showButton="0"/>
  </autoFilter>
  <mergeCells count="116">
    <mergeCell ref="A7:A9"/>
    <mergeCell ref="B7:B9"/>
    <mergeCell ref="C7:C9"/>
    <mergeCell ref="D7:S7"/>
    <mergeCell ref="T7:AI7"/>
    <mergeCell ref="AJ7:AY7"/>
    <mergeCell ref="AF8:AI8"/>
    <mergeCell ref="AJ8:AM8"/>
    <mergeCell ref="AN8:AQ8"/>
    <mergeCell ref="AR8:AU8"/>
    <mergeCell ref="N9:O9"/>
    <mergeCell ref="P9:Q9"/>
    <mergeCell ref="R9:S9"/>
    <mergeCell ref="T9:U9"/>
    <mergeCell ref="V9:W9"/>
    <mergeCell ref="X9:Y9"/>
    <mergeCell ref="AT9:AU9"/>
    <mergeCell ref="AV9:AW9"/>
    <mergeCell ref="Z9:AA9"/>
    <mergeCell ref="AB9:AC9"/>
    <mergeCell ref="AZ7:BO7"/>
    <mergeCell ref="BP7:BP9"/>
    <mergeCell ref="BQ7:BQ9"/>
    <mergeCell ref="D8:G8"/>
    <mergeCell ref="H8:K8"/>
    <mergeCell ref="L8:O8"/>
    <mergeCell ref="P8:S8"/>
    <mergeCell ref="T8:W8"/>
    <mergeCell ref="X8:AA8"/>
    <mergeCell ref="AB8:AE8"/>
    <mergeCell ref="AV8:AY8"/>
    <mergeCell ref="AZ8:BC8"/>
    <mergeCell ref="BD8:BG8"/>
    <mergeCell ref="BH8:BK8"/>
    <mergeCell ref="BL8:BO8"/>
    <mergeCell ref="D9:E9"/>
    <mergeCell ref="F9:G9"/>
    <mergeCell ref="H9:I9"/>
    <mergeCell ref="J9:K9"/>
    <mergeCell ref="L9:M9"/>
    <mergeCell ref="AD9:AE9"/>
    <mergeCell ref="AF9:AG9"/>
    <mergeCell ref="AH9:AI9"/>
    <mergeCell ref="AJ9:AK9"/>
    <mergeCell ref="N68:O68"/>
    <mergeCell ref="P68:Q68"/>
    <mergeCell ref="AF67:AI67"/>
    <mergeCell ref="AJ67:AM67"/>
    <mergeCell ref="BJ9:BK9"/>
    <mergeCell ref="BL9:BM9"/>
    <mergeCell ref="BN9:BO9"/>
    <mergeCell ref="A59:C59"/>
    <mergeCell ref="A66:A68"/>
    <mergeCell ref="B66:B68"/>
    <mergeCell ref="C66:C68"/>
    <mergeCell ref="D66:S66"/>
    <mergeCell ref="T66:AI66"/>
    <mergeCell ref="AJ66:AY66"/>
    <mergeCell ref="AX9:AY9"/>
    <mergeCell ref="AZ9:BA9"/>
    <mergeCell ref="BB9:BC9"/>
    <mergeCell ref="BD9:BE9"/>
    <mergeCell ref="BF9:BG9"/>
    <mergeCell ref="BH9:BI9"/>
    <mergeCell ref="AL9:AM9"/>
    <mergeCell ref="AN9:AO9"/>
    <mergeCell ref="AP9:AQ9"/>
    <mergeCell ref="AR9:AS9"/>
    <mergeCell ref="R68:S68"/>
    <mergeCell ref="T68:U68"/>
    <mergeCell ref="V68:W68"/>
    <mergeCell ref="X68:Y68"/>
    <mergeCell ref="AZ66:BO66"/>
    <mergeCell ref="BP66:BP68"/>
    <mergeCell ref="BQ66:BQ68"/>
    <mergeCell ref="D67:G67"/>
    <mergeCell ref="H67:K67"/>
    <mergeCell ref="L67:O67"/>
    <mergeCell ref="P67:S67"/>
    <mergeCell ref="T67:W67"/>
    <mergeCell ref="X67:AA67"/>
    <mergeCell ref="AB67:AE67"/>
    <mergeCell ref="Z68:AA68"/>
    <mergeCell ref="AB68:AC68"/>
    <mergeCell ref="BD67:BG67"/>
    <mergeCell ref="BH67:BK67"/>
    <mergeCell ref="BL67:BO67"/>
    <mergeCell ref="D68:E68"/>
    <mergeCell ref="F68:G68"/>
    <mergeCell ref="H68:I68"/>
    <mergeCell ref="J68:K68"/>
    <mergeCell ref="L68:M68"/>
    <mergeCell ref="AN67:AQ67"/>
    <mergeCell ref="AR67:AU67"/>
    <mergeCell ref="AV67:AY67"/>
    <mergeCell ref="AZ67:BC67"/>
    <mergeCell ref="BN68:BO68"/>
    <mergeCell ref="A76:C76"/>
    <mergeCell ref="BB68:BC68"/>
    <mergeCell ref="BD68:BE68"/>
    <mergeCell ref="BF68:BG68"/>
    <mergeCell ref="BH68:BI68"/>
    <mergeCell ref="BJ68:BK68"/>
    <mergeCell ref="BL68:BM68"/>
    <mergeCell ref="AP68:AQ68"/>
    <mergeCell ref="AR68:AS68"/>
    <mergeCell ref="AT68:AU68"/>
    <mergeCell ref="AV68:AW68"/>
    <mergeCell ref="AX68:AY68"/>
    <mergeCell ref="AZ68:BA68"/>
    <mergeCell ref="AD68:AE68"/>
    <mergeCell ref="AF68:AG68"/>
    <mergeCell ref="AH68:AI68"/>
    <mergeCell ref="AJ68:AK68"/>
    <mergeCell ref="AL68:AM68"/>
    <mergeCell ref="AN68:AO68"/>
  </mergeCells>
  <pageMargins left="0.7" right="0.7" top="0.75" bottom="0.75" header="0.3" footer="0.3"/>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8FDEA-6ECB-4718-8E8C-6F2918DC9ED5}">
  <sheetPr>
    <tabColor rgb="FF92D050"/>
  </sheetPr>
  <dimension ref="A2:J1502"/>
  <sheetViews>
    <sheetView showGridLines="0" zoomScaleNormal="100" workbookViewId="0">
      <pane xSplit="2" ySplit="7" topLeftCell="F1449" activePane="bottomRight" state="frozen"/>
      <selection activeCell="A2" sqref="A2"/>
      <selection pane="topRight" activeCell="A2" sqref="A2"/>
      <selection pane="bottomLeft" activeCell="A2" sqref="A2"/>
      <selection pane="bottomRight" activeCell="C8" sqref="C8:C1502"/>
    </sheetView>
  </sheetViews>
  <sheetFormatPr baseColWidth="10" defaultColWidth="11.5" defaultRowHeight="12"/>
  <cols>
    <col min="1" max="1" width="11.5" style="136"/>
    <col min="2" max="2" width="35.83203125" style="154" customWidth="1"/>
    <col min="3" max="3" width="69.75" style="154" bestFit="1" customWidth="1"/>
    <col min="4" max="4" width="35.75" style="154" bestFit="1" customWidth="1"/>
    <col min="5" max="5" width="15.83203125" style="154" bestFit="1" customWidth="1"/>
    <col min="6" max="6" width="65.75" style="154" bestFit="1" customWidth="1"/>
    <col min="7" max="7" width="22.1640625" style="154" bestFit="1" customWidth="1"/>
    <col min="8" max="8" width="20" style="450" bestFit="1" customWidth="1"/>
    <col min="9" max="9" width="33.4140625" style="154" customWidth="1"/>
    <col min="10" max="16384" width="11.5" style="136"/>
  </cols>
  <sheetData>
    <row r="2" spans="1:9">
      <c r="A2" s="187" t="s">
        <v>7246</v>
      </c>
    </row>
    <row r="3" spans="1:9">
      <c r="G3" s="155" t="s">
        <v>5623</v>
      </c>
      <c r="H3" s="450">
        <f>+SUMIFS(H8:H1502,D8:D1502,"LOCAL")</f>
        <v>3333031389.6919975</v>
      </c>
    </row>
    <row r="4" spans="1:9" ht="14.5" customHeight="1">
      <c r="G4" s="155" t="s">
        <v>5624</v>
      </c>
      <c r="H4" s="450">
        <f>+SUMIFS(H8:H1468,D8:D1468,"ETRANGER")</f>
        <v>573230961.64000022</v>
      </c>
    </row>
    <row r="5" spans="1:9">
      <c r="G5" s="451" t="s">
        <v>3784</v>
      </c>
      <c r="H5" s="452">
        <f>+H3+H4</f>
        <v>3906262351.3319979</v>
      </c>
    </row>
    <row r="7" spans="1:9" ht="24">
      <c r="A7" s="453" t="s">
        <v>519</v>
      </c>
      <c r="B7" s="453" t="s">
        <v>0</v>
      </c>
      <c r="C7" s="453" t="s">
        <v>1924</v>
      </c>
      <c r="D7" s="453" t="s">
        <v>1925</v>
      </c>
      <c r="E7" s="453" t="s">
        <v>1926</v>
      </c>
      <c r="F7" s="453" t="s">
        <v>1927</v>
      </c>
      <c r="G7" s="453" t="s">
        <v>1928</v>
      </c>
      <c r="H7" s="454" t="s">
        <v>1929</v>
      </c>
      <c r="I7" s="453" t="s">
        <v>1930</v>
      </c>
    </row>
    <row r="8" spans="1:9">
      <c r="A8" s="1020">
        <v>1</v>
      </c>
      <c r="B8" s="1020" t="s">
        <v>534</v>
      </c>
      <c r="C8" s="221" t="s">
        <v>1931</v>
      </c>
      <c r="D8" s="221" t="s">
        <v>2047</v>
      </c>
      <c r="E8" s="221" t="s">
        <v>529</v>
      </c>
      <c r="F8" s="221" t="s">
        <v>1932</v>
      </c>
      <c r="G8" s="251"/>
      <c r="H8" s="251">
        <v>295269832.77999997</v>
      </c>
      <c r="I8" s="251"/>
    </row>
    <row r="9" spans="1:9">
      <c r="A9" s="896"/>
      <c r="B9" s="896"/>
      <c r="C9" s="221" t="s">
        <v>1936</v>
      </c>
      <c r="D9" s="221" t="s">
        <v>2049</v>
      </c>
      <c r="E9" s="221" t="s">
        <v>1937</v>
      </c>
      <c r="F9" s="221" t="s">
        <v>1938</v>
      </c>
      <c r="G9" s="251"/>
      <c r="H9" s="251">
        <v>144400395.15000001</v>
      </c>
      <c r="I9" s="251"/>
    </row>
    <row r="10" spans="1:9">
      <c r="A10" s="896"/>
      <c r="B10" s="896"/>
      <c r="C10" s="221" t="s">
        <v>1933</v>
      </c>
      <c r="D10" s="221" t="s">
        <v>2049</v>
      </c>
      <c r="E10" s="221" t="s">
        <v>1934</v>
      </c>
      <c r="F10" s="221" t="s">
        <v>1935</v>
      </c>
      <c r="G10" s="251"/>
      <c r="H10" s="251">
        <v>128906095.75000003</v>
      </c>
      <c r="I10" s="251"/>
    </row>
    <row r="11" spans="1:9">
      <c r="A11" s="896"/>
      <c r="B11" s="896"/>
      <c r="C11" s="221" t="s">
        <v>3785</v>
      </c>
      <c r="D11" s="221" t="s">
        <v>2047</v>
      </c>
      <c r="E11" s="221" t="s">
        <v>529</v>
      </c>
      <c r="F11" s="221" t="s">
        <v>3786</v>
      </c>
      <c r="G11" s="251"/>
      <c r="H11" s="251">
        <v>117090572.87</v>
      </c>
      <c r="I11" s="251"/>
    </row>
    <row r="12" spans="1:9">
      <c r="A12" s="896"/>
      <c r="B12" s="896"/>
      <c r="C12" s="221" t="s">
        <v>3787</v>
      </c>
      <c r="D12" s="221" t="s">
        <v>2049</v>
      </c>
      <c r="E12" s="221" t="s">
        <v>1947</v>
      </c>
      <c r="F12" s="221" t="s">
        <v>3788</v>
      </c>
      <c r="G12" s="251"/>
      <c r="H12" s="251">
        <v>110906966.37999998</v>
      </c>
      <c r="I12" s="251"/>
    </row>
    <row r="13" spans="1:9">
      <c r="A13" s="896"/>
      <c r="B13" s="896"/>
      <c r="C13" s="221" t="s">
        <v>3789</v>
      </c>
      <c r="D13" s="221" t="s">
        <v>2049</v>
      </c>
      <c r="E13" s="221" t="s">
        <v>1940</v>
      </c>
      <c r="F13" s="221" t="s">
        <v>3790</v>
      </c>
      <c r="G13" s="251"/>
      <c r="H13" s="251">
        <v>89289135.739999995</v>
      </c>
      <c r="I13" s="251"/>
    </row>
    <row r="14" spans="1:9">
      <c r="A14" s="896"/>
      <c r="B14" s="896"/>
      <c r="C14" s="221" t="s">
        <v>3791</v>
      </c>
      <c r="D14" s="221" t="s">
        <v>2049</v>
      </c>
      <c r="E14" s="221" t="s">
        <v>1940</v>
      </c>
      <c r="F14" s="221" t="s">
        <v>1941</v>
      </c>
      <c r="G14" s="251"/>
      <c r="H14" s="251">
        <v>81754977.450000003</v>
      </c>
      <c r="I14" s="251"/>
    </row>
    <row r="15" spans="1:9">
      <c r="A15" s="893"/>
      <c r="B15" s="893"/>
      <c r="C15" s="221" t="s">
        <v>3792</v>
      </c>
      <c r="D15" s="221" t="s">
        <v>2049</v>
      </c>
      <c r="E15" s="221" t="s">
        <v>1942</v>
      </c>
      <c r="F15" s="221" t="s">
        <v>3793</v>
      </c>
      <c r="G15" s="251"/>
      <c r="H15" s="251">
        <v>71126952.379999995</v>
      </c>
      <c r="I15" s="251"/>
    </row>
    <row r="16" spans="1:9">
      <c r="A16" s="889">
        <f>+A8+1</f>
        <v>2</v>
      </c>
      <c r="B16" s="889" t="s">
        <v>539</v>
      </c>
      <c r="C16" s="51" t="s">
        <v>3794</v>
      </c>
      <c r="D16" s="51" t="s">
        <v>2049</v>
      </c>
      <c r="E16" s="51" t="s">
        <v>2326</v>
      </c>
      <c r="F16" s="51" t="s">
        <v>3795</v>
      </c>
      <c r="G16" s="81">
        <v>1</v>
      </c>
      <c r="H16" s="81">
        <v>2472274.41</v>
      </c>
      <c r="I16" s="81"/>
    </row>
    <row r="17" spans="1:9">
      <c r="A17" s="890"/>
      <c r="B17" s="890"/>
      <c r="C17" s="51" t="s">
        <v>3796</v>
      </c>
      <c r="D17" s="51" t="s">
        <v>2049</v>
      </c>
      <c r="E17" s="51" t="s">
        <v>3797</v>
      </c>
      <c r="F17" s="51" t="s">
        <v>3798</v>
      </c>
      <c r="G17" s="81">
        <v>2</v>
      </c>
      <c r="H17" s="81">
        <v>190097646.74000001</v>
      </c>
      <c r="I17" s="81"/>
    </row>
    <row r="18" spans="1:9">
      <c r="A18" s="890"/>
      <c r="B18" s="890"/>
      <c r="C18" s="51" t="s">
        <v>3799</v>
      </c>
      <c r="D18" s="51" t="s">
        <v>2049</v>
      </c>
      <c r="E18" s="51" t="s">
        <v>3800</v>
      </c>
      <c r="F18" s="51" t="s">
        <v>3801</v>
      </c>
      <c r="G18" s="81">
        <v>4</v>
      </c>
      <c r="H18" s="81">
        <v>10090149.380000001</v>
      </c>
      <c r="I18" s="81"/>
    </row>
    <row r="19" spans="1:9">
      <c r="A19" s="890"/>
      <c r="B19" s="890"/>
      <c r="C19" s="51" t="s">
        <v>3802</v>
      </c>
      <c r="D19" s="51" t="s">
        <v>2049</v>
      </c>
      <c r="E19" s="51" t="s">
        <v>3803</v>
      </c>
      <c r="F19" s="51" t="s">
        <v>3804</v>
      </c>
      <c r="G19" s="81">
        <v>2</v>
      </c>
      <c r="H19" s="81">
        <v>1065476.8600000001</v>
      </c>
      <c r="I19" s="81"/>
    </row>
    <row r="20" spans="1:9">
      <c r="A20" s="890"/>
      <c r="B20" s="890"/>
      <c r="C20" s="51" t="s">
        <v>3805</v>
      </c>
      <c r="D20" s="51" t="s">
        <v>2049</v>
      </c>
      <c r="E20" s="51" t="s">
        <v>3806</v>
      </c>
      <c r="F20" s="51" t="s">
        <v>3807</v>
      </c>
      <c r="G20" s="81">
        <v>5</v>
      </c>
      <c r="H20" s="81">
        <v>32975014.120000001</v>
      </c>
      <c r="I20" s="81"/>
    </row>
    <row r="21" spans="1:9">
      <c r="A21" s="891"/>
      <c r="B21" s="891"/>
      <c r="C21" s="51" t="s">
        <v>3808</v>
      </c>
      <c r="D21" s="51" t="s">
        <v>2049</v>
      </c>
      <c r="E21" s="51" t="s">
        <v>1937</v>
      </c>
      <c r="F21" s="51" t="s">
        <v>3809</v>
      </c>
      <c r="G21" s="81">
        <v>1</v>
      </c>
      <c r="H21" s="81">
        <v>1714759.64</v>
      </c>
      <c r="I21" s="81"/>
    </row>
    <row r="22" spans="1:9">
      <c r="A22" s="1021">
        <v>3</v>
      </c>
      <c r="B22" s="1024" t="s">
        <v>544</v>
      </c>
      <c r="C22" s="221" t="s">
        <v>3810</v>
      </c>
      <c r="D22" s="221" t="s">
        <v>2049</v>
      </c>
      <c r="E22" s="221" t="s">
        <v>563</v>
      </c>
      <c r="F22" s="221" t="s">
        <v>3811</v>
      </c>
      <c r="G22" s="221"/>
      <c r="H22" s="251">
        <v>7457082.1600000011</v>
      </c>
      <c r="I22" s="221"/>
    </row>
    <row r="23" spans="1:9">
      <c r="A23" s="1022"/>
      <c r="B23" s="1025"/>
      <c r="C23" s="221" t="s">
        <v>3812</v>
      </c>
      <c r="D23" s="221" t="s">
        <v>2049</v>
      </c>
      <c r="E23" s="221" t="s">
        <v>3813</v>
      </c>
      <c r="F23" s="221" t="s">
        <v>3814</v>
      </c>
      <c r="G23" s="221"/>
      <c r="H23" s="251">
        <v>5744520.1699999999</v>
      </c>
      <c r="I23" s="221"/>
    </row>
    <row r="24" spans="1:9">
      <c r="A24" s="1022"/>
      <c r="B24" s="1025"/>
      <c r="C24" s="221" t="s">
        <v>3815</v>
      </c>
      <c r="D24" s="221" t="s">
        <v>2049</v>
      </c>
      <c r="E24" s="221" t="s">
        <v>3816</v>
      </c>
      <c r="F24" s="221" t="s">
        <v>3817</v>
      </c>
      <c r="G24" s="221"/>
      <c r="H24" s="251">
        <v>5714307.7999999998</v>
      </c>
      <c r="I24" s="221"/>
    </row>
    <row r="25" spans="1:9">
      <c r="A25" s="1022"/>
      <c r="B25" s="1025"/>
      <c r="C25" s="221" t="s">
        <v>3818</v>
      </c>
      <c r="D25" s="221" t="s">
        <v>2049</v>
      </c>
      <c r="E25" s="221" t="s">
        <v>545</v>
      </c>
      <c r="F25" s="221" t="s">
        <v>3819</v>
      </c>
      <c r="G25" s="221"/>
      <c r="H25" s="251">
        <v>5135616.84</v>
      </c>
      <c r="I25" s="221"/>
    </row>
    <row r="26" spans="1:9">
      <c r="A26" s="1022"/>
      <c r="B26" s="1025"/>
      <c r="C26" s="221" t="s">
        <v>2015</v>
      </c>
      <c r="D26" s="221" t="s">
        <v>2049</v>
      </c>
      <c r="E26" s="221" t="s">
        <v>2292</v>
      </c>
      <c r="F26" s="221" t="s">
        <v>3820</v>
      </c>
      <c r="G26" s="221"/>
      <c r="H26" s="251">
        <v>5063864.4700000007</v>
      </c>
      <c r="I26" s="221"/>
    </row>
    <row r="27" spans="1:9">
      <c r="A27" s="1022"/>
      <c r="B27" s="1025"/>
      <c r="C27" s="221" t="s">
        <v>3821</v>
      </c>
      <c r="D27" s="221" t="s">
        <v>2049</v>
      </c>
      <c r="E27" s="221" t="s">
        <v>3822</v>
      </c>
      <c r="F27" s="221" t="s">
        <v>3823</v>
      </c>
      <c r="G27" s="221"/>
      <c r="H27" s="251">
        <v>5003796.7300000004</v>
      </c>
      <c r="I27" s="221"/>
    </row>
    <row r="28" spans="1:9">
      <c r="A28" s="1022"/>
      <c r="B28" s="1025"/>
      <c r="C28" s="221" t="s">
        <v>3824</v>
      </c>
      <c r="D28" s="221" t="s">
        <v>2049</v>
      </c>
      <c r="E28" s="221" t="s">
        <v>3825</v>
      </c>
      <c r="F28" s="221" t="s">
        <v>3826</v>
      </c>
      <c r="G28" s="221"/>
      <c r="H28" s="251">
        <v>4462148.57</v>
      </c>
      <c r="I28" s="221"/>
    </row>
    <row r="29" spans="1:9">
      <c r="A29" s="1022"/>
      <c r="B29" s="1025"/>
      <c r="C29" s="221" t="s">
        <v>3827</v>
      </c>
      <c r="D29" s="221" t="s">
        <v>2049</v>
      </c>
      <c r="E29" s="221" t="s">
        <v>3828</v>
      </c>
      <c r="F29" s="221" t="s">
        <v>3829</v>
      </c>
      <c r="G29" s="221"/>
      <c r="H29" s="251">
        <v>3785595.4399999995</v>
      </c>
      <c r="I29" s="221"/>
    </row>
    <row r="30" spans="1:9">
      <c r="A30" s="1022"/>
      <c r="B30" s="1025"/>
      <c r="C30" s="221" t="s">
        <v>2008</v>
      </c>
      <c r="D30" s="221" t="s">
        <v>2049</v>
      </c>
      <c r="E30" s="221" t="s">
        <v>1363</v>
      </c>
      <c r="F30" s="221" t="s">
        <v>3830</v>
      </c>
      <c r="G30" s="221"/>
      <c r="H30" s="251">
        <v>1871603.45</v>
      </c>
      <c r="I30" s="221"/>
    </row>
    <row r="31" spans="1:9">
      <c r="A31" s="1022"/>
      <c r="B31" s="1025"/>
      <c r="C31" s="221" t="s">
        <v>3831</v>
      </c>
      <c r="D31" s="221" t="s">
        <v>2049</v>
      </c>
      <c r="E31" s="221" t="s">
        <v>3832</v>
      </c>
      <c r="F31" s="221" t="s">
        <v>3833</v>
      </c>
      <c r="G31" s="221"/>
      <c r="H31" s="251">
        <v>1854766.6400000001</v>
      </c>
      <c r="I31" s="221"/>
    </row>
    <row r="32" spans="1:9">
      <c r="A32" s="1022"/>
      <c r="B32" s="1025"/>
      <c r="C32" s="221" t="s">
        <v>2012</v>
      </c>
      <c r="D32" s="221" t="s">
        <v>2049</v>
      </c>
      <c r="E32" s="221" t="s">
        <v>2177</v>
      </c>
      <c r="F32" s="221" t="s">
        <v>3834</v>
      </c>
      <c r="G32" s="221"/>
      <c r="H32" s="251">
        <v>1456908.8400000003</v>
      </c>
      <c r="I32" s="221"/>
    </row>
    <row r="33" spans="1:9">
      <c r="A33" s="1022"/>
      <c r="B33" s="1025"/>
      <c r="C33" s="221" t="s">
        <v>2003</v>
      </c>
      <c r="D33" s="221" t="s">
        <v>2049</v>
      </c>
      <c r="E33" s="221" t="s">
        <v>2464</v>
      </c>
      <c r="F33" s="221" t="s">
        <v>3835</v>
      </c>
      <c r="G33" s="221"/>
      <c r="H33" s="251">
        <v>1352661.69</v>
      </c>
      <c r="I33" s="221"/>
    </row>
    <row r="34" spans="1:9">
      <c r="A34" s="1022"/>
      <c r="B34" s="1025"/>
      <c r="C34" s="221" t="s">
        <v>2006</v>
      </c>
      <c r="D34" s="221" t="s">
        <v>2049</v>
      </c>
      <c r="E34" s="221" t="s">
        <v>3836</v>
      </c>
      <c r="F34" s="221" t="s">
        <v>3837</v>
      </c>
      <c r="G34" s="221"/>
      <c r="H34" s="251">
        <v>1231437.77</v>
      </c>
      <c r="I34" s="221"/>
    </row>
    <row r="35" spans="1:9">
      <c r="A35" s="1023"/>
      <c r="B35" s="1025"/>
      <c r="C35" s="221" t="s">
        <v>3838</v>
      </c>
      <c r="D35" s="221" t="s">
        <v>2049</v>
      </c>
      <c r="E35" s="221"/>
      <c r="F35" s="221"/>
      <c r="G35" s="221"/>
      <c r="H35" s="251">
        <v>845011.75</v>
      </c>
      <c r="I35" s="221"/>
    </row>
    <row r="36" spans="1:9">
      <c r="A36" s="889">
        <v>4</v>
      </c>
      <c r="B36" s="889" t="s">
        <v>553</v>
      </c>
      <c r="C36" s="51" t="s">
        <v>3839</v>
      </c>
      <c r="D36" s="51" t="s">
        <v>2049</v>
      </c>
      <c r="E36" s="51" t="s">
        <v>2321</v>
      </c>
      <c r="F36" s="51"/>
      <c r="G36" s="81"/>
      <c r="H36" s="81">
        <v>57522292.350000001</v>
      </c>
      <c r="I36" s="81"/>
    </row>
    <row r="37" spans="1:9">
      <c r="A37" s="890"/>
      <c r="B37" s="890"/>
      <c r="C37" s="51" t="s">
        <v>3840</v>
      </c>
      <c r="D37" s="51" t="s">
        <v>2049</v>
      </c>
      <c r="E37" s="51" t="s">
        <v>1942</v>
      </c>
      <c r="F37" s="51"/>
      <c r="G37" s="81"/>
      <c r="H37" s="81">
        <v>31042873.260000002</v>
      </c>
      <c r="I37" s="51"/>
    </row>
    <row r="38" spans="1:9">
      <c r="A38" s="890"/>
      <c r="B38" s="890"/>
      <c r="C38" s="51" t="s">
        <v>3841</v>
      </c>
      <c r="D38" s="51" t="s">
        <v>2049</v>
      </c>
      <c r="E38" s="51" t="s">
        <v>3842</v>
      </c>
      <c r="F38" s="51"/>
      <c r="G38" s="81"/>
      <c r="H38" s="81">
        <v>27787451.190000001</v>
      </c>
      <c r="I38" s="51"/>
    </row>
    <row r="39" spans="1:9">
      <c r="A39" s="890"/>
      <c r="B39" s="890"/>
      <c r="C39" s="51" t="s">
        <v>1948</v>
      </c>
      <c r="D39" s="51" t="s">
        <v>2049</v>
      </c>
      <c r="E39" s="51" t="s">
        <v>1949</v>
      </c>
      <c r="F39" s="51"/>
      <c r="G39" s="81"/>
      <c r="H39" s="81">
        <v>8264487.9699999997</v>
      </c>
      <c r="I39" s="51"/>
    </row>
    <row r="40" spans="1:9">
      <c r="A40" s="890"/>
      <c r="B40" s="890"/>
      <c r="C40" s="51" t="s">
        <v>3843</v>
      </c>
      <c r="D40" s="51" t="s">
        <v>2049</v>
      </c>
      <c r="E40" s="51" t="s">
        <v>1951</v>
      </c>
      <c r="F40" s="51"/>
      <c r="G40" s="81"/>
      <c r="H40" s="81">
        <v>7760854.9900000002</v>
      </c>
      <c r="I40" s="51"/>
    </row>
    <row r="41" spans="1:9">
      <c r="A41" s="890"/>
      <c r="B41" s="890"/>
      <c r="C41" s="51" t="s">
        <v>3844</v>
      </c>
      <c r="D41" s="51" t="s">
        <v>2049</v>
      </c>
      <c r="E41" s="51" t="s">
        <v>3845</v>
      </c>
      <c r="F41" s="51"/>
      <c r="G41" s="81"/>
      <c r="H41" s="81">
        <v>5352458.42</v>
      </c>
      <c r="I41" s="51"/>
    </row>
    <row r="42" spans="1:9">
      <c r="A42" s="890"/>
      <c r="B42" s="890"/>
      <c r="C42" s="51" t="s">
        <v>3846</v>
      </c>
      <c r="D42" s="51" t="s">
        <v>2049</v>
      </c>
      <c r="E42" s="51" t="s">
        <v>3847</v>
      </c>
      <c r="F42" s="51"/>
      <c r="G42" s="81"/>
      <c r="H42" s="81">
        <v>1295294.97</v>
      </c>
      <c r="I42" s="51"/>
    </row>
    <row r="43" spans="1:9">
      <c r="A43" s="890"/>
      <c r="B43" s="890"/>
      <c r="C43" s="51" t="s">
        <v>3848</v>
      </c>
      <c r="D43" s="51" t="s">
        <v>2049</v>
      </c>
      <c r="E43" s="51" t="s">
        <v>1952</v>
      </c>
      <c r="F43" s="51"/>
      <c r="G43" s="81"/>
      <c r="H43" s="81">
        <v>882510.53</v>
      </c>
      <c r="I43" s="51"/>
    </row>
    <row r="44" spans="1:9">
      <c r="A44" s="890"/>
      <c r="B44" s="890"/>
      <c r="C44" s="51" t="s">
        <v>3849</v>
      </c>
      <c r="D44" s="51" t="s">
        <v>2049</v>
      </c>
      <c r="E44" s="51" t="s">
        <v>3850</v>
      </c>
      <c r="F44" s="51"/>
      <c r="G44" s="81"/>
      <c r="H44" s="81">
        <v>566759.88</v>
      </c>
      <c r="I44" s="51"/>
    </row>
    <row r="45" spans="1:9">
      <c r="A45" s="890"/>
      <c r="B45" s="890"/>
      <c r="C45" s="51" t="s">
        <v>3851</v>
      </c>
      <c r="D45" s="51" t="s">
        <v>2049</v>
      </c>
      <c r="E45" s="51" t="s">
        <v>1946</v>
      </c>
      <c r="F45" s="51"/>
      <c r="G45" s="81"/>
      <c r="H45" s="81">
        <v>472974.92</v>
      </c>
      <c r="I45" s="51"/>
    </row>
    <row r="46" spans="1:9">
      <c r="A46" s="890"/>
      <c r="B46" s="890"/>
      <c r="C46" s="51" t="s">
        <v>1953</v>
      </c>
      <c r="D46" s="51" t="s">
        <v>2049</v>
      </c>
      <c r="E46" s="51" t="s">
        <v>1954</v>
      </c>
      <c r="F46" s="51"/>
      <c r="G46" s="81"/>
      <c r="H46" s="81">
        <v>284054.12</v>
      </c>
      <c r="I46" s="51"/>
    </row>
    <row r="47" spans="1:9">
      <c r="A47" s="890"/>
      <c r="B47" s="890"/>
      <c r="C47" s="51" t="s">
        <v>3852</v>
      </c>
      <c r="D47" s="51" t="s">
        <v>2049</v>
      </c>
      <c r="E47" s="51" t="s">
        <v>3853</v>
      </c>
      <c r="F47" s="51"/>
      <c r="G47" s="81"/>
      <c r="H47" s="81">
        <v>243836.53</v>
      </c>
      <c r="I47" s="51"/>
    </row>
    <row r="48" spans="1:9">
      <c r="A48" s="890"/>
      <c r="B48" s="890"/>
      <c r="C48" s="51" t="s">
        <v>3854</v>
      </c>
      <c r="D48" s="51" t="s">
        <v>2049</v>
      </c>
      <c r="E48" s="51" t="s">
        <v>3855</v>
      </c>
      <c r="F48" s="51"/>
      <c r="G48" s="81"/>
      <c r="H48" s="81">
        <v>210786.38</v>
      </c>
      <c r="I48" s="51"/>
    </row>
    <row r="49" spans="1:9">
      <c r="A49" s="890"/>
      <c r="B49" s="890"/>
      <c r="C49" s="51" t="s">
        <v>3856</v>
      </c>
      <c r="D49" s="51" t="s">
        <v>2049</v>
      </c>
      <c r="E49" s="51" t="s">
        <v>3857</v>
      </c>
      <c r="F49" s="51"/>
      <c r="G49" s="81"/>
      <c r="H49" s="81">
        <v>205804.3</v>
      </c>
      <c r="I49" s="51"/>
    </row>
    <row r="50" spans="1:9">
      <c r="A50" s="891"/>
      <c r="B50" s="891"/>
      <c r="C50" s="51" t="s">
        <v>1961</v>
      </c>
      <c r="D50" s="51" t="s">
        <v>2049</v>
      </c>
      <c r="E50" s="51" t="s">
        <v>2334</v>
      </c>
      <c r="F50" s="51"/>
      <c r="G50" s="81"/>
      <c r="H50" s="81">
        <v>145356.03</v>
      </c>
      <c r="I50" s="51"/>
    </row>
    <row r="51" spans="1:9">
      <c r="A51" s="915">
        <v>5</v>
      </c>
      <c r="B51" s="892" t="s">
        <v>2477</v>
      </c>
      <c r="C51" s="53" t="s">
        <v>3858</v>
      </c>
      <c r="D51" s="53" t="s">
        <v>2049</v>
      </c>
      <c r="E51" s="53" t="s">
        <v>3859</v>
      </c>
      <c r="F51" s="53"/>
      <c r="G51" s="82"/>
      <c r="H51" s="82" t="s">
        <v>1247</v>
      </c>
      <c r="I51" s="53"/>
    </row>
    <row r="52" spans="1:9">
      <c r="A52" s="930"/>
      <c r="B52" s="896"/>
      <c r="C52" s="53" t="s">
        <v>3860</v>
      </c>
      <c r="D52" s="53"/>
      <c r="E52" s="53"/>
      <c r="F52" s="53"/>
      <c r="G52" s="82"/>
      <c r="H52" s="82" t="s">
        <v>1247</v>
      </c>
      <c r="I52" s="53"/>
    </row>
    <row r="53" spans="1:9">
      <c r="A53" s="930"/>
      <c r="B53" s="896"/>
      <c r="C53" s="53" t="s">
        <v>3861</v>
      </c>
      <c r="D53" s="53"/>
      <c r="E53" s="53"/>
      <c r="F53" s="53"/>
      <c r="G53" s="82"/>
      <c r="H53" s="82" t="s">
        <v>1247</v>
      </c>
      <c r="I53" s="53"/>
    </row>
    <row r="54" spans="1:9">
      <c r="A54" s="930"/>
      <c r="B54" s="896"/>
      <c r="C54" s="53" t="s">
        <v>2452</v>
      </c>
      <c r="D54" s="53" t="s">
        <v>2049</v>
      </c>
      <c r="E54" s="53" t="s">
        <v>3862</v>
      </c>
      <c r="F54" s="53"/>
      <c r="G54" s="82"/>
      <c r="H54" s="82" t="s">
        <v>1247</v>
      </c>
      <c r="I54" s="53"/>
    </row>
    <row r="55" spans="1:9">
      <c r="A55" s="930"/>
      <c r="B55" s="896"/>
      <c r="C55" s="53" t="s">
        <v>3863</v>
      </c>
      <c r="D55" s="53" t="s">
        <v>2049</v>
      </c>
      <c r="E55" s="53" t="s">
        <v>3864</v>
      </c>
      <c r="F55" s="53"/>
      <c r="G55" s="82"/>
      <c r="H55" s="82" t="s">
        <v>1247</v>
      </c>
      <c r="I55" s="53"/>
    </row>
    <row r="56" spans="1:9">
      <c r="A56" s="930"/>
      <c r="B56" s="896"/>
      <c r="C56" s="53" t="s">
        <v>3865</v>
      </c>
      <c r="D56" s="53"/>
      <c r="E56" s="53"/>
      <c r="F56" s="53"/>
      <c r="G56" s="82"/>
      <c r="H56" s="82" t="s">
        <v>1247</v>
      </c>
      <c r="I56" s="53"/>
    </row>
    <row r="57" spans="1:9">
      <c r="A57" s="930"/>
      <c r="B57" s="896"/>
      <c r="C57" s="53" t="s">
        <v>2297</v>
      </c>
      <c r="D57" s="53"/>
      <c r="E57" s="53"/>
      <c r="F57" s="53"/>
      <c r="G57" s="82"/>
      <c r="H57" s="82" t="s">
        <v>1247</v>
      </c>
      <c r="I57" s="53"/>
    </row>
    <row r="58" spans="1:9">
      <c r="A58" s="916"/>
      <c r="B58" s="896"/>
      <c r="C58" s="53" t="s">
        <v>3866</v>
      </c>
      <c r="D58" s="53" t="s">
        <v>2049</v>
      </c>
      <c r="E58" s="53" t="s">
        <v>3867</v>
      </c>
      <c r="F58" s="53"/>
      <c r="G58" s="82"/>
      <c r="H58" s="82" t="s">
        <v>1247</v>
      </c>
      <c r="I58" s="53"/>
    </row>
    <row r="59" spans="1:9">
      <c r="A59" s="904">
        <v>6</v>
      </c>
      <c r="B59" s="894" t="s">
        <v>558</v>
      </c>
      <c r="C59" s="51" t="s">
        <v>3868</v>
      </c>
      <c r="D59" s="51" t="s">
        <v>1247</v>
      </c>
      <c r="E59" s="51" t="s">
        <v>1247</v>
      </c>
      <c r="F59" s="51"/>
      <c r="G59" s="51"/>
      <c r="H59" s="81" t="s">
        <v>1247</v>
      </c>
      <c r="I59" s="51"/>
    </row>
    <row r="60" spans="1:9">
      <c r="A60" s="905"/>
      <c r="B60" s="897"/>
      <c r="C60" s="51" t="s">
        <v>3869</v>
      </c>
      <c r="D60" s="51" t="s">
        <v>1247</v>
      </c>
      <c r="E60" s="51" t="s">
        <v>1247</v>
      </c>
      <c r="F60" s="51"/>
      <c r="G60" s="51"/>
      <c r="H60" s="81" t="s">
        <v>1247</v>
      </c>
      <c r="I60" s="51"/>
    </row>
    <row r="61" spans="1:9">
      <c r="A61" s="905"/>
      <c r="B61" s="897"/>
      <c r="C61" s="51" t="s">
        <v>3870</v>
      </c>
      <c r="D61" s="51" t="s">
        <v>1247</v>
      </c>
      <c r="E61" s="51" t="s">
        <v>1247</v>
      </c>
      <c r="F61" s="51"/>
      <c r="G61" s="51"/>
      <c r="H61" s="81" t="s">
        <v>1247</v>
      </c>
      <c r="I61" s="51"/>
    </row>
    <row r="62" spans="1:9">
      <c r="A62" s="905"/>
      <c r="B62" s="897"/>
      <c r="C62" s="51" t="s">
        <v>3871</v>
      </c>
      <c r="D62" s="51" t="s">
        <v>1247</v>
      </c>
      <c r="E62" s="51" t="s">
        <v>1247</v>
      </c>
      <c r="F62" s="51"/>
      <c r="G62" s="51"/>
      <c r="H62" s="81" t="s">
        <v>1247</v>
      </c>
      <c r="I62" s="51"/>
    </row>
    <row r="63" spans="1:9">
      <c r="A63" s="905"/>
      <c r="B63" s="897"/>
      <c r="C63" s="51" t="s">
        <v>3872</v>
      </c>
      <c r="D63" s="51" t="s">
        <v>1247</v>
      </c>
      <c r="E63" s="51" t="s">
        <v>1247</v>
      </c>
      <c r="F63" s="51"/>
      <c r="G63" s="51"/>
      <c r="H63" s="81" t="s">
        <v>1247</v>
      </c>
      <c r="I63" s="51"/>
    </row>
    <row r="64" spans="1:9">
      <c r="A64" s="905"/>
      <c r="B64" s="897"/>
      <c r="C64" s="51" t="s">
        <v>3873</v>
      </c>
      <c r="D64" s="51" t="s">
        <v>1247</v>
      </c>
      <c r="E64" s="51" t="s">
        <v>1247</v>
      </c>
      <c r="F64" s="51"/>
      <c r="G64" s="51"/>
      <c r="H64" s="81" t="s">
        <v>1247</v>
      </c>
      <c r="I64" s="51"/>
    </row>
    <row r="65" spans="1:9">
      <c r="A65" s="905"/>
      <c r="B65" s="897"/>
      <c r="C65" s="51" t="s">
        <v>3874</v>
      </c>
      <c r="D65" s="51" t="s">
        <v>1247</v>
      </c>
      <c r="E65" s="51" t="s">
        <v>1247</v>
      </c>
      <c r="F65" s="51"/>
      <c r="G65" s="51"/>
      <c r="H65" s="81" t="s">
        <v>1247</v>
      </c>
      <c r="I65" s="51"/>
    </row>
    <row r="66" spans="1:9">
      <c r="A66" s="905"/>
      <c r="B66" s="897"/>
      <c r="C66" s="51" t="s">
        <v>3875</v>
      </c>
      <c r="D66" s="51" t="s">
        <v>1247</v>
      </c>
      <c r="E66" s="51" t="s">
        <v>1247</v>
      </c>
      <c r="F66" s="51"/>
      <c r="G66" s="51"/>
      <c r="H66" s="81" t="s">
        <v>1247</v>
      </c>
      <c r="I66" s="51"/>
    </row>
    <row r="67" spans="1:9">
      <c r="A67" s="905"/>
      <c r="B67" s="897"/>
      <c r="C67" s="51" t="s">
        <v>3876</v>
      </c>
      <c r="D67" s="51" t="s">
        <v>1247</v>
      </c>
      <c r="E67" s="51" t="s">
        <v>1247</v>
      </c>
      <c r="F67" s="51"/>
      <c r="G67" s="51"/>
      <c r="H67" s="81" t="s">
        <v>1247</v>
      </c>
      <c r="I67" s="51"/>
    </row>
    <row r="68" spans="1:9">
      <c r="A68" s="905"/>
      <c r="B68" s="897"/>
      <c r="C68" s="51" t="s">
        <v>3877</v>
      </c>
      <c r="D68" s="51" t="s">
        <v>1247</v>
      </c>
      <c r="E68" s="51" t="s">
        <v>1247</v>
      </c>
      <c r="F68" s="51"/>
      <c r="G68" s="51"/>
      <c r="H68" s="81" t="s">
        <v>1247</v>
      </c>
      <c r="I68" s="51"/>
    </row>
    <row r="69" spans="1:9">
      <c r="A69" s="905"/>
      <c r="B69" s="897"/>
      <c r="C69" s="51" t="s">
        <v>3878</v>
      </c>
      <c r="D69" s="51" t="s">
        <v>1247</v>
      </c>
      <c r="E69" s="51" t="s">
        <v>1247</v>
      </c>
      <c r="F69" s="51"/>
      <c r="G69" s="51"/>
      <c r="H69" s="81" t="s">
        <v>1247</v>
      </c>
      <c r="I69" s="51"/>
    </row>
    <row r="70" spans="1:9">
      <c r="A70" s="905"/>
      <c r="B70" s="897"/>
      <c r="C70" s="51" t="s">
        <v>3879</v>
      </c>
      <c r="D70" s="51" t="s">
        <v>1247</v>
      </c>
      <c r="E70" s="51" t="s">
        <v>1247</v>
      </c>
      <c r="F70" s="51"/>
      <c r="G70" s="51"/>
      <c r="H70" s="81" t="s">
        <v>1247</v>
      </c>
      <c r="I70" s="51"/>
    </row>
    <row r="71" spans="1:9">
      <c r="A71" s="905"/>
      <c r="B71" s="897"/>
      <c r="C71" s="51" t="s">
        <v>3880</v>
      </c>
      <c r="D71" s="51" t="s">
        <v>1247</v>
      </c>
      <c r="E71" s="51" t="s">
        <v>1247</v>
      </c>
      <c r="F71" s="51"/>
      <c r="G71" s="51"/>
      <c r="H71" s="81" t="s">
        <v>1247</v>
      </c>
      <c r="I71" s="51"/>
    </row>
    <row r="72" spans="1:9">
      <c r="A72" s="905"/>
      <c r="B72" s="897"/>
      <c r="C72" s="51" t="s">
        <v>3881</v>
      </c>
      <c r="D72" s="51" t="s">
        <v>1247</v>
      </c>
      <c r="E72" s="51" t="s">
        <v>1247</v>
      </c>
      <c r="F72" s="51"/>
      <c r="G72" s="51"/>
      <c r="H72" s="81" t="s">
        <v>1247</v>
      </c>
      <c r="I72" s="51"/>
    </row>
    <row r="73" spans="1:9">
      <c r="A73" s="905"/>
      <c r="B73" s="897"/>
      <c r="C73" s="51" t="s">
        <v>3882</v>
      </c>
      <c r="D73" s="51" t="s">
        <v>1247</v>
      </c>
      <c r="E73" s="51" t="s">
        <v>1247</v>
      </c>
      <c r="F73" s="51"/>
      <c r="G73" s="51"/>
      <c r="H73" s="81" t="s">
        <v>1247</v>
      </c>
      <c r="I73" s="51"/>
    </row>
    <row r="74" spans="1:9">
      <c r="A74" s="905"/>
      <c r="B74" s="897"/>
      <c r="C74" s="51" t="s">
        <v>3883</v>
      </c>
      <c r="D74" s="51" t="s">
        <v>1247</v>
      </c>
      <c r="E74" s="51" t="s">
        <v>1247</v>
      </c>
      <c r="F74" s="51"/>
      <c r="G74" s="51"/>
      <c r="H74" s="81" t="s">
        <v>1247</v>
      </c>
      <c r="I74" s="51"/>
    </row>
    <row r="75" spans="1:9">
      <c r="A75" s="905"/>
      <c r="B75" s="897"/>
      <c r="C75" s="51" t="s">
        <v>3884</v>
      </c>
      <c r="D75" s="51" t="s">
        <v>1247</v>
      </c>
      <c r="E75" s="51" t="s">
        <v>1247</v>
      </c>
      <c r="F75" s="51"/>
      <c r="G75" s="51"/>
      <c r="H75" s="81" t="s">
        <v>1247</v>
      </c>
      <c r="I75" s="51"/>
    </row>
    <row r="76" spans="1:9">
      <c r="A76" s="905"/>
      <c r="B76" s="897"/>
      <c r="C76" s="51" t="s">
        <v>3885</v>
      </c>
      <c r="D76" s="51" t="s">
        <v>1247</v>
      </c>
      <c r="E76" s="51" t="s">
        <v>1247</v>
      </c>
      <c r="F76" s="51"/>
      <c r="G76" s="51"/>
      <c r="H76" s="81" t="s">
        <v>1247</v>
      </c>
      <c r="I76" s="51"/>
    </row>
    <row r="77" spans="1:9">
      <c r="A77" s="905"/>
      <c r="B77" s="897"/>
      <c r="C77" s="51" t="s">
        <v>3880</v>
      </c>
      <c r="D77" s="51" t="s">
        <v>1247</v>
      </c>
      <c r="E77" s="51" t="s">
        <v>1247</v>
      </c>
      <c r="F77" s="51"/>
      <c r="G77" s="51"/>
      <c r="H77" s="81" t="s">
        <v>1247</v>
      </c>
      <c r="I77" s="51"/>
    </row>
    <row r="78" spans="1:9">
      <c r="A78" s="905"/>
      <c r="B78" s="897"/>
      <c r="C78" s="51" t="s">
        <v>3886</v>
      </c>
      <c r="D78" s="51" t="s">
        <v>1247</v>
      </c>
      <c r="E78" s="51" t="s">
        <v>1247</v>
      </c>
      <c r="F78" s="51"/>
      <c r="G78" s="51"/>
      <c r="H78" s="81" t="s">
        <v>1247</v>
      </c>
      <c r="I78" s="51"/>
    </row>
    <row r="79" spans="1:9">
      <c r="A79" s="905"/>
      <c r="B79" s="897"/>
      <c r="C79" s="51" t="s">
        <v>3880</v>
      </c>
      <c r="D79" s="51" t="s">
        <v>1247</v>
      </c>
      <c r="E79" s="51" t="s">
        <v>1247</v>
      </c>
      <c r="F79" s="51"/>
      <c r="G79" s="51"/>
      <c r="H79" s="81" t="s">
        <v>1247</v>
      </c>
      <c r="I79" s="51"/>
    </row>
    <row r="80" spans="1:9">
      <c r="A80" s="905"/>
      <c r="B80" s="897"/>
      <c r="C80" s="51" t="s">
        <v>3880</v>
      </c>
      <c r="D80" s="51" t="s">
        <v>1247</v>
      </c>
      <c r="E80" s="51" t="s">
        <v>1247</v>
      </c>
      <c r="F80" s="51"/>
      <c r="G80" s="51"/>
      <c r="H80" s="81" t="s">
        <v>1247</v>
      </c>
      <c r="I80" s="51"/>
    </row>
    <row r="81" spans="1:9">
      <c r="A81" s="905"/>
      <c r="B81" s="897"/>
      <c r="C81" s="51" t="s">
        <v>3887</v>
      </c>
      <c r="D81" s="51" t="s">
        <v>1247</v>
      </c>
      <c r="E81" s="51" t="s">
        <v>1247</v>
      </c>
      <c r="F81" s="51"/>
      <c r="G81" s="51"/>
      <c r="H81" s="81" t="s">
        <v>1247</v>
      </c>
      <c r="I81" s="51"/>
    </row>
    <row r="82" spans="1:9">
      <c r="A82" s="905"/>
      <c r="B82" s="897"/>
      <c r="C82" s="51" t="s">
        <v>3888</v>
      </c>
      <c r="D82" s="51" t="s">
        <v>1247</v>
      </c>
      <c r="E82" s="51" t="s">
        <v>1247</v>
      </c>
      <c r="F82" s="51"/>
      <c r="G82" s="51"/>
      <c r="H82" s="81" t="s">
        <v>1247</v>
      </c>
      <c r="I82" s="51"/>
    </row>
    <row r="83" spans="1:9">
      <c r="A83" s="905"/>
      <c r="B83" s="897"/>
      <c r="C83" s="51" t="s">
        <v>3889</v>
      </c>
      <c r="D83" s="51" t="s">
        <v>1247</v>
      </c>
      <c r="E83" s="51" t="s">
        <v>1247</v>
      </c>
      <c r="F83" s="51"/>
      <c r="G83" s="51"/>
      <c r="H83" s="81" t="s">
        <v>1247</v>
      </c>
      <c r="I83" s="51"/>
    </row>
    <row r="84" spans="1:9">
      <c r="A84" s="905"/>
      <c r="B84" s="897"/>
      <c r="C84" s="51" t="s">
        <v>3890</v>
      </c>
      <c r="D84" s="51" t="s">
        <v>1247</v>
      </c>
      <c r="E84" s="51" t="s">
        <v>1247</v>
      </c>
      <c r="F84" s="51"/>
      <c r="G84" s="51"/>
      <c r="H84" s="81" t="s">
        <v>1247</v>
      </c>
      <c r="I84" s="51"/>
    </row>
    <row r="85" spans="1:9">
      <c r="A85" s="905"/>
      <c r="B85" s="897"/>
      <c r="C85" s="51" t="s">
        <v>3891</v>
      </c>
      <c r="D85" s="51" t="s">
        <v>1247</v>
      </c>
      <c r="E85" s="51" t="s">
        <v>1247</v>
      </c>
      <c r="F85" s="51"/>
      <c r="G85" s="51"/>
      <c r="H85" s="81" t="s">
        <v>1247</v>
      </c>
      <c r="I85" s="51"/>
    </row>
    <row r="86" spans="1:9">
      <c r="A86" s="905"/>
      <c r="B86" s="897"/>
      <c r="C86" s="51" t="s">
        <v>3892</v>
      </c>
      <c r="D86" s="51" t="s">
        <v>1247</v>
      </c>
      <c r="E86" s="51" t="s">
        <v>1247</v>
      </c>
      <c r="F86" s="51"/>
      <c r="G86" s="51"/>
      <c r="H86" s="81" t="s">
        <v>1247</v>
      </c>
      <c r="I86" s="51"/>
    </row>
    <row r="87" spans="1:9">
      <c r="A87" s="905"/>
      <c r="B87" s="897"/>
      <c r="C87" s="51" t="s">
        <v>3893</v>
      </c>
      <c r="D87" s="51" t="s">
        <v>1247</v>
      </c>
      <c r="E87" s="51" t="s">
        <v>1247</v>
      </c>
      <c r="F87" s="51"/>
      <c r="G87" s="51"/>
      <c r="H87" s="81" t="s">
        <v>1247</v>
      </c>
      <c r="I87" s="51"/>
    </row>
    <row r="88" spans="1:9">
      <c r="A88" s="905"/>
      <c r="B88" s="897"/>
      <c r="C88" s="51" t="s">
        <v>3465</v>
      </c>
      <c r="D88" s="51" t="s">
        <v>1247</v>
      </c>
      <c r="E88" s="51" t="s">
        <v>1247</v>
      </c>
      <c r="F88" s="51"/>
      <c r="G88" s="51"/>
      <c r="H88" s="81" t="s">
        <v>1247</v>
      </c>
      <c r="I88" s="51"/>
    </row>
    <row r="89" spans="1:9">
      <c r="A89" s="905"/>
      <c r="B89" s="897"/>
      <c r="C89" s="51" t="s">
        <v>3894</v>
      </c>
      <c r="D89" s="51" t="s">
        <v>1247</v>
      </c>
      <c r="E89" s="51" t="s">
        <v>1247</v>
      </c>
      <c r="F89" s="51"/>
      <c r="G89" s="51"/>
      <c r="H89" s="81" t="s">
        <v>1247</v>
      </c>
      <c r="I89" s="51"/>
    </row>
    <row r="90" spans="1:9">
      <c r="A90" s="905"/>
      <c r="B90" s="897"/>
      <c r="C90" s="51" t="s">
        <v>3883</v>
      </c>
      <c r="D90" s="51" t="s">
        <v>1247</v>
      </c>
      <c r="E90" s="51" t="s">
        <v>1247</v>
      </c>
      <c r="F90" s="51"/>
      <c r="G90" s="51"/>
      <c r="H90" s="81" t="s">
        <v>1247</v>
      </c>
      <c r="I90" s="51"/>
    </row>
    <row r="91" spans="1:9">
      <c r="A91" s="905"/>
      <c r="B91" s="897"/>
      <c r="C91" s="51" t="s">
        <v>3895</v>
      </c>
      <c r="D91" s="51" t="s">
        <v>1247</v>
      </c>
      <c r="E91" s="51" t="s">
        <v>1247</v>
      </c>
      <c r="F91" s="51"/>
      <c r="G91" s="51"/>
      <c r="H91" s="81" t="s">
        <v>1247</v>
      </c>
      <c r="I91" s="51"/>
    </row>
    <row r="92" spans="1:9">
      <c r="A92" s="905"/>
      <c r="B92" s="897"/>
      <c r="C92" s="51" t="s">
        <v>3896</v>
      </c>
      <c r="D92" s="51" t="s">
        <v>1247</v>
      </c>
      <c r="E92" s="51" t="s">
        <v>1247</v>
      </c>
      <c r="F92" s="51"/>
      <c r="G92" s="51"/>
      <c r="H92" s="81" t="s">
        <v>1247</v>
      </c>
      <c r="I92" s="51"/>
    </row>
    <row r="93" spans="1:9">
      <c r="A93" s="905"/>
      <c r="B93" s="897"/>
      <c r="C93" s="51" t="s">
        <v>3897</v>
      </c>
      <c r="D93" s="51" t="s">
        <v>1247</v>
      </c>
      <c r="E93" s="51" t="s">
        <v>1247</v>
      </c>
      <c r="F93" s="51"/>
      <c r="G93" s="51"/>
      <c r="H93" s="81" t="s">
        <v>1247</v>
      </c>
      <c r="I93" s="51"/>
    </row>
    <row r="94" spans="1:9">
      <c r="A94" s="905"/>
      <c r="B94" s="897"/>
      <c r="C94" s="51" t="s">
        <v>3898</v>
      </c>
      <c r="D94" s="51" t="s">
        <v>1247</v>
      </c>
      <c r="E94" s="51" t="s">
        <v>1247</v>
      </c>
      <c r="F94" s="51"/>
      <c r="G94" s="51"/>
      <c r="H94" s="81" t="s">
        <v>1247</v>
      </c>
      <c r="I94" s="51"/>
    </row>
    <row r="95" spans="1:9">
      <c r="A95" s="906"/>
      <c r="B95" s="897"/>
      <c r="C95" s="51" t="s">
        <v>3899</v>
      </c>
      <c r="D95" s="51" t="s">
        <v>1247</v>
      </c>
      <c r="E95" s="51" t="s">
        <v>1247</v>
      </c>
      <c r="F95" s="51"/>
      <c r="G95" s="51"/>
      <c r="H95" s="81" t="s">
        <v>1247</v>
      </c>
      <c r="I95" s="51"/>
    </row>
    <row r="96" spans="1:9">
      <c r="A96" s="892">
        <v>7</v>
      </c>
      <c r="B96" s="892" t="s">
        <v>562</v>
      </c>
      <c r="C96" s="221" t="s">
        <v>3900</v>
      </c>
      <c r="D96" s="221" t="s">
        <v>2049</v>
      </c>
      <c r="E96" s="221"/>
      <c r="F96" s="221" t="s">
        <v>3901</v>
      </c>
      <c r="G96" s="251"/>
      <c r="H96" s="251">
        <v>34046262.07</v>
      </c>
      <c r="I96" s="251"/>
    </row>
    <row r="97" spans="1:9">
      <c r="A97" s="896"/>
      <c r="B97" s="896"/>
      <c r="C97" s="221" t="s">
        <v>1956</v>
      </c>
      <c r="D97" s="221" t="s">
        <v>2049</v>
      </c>
      <c r="E97" s="221"/>
      <c r="F97" s="221" t="s">
        <v>3902</v>
      </c>
      <c r="G97" s="251"/>
      <c r="H97" s="251">
        <v>22294626.709999997</v>
      </c>
      <c r="I97" s="251"/>
    </row>
    <row r="98" spans="1:9">
      <c r="A98" s="896"/>
      <c r="B98" s="896"/>
      <c r="C98" s="221" t="s">
        <v>1957</v>
      </c>
      <c r="D98" s="221" t="s">
        <v>2049</v>
      </c>
      <c r="E98" s="221"/>
      <c r="F98" s="221" t="s">
        <v>3903</v>
      </c>
      <c r="G98" s="251"/>
      <c r="H98" s="251">
        <v>17838735.719999999</v>
      </c>
      <c r="I98" s="251"/>
    </row>
    <row r="99" spans="1:9">
      <c r="A99" s="896"/>
      <c r="B99" s="896"/>
      <c r="C99" s="221" t="s">
        <v>1967</v>
      </c>
      <c r="D99" s="221" t="s">
        <v>2049</v>
      </c>
      <c r="E99" s="221"/>
      <c r="F99" s="221" t="s">
        <v>3904</v>
      </c>
      <c r="G99" s="251"/>
      <c r="H99" s="251">
        <v>16671882.779999996</v>
      </c>
      <c r="I99" s="251"/>
    </row>
    <row r="100" spans="1:9">
      <c r="A100" s="896"/>
      <c r="B100" s="896"/>
      <c r="C100" s="221" t="s">
        <v>1955</v>
      </c>
      <c r="D100" s="221" t="s">
        <v>2049</v>
      </c>
      <c r="E100" s="221"/>
      <c r="F100" s="221" t="s">
        <v>3905</v>
      </c>
      <c r="G100" s="251"/>
      <c r="H100" s="251">
        <v>12215439.600000001</v>
      </c>
      <c r="I100" s="251"/>
    </row>
    <row r="101" spans="1:9">
      <c r="A101" s="896"/>
      <c r="B101" s="896"/>
      <c r="C101" s="221" t="s">
        <v>1958</v>
      </c>
      <c r="D101" s="221" t="s">
        <v>2049</v>
      </c>
      <c r="E101" s="221"/>
      <c r="F101" s="221" t="s">
        <v>3906</v>
      </c>
      <c r="G101" s="251"/>
      <c r="H101" s="251">
        <v>10549790.139999999</v>
      </c>
      <c r="I101" s="251"/>
    </row>
    <row r="102" spans="1:9">
      <c r="A102" s="896"/>
      <c r="B102" s="896"/>
      <c r="C102" s="221" t="s">
        <v>1959</v>
      </c>
      <c r="D102" s="221" t="s">
        <v>2049</v>
      </c>
      <c r="E102" s="221"/>
      <c r="F102" s="221" t="s">
        <v>3907</v>
      </c>
      <c r="G102" s="251"/>
      <c r="H102" s="251">
        <v>9392658.3499999996</v>
      </c>
      <c r="I102" s="251"/>
    </row>
    <row r="103" spans="1:9">
      <c r="A103" s="896"/>
      <c r="B103" s="896"/>
      <c r="C103" s="221" t="s">
        <v>3908</v>
      </c>
      <c r="D103" s="221" t="s">
        <v>2049</v>
      </c>
      <c r="E103" s="221"/>
      <c r="F103" s="221" t="s">
        <v>3909</v>
      </c>
      <c r="G103" s="251"/>
      <c r="H103" s="251">
        <v>7700363.7000000002</v>
      </c>
      <c r="I103" s="251"/>
    </row>
    <row r="104" spans="1:9">
      <c r="A104" s="896"/>
      <c r="B104" s="896"/>
      <c r="C104" s="221" t="s">
        <v>1960</v>
      </c>
      <c r="D104" s="221" t="s">
        <v>2049</v>
      </c>
      <c r="E104" s="221"/>
      <c r="F104" s="221" t="s">
        <v>3910</v>
      </c>
      <c r="G104" s="251"/>
      <c r="H104" s="251">
        <v>6244086.0099999998</v>
      </c>
      <c r="I104" s="251"/>
    </row>
    <row r="105" spans="1:9">
      <c r="A105" s="896"/>
      <c r="B105" s="896"/>
      <c r="C105" s="221" t="s">
        <v>1966</v>
      </c>
      <c r="D105" s="221" t="s">
        <v>2049</v>
      </c>
      <c r="E105" s="221"/>
      <c r="F105" s="221" t="s">
        <v>3911</v>
      </c>
      <c r="G105" s="251"/>
      <c r="H105" s="251">
        <v>5149611.84</v>
      </c>
      <c r="I105" s="251"/>
    </row>
    <row r="106" spans="1:9">
      <c r="A106" s="896"/>
      <c r="B106" s="896"/>
      <c r="C106" s="221" t="s">
        <v>1964</v>
      </c>
      <c r="D106" s="221" t="s">
        <v>2049</v>
      </c>
      <c r="E106" s="221"/>
      <c r="F106" s="221" t="s">
        <v>3912</v>
      </c>
      <c r="G106" s="251"/>
      <c r="H106" s="251">
        <v>4391069.2699999996</v>
      </c>
      <c r="I106" s="251"/>
    </row>
    <row r="107" spans="1:9">
      <c r="A107" s="896"/>
      <c r="B107" s="896"/>
      <c r="C107" s="221" t="s">
        <v>1974</v>
      </c>
      <c r="D107" s="221" t="s">
        <v>2049</v>
      </c>
      <c r="E107" s="221"/>
      <c r="F107" s="221" t="s">
        <v>3913</v>
      </c>
      <c r="G107" s="251"/>
      <c r="H107" s="251">
        <v>3764774.2600000002</v>
      </c>
      <c r="I107" s="251"/>
    </row>
    <row r="108" spans="1:9">
      <c r="A108" s="896"/>
      <c r="B108" s="896"/>
      <c r="C108" s="221" t="s">
        <v>1971</v>
      </c>
      <c r="D108" s="221" t="s">
        <v>2049</v>
      </c>
      <c r="E108" s="221"/>
      <c r="F108" s="221" t="s">
        <v>3914</v>
      </c>
      <c r="G108" s="251"/>
      <c r="H108" s="251">
        <v>3597749.91</v>
      </c>
      <c r="I108" s="251"/>
    </row>
    <row r="109" spans="1:9">
      <c r="A109" s="896"/>
      <c r="B109" s="896"/>
      <c r="C109" s="221" t="s">
        <v>1969</v>
      </c>
      <c r="D109" s="221" t="s">
        <v>2049</v>
      </c>
      <c r="E109" s="221"/>
      <c r="F109" s="221" t="s">
        <v>3915</v>
      </c>
      <c r="G109" s="251"/>
      <c r="H109" s="251">
        <v>3351828.51</v>
      </c>
      <c r="I109" s="251"/>
    </row>
    <row r="110" spans="1:9">
      <c r="A110" s="896"/>
      <c r="B110" s="896"/>
      <c r="C110" s="221" t="s">
        <v>3916</v>
      </c>
      <c r="D110" s="221" t="s">
        <v>2049</v>
      </c>
      <c r="E110" s="221"/>
      <c r="F110" s="221" t="s">
        <v>3917</v>
      </c>
      <c r="G110" s="251"/>
      <c r="H110" s="251">
        <v>2782429.4499999997</v>
      </c>
      <c r="I110" s="251"/>
    </row>
    <row r="111" spans="1:9">
      <c r="A111" s="896"/>
      <c r="B111" s="896"/>
      <c r="C111" s="221" t="s">
        <v>1982</v>
      </c>
      <c r="D111" s="221" t="s">
        <v>2049</v>
      </c>
      <c r="E111" s="221"/>
      <c r="F111" s="221" t="s">
        <v>3918</v>
      </c>
      <c r="G111" s="251"/>
      <c r="H111" s="251">
        <v>2690099.05</v>
      </c>
      <c r="I111" s="251"/>
    </row>
    <row r="112" spans="1:9">
      <c r="A112" s="896"/>
      <c r="B112" s="896"/>
      <c r="C112" s="221" t="s">
        <v>1988</v>
      </c>
      <c r="D112" s="221" t="s">
        <v>2049</v>
      </c>
      <c r="E112" s="221"/>
      <c r="F112" s="221" t="s">
        <v>3919</v>
      </c>
      <c r="G112" s="251"/>
      <c r="H112" s="251">
        <v>2613469.7599999998</v>
      </c>
      <c r="I112" s="251"/>
    </row>
    <row r="113" spans="1:9">
      <c r="A113" s="896"/>
      <c r="B113" s="896"/>
      <c r="C113" s="221" t="s">
        <v>3920</v>
      </c>
      <c r="D113" s="221" t="s">
        <v>2049</v>
      </c>
      <c r="E113" s="221"/>
      <c r="F113" s="221" t="s">
        <v>3921</v>
      </c>
      <c r="G113" s="251"/>
      <c r="H113" s="251">
        <v>2497237.23</v>
      </c>
      <c r="I113" s="251"/>
    </row>
    <row r="114" spans="1:9">
      <c r="A114" s="896"/>
      <c r="B114" s="896"/>
      <c r="C114" s="221" t="s">
        <v>1985</v>
      </c>
      <c r="D114" s="221" t="s">
        <v>2049</v>
      </c>
      <c r="E114" s="221"/>
      <c r="F114" s="221" t="s">
        <v>3922</v>
      </c>
      <c r="G114" s="251"/>
      <c r="H114" s="251">
        <v>2340560.7799999998</v>
      </c>
      <c r="I114" s="251"/>
    </row>
    <row r="115" spans="1:9">
      <c r="A115" s="896"/>
      <c r="B115" s="896"/>
      <c r="C115" s="221" t="s">
        <v>1976</v>
      </c>
      <c r="D115" s="221" t="s">
        <v>2049</v>
      </c>
      <c r="E115" s="221"/>
      <c r="F115" s="221" t="s">
        <v>3923</v>
      </c>
      <c r="G115" s="251"/>
      <c r="H115" s="251">
        <v>2214713.35</v>
      </c>
      <c r="I115" s="251"/>
    </row>
    <row r="116" spans="1:9">
      <c r="A116" s="896"/>
      <c r="B116" s="896"/>
      <c r="C116" s="221" t="s">
        <v>1975</v>
      </c>
      <c r="D116" s="221" t="s">
        <v>2049</v>
      </c>
      <c r="E116" s="221"/>
      <c r="F116" s="221" t="s">
        <v>3924</v>
      </c>
      <c r="G116" s="251"/>
      <c r="H116" s="251">
        <v>1917572.46</v>
      </c>
      <c r="I116" s="251"/>
    </row>
    <row r="117" spans="1:9">
      <c r="A117" s="896"/>
      <c r="B117" s="896"/>
      <c r="C117" s="221" t="s">
        <v>1980</v>
      </c>
      <c r="D117" s="221" t="s">
        <v>2049</v>
      </c>
      <c r="E117" s="221"/>
      <c r="F117" s="221" t="s">
        <v>3925</v>
      </c>
      <c r="G117" s="251"/>
      <c r="H117" s="251">
        <v>1863883.81</v>
      </c>
      <c r="I117" s="251"/>
    </row>
    <row r="118" spans="1:9">
      <c r="A118" s="896"/>
      <c r="B118" s="896"/>
      <c r="C118" s="221" t="s">
        <v>1962</v>
      </c>
      <c r="D118" s="221" t="s">
        <v>2049</v>
      </c>
      <c r="E118" s="221"/>
      <c r="F118" s="221" t="s">
        <v>3926</v>
      </c>
      <c r="G118" s="251"/>
      <c r="H118" s="251">
        <v>1802625.8</v>
      </c>
      <c r="I118" s="251"/>
    </row>
    <row r="119" spans="1:9">
      <c r="A119" s="896"/>
      <c r="B119" s="896"/>
      <c r="C119" s="221" t="s">
        <v>1993</v>
      </c>
      <c r="D119" s="221" t="s">
        <v>2049</v>
      </c>
      <c r="E119" s="221"/>
      <c r="F119" s="221" t="s">
        <v>3927</v>
      </c>
      <c r="G119" s="251"/>
      <c r="H119" s="251">
        <v>1772656.8</v>
      </c>
      <c r="I119" s="251"/>
    </row>
    <row r="120" spans="1:9">
      <c r="A120" s="896"/>
      <c r="B120" s="896"/>
      <c r="C120" s="221" t="s">
        <v>1981</v>
      </c>
      <c r="D120" s="221" t="s">
        <v>2049</v>
      </c>
      <c r="E120" s="221"/>
      <c r="F120" s="221" t="s">
        <v>3928</v>
      </c>
      <c r="G120" s="251"/>
      <c r="H120" s="251">
        <v>1700670.1</v>
      </c>
      <c r="I120" s="251"/>
    </row>
    <row r="121" spans="1:9">
      <c r="A121" s="896"/>
      <c r="B121" s="896"/>
      <c r="C121" s="221" t="s">
        <v>1979</v>
      </c>
      <c r="D121" s="221" t="s">
        <v>2049</v>
      </c>
      <c r="E121" s="221"/>
      <c r="F121" s="221" t="s">
        <v>3929</v>
      </c>
      <c r="G121" s="251"/>
      <c r="H121" s="251">
        <v>1673869.19</v>
      </c>
      <c r="I121" s="251"/>
    </row>
    <row r="122" spans="1:9">
      <c r="A122" s="896"/>
      <c r="B122" s="896"/>
      <c r="C122" s="221" t="s">
        <v>3930</v>
      </c>
      <c r="D122" s="221" t="s">
        <v>2049</v>
      </c>
      <c r="E122" s="221"/>
      <c r="F122" s="221" t="s">
        <v>3931</v>
      </c>
      <c r="G122" s="251"/>
      <c r="H122" s="251">
        <v>1653993.3499999999</v>
      </c>
      <c r="I122" s="251"/>
    </row>
    <row r="123" spans="1:9">
      <c r="A123" s="896"/>
      <c r="B123" s="896"/>
      <c r="C123" s="221" t="s">
        <v>3932</v>
      </c>
      <c r="D123" s="221" t="s">
        <v>2049</v>
      </c>
      <c r="E123" s="221"/>
      <c r="F123" s="221" t="s">
        <v>3933</v>
      </c>
      <c r="G123" s="251"/>
      <c r="H123" s="251">
        <v>1626179.99</v>
      </c>
      <c r="I123" s="251"/>
    </row>
    <row r="124" spans="1:9">
      <c r="A124" s="896"/>
      <c r="B124" s="896"/>
      <c r="C124" s="221" t="s">
        <v>1978</v>
      </c>
      <c r="D124" s="221" t="s">
        <v>2049</v>
      </c>
      <c r="E124" s="221"/>
      <c r="F124" s="221" t="s">
        <v>3934</v>
      </c>
      <c r="G124" s="251"/>
      <c r="H124" s="251">
        <v>1569137.4800000002</v>
      </c>
      <c r="I124" s="251"/>
    </row>
    <row r="125" spans="1:9">
      <c r="A125" s="896"/>
      <c r="B125" s="896"/>
      <c r="C125" s="221" t="s">
        <v>1968</v>
      </c>
      <c r="D125" s="221" t="s">
        <v>2049</v>
      </c>
      <c r="E125" s="221"/>
      <c r="F125" s="221" t="s">
        <v>3935</v>
      </c>
      <c r="G125" s="251"/>
      <c r="H125" s="251">
        <v>1524845.85</v>
      </c>
      <c r="I125" s="251"/>
    </row>
    <row r="126" spans="1:9">
      <c r="A126" s="896"/>
      <c r="B126" s="896"/>
      <c r="C126" s="221" t="s">
        <v>2001</v>
      </c>
      <c r="D126" s="221" t="s">
        <v>2049</v>
      </c>
      <c r="E126" s="221"/>
      <c r="F126" s="221" t="s">
        <v>3936</v>
      </c>
      <c r="G126" s="251"/>
      <c r="H126" s="251">
        <v>1495500.78</v>
      </c>
      <c r="I126" s="251"/>
    </row>
    <row r="127" spans="1:9">
      <c r="A127" s="896"/>
      <c r="B127" s="896"/>
      <c r="C127" s="221" t="s">
        <v>1972</v>
      </c>
      <c r="D127" s="221" t="s">
        <v>2049</v>
      </c>
      <c r="E127" s="221"/>
      <c r="F127" s="221" t="s">
        <v>3937</v>
      </c>
      <c r="G127" s="251"/>
      <c r="H127" s="251">
        <v>1454902.49</v>
      </c>
      <c r="I127" s="251"/>
    </row>
    <row r="128" spans="1:9">
      <c r="A128" s="896"/>
      <c r="B128" s="896"/>
      <c r="C128" s="221" t="s">
        <v>3938</v>
      </c>
      <c r="D128" s="221" t="s">
        <v>2049</v>
      </c>
      <c r="E128" s="221"/>
      <c r="F128" s="221" t="s">
        <v>3939</v>
      </c>
      <c r="G128" s="251"/>
      <c r="H128" s="251">
        <v>1341044.3199999998</v>
      </c>
      <c r="I128" s="251"/>
    </row>
    <row r="129" spans="1:9">
      <c r="A129" s="896"/>
      <c r="B129" s="896"/>
      <c r="C129" s="221" t="s">
        <v>3940</v>
      </c>
      <c r="D129" s="221" t="s">
        <v>2049</v>
      </c>
      <c r="E129" s="221"/>
      <c r="F129" s="221" t="s">
        <v>3941</v>
      </c>
      <c r="G129" s="251"/>
      <c r="H129" s="251">
        <v>1307190.1700000002</v>
      </c>
      <c r="I129" s="251"/>
    </row>
    <row r="130" spans="1:9">
      <c r="A130" s="896"/>
      <c r="B130" s="896"/>
      <c r="C130" s="221" t="s">
        <v>1992</v>
      </c>
      <c r="D130" s="221" t="s">
        <v>2049</v>
      </c>
      <c r="E130" s="221"/>
      <c r="F130" s="221" t="s">
        <v>3942</v>
      </c>
      <c r="G130" s="251"/>
      <c r="H130" s="251">
        <v>1019628.8200000001</v>
      </c>
      <c r="I130" s="251"/>
    </row>
    <row r="131" spans="1:9">
      <c r="A131" s="896"/>
      <c r="B131" s="896"/>
      <c r="C131" s="221" t="s">
        <v>2012</v>
      </c>
      <c r="D131" s="221" t="s">
        <v>2049</v>
      </c>
      <c r="E131" s="221"/>
      <c r="F131" s="221" t="s">
        <v>3943</v>
      </c>
      <c r="G131" s="251"/>
      <c r="H131" s="251">
        <v>885174.79</v>
      </c>
      <c r="I131" s="251"/>
    </row>
    <row r="132" spans="1:9">
      <c r="A132" s="896"/>
      <c r="B132" s="896"/>
      <c r="C132" s="221" t="s">
        <v>2005</v>
      </c>
      <c r="D132" s="221" t="s">
        <v>2049</v>
      </c>
      <c r="E132" s="221"/>
      <c r="F132" s="221" t="s">
        <v>3944</v>
      </c>
      <c r="G132" s="251"/>
      <c r="H132" s="251">
        <v>880216.11</v>
      </c>
      <c r="I132" s="251"/>
    </row>
    <row r="133" spans="1:9">
      <c r="A133" s="896"/>
      <c r="B133" s="896"/>
      <c r="C133" s="221" t="s">
        <v>2024</v>
      </c>
      <c r="D133" s="221" t="s">
        <v>2049</v>
      </c>
      <c r="E133" s="221"/>
      <c r="F133" s="221" t="s">
        <v>3945</v>
      </c>
      <c r="G133" s="251"/>
      <c r="H133" s="251">
        <v>855307.53</v>
      </c>
      <c r="I133" s="251"/>
    </row>
    <row r="134" spans="1:9">
      <c r="A134" s="896"/>
      <c r="B134" s="896"/>
      <c r="C134" s="221" t="s">
        <v>1987</v>
      </c>
      <c r="D134" s="221" t="s">
        <v>2049</v>
      </c>
      <c r="E134" s="221"/>
      <c r="F134" s="221" t="s">
        <v>3946</v>
      </c>
      <c r="G134" s="251"/>
      <c r="H134" s="251">
        <v>833069.86</v>
      </c>
      <c r="I134" s="251"/>
    </row>
    <row r="135" spans="1:9">
      <c r="A135" s="896"/>
      <c r="B135" s="896"/>
      <c r="C135" s="221" t="s">
        <v>2019</v>
      </c>
      <c r="D135" s="221" t="s">
        <v>2049</v>
      </c>
      <c r="E135" s="221"/>
      <c r="F135" s="221" t="s">
        <v>3947</v>
      </c>
      <c r="G135" s="251"/>
      <c r="H135" s="251">
        <v>822236.32</v>
      </c>
      <c r="I135" s="251"/>
    </row>
    <row r="136" spans="1:9">
      <c r="A136" s="896"/>
      <c r="B136" s="896"/>
      <c r="C136" s="221" t="s">
        <v>1991</v>
      </c>
      <c r="D136" s="221" t="s">
        <v>2049</v>
      </c>
      <c r="E136" s="221"/>
      <c r="F136" s="221" t="s">
        <v>3948</v>
      </c>
      <c r="G136" s="251"/>
      <c r="H136" s="251">
        <v>801703.43</v>
      </c>
      <c r="I136" s="251"/>
    </row>
    <row r="137" spans="1:9">
      <c r="A137" s="896"/>
      <c r="B137" s="896"/>
      <c r="C137" s="221" t="s">
        <v>1973</v>
      </c>
      <c r="D137" s="221" t="s">
        <v>2049</v>
      </c>
      <c r="E137" s="221"/>
      <c r="F137" s="221" t="s">
        <v>3949</v>
      </c>
      <c r="G137" s="251"/>
      <c r="H137" s="251">
        <v>767600.48999999987</v>
      </c>
      <c r="I137" s="251"/>
    </row>
    <row r="138" spans="1:9">
      <c r="A138" s="896"/>
      <c r="B138" s="896"/>
      <c r="C138" s="221" t="s">
        <v>3950</v>
      </c>
      <c r="D138" s="221" t="s">
        <v>2049</v>
      </c>
      <c r="E138" s="221"/>
      <c r="F138" s="221" t="s">
        <v>3951</v>
      </c>
      <c r="G138" s="251"/>
      <c r="H138" s="251">
        <v>747137.39</v>
      </c>
      <c r="I138" s="251"/>
    </row>
    <row r="139" spans="1:9">
      <c r="A139" s="896"/>
      <c r="B139" s="896"/>
      <c r="C139" s="221" t="s">
        <v>3952</v>
      </c>
      <c r="D139" s="221" t="s">
        <v>2049</v>
      </c>
      <c r="E139" s="221"/>
      <c r="F139" s="221" t="s">
        <v>3953</v>
      </c>
      <c r="G139" s="251"/>
      <c r="H139" s="251">
        <v>670782.84</v>
      </c>
      <c r="I139" s="251"/>
    </row>
    <row r="140" spans="1:9">
      <c r="A140" s="896"/>
      <c r="B140" s="896"/>
      <c r="C140" s="221" t="s">
        <v>1996</v>
      </c>
      <c r="D140" s="221" t="s">
        <v>2049</v>
      </c>
      <c r="E140" s="221"/>
      <c r="F140" s="221" t="s">
        <v>3954</v>
      </c>
      <c r="G140" s="251"/>
      <c r="H140" s="251">
        <v>667709.31999999995</v>
      </c>
      <c r="I140" s="251"/>
    </row>
    <row r="141" spans="1:9">
      <c r="A141" s="896"/>
      <c r="B141" s="896"/>
      <c r="C141" s="221" t="s">
        <v>1965</v>
      </c>
      <c r="D141" s="221" t="s">
        <v>2049</v>
      </c>
      <c r="E141" s="221"/>
      <c r="F141" s="221" t="s">
        <v>3955</v>
      </c>
      <c r="G141" s="251"/>
      <c r="H141" s="251">
        <v>662445.64</v>
      </c>
      <c r="I141" s="251"/>
    </row>
    <row r="142" spans="1:9">
      <c r="A142" s="896"/>
      <c r="B142" s="896"/>
      <c r="C142" s="221" t="s">
        <v>2011</v>
      </c>
      <c r="D142" s="221" t="s">
        <v>2049</v>
      </c>
      <c r="E142" s="221"/>
      <c r="F142" s="221" t="s">
        <v>3956</v>
      </c>
      <c r="G142" s="251"/>
      <c r="H142" s="251">
        <v>645814.41999999993</v>
      </c>
      <c r="I142" s="251"/>
    </row>
    <row r="143" spans="1:9">
      <c r="A143" s="896"/>
      <c r="B143" s="896"/>
      <c r="C143" s="221" t="s">
        <v>1998</v>
      </c>
      <c r="D143" s="221" t="s">
        <v>2049</v>
      </c>
      <c r="E143" s="221"/>
      <c r="F143" s="221" t="s">
        <v>3957</v>
      </c>
      <c r="G143" s="251"/>
      <c r="H143" s="251">
        <v>633026.5</v>
      </c>
      <c r="I143" s="251"/>
    </row>
    <row r="144" spans="1:9">
      <c r="A144" s="896"/>
      <c r="B144" s="896"/>
      <c r="C144" s="221" t="s">
        <v>1990</v>
      </c>
      <c r="D144" s="221" t="s">
        <v>2049</v>
      </c>
      <c r="E144" s="221"/>
      <c r="F144" s="221" t="s">
        <v>3958</v>
      </c>
      <c r="G144" s="251"/>
      <c r="H144" s="251">
        <v>629187.4800000001</v>
      </c>
      <c r="I144" s="251"/>
    </row>
    <row r="145" spans="1:9">
      <c r="A145" s="896"/>
      <c r="B145" s="896"/>
      <c r="C145" s="221" t="s">
        <v>3959</v>
      </c>
      <c r="D145" s="221" t="s">
        <v>2049</v>
      </c>
      <c r="E145" s="221"/>
      <c r="F145" s="221" t="s">
        <v>3960</v>
      </c>
      <c r="G145" s="251"/>
      <c r="H145" s="251">
        <v>622042.30999999994</v>
      </c>
      <c r="I145" s="251"/>
    </row>
    <row r="146" spans="1:9">
      <c r="A146" s="896"/>
      <c r="B146" s="896"/>
      <c r="C146" s="221" t="s">
        <v>2009</v>
      </c>
      <c r="D146" s="221" t="s">
        <v>2049</v>
      </c>
      <c r="E146" s="221"/>
      <c r="F146" s="221" t="s">
        <v>3961</v>
      </c>
      <c r="G146" s="251"/>
      <c r="H146" s="251">
        <v>617722.04</v>
      </c>
      <c r="I146" s="251"/>
    </row>
    <row r="147" spans="1:9">
      <c r="A147" s="896"/>
      <c r="B147" s="896"/>
      <c r="C147" s="221" t="s">
        <v>2010</v>
      </c>
      <c r="D147" s="221" t="s">
        <v>2049</v>
      </c>
      <c r="E147" s="221"/>
      <c r="F147" s="221" t="s">
        <v>3962</v>
      </c>
      <c r="G147" s="251"/>
      <c r="H147" s="251">
        <v>599207.41</v>
      </c>
      <c r="I147" s="251"/>
    </row>
    <row r="148" spans="1:9">
      <c r="A148" s="896"/>
      <c r="B148" s="896"/>
      <c r="C148" s="221" t="s">
        <v>3963</v>
      </c>
      <c r="D148" s="221" t="s">
        <v>2049</v>
      </c>
      <c r="E148" s="221"/>
      <c r="F148" s="221" t="s">
        <v>3964</v>
      </c>
      <c r="G148" s="251"/>
      <c r="H148" s="251">
        <v>500061.79</v>
      </c>
      <c r="I148" s="251"/>
    </row>
    <row r="149" spans="1:9">
      <c r="A149" s="896"/>
      <c r="B149" s="896"/>
      <c r="C149" s="221" t="s">
        <v>2002</v>
      </c>
      <c r="D149" s="221" t="s">
        <v>2049</v>
      </c>
      <c r="E149" s="221"/>
      <c r="F149" s="221" t="s">
        <v>3965</v>
      </c>
      <c r="G149" s="251"/>
      <c r="H149" s="251">
        <v>498899.30000000005</v>
      </c>
      <c r="I149" s="251"/>
    </row>
    <row r="150" spans="1:9">
      <c r="A150" s="896"/>
      <c r="B150" s="896"/>
      <c r="C150" s="221" t="s">
        <v>1984</v>
      </c>
      <c r="D150" s="221" t="s">
        <v>2049</v>
      </c>
      <c r="E150" s="221"/>
      <c r="F150" s="221" t="s">
        <v>3966</v>
      </c>
      <c r="G150" s="251"/>
      <c r="H150" s="251">
        <v>475929.22000000003</v>
      </c>
      <c r="I150" s="251"/>
    </row>
    <row r="151" spans="1:9">
      <c r="A151" s="896"/>
      <c r="B151" s="896"/>
      <c r="C151" s="221" t="s">
        <v>1999</v>
      </c>
      <c r="D151" s="221" t="s">
        <v>2049</v>
      </c>
      <c r="E151" s="221"/>
      <c r="F151" s="221" t="s">
        <v>3967</v>
      </c>
      <c r="G151" s="251"/>
      <c r="H151" s="251">
        <v>463042.38999999996</v>
      </c>
      <c r="I151" s="251"/>
    </row>
    <row r="152" spans="1:9">
      <c r="A152" s="896"/>
      <c r="B152" s="896"/>
      <c r="C152" s="221" t="s">
        <v>2004</v>
      </c>
      <c r="D152" s="221" t="s">
        <v>2049</v>
      </c>
      <c r="E152" s="221"/>
      <c r="F152" s="221" t="s">
        <v>3968</v>
      </c>
      <c r="G152" s="251"/>
      <c r="H152" s="251">
        <v>462288.75</v>
      </c>
      <c r="I152" s="251"/>
    </row>
    <row r="153" spans="1:9">
      <c r="A153" s="896"/>
      <c r="B153" s="896"/>
      <c r="C153" s="221" t="s">
        <v>3969</v>
      </c>
      <c r="D153" s="221" t="s">
        <v>2049</v>
      </c>
      <c r="E153" s="221"/>
      <c r="F153" s="221" t="s">
        <v>3970</v>
      </c>
      <c r="G153" s="251"/>
      <c r="H153" s="251">
        <v>450383.06</v>
      </c>
      <c r="I153" s="251"/>
    </row>
    <row r="154" spans="1:9">
      <c r="A154" s="896"/>
      <c r="B154" s="896"/>
      <c r="C154" s="221" t="s">
        <v>2016</v>
      </c>
      <c r="D154" s="221" t="s">
        <v>2049</v>
      </c>
      <c r="E154" s="221"/>
      <c r="F154" s="221" t="s">
        <v>3971</v>
      </c>
      <c r="G154" s="251"/>
      <c r="H154" s="251">
        <v>436116.88</v>
      </c>
      <c r="I154" s="251"/>
    </row>
    <row r="155" spans="1:9">
      <c r="A155" s="896"/>
      <c r="B155" s="896"/>
      <c r="C155" s="221" t="s">
        <v>3972</v>
      </c>
      <c r="D155" s="221" t="s">
        <v>2049</v>
      </c>
      <c r="E155" s="221"/>
      <c r="F155" s="221" t="s">
        <v>3973</v>
      </c>
      <c r="G155" s="251"/>
      <c r="H155" s="251">
        <v>430524.54999999993</v>
      </c>
      <c r="I155" s="251"/>
    </row>
    <row r="156" spans="1:9">
      <c r="A156" s="896"/>
      <c r="B156" s="896"/>
      <c r="C156" s="221" t="s">
        <v>2026</v>
      </c>
      <c r="D156" s="221" t="s">
        <v>2049</v>
      </c>
      <c r="E156" s="221"/>
      <c r="F156" s="221" t="s">
        <v>3974</v>
      </c>
      <c r="G156" s="251"/>
      <c r="H156" s="251">
        <v>428752.57</v>
      </c>
      <c r="I156" s="251"/>
    </row>
    <row r="157" spans="1:9">
      <c r="A157" s="896"/>
      <c r="B157" s="896"/>
      <c r="C157" s="221" t="s">
        <v>2027</v>
      </c>
      <c r="D157" s="221" t="s">
        <v>2049</v>
      </c>
      <c r="E157" s="221"/>
      <c r="F157" s="221" t="s">
        <v>3975</v>
      </c>
      <c r="G157" s="251"/>
      <c r="H157" s="251">
        <v>398333.84</v>
      </c>
      <c r="I157" s="251"/>
    </row>
    <row r="158" spans="1:9">
      <c r="A158" s="896"/>
      <c r="B158" s="896"/>
      <c r="C158" s="221" t="s">
        <v>2017</v>
      </c>
      <c r="D158" s="221" t="s">
        <v>2049</v>
      </c>
      <c r="E158" s="221"/>
      <c r="F158" s="221" t="s">
        <v>3976</v>
      </c>
      <c r="G158" s="251"/>
      <c r="H158" s="251">
        <v>396495.41</v>
      </c>
      <c r="I158" s="251"/>
    </row>
    <row r="159" spans="1:9">
      <c r="A159" s="896"/>
      <c r="B159" s="896"/>
      <c r="C159" s="221" t="s">
        <v>2045</v>
      </c>
      <c r="D159" s="221" t="s">
        <v>2049</v>
      </c>
      <c r="E159" s="221"/>
      <c r="F159" s="221" t="s">
        <v>3977</v>
      </c>
      <c r="G159" s="251"/>
      <c r="H159" s="251">
        <v>394252.94000000006</v>
      </c>
      <c r="I159" s="251"/>
    </row>
    <row r="160" spans="1:9">
      <c r="A160" s="896"/>
      <c r="B160" s="896"/>
      <c r="C160" s="221" t="s">
        <v>1995</v>
      </c>
      <c r="D160" s="221" t="s">
        <v>2049</v>
      </c>
      <c r="E160" s="221"/>
      <c r="F160" s="221" t="s">
        <v>3978</v>
      </c>
      <c r="G160" s="251"/>
      <c r="H160" s="251">
        <v>381953.38</v>
      </c>
      <c r="I160" s="251"/>
    </row>
    <row r="161" spans="1:9">
      <c r="A161" s="896"/>
      <c r="B161" s="896"/>
      <c r="C161" s="221" t="s">
        <v>3979</v>
      </c>
      <c r="D161" s="221" t="s">
        <v>2049</v>
      </c>
      <c r="E161" s="221"/>
      <c r="F161" s="221" t="s">
        <v>3980</v>
      </c>
      <c r="G161" s="251"/>
      <c r="H161" s="251">
        <v>370619.43</v>
      </c>
      <c r="I161" s="251"/>
    </row>
    <row r="162" spans="1:9">
      <c r="A162" s="896"/>
      <c r="B162" s="896"/>
      <c r="C162" s="221" t="s">
        <v>2028</v>
      </c>
      <c r="D162" s="221" t="s">
        <v>2049</v>
      </c>
      <c r="E162" s="221"/>
      <c r="F162" s="221" t="s">
        <v>3981</v>
      </c>
      <c r="G162" s="251"/>
      <c r="H162" s="251">
        <v>363927.48000000004</v>
      </c>
      <c r="I162" s="251"/>
    </row>
    <row r="163" spans="1:9">
      <c r="A163" s="896"/>
      <c r="B163" s="896"/>
      <c r="C163" s="221" t="s">
        <v>3982</v>
      </c>
      <c r="D163" s="221" t="s">
        <v>2049</v>
      </c>
      <c r="E163" s="221"/>
      <c r="F163" s="221" t="s">
        <v>3983</v>
      </c>
      <c r="G163" s="251"/>
      <c r="H163" s="251">
        <v>362403.32</v>
      </c>
      <c r="I163" s="251"/>
    </row>
    <row r="164" spans="1:9">
      <c r="A164" s="896"/>
      <c r="B164" s="896"/>
      <c r="C164" s="221" t="s">
        <v>3984</v>
      </c>
      <c r="D164" s="221" t="s">
        <v>2049</v>
      </c>
      <c r="E164" s="221"/>
      <c r="F164" s="221" t="s">
        <v>3985</v>
      </c>
      <c r="G164" s="251"/>
      <c r="H164" s="251">
        <v>360186.11</v>
      </c>
      <c r="I164" s="251"/>
    </row>
    <row r="165" spans="1:9">
      <c r="A165" s="896"/>
      <c r="B165" s="896"/>
      <c r="C165" s="221" t="s">
        <v>2033</v>
      </c>
      <c r="D165" s="221" t="s">
        <v>2049</v>
      </c>
      <c r="E165" s="221"/>
      <c r="F165" s="221" t="s">
        <v>3986</v>
      </c>
      <c r="G165" s="251"/>
      <c r="H165" s="251">
        <v>349939.52</v>
      </c>
      <c r="I165" s="251"/>
    </row>
    <row r="166" spans="1:9">
      <c r="A166" s="896"/>
      <c r="B166" s="896"/>
      <c r="C166" s="221" t="s">
        <v>2003</v>
      </c>
      <c r="D166" s="221" t="s">
        <v>2049</v>
      </c>
      <c r="E166" s="221"/>
      <c r="F166" s="221" t="s">
        <v>3987</v>
      </c>
      <c r="G166" s="251"/>
      <c r="H166" s="251">
        <v>348800.71</v>
      </c>
      <c r="I166" s="251"/>
    </row>
    <row r="167" spans="1:9">
      <c r="A167" s="896"/>
      <c r="B167" s="896"/>
      <c r="C167" s="221" t="s">
        <v>2014</v>
      </c>
      <c r="D167" s="221" t="s">
        <v>2049</v>
      </c>
      <c r="E167" s="221"/>
      <c r="F167" s="221" t="s">
        <v>3988</v>
      </c>
      <c r="G167" s="251"/>
      <c r="H167" s="251">
        <v>301194.45999999996</v>
      </c>
      <c r="I167" s="251"/>
    </row>
    <row r="168" spans="1:9">
      <c r="A168" s="896"/>
      <c r="B168" s="896"/>
      <c r="C168" s="221" t="s">
        <v>2021</v>
      </c>
      <c r="D168" s="221" t="s">
        <v>2049</v>
      </c>
      <c r="E168" s="221"/>
      <c r="F168" s="221" t="s">
        <v>3989</v>
      </c>
      <c r="G168" s="251"/>
      <c r="H168" s="251">
        <v>288641.48</v>
      </c>
      <c r="I168" s="251"/>
    </row>
    <row r="169" spans="1:9">
      <c r="A169" s="896"/>
      <c r="B169" s="896"/>
      <c r="C169" s="221" t="s">
        <v>3990</v>
      </c>
      <c r="D169" s="221" t="s">
        <v>2049</v>
      </c>
      <c r="E169" s="221"/>
      <c r="F169" s="221" t="s">
        <v>3991</v>
      </c>
      <c r="G169" s="251"/>
      <c r="H169" s="251">
        <v>274690.32</v>
      </c>
      <c r="I169" s="251"/>
    </row>
    <row r="170" spans="1:9">
      <c r="A170" s="896"/>
      <c r="B170" s="896"/>
      <c r="C170" s="221" t="s">
        <v>2043</v>
      </c>
      <c r="D170" s="221" t="s">
        <v>2049</v>
      </c>
      <c r="E170" s="221"/>
      <c r="F170" s="221" t="s">
        <v>3992</v>
      </c>
      <c r="G170" s="251"/>
      <c r="H170" s="251">
        <v>267736.47000000003</v>
      </c>
      <c r="I170" s="251"/>
    </row>
    <row r="171" spans="1:9">
      <c r="A171" s="896"/>
      <c r="B171" s="896"/>
      <c r="C171" s="221" t="s">
        <v>2000</v>
      </c>
      <c r="D171" s="221" t="s">
        <v>2049</v>
      </c>
      <c r="E171" s="221"/>
      <c r="F171" s="221" t="s">
        <v>3993</v>
      </c>
      <c r="G171" s="251"/>
      <c r="H171" s="251">
        <v>258395.26</v>
      </c>
      <c r="I171" s="251"/>
    </row>
    <row r="172" spans="1:9">
      <c r="A172" s="896"/>
      <c r="B172" s="896"/>
      <c r="C172" s="221" t="s">
        <v>1977</v>
      </c>
      <c r="D172" s="221" t="s">
        <v>2049</v>
      </c>
      <c r="E172" s="221"/>
      <c r="F172" s="221" t="s">
        <v>3994</v>
      </c>
      <c r="G172" s="251"/>
      <c r="H172" s="251">
        <v>239574.22999999998</v>
      </c>
      <c r="I172" s="251"/>
    </row>
    <row r="173" spans="1:9">
      <c r="A173" s="896"/>
      <c r="B173" s="896"/>
      <c r="C173" s="221" t="s">
        <v>2022</v>
      </c>
      <c r="D173" s="221" t="s">
        <v>2049</v>
      </c>
      <c r="E173" s="221"/>
      <c r="F173" s="221" t="s">
        <v>3995</v>
      </c>
      <c r="G173" s="251"/>
      <c r="H173" s="251">
        <v>235667.28000000003</v>
      </c>
      <c r="I173" s="251"/>
    </row>
    <row r="174" spans="1:9">
      <c r="A174" s="896"/>
      <c r="B174" s="896"/>
      <c r="C174" s="221" t="s">
        <v>1983</v>
      </c>
      <c r="D174" s="221" t="s">
        <v>2049</v>
      </c>
      <c r="E174" s="221"/>
      <c r="F174" s="221" t="s">
        <v>3996</v>
      </c>
      <c r="G174" s="251"/>
      <c r="H174" s="251">
        <v>227932.54</v>
      </c>
      <c r="I174" s="251"/>
    </row>
    <row r="175" spans="1:9">
      <c r="A175" s="896"/>
      <c r="B175" s="896"/>
      <c r="C175" s="221" t="s">
        <v>1970</v>
      </c>
      <c r="D175" s="221" t="s">
        <v>2049</v>
      </c>
      <c r="E175" s="221"/>
      <c r="F175" s="221" t="s">
        <v>3997</v>
      </c>
      <c r="G175" s="251"/>
      <c r="H175" s="251">
        <v>214719.34</v>
      </c>
      <c r="I175" s="251"/>
    </row>
    <row r="176" spans="1:9">
      <c r="A176" s="896"/>
      <c r="B176" s="896"/>
      <c r="C176" s="221" t="s">
        <v>1986</v>
      </c>
      <c r="D176" s="221" t="s">
        <v>2049</v>
      </c>
      <c r="E176" s="221"/>
      <c r="F176" s="221" t="s">
        <v>3998</v>
      </c>
      <c r="G176" s="251"/>
      <c r="H176" s="251">
        <v>213737.44</v>
      </c>
      <c r="I176" s="251"/>
    </row>
    <row r="177" spans="1:9">
      <c r="A177" s="896"/>
      <c r="B177" s="896"/>
      <c r="C177" s="221" t="s">
        <v>3999</v>
      </c>
      <c r="D177" s="221" t="s">
        <v>2049</v>
      </c>
      <c r="E177" s="221"/>
      <c r="F177" s="221" t="s">
        <v>4000</v>
      </c>
      <c r="G177" s="251"/>
      <c r="H177" s="251">
        <v>211779.57</v>
      </c>
      <c r="I177" s="251"/>
    </row>
    <row r="178" spans="1:9">
      <c r="A178" s="896"/>
      <c r="B178" s="896"/>
      <c r="C178" s="221" t="s">
        <v>4001</v>
      </c>
      <c r="D178" s="221" t="s">
        <v>2049</v>
      </c>
      <c r="E178" s="221"/>
      <c r="F178" s="221" t="s">
        <v>3933</v>
      </c>
      <c r="G178" s="251"/>
      <c r="H178" s="251">
        <v>202458.86</v>
      </c>
      <c r="I178" s="251"/>
    </row>
    <row r="179" spans="1:9">
      <c r="A179" s="896"/>
      <c r="B179" s="896"/>
      <c r="C179" s="221" t="s">
        <v>4002</v>
      </c>
      <c r="D179" s="221" t="s">
        <v>2049</v>
      </c>
      <c r="E179" s="221"/>
      <c r="F179" s="221" t="s">
        <v>4003</v>
      </c>
      <c r="G179" s="251"/>
      <c r="H179" s="251">
        <v>198502.89</v>
      </c>
      <c r="I179" s="251"/>
    </row>
    <row r="180" spans="1:9">
      <c r="A180" s="896"/>
      <c r="B180" s="896"/>
      <c r="C180" s="221" t="s">
        <v>2035</v>
      </c>
      <c r="D180" s="221" t="s">
        <v>2049</v>
      </c>
      <c r="E180" s="221"/>
      <c r="F180" s="221" t="s">
        <v>4004</v>
      </c>
      <c r="G180" s="251"/>
      <c r="H180" s="251">
        <v>187678.71999999997</v>
      </c>
      <c r="I180" s="251"/>
    </row>
    <row r="181" spans="1:9">
      <c r="A181" s="896"/>
      <c r="B181" s="896"/>
      <c r="C181" s="221" t="s">
        <v>2020</v>
      </c>
      <c r="D181" s="221" t="s">
        <v>2049</v>
      </c>
      <c r="E181" s="221"/>
      <c r="F181" s="221" t="s">
        <v>4005</v>
      </c>
      <c r="G181" s="251"/>
      <c r="H181" s="251">
        <v>178601.47</v>
      </c>
      <c r="I181" s="251"/>
    </row>
    <row r="182" spans="1:9">
      <c r="A182" s="896"/>
      <c r="B182" s="896"/>
      <c r="C182" s="221" t="s">
        <v>4006</v>
      </c>
      <c r="D182" s="221" t="s">
        <v>2049</v>
      </c>
      <c r="E182" s="221"/>
      <c r="F182" s="221" t="s">
        <v>4007</v>
      </c>
      <c r="G182" s="251"/>
      <c r="H182" s="251">
        <v>176709.25</v>
      </c>
      <c r="I182" s="251"/>
    </row>
    <row r="183" spans="1:9">
      <c r="A183" s="896"/>
      <c r="B183" s="896"/>
      <c r="C183" s="221" t="s">
        <v>2040</v>
      </c>
      <c r="D183" s="221" t="s">
        <v>2049</v>
      </c>
      <c r="E183" s="221"/>
      <c r="F183" s="221" t="s">
        <v>4008</v>
      </c>
      <c r="G183" s="251"/>
      <c r="H183" s="251">
        <v>170711.93000000002</v>
      </c>
      <c r="I183" s="251"/>
    </row>
    <row r="184" spans="1:9">
      <c r="A184" s="896"/>
      <c r="B184" s="896"/>
      <c r="C184" s="221" t="s">
        <v>1994</v>
      </c>
      <c r="D184" s="221" t="s">
        <v>2049</v>
      </c>
      <c r="E184" s="221"/>
      <c r="F184" s="221" t="s">
        <v>4009</v>
      </c>
      <c r="G184" s="251"/>
      <c r="H184" s="251">
        <v>165788.83000000002</v>
      </c>
      <c r="I184" s="251"/>
    </row>
    <row r="185" spans="1:9">
      <c r="A185" s="896"/>
      <c r="B185" s="896"/>
      <c r="C185" s="221" t="s">
        <v>875</v>
      </c>
      <c r="D185" s="221" t="s">
        <v>2049</v>
      </c>
      <c r="E185" s="221"/>
      <c r="F185" s="221" t="s">
        <v>1921</v>
      </c>
      <c r="G185" s="251"/>
      <c r="H185" s="251">
        <v>161217.10999999999</v>
      </c>
      <c r="I185" s="251"/>
    </row>
    <row r="186" spans="1:9">
      <c r="A186" s="896"/>
      <c r="B186" s="896"/>
      <c r="C186" s="221" t="s">
        <v>2044</v>
      </c>
      <c r="D186" s="221" t="s">
        <v>2049</v>
      </c>
      <c r="E186" s="221"/>
      <c r="F186" s="221" t="s">
        <v>4010</v>
      </c>
      <c r="G186" s="251"/>
      <c r="H186" s="251">
        <v>160871.9</v>
      </c>
      <c r="I186" s="251"/>
    </row>
    <row r="187" spans="1:9">
      <c r="A187" s="896"/>
      <c r="B187" s="896"/>
      <c r="C187" s="221" t="s">
        <v>1251</v>
      </c>
      <c r="D187" s="221" t="s">
        <v>2049</v>
      </c>
      <c r="E187" s="221"/>
      <c r="F187" s="221" t="s">
        <v>4011</v>
      </c>
      <c r="G187" s="251"/>
      <c r="H187" s="251">
        <v>149005.48000000001</v>
      </c>
      <c r="I187" s="251"/>
    </row>
    <row r="188" spans="1:9">
      <c r="A188" s="896"/>
      <c r="B188" s="896"/>
      <c r="C188" s="221" t="s">
        <v>2037</v>
      </c>
      <c r="D188" s="221" t="s">
        <v>2049</v>
      </c>
      <c r="E188" s="221"/>
      <c r="F188" s="221" t="s">
        <v>4012</v>
      </c>
      <c r="G188" s="251"/>
      <c r="H188" s="251">
        <v>136358.12</v>
      </c>
      <c r="I188" s="251"/>
    </row>
    <row r="189" spans="1:9">
      <c r="A189" s="896"/>
      <c r="B189" s="896"/>
      <c r="C189" s="221" t="s">
        <v>4013</v>
      </c>
      <c r="D189" s="221" t="s">
        <v>2049</v>
      </c>
      <c r="E189" s="221"/>
      <c r="F189" s="221" t="s">
        <v>4014</v>
      </c>
      <c r="G189" s="251"/>
      <c r="H189" s="251">
        <v>131506.81</v>
      </c>
      <c r="I189" s="251"/>
    </row>
    <row r="190" spans="1:9">
      <c r="A190" s="896"/>
      <c r="B190" s="896"/>
      <c r="C190" s="221" t="s">
        <v>2018</v>
      </c>
      <c r="D190" s="221" t="s">
        <v>2049</v>
      </c>
      <c r="E190" s="221"/>
      <c r="F190" s="221" t="s">
        <v>4015</v>
      </c>
      <c r="G190" s="251"/>
      <c r="H190" s="251">
        <v>129682.69</v>
      </c>
      <c r="I190" s="251"/>
    </row>
    <row r="191" spans="1:9">
      <c r="A191" s="896"/>
      <c r="B191" s="896"/>
      <c r="C191" s="221" t="s">
        <v>2025</v>
      </c>
      <c r="D191" s="221" t="s">
        <v>2049</v>
      </c>
      <c r="E191" s="221"/>
      <c r="F191" s="221" t="s">
        <v>4016</v>
      </c>
      <c r="G191" s="251"/>
      <c r="H191" s="251">
        <v>126878.48</v>
      </c>
      <c r="I191" s="251"/>
    </row>
    <row r="192" spans="1:9">
      <c r="A192" s="896"/>
      <c r="B192" s="896"/>
      <c r="C192" s="221" t="s">
        <v>4017</v>
      </c>
      <c r="D192" s="221" t="s">
        <v>2049</v>
      </c>
      <c r="E192" s="221"/>
      <c r="F192" s="221" t="s">
        <v>4018</v>
      </c>
      <c r="G192" s="251"/>
      <c r="H192" s="251">
        <v>123204.85</v>
      </c>
      <c r="I192" s="251"/>
    </row>
    <row r="193" spans="1:9">
      <c r="A193" s="896"/>
      <c r="B193" s="896"/>
      <c r="C193" s="221" t="s">
        <v>4019</v>
      </c>
      <c r="D193" s="221" t="s">
        <v>2049</v>
      </c>
      <c r="E193" s="221"/>
      <c r="F193" s="221" t="s">
        <v>4020</v>
      </c>
      <c r="G193" s="251"/>
      <c r="H193" s="251">
        <v>122575.79000000001</v>
      </c>
      <c r="I193" s="251"/>
    </row>
    <row r="194" spans="1:9">
      <c r="A194" s="896"/>
      <c r="B194" s="896"/>
      <c r="C194" s="221" t="s">
        <v>2046</v>
      </c>
      <c r="D194" s="221" t="s">
        <v>2049</v>
      </c>
      <c r="E194" s="221"/>
      <c r="F194" s="221" t="s">
        <v>4021</v>
      </c>
      <c r="G194" s="251"/>
      <c r="H194" s="251">
        <v>115861.59</v>
      </c>
      <c r="I194" s="251"/>
    </row>
    <row r="195" spans="1:9">
      <c r="A195" s="896"/>
      <c r="B195" s="896"/>
      <c r="C195" s="221" t="s">
        <v>2038</v>
      </c>
      <c r="D195" s="221" t="s">
        <v>2049</v>
      </c>
      <c r="E195" s="221"/>
      <c r="F195" s="221" t="s">
        <v>4022</v>
      </c>
      <c r="G195" s="251"/>
      <c r="H195" s="251">
        <v>112592.15</v>
      </c>
      <c r="I195" s="251"/>
    </row>
    <row r="196" spans="1:9">
      <c r="A196" s="896"/>
      <c r="B196" s="896"/>
      <c r="C196" s="221" t="s">
        <v>4023</v>
      </c>
      <c r="D196" s="221" t="s">
        <v>2049</v>
      </c>
      <c r="E196" s="221"/>
      <c r="F196" s="221" t="s">
        <v>4024</v>
      </c>
      <c r="G196" s="251"/>
      <c r="H196" s="251">
        <v>92290.180000000008</v>
      </c>
      <c r="I196" s="251"/>
    </row>
    <row r="197" spans="1:9">
      <c r="A197" s="896"/>
      <c r="B197" s="896"/>
      <c r="C197" s="221" t="s">
        <v>4025</v>
      </c>
      <c r="D197" s="221" t="s">
        <v>2049</v>
      </c>
      <c r="E197" s="221"/>
      <c r="F197" s="221" t="s">
        <v>4026</v>
      </c>
      <c r="G197" s="251"/>
      <c r="H197" s="251">
        <v>88045.27</v>
      </c>
      <c r="I197" s="251"/>
    </row>
    <row r="198" spans="1:9">
      <c r="A198" s="896"/>
      <c r="B198" s="896"/>
      <c r="C198" s="221" t="s">
        <v>2029</v>
      </c>
      <c r="D198" s="221" t="s">
        <v>2049</v>
      </c>
      <c r="E198" s="221"/>
      <c r="F198" s="221" t="s">
        <v>4027</v>
      </c>
      <c r="G198" s="251"/>
      <c r="H198" s="251">
        <v>87226.86</v>
      </c>
      <c r="I198" s="251"/>
    </row>
    <row r="199" spans="1:9">
      <c r="A199" s="896"/>
      <c r="B199" s="896"/>
      <c r="C199" s="221" t="s">
        <v>4028</v>
      </c>
      <c r="D199" s="221" t="s">
        <v>2049</v>
      </c>
      <c r="E199" s="221"/>
      <c r="F199" s="221" t="s">
        <v>4029</v>
      </c>
      <c r="G199" s="251"/>
      <c r="H199" s="251">
        <v>81760.59</v>
      </c>
      <c r="I199" s="251"/>
    </row>
    <row r="200" spans="1:9">
      <c r="A200" s="896"/>
      <c r="B200" s="896"/>
      <c r="C200" s="221" t="s">
        <v>2013</v>
      </c>
      <c r="D200" s="221" t="s">
        <v>2049</v>
      </c>
      <c r="E200" s="221"/>
      <c r="F200" s="221" t="s">
        <v>4030</v>
      </c>
      <c r="G200" s="251"/>
      <c r="H200" s="251">
        <v>70000</v>
      </c>
      <c r="I200" s="251"/>
    </row>
    <row r="201" spans="1:9">
      <c r="A201" s="896"/>
      <c r="B201" s="896"/>
      <c r="C201" s="221" t="s">
        <v>2007</v>
      </c>
      <c r="D201" s="221" t="s">
        <v>2049</v>
      </c>
      <c r="E201" s="221"/>
      <c r="F201" s="221" t="s">
        <v>4031</v>
      </c>
      <c r="G201" s="251"/>
      <c r="H201" s="251">
        <v>69588.489999999991</v>
      </c>
      <c r="I201" s="251"/>
    </row>
    <row r="202" spans="1:9">
      <c r="A202" s="896"/>
      <c r="B202" s="896"/>
      <c r="C202" s="221" t="s">
        <v>2034</v>
      </c>
      <c r="D202" s="221" t="s">
        <v>2049</v>
      </c>
      <c r="E202" s="221"/>
      <c r="F202" s="221" t="s">
        <v>4032</v>
      </c>
      <c r="G202" s="251"/>
      <c r="H202" s="251">
        <v>66417.02</v>
      </c>
      <c r="I202" s="251"/>
    </row>
    <row r="203" spans="1:9">
      <c r="A203" s="896"/>
      <c r="B203" s="896"/>
      <c r="C203" s="221" t="s">
        <v>2030</v>
      </c>
      <c r="D203" s="221" t="s">
        <v>2049</v>
      </c>
      <c r="E203" s="221"/>
      <c r="F203" s="221" t="s">
        <v>4033</v>
      </c>
      <c r="G203" s="251"/>
      <c r="H203" s="251">
        <v>54113.96</v>
      </c>
      <c r="I203" s="251"/>
    </row>
    <row r="204" spans="1:9">
      <c r="A204" s="896"/>
      <c r="B204" s="896"/>
      <c r="C204" s="221" t="s">
        <v>2006</v>
      </c>
      <c r="D204" s="221" t="s">
        <v>2049</v>
      </c>
      <c r="E204" s="221"/>
      <c r="F204" s="221" t="s">
        <v>4034</v>
      </c>
      <c r="G204" s="251"/>
      <c r="H204" s="251">
        <v>52791.770000000004</v>
      </c>
      <c r="I204" s="251"/>
    </row>
    <row r="205" spans="1:9">
      <c r="A205" s="896"/>
      <c r="B205" s="896"/>
      <c r="C205" s="221" t="s">
        <v>1989</v>
      </c>
      <c r="D205" s="221" t="s">
        <v>2049</v>
      </c>
      <c r="E205" s="221"/>
      <c r="F205" s="221" t="s">
        <v>4035</v>
      </c>
      <c r="G205" s="251"/>
      <c r="H205" s="251">
        <v>49932.2</v>
      </c>
      <c r="I205" s="251"/>
    </row>
    <row r="206" spans="1:9">
      <c r="A206" s="896"/>
      <c r="B206" s="896"/>
      <c r="C206" s="221" t="s">
        <v>4036</v>
      </c>
      <c r="D206" s="221" t="s">
        <v>2049</v>
      </c>
      <c r="E206" s="221"/>
      <c r="F206" s="221" t="s">
        <v>4037</v>
      </c>
      <c r="G206" s="251"/>
      <c r="H206" s="251">
        <v>45562.75</v>
      </c>
      <c r="I206" s="251"/>
    </row>
    <row r="207" spans="1:9">
      <c r="A207" s="896"/>
      <c r="B207" s="896"/>
      <c r="C207" s="221" t="s">
        <v>2032</v>
      </c>
      <c r="D207" s="221" t="s">
        <v>2049</v>
      </c>
      <c r="E207" s="221"/>
      <c r="F207" s="221" t="s">
        <v>4038</v>
      </c>
      <c r="G207" s="251"/>
      <c r="H207" s="251">
        <v>42807.87</v>
      </c>
      <c r="I207" s="251"/>
    </row>
    <row r="208" spans="1:9">
      <c r="A208" s="896"/>
      <c r="B208" s="896"/>
      <c r="C208" s="221" t="s">
        <v>4039</v>
      </c>
      <c r="D208" s="221" t="s">
        <v>2049</v>
      </c>
      <c r="E208" s="221"/>
      <c r="F208" s="221" t="s">
        <v>4040</v>
      </c>
      <c r="G208" s="251"/>
      <c r="H208" s="251">
        <v>41289.619999999995</v>
      </c>
      <c r="I208" s="251"/>
    </row>
    <row r="209" spans="1:9">
      <c r="A209" s="896"/>
      <c r="B209" s="896"/>
      <c r="C209" s="221" t="s">
        <v>2023</v>
      </c>
      <c r="D209" s="221" t="s">
        <v>2049</v>
      </c>
      <c r="E209" s="221"/>
      <c r="F209" s="221" t="s">
        <v>4041</v>
      </c>
      <c r="G209" s="251"/>
      <c r="H209" s="251">
        <v>36838.699999999997</v>
      </c>
      <c r="I209" s="251"/>
    </row>
    <row r="210" spans="1:9">
      <c r="A210" s="896"/>
      <c r="B210" s="896"/>
      <c r="C210" s="221" t="s">
        <v>2031</v>
      </c>
      <c r="D210" s="221" t="s">
        <v>2049</v>
      </c>
      <c r="E210" s="221"/>
      <c r="F210" s="221" t="s">
        <v>4042</v>
      </c>
      <c r="G210" s="251"/>
      <c r="H210" s="251">
        <v>34382.6</v>
      </c>
      <c r="I210" s="251"/>
    </row>
    <row r="211" spans="1:9">
      <c r="A211" s="896"/>
      <c r="B211" s="896"/>
      <c r="C211" s="221" t="s">
        <v>2042</v>
      </c>
      <c r="D211" s="221" t="s">
        <v>2049</v>
      </c>
      <c r="E211" s="221"/>
      <c r="F211" s="221" t="s">
        <v>4043</v>
      </c>
      <c r="G211" s="251"/>
      <c r="H211" s="251">
        <v>31437.98</v>
      </c>
      <c r="I211" s="251"/>
    </row>
    <row r="212" spans="1:9">
      <c r="A212" s="896"/>
      <c r="B212" s="896"/>
      <c r="C212" s="221" t="s">
        <v>4044</v>
      </c>
      <c r="D212" s="221" t="s">
        <v>2049</v>
      </c>
      <c r="E212" s="221"/>
      <c r="F212" s="221" t="s">
        <v>4045</v>
      </c>
      <c r="G212" s="251"/>
      <c r="H212" s="251">
        <v>29650</v>
      </c>
      <c r="I212" s="251"/>
    </row>
    <row r="213" spans="1:9">
      <c r="A213" s="896"/>
      <c r="B213" s="896"/>
      <c r="C213" s="221" t="s">
        <v>2126</v>
      </c>
      <c r="D213" s="221" t="s">
        <v>2049</v>
      </c>
      <c r="E213" s="221"/>
      <c r="F213" s="221" t="s">
        <v>4046</v>
      </c>
      <c r="G213" s="251"/>
      <c r="H213" s="251">
        <v>25052.94</v>
      </c>
      <c r="I213" s="251"/>
    </row>
    <row r="214" spans="1:9">
      <c r="A214" s="896"/>
      <c r="B214" s="896"/>
      <c r="C214" s="221" t="s">
        <v>2039</v>
      </c>
      <c r="D214" s="221" t="s">
        <v>2049</v>
      </c>
      <c r="E214" s="221"/>
      <c r="F214" s="221" t="s">
        <v>4047</v>
      </c>
      <c r="G214" s="251"/>
      <c r="H214" s="251">
        <v>23214.05</v>
      </c>
      <c r="I214" s="251"/>
    </row>
    <row r="215" spans="1:9">
      <c r="A215" s="896"/>
      <c r="B215" s="896"/>
      <c r="C215" s="221" t="s">
        <v>2015</v>
      </c>
      <c r="D215" s="221" t="s">
        <v>2049</v>
      </c>
      <c r="E215" s="221"/>
      <c r="F215" s="221" t="s">
        <v>4048</v>
      </c>
      <c r="G215" s="251"/>
      <c r="H215" s="251">
        <v>22208.880000000001</v>
      </c>
      <c r="I215" s="251"/>
    </row>
    <row r="216" spans="1:9">
      <c r="A216" s="896"/>
      <c r="B216" s="896"/>
      <c r="C216" s="221" t="s">
        <v>2036</v>
      </c>
      <c r="D216" s="221" t="s">
        <v>2049</v>
      </c>
      <c r="E216" s="221"/>
      <c r="F216" s="221" t="s">
        <v>4049</v>
      </c>
      <c r="G216" s="251"/>
      <c r="H216" s="251">
        <v>20100.939999999999</v>
      </c>
      <c r="I216" s="251"/>
    </row>
    <row r="217" spans="1:9">
      <c r="A217" s="896"/>
      <c r="B217" s="896"/>
      <c r="C217" s="221" t="s">
        <v>4050</v>
      </c>
      <c r="D217" s="221" t="s">
        <v>2049</v>
      </c>
      <c r="E217" s="221"/>
      <c r="F217" s="221" t="s">
        <v>4051</v>
      </c>
      <c r="G217" s="251"/>
      <c r="H217" s="251">
        <v>20000</v>
      </c>
      <c r="I217" s="251"/>
    </row>
    <row r="218" spans="1:9">
      <c r="A218" s="896"/>
      <c r="B218" s="896"/>
      <c r="C218" s="221" t="s">
        <v>4052</v>
      </c>
      <c r="D218" s="221" t="s">
        <v>2049</v>
      </c>
      <c r="E218" s="221"/>
      <c r="F218" s="221" t="s">
        <v>4053</v>
      </c>
      <c r="G218" s="251"/>
      <c r="H218" s="251">
        <v>15000</v>
      </c>
      <c r="I218" s="251"/>
    </row>
    <row r="219" spans="1:9">
      <c r="A219" s="896"/>
      <c r="B219" s="896"/>
      <c r="C219" s="221" t="s">
        <v>2008</v>
      </c>
      <c r="D219" s="221" t="s">
        <v>2049</v>
      </c>
      <c r="E219" s="221"/>
      <c r="F219" s="221" t="s">
        <v>4054</v>
      </c>
      <c r="G219" s="251"/>
      <c r="H219" s="251">
        <v>12628.66</v>
      </c>
      <c r="I219" s="251"/>
    </row>
    <row r="220" spans="1:9">
      <c r="A220" s="896"/>
      <c r="B220" s="896"/>
      <c r="C220" s="221" t="s">
        <v>4055</v>
      </c>
      <c r="D220" s="221" t="s">
        <v>2049</v>
      </c>
      <c r="E220" s="221"/>
      <c r="F220" s="221" t="s">
        <v>4056</v>
      </c>
      <c r="G220" s="251"/>
      <c r="H220" s="251">
        <v>10437</v>
      </c>
      <c r="I220" s="251"/>
    </row>
    <row r="221" spans="1:9">
      <c r="A221" s="896"/>
      <c r="B221" s="896"/>
      <c r="C221" s="221" t="s">
        <v>4057</v>
      </c>
      <c r="D221" s="221" t="s">
        <v>2049</v>
      </c>
      <c r="E221" s="221"/>
      <c r="F221" s="221" t="s">
        <v>4058</v>
      </c>
      <c r="G221" s="251"/>
      <c r="H221" s="251">
        <v>8526</v>
      </c>
      <c r="I221" s="251"/>
    </row>
    <row r="222" spans="1:9">
      <c r="A222" s="896"/>
      <c r="B222" s="896"/>
      <c r="C222" s="221" t="s">
        <v>1997</v>
      </c>
      <c r="D222" s="221" t="s">
        <v>2049</v>
      </c>
      <c r="E222" s="221"/>
      <c r="F222" s="221" t="s">
        <v>4059</v>
      </c>
      <c r="G222" s="251"/>
      <c r="H222" s="251">
        <v>8280.93</v>
      </c>
      <c r="I222" s="251"/>
    </row>
    <row r="223" spans="1:9">
      <c r="A223" s="896"/>
      <c r="B223" s="896"/>
      <c r="C223" s="221" t="s">
        <v>4060</v>
      </c>
      <c r="D223" s="221" t="s">
        <v>2049</v>
      </c>
      <c r="E223" s="221"/>
      <c r="F223" s="221" t="s">
        <v>4061</v>
      </c>
      <c r="G223" s="251"/>
      <c r="H223" s="251">
        <v>7200</v>
      </c>
      <c r="I223" s="251"/>
    </row>
    <row r="224" spans="1:9">
      <c r="A224" s="896"/>
      <c r="B224" s="896"/>
      <c r="C224" s="221" t="s">
        <v>4062</v>
      </c>
      <c r="D224" s="221" t="s">
        <v>2049</v>
      </c>
      <c r="E224" s="221"/>
      <c r="F224" s="221" t="s">
        <v>4063</v>
      </c>
      <c r="G224" s="251"/>
      <c r="H224" s="251">
        <v>4800</v>
      </c>
      <c r="I224" s="251"/>
    </row>
    <row r="225" spans="1:9">
      <c r="A225" s="896"/>
      <c r="B225" s="896"/>
      <c r="C225" s="221" t="s">
        <v>4064</v>
      </c>
      <c r="D225" s="221" t="s">
        <v>2049</v>
      </c>
      <c r="E225" s="221"/>
      <c r="F225" s="221" t="s">
        <v>4065</v>
      </c>
      <c r="G225" s="251"/>
      <c r="H225" s="251">
        <v>3864.08</v>
      </c>
      <c r="I225" s="251"/>
    </row>
    <row r="226" spans="1:9">
      <c r="A226" s="896"/>
      <c r="B226" s="896"/>
      <c r="C226" s="221" t="s">
        <v>4066</v>
      </c>
      <c r="D226" s="221" t="s">
        <v>2049</v>
      </c>
      <c r="E226" s="221"/>
      <c r="F226" s="221" t="s">
        <v>4067</v>
      </c>
      <c r="G226" s="251"/>
      <c r="H226" s="251">
        <v>3809.6</v>
      </c>
      <c r="I226" s="251"/>
    </row>
    <row r="227" spans="1:9">
      <c r="A227" s="896"/>
      <c r="B227" s="896"/>
      <c r="C227" s="221" t="s">
        <v>931</v>
      </c>
      <c r="D227" s="221" t="s">
        <v>2049</v>
      </c>
      <c r="E227" s="221"/>
      <c r="F227" s="221" t="s">
        <v>4068</v>
      </c>
      <c r="G227" s="251"/>
      <c r="H227" s="251">
        <v>2603.14</v>
      </c>
      <c r="I227" s="251"/>
    </row>
    <row r="228" spans="1:9">
      <c r="A228" s="904">
        <v>8</v>
      </c>
      <c r="B228" s="910" t="s">
        <v>564</v>
      </c>
      <c r="C228" s="51" t="s">
        <v>4069</v>
      </c>
      <c r="D228" s="51" t="s">
        <v>2047</v>
      </c>
      <c r="E228" s="51" t="s">
        <v>2048</v>
      </c>
      <c r="F228" s="51"/>
      <c r="G228" s="51"/>
      <c r="H228" s="81">
        <v>19559.54</v>
      </c>
      <c r="I228" s="51"/>
    </row>
    <row r="229" spans="1:9">
      <c r="A229" s="905"/>
      <c r="B229" s="911"/>
      <c r="C229" s="51" t="s">
        <v>4070</v>
      </c>
      <c r="D229" s="51" t="s">
        <v>2047</v>
      </c>
      <c r="E229" s="51" t="s">
        <v>2048</v>
      </c>
      <c r="F229" s="51"/>
      <c r="G229" s="51"/>
      <c r="H229" s="81">
        <v>37476</v>
      </c>
      <c r="I229" s="51"/>
    </row>
    <row r="230" spans="1:9">
      <c r="A230" s="905"/>
      <c r="B230" s="911"/>
      <c r="C230" s="51" t="s">
        <v>4071</v>
      </c>
      <c r="D230" s="51" t="s">
        <v>2047</v>
      </c>
      <c r="E230" s="51" t="s">
        <v>2048</v>
      </c>
      <c r="F230" s="51"/>
      <c r="G230" s="51"/>
      <c r="H230" s="81">
        <v>151833.26</v>
      </c>
      <c r="I230" s="51"/>
    </row>
    <row r="231" spans="1:9">
      <c r="A231" s="905"/>
      <c r="B231" s="911"/>
      <c r="C231" s="51" t="s">
        <v>4072</v>
      </c>
      <c r="D231" s="51" t="s">
        <v>2047</v>
      </c>
      <c r="E231" s="51" t="s">
        <v>2048</v>
      </c>
      <c r="F231" s="51"/>
      <c r="G231" s="51"/>
      <c r="H231" s="81">
        <v>39175</v>
      </c>
      <c r="I231" s="51"/>
    </row>
    <row r="232" spans="1:9">
      <c r="A232" s="905"/>
      <c r="B232" s="911"/>
      <c r="C232" s="51" t="s">
        <v>4073</v>
      </c>
      <c r="D232" s="51" t="s">
        <v>2049</v>
      </c>
      <c r="E232" s="51" t="s">
        <v>2048</v>
      </c>
      <c r="F232" s="51"/>
      <c r="G232" s="51"/>
      <c r="H232" s="81">
        <v>17641.41</v>
      </c>
      <c r="I232" s="51"/>
    </row>
    <row r="233" spans="1:9">
      <c r="A233" s="905"/>
      <c r="B233" s="911"/>
      <c r="C233" s="51" t="s">
        <v>4074</v>
      </c>
      <c r="D233" s="51" t="s">
        <v>2047</v>
      </c>
      <c r="E233" s="51" t="s">
        <v>2048</v>
      </c>
      <c r="F233" s="51"/>
      <c r="G233" s="51"/>
      <c r="H233" s="81">
        <v>16986.73</v>
      </c>
      <c r="I233" s="51"/>
    </row>
    <row r="234" spans="1:9">
      <c r="A234" s="905"/>
      <c r="B234" s="911"/>
      <c r="C234" s="51" t="s">
        <v>4075</v>
      </c>
      <c r="D234" s="51" t="s">
        <v>2047</v>
      </c>
      <c r="E234" s="51" t="s">
        <v>2048</v>
      </c>
      <c r="F234" s="51"/>
      <c r="G234" s="51"/>
      <c r="H234" s="81">
        <v>28883.09</v>
      </c>
      <c r="I234" s="51"/>
    </row>
    <row r="235" spans="1:9">
      <c r="A235" s="905"/>
      <c r="B235" s="911"/>
      <c r="C235" s="51" t="s">
        <v>4076</v>
      </c>
      <c r="D235" s="51" t="s">
        <v>2047</v>
      </c>
      <c r="E235" s="51" t="s">
        <v>2048</v>
      </c>
      <c r="F235" s="51"/>
      <c r="G235" s="51"/>
      <c r="H235" s="81">
        <v>8651.5</v>
      </c>
      <c r="I235" s="51"/>
    </row>
    <row r="236" spans="1:9">
      <c r="A236" s="905"/>
      <c r="B236" s="911"/>
      <c r="C236" s="51" t="s">
        <v>4077</v>
      </c>
      <c r="D236" s="51" t="s">
        <v>2047</v>
      </c>
      <c r="E236" s="51" t="s">
        <v>2048</v>
      </c>
      <c r="F236" s="51"/>
      <c r="G236" s="51"/>
      <c r="H236" s="81">
        <v>221320</v>
      </c>
      <c r="I236" s="51"/>
    </row>
    <row r="237" spans="1:9">
      <c r="A237" s="905"/>
      <c r="B237" s="911"/>
      <c r="C237" s="51" t="s">
        <v>4078</v>
      </c>
      <c r="D237" s="51" t="s">
        <v>2047</v>
      </c>
      <c r="E237" s="51" t="s">
        <v>2048</v>
      </c>
      <c r="F237" s="51"/>
      <c r="G237" s="51"/>
      <c r="H237" s="81">
        <v>12931.29</v>
      </c>
      <c r="I237" s="51"/>
    </row>
    <row r="238" spans="1:9">
      <c r="A238" s="905"/>
      <c r="B238" s="911"/>
      <c r="C238" s="51" t="s">
        <v>4079</v>
      </c>
      <c r="D238" s="51" t="s">
        <v>2047</v>
      </c>
      <c r="E238" s="51" t="s">
        <v>2048</v>
      </c>
      <c r="F238" s="51"/>
      <c r="G238" s="51"/>
      <c r="H238" s="81">
        <v>20718.599999999999</v>
      </c>
      <c r="I238" s="51"/>
    </row>
    <row r="239" spans="1:9">
      <c r="A239" s="905"/>
      <c r="B239" s="911"/>
      <c r="C239" s="51" t="s">
        <v>4080</v>
      </c>
      <c r="D239" s="51" t="s">
        <v>2047</v>
      </c>
      <c r="E239" s="51" t="s">
        <v>2048</v>
      </c>
      <c r="F239" s="51"/>
      <c r="G239" s="51"/>
      <c r="H239" s="81">
        <v>49324.12</v>
      </c>
      <c r="I239" s="51"/>
    </row>
    <row r="240" spans="1:9">
      <c r="A240" s="905"/>
      <c r="B240" s="911"/>
      <c r="C240" s="51" t="s">
        <v>4081</v>
      </c>
      <c r="D240" s="51" t="s">
        <v>2047</v>
      </c>
      <c r="E240" s="51" t="s">
        <v>2048</v>
      </c>
      <c r="F240" s="51"/>
      <c r="G240" s="51"/>
      <c r="H240" s="81">
        <v>56985.75</v>
      </c>
      <c r="I240" s="51"/>
    </row>
    <row r="241" spans="1:9">
      <c r="A241" s="905"/>
      <c r="B241" s="911"/>
      <c r="C241" s="51" t="s">
        <v>4082</v>
      </c>
      <c r="D241" s="51" t="s">
        <v>2047</v>
      </c>
      <c r="E241" s="51" t="s">
        <v>2048</v>
      </c>
      <c r="F241" s="51"/>
      <c r="G241" s="51"/>
      <c r="H241" s="81">
        <v>33060.11</v>
      </c>
      <c r="I241" s="51"/>
    </row>
    <row r="242" spans="1:9">
      <c r="A242" s="905"/>
      <c r="B242" s="911"/>
      <c r="C242" s="51" t="s">
        <v>4083</v>
      </c>
      <c r="D242" s="51" t="s">
        <v>2047</v>
      </c>
      <c r="E242" s="51" t="s">
        <v>2048</v>
      </c>
      <c r="F242" s="51"/>
      <c r="G242" s="51"/>
      <c r="H242" s="81">
        <v>21117.82</v>
      </c>
      <c r="I242" s="51"/>
    </row>
    <row r="243" spans="1:9">
      <c r="A243" s="905"/>
      <c r="B243" s="911"/>
      <c r="C243" s="51" t="s">
        <v>4084</v>
      </c>
      <c r="D243" s="51" t="s">
        <v>2047</v>
      </c>
      <c r="E243" s="51" t="s">
        <v>2048</v>
      </c>
      <c r="F243" s="51"/>
      <c r="G243" s="51"/>
      <c r="H243" s="81">
        <v>362668.4</v>
      </c>
      <c r="I243" s="51"/>
    </row>
    <row r="244" spans="1:9">
      <c r="A244" s="905"/>
      <c r="B244" s="911"/>
      <c r="C244" s="51" t="s">
        <v>4085</v>
      </c>
      <c r="D244" s="51" t="s">
        <v>2047</v>
      </c>
      <c r="E244" s="51" t="s">
        <v>2048</v>
      </c>
      <c r="F244" s="51"/>
      <c r="G244" s="51"/>
      <c r="H244" s="81">
        <v>188938.97000000003</v>
      </c>
      <c r="I244" s="51"/>
    </row>
    <row r="245" spans="1:9">
      <c r="A245" s="905"/>
      <c r="B245" s="911"/>
      <c r="C245" s="51" t="s">
        <v>4086</v>
      </c>
      <c r="D245" s="51" t="s">
        <v>2049</v>
      </c>
      <c r="E245" s="51" t="s">
        <v>4087</v>
      </c>
      <c r="F245" s="51"/>
      <c r="G245" s="51"/>
      <c r="H245" s="81">
        <v>9643.2000000000007</v>
      </c>
      <c r="I245" s="51"/>
    </row>
    <row r="246" spans="1:9">
      <c r="A246" s="905"/>
      <c r="B246" s="911"/>
      <c r="C246" s="51" t="s">
        <v>4088</v>
      </c>
      <c r="D246" s="51" t="s">
        <v>2049</v>
      </c>
      <c r="E246" s="51" t="s">
        <v>2048</v>
      </c>
      <c r="F246" s="51"/>
      <c r="G246" s="51"/>
      <c r="H246" s="81">
        <v>3099528.58</v>
      </c>
      <c r="I246" s="51"/>
    </row>
    <row r="247" spans="1:9">
      <c r="A247" s="905"/>
      <c r="B247" s="911"/>
      <c r="C247" s="51" t="s">
        <v>4089</v>
      </c>
      <c r="D247" s="51" t="s">
        <v>2047</v>
      </c>
      <c r="E247" s="51" t="s">
        <v>2048</v>
      </c>
      <c r="F247" s="51"/>
      <c r="G247" s="51"/>
      <c r="H247" s="81">
        <v>263690.63</v>
      </c>
      <c r="I247" s="51"/>
    </row>
    <row r="248" spans="1:9">
      <c r="A248" s="905"/>
      <c r="B248" s="911"/>
      <c r="C248" s="51" t="s">
        <v>4090</v>
      </c>
      <c r="D248" s="51" t="s">
        <v>2047</v>
      </c>
      <c r="E248" s="51" t="s">
        <v>2048</v>
      </c>
      <c r="F248" s="51"/>
      <c r="G248" s="51"/>
      <c r="H248" s="81">
        <v>3951.01</v>
      </c>
      <c r="I248" s="51"/>
    </row>
    <row r="249" spans="1:9">
      <c r="A249" s="905"/>
      <c r="B249" s="911"/>
      <c r="C249" s="51" t="s">
        <v>4091</v>
      </c>
      <c r="D249" s="51" t="s">
        <v>2047</v>
      </c>
      <c r="E249" s="51" t="s">
        <v>2048</v>
      </c>
      <c r="F249" s="51"/>
      <c r="G249" s="51"/>
      <c r="H249" s="81">
        <v>188244</v>
      </c>
      <c r="I249" s="51"/>
    </row>
    <row r="250" spans="1:9">
      <c r="A250" s="905"/>
      <c r="B250" s="911"/>
      <c r="C250" s="51" t="s">
        <v>4092</v>
      </c>
      <c r="D250" s="51" t="s">
        <v>2049</v>
      </c>
      <c r="E250" s="51" t="s">
        <v>2048</v>
      </c>
      <c r="F250" s="51"/>
      <c r="G250" s="51"/>
      <c r="H250" s="81">
        <v>64330</v>
      </c>
      <c r="I250" s="51"/>
    </row>
    <row r="251" spans="1:9">
      <c r="A251" s="905"/>
      <c r="B251" s="911"/>
      <c r="C251" s="51" t="s">
        <v>4093</v>
      </c>
      <c r="D251" s="51" t="s">
        <v>2049</v>
      </c>
      <c r="E251" s="51" t="s">
        <v>2048</v>
      </c>
      <c r="F251" s="51"/>
      <c r="G251" s="51"/>
      <c r="H251" s="81">
        <v>60000</v>
      </c>
      <c r="I251" s="51"/>
    </row>
    <row r="252" spans="1:9">
      <c r="A252" s="905"/>
      <c r="B252" s="911"/>
      <c r="C252" s="51" t="s">
        <v>4094</v>
      </c>
      <c r="D252" s="51" t="s">
        <v>2049</v>
      </c>
      <c r="E252" s="51" t="s">
        <v>2048</v>
      </c>
      <c r="F252" s="51"/>
      <c r="G252" s="51"/>
      <c r="H252" s="81">
        <v>22212.51</v>
      </c>
      <c r="I252" s="51"/>
    </row>
    <row r="253" spans="1:9">
      <c r="A253" s="905"/>
      <c r="B253" s="911"/>
      <c r="C253" s="51" t="s">
        <v>4095</v>
      </c>
      <c r="D253" s="51" t="s">
        <v>2049</v>
      </c>
      <c r="E253" s="51" t="s">
        <v>2048</v>
      </c>
      <c r="F253" s="51"/>
      <c r="G253" s="51"/>
      <c r="H253" s="81">
        <v>54661.14</v>
      </c>
      <c r="I253" s="51"/>
    </row>
    <row r="254" spans="1:9">
      <c r="A254" s="905"/>
      <c r="B254" s="911"/>
      <c r="C254" s="51" t="s">
        <v>4096</v>
      </c>
      <c r="D254" s="51" t="s">
        <v>2047</v>
      </c>
      <c r="E254" s="51" t="s">
        <v>2048</v>
      </c>
      <c r="F254" s="51"/>
      <c r="G254" s="51"/>
      <c r="H254" s="81">
        <v>5400000</v>
      </c>
      <c r="I254" s="51"/>
    </row>
    <row r="255" spans="1:9">
      <c r="A255" s="905"/>
      <c r="B255" s="911"/>
      <c r="C255" s="51" t="s">
        <v>4097</v>
      </c>
      <c r="D255" s="51" t="s">
        <v>2047</v>
      </c>
      <c r="E255" s="51" t="s">
        <v>2048</v>
      </c>
      <c r="F255" s="51"/>
      <c r="G255" s="51"/>
      <c r="H255" s="81">
        <v>158002.85</v>
      </c>
      <c r="I255" s="51"/>
    </row>
    <row r="256" spans="1:9">
      <c r="A256" s="905"/>
      <c r="B256" s="911"/>
      <c r="C256" s="51" t="s">
        <v>4098</v>
      </c>
      <c r="D256" s="51" t="s">
        <v>2047</v>
      </c>
      <c r="E256" s="51" t="s">
        <v>2048</v>
      </c>
      <c r="F256" s="51"/>
      <c r="G256" s="51"/>
      <c r="H256" s="81">
        <v>1253530</v>
      </c>
      <c r="I256" s="51"/>
    </row>
    <row r="257" spans="1:9">
      <c r="A257" s="905"/>
      <c r="B257" s="911"/>
      <c r="C257" s="51" t="s">
        <v>4099</v>
      </c>
      <c r="D257" s="51" t="s">
        <v>2047</v>
      </c>
      <c r="E257" s="51" t="s">
        <v>2048</v>
      </c>
      <c r="F257" s="51"/>
      <c r="G257" s="51"/>
      <c r="H257" s="81">
        <v>2300</v>
      </c>
      <c r="I257" s="51"/>
    </row>
    <row r="258" spans="1:9">
      <c r="A258" s="905"/>
      <c r="B258" s="911"/>
      <c r="C258" s="51" t="s">
        <v>2166</v>
      </c>
      <c r="D258" s="51" t="s">
        <v>2047</v>
      </c>
      <c r="E258" s="51" t="s">
        <v>2048</v>
      </c>
      <c r="F258" s="51"/>
      <c r="G258" s="51"/>
      <c r="H258" s="81">
        <v>4401.9799999999996</v>
      </c>
      <c r="I258" s="51"/>
    </row>
    <row r="259" spans="1:9">
      <c r="A259" s="905"/>
      <c r="B259" s="911"/>
      <c r="C259" s="51" t="s">
        <v>4100</v>
      </c>
      <c r="D259" s="51" t="s">
        <v>2049</v>
      </c>
      <c r="E259" s="51" t="s">
        <v>2048</v>
      </c>
      <c r="F259" s="51"/>
      <c r="G259" s="51"/>
      <c r="H259" s="81">
        <v>14643.199999999999</v>
      </c>
      <c r="I259" s="51"/>
    </row>
    <row r="260" spans="1:9">
      <c r="A260" s="905"/>
      <c r="B260" s="911"/>
      <c r="C260" s="51" t="s">
        <v>4101</v>
      </c>
      <c r="D260" s="51" t="s">
        <v>2049</v>
      </c>
      <c r="E260" s="51" t="s">
        <v>2078</v>
      </c>
      <c r="F260" s="51" t="s">
        <v>2051</v>
      </c>
      <c r="G260" s="51"/>
      <c r="H260" s="81">
        <v>1910860.6800000002</v>
      </c>
      <c r="I260" s="51"/>
    </row>
    <row r="261" spans="1:9">
      <c r="A261" s="905"/>
      <c r="B261" s="911"/>
      <c r="C261" s="51" t="s">
        <v>4102</v>
      </c>
      <c r="D261" s="51" t="s">
        <v>2049</v>
      </c>
      <c r="E261" s="51" t="s">
        <v>2123</v>
      </c>
      <c r="F261" s="51"/>
      <c r="G261" s="51"/>
      <c r="H261" s="81">
        <v>205088</v>
      </c>
      <c r="I261" s="51"/>
    </row>
    <row r="262" spans="1:9">
      <c r="A262" s="905"/>
      <c r="B262" s="911"/>
      <c r="C262" s="51" t="s">
        <v>2162</v>
      </c>
      <c r="D262" s="51" t="s">
        <v>2049</v>
      </c>
      <c r="E262" s="51" t="s">
        <v>2048</v>
      </c>
      <c r="F262" s="51"/>
      <c r="G262" s="51"/>
      <c r="H262" s="81">
        <v>102318.78</v>
      </c>
      <c r="I262" s="51"/>
    </row>
    <row r="263" spans="1:9">
      <c r="A263" s="905"/>
      <c r="B263" s="911"/>
      <c r="C263" s="51" t="s">
        <v>4103</v>
      </c>
      <c r="D263" s="51" t="s">
        <v>2049</v>
      </c>
      <c r="E263" s="51" t="s">
        <v>2048</v>
      </c>
      <c r="F263" s="51"/>
      <c r="G263" s="51"/>
      <c r="H263" s="81">
        <v>163513.85999999999</v>
      </c>
      <c r="I263" s="51"/>
    </row>
    <row r="264" spans="1:9">
      <c r="A264" s="905"/>
      <c r="B264" s="911"/>
      <c r="C264" s="51" t="s">
        <v>4104</v>
      </c>
      <c r="D264" s="51" t="s">
        <v>2049</v>
      </c>
      <c r="E264" s="51" t="s">
        <v>2048</v>
      </c>
      <c r="F264" s="51"/>
      <c r="G264" s="51"/>
      <c r="H264" s="81">
        <v>93661.150000000009</v>
      </c>
      <c r="I264" s="51"/>
    </row>
    <row r="265" spans="1:9">
      <c r="A265" s="905"/>
      <c r="B265" s="911"/>
      <c r="C265" s="51" t="s">
        <v>4105</v>
      </c>
      <c r="D265" s="51" t="s">
        <v>2049</v>
      </c>
      <c r="E265" s="51" t="s">
        <v>4106</v>
      </c>
      <c r="F265" s="51"/>
      <c r="G265" s="51"/>
      <c r="H265" s="81">
        <v>46482.52</v>
      </c>
      <c r="I265" s="51"/>
    </row>
    <row r="266" spans="1:9">
      <c r="A266" s="905"/>
      <c r="B266" s="911"/>
      <c r="C266" s="51" t="s">
        <v>4107</v>
      </c>
      <c r="D266" s="51" t="s">
        <v>2047</v>
      </c>
      <c r="E266" s="51" t="s">
        <v>2048</v>
      </c>
      <c r="F266" s="51"/>
      <c r="G266" s="51"/>
      <c r="H266" s="81">
        <v>24561.19</v>
      </c>
      <c r="I266" s="51"/>
    </row>
    <row r="267" spans="1:9">
      <c r="A267" s="905"/>
      <c r="B267" s="911"/>
      <c r="C267" s="51" t="s">
        <v>4108</v>
      </c>
      <c r="D267" s="51" t="s">
        <v>2049</v>
      </c>
      <c r="E267" s="51" t="s">
        <v>4109</v>
      </c>
      <c r="F267" s="51"/>
      <c r="G267" s="51"/>
      <c r="H267" s="81">
        <v>163214.56</v>
      </c>
      <c r="I267" s="51"/>
    </row>
    <row r="268" spans="1:9">
      <c r="A268" s="905"/>
      <c r="B268" s="911"/>
      <c r="C268" s="51" t="s">
        <v>4110</v>
      </c>
      <c r="D268" s="51" t="s">
        <v>2047</v>
      </c>
      <c r="E268" s="51" t="s">
        <v>2048</v>
      </c>
      <c r="F268" s="51"/>
      <c r="G268" s="51"/>
      <c r="H268" s="81">
        <v>201972.91</v>
      </c>
      <c r="I268" s="51"/>
    </row>
    <row r="269" spans="1:9">
      <c r="A269" s="905"/>
      <c r="B269" s="911"/>
      <c r="C269" s="51" t="s">
        <v>4111</v>
      </c>
      <c r="D269" s="51" t="s">
        <v>2047</v>
      </c>
      <c r="E269" s="51" t="s">
        <v>2048</v>
      </c>
      <c r="F269" s="51"/>
      <c r="G269" s="51"/>
      <c r="H269" s="81">
        <v>58099.41</v>
      </c>
      <c r="I269" s="51"/>
    </row>
    <row r="270" spans="1:9">
      <c r="A270" s="905"/>
      <c r="B270" s="911"/>
      <c r="C270" s="51" t="s">
        <v>4112</v>
      </c>
      <c r="D270" s="51" t="s">
        <v>2049</v>
      </c>
      <c r="E270" s="51" t="s">
        <v>2048</v>
      </c>
      <c r="F270" s="51"/>
      <c r="G270" s="51"/>
      <c r="H270" s="81">
        <v>9188.4</v>
      </c>
      <c r="I270" s="51"/>
    </row>
    <row r="271" spans="1:9">
      <c r="A271" s="905"/>
      <c r="B271" s="911"/>
      <c r="C271" s="51" t="s">
        <v>4113</v>
      </c>
      <c r="D271" s="51" t="s">
        <v>2049</v>
      </c>
      <c r="E271" s="51" t="s">
        <v>2115</v>
      </c>
      <c r="F271" s="51"/>
      <c r="G271" s="51"/>
      <c r="H271" s="81">
        <v>149220.79999999999</v>
      </c>
      <c r="I271" s="51"/>
    </row>
    <row r="272" spans="1:9">
      <c r="A272" s="905"/>
      <c r="B272" s="911"/>
      <c r="C272" s="51" t="s">
        <v>4114</v>
      </c>
      <c r="D272" s="51" t="s">
        <v>2047</v>
      </c>
      <c r="E272" s="51" t="s">
        <v>2048</v>
      </c>
      <c r="F272" s="51"/>
      <c r="G272" s="51"/>
      <c r="H272" s="81">
        <v>1753.5</v>
      </c>
      <c r="I272" s="51"/>
    </row>
    <row r="273" spans="1:9">
      <c r="A273" s="905"/>
      <c r="B273" s="911"/>
      <c r="C273" s="51" t="s">
        <v>4115</v>
      </c>
      <c r="D273" s="51" t="s">
        <v>2049</v>
      </c>
      <c r="E273" s="51" t="s">
        <v>2063</v>
      </c>
      <c r="F273" s="51"/>
      <c r="G273" s="51"/>
      <c r="H273" s="81">
        <v>9410634.8399999999</v>
      </c>
      <c r="I273" s="51"/>
    </row>
    <row r="274" spans="1:9">
      <c r="A274" s="905"/>
      <c r="B274" s="911"/>
      <c r="C274" s="51" t="s">
        <v>2145</v>
      </c>
      <c r="D274" s="51" t="s">
        <v>2047</v>
      </c>
      <c r="E274" s="51" t="s">
        <v>2048</v>
      </c>
      <c r="F274" s="51"/>
      <c r="G274" s="51"/>
      <c r="H274" s="81">
        <v>235526.24000000002</v>
      </c>
      <c r="I274" s="51"/>
    </row>
    <row r="275" spans="1:9">
      <c r="A275" s="905"/>
      <c r="B275" s="911"/>
      <c r="C275" s="51" t="s">
        <v>4116</v>
      </c>
      <c r="D275" s="51" t="s">
        <v>2049</v>
      </c>
      <c r="E275" s="51" t="s">
        <v>2048</v>
      </c>
      <c r="F275" s="51"/>
      <c r="G275" s="51"/>
      <c r="H275" s="81">
        <v>27597.57</v>
      </c>
      <c r="I275" s="51"/>
    </row>
    <row r="276" spans="1:9">
      <c r="A276" s="905"/>
      <c r="B276" s="911"/>
      <c r="C276" s="51" t="s">
        <v>4117</v>
      </c>
      <c r="D276" s="51" t="s">
        <v>2047</v>
      </c>
      <c r="E276" s="51" t="s">
        <v>2048</v>
      </c>
      <c r="F276" s="51"/>
      <c r="G276" s="51"/>
      <c r="H276" s="81">
        <v>12131.01</v>
      </c>
      <c r="I276" s="51"/>
    </row>
    <row r="277" spans="1:9">
      <c r="A277" s="905"/>
      <c r="B277" s="911"/>
      <c r="C277" s="51" t="s">
        <v>4118</v>
      </c>
      <c r="D277" s="51" t="s">
        <v>2049</v>
      </c>
      <c r="E277" s="51" t="s">
        <v>2048</v>
      </c>
      <c r="F277" s="51"/>
      <c r="G277" s="51"/>
      <c r="H277" s="81">
        <v>705862.57000000007</v>
      </c>
      <c r="I277" s="51"/>
    </row>
    <row r="278" spans="1:9">
      <c r="A278" s="905"/>
      <c r="B278" s="911"/>
      <c r="C278" s="51" t="s">
        <v>4119</v>
      </c>
      <c r="D278" s="51" t="s">
        <v>2047</v>
      </c>
      <c r="E278" s="51" t="s">
        <v>2048</v>
      </c>
      <c r="F278" s="51"/>
      <c r="G278" s="51"/>
      <c r="H278" s="81">
        <v>59123.8</v>
      </c>
      <c r="I278" s="51"/>
    </row>
    <row r="279" spans="1:9">
      <c r="A279" s="905"/>
      <c r="B279" s="911"/>
      <c r="C279" s="51" t="s">
        <v>2122</v>
      </c>
      <c r="D279" s="51" t="s">
        <v>2047</v>
      </c>
      <c r="E279" s="51" t="s">
        <v>2048</v>
      </c>
      <c r="F279" s="51"/>
      <c r="G279" s="51"/>
      <c r="H279" s="81">
        <v>162955</v>
      </c>
      <c r="I279" s="51"/>
    </row>
    <row r="280" spans="1:9">
      <c r="A280" s="905"/>
      <c r="B280" s="911"/>
      <c r="C280" s="51" t="s">
        <v>4120</v>
      </c>
      <c r="D280" s="51" t="s">
        <v>2047</v>
      </c>
      <c r="E280" s="51" t="s">
        <v>2048</v>
      </c>
      <c r="F280" s="51"/>
      <c r="G280" s="51"/>
      <c r="H280" s="81">
        <v>2423.04</v>
      </c>
      <c r="I280" s="51"/>
    </row>
    <row r="281" spans="1:9">
      <c r="A281" s="905"/>
      <c r="B281" s="911"/>
      <c r="C281" s="51" t="s">
        <v>4121</v>
      </c>
      <c r="D281" s="51" t="s">
        <v>2047</v>
      </c>
      <c r="E281" s="51" t="s">
        <v>2048</v>
      </c>
      <c r="F281" s="51"/>
      <c r="G281" s="51"/>
      <c r="H281" s="81">
        <v>1320000</v>
      </c>
      <c r="I281" s="51"/>
    </row>
    <row r="282" spans="1:9">
      <c r="A282" s="905"/>
      <c r="B282" s="911"/>
      <c r="C282" s="51" t="s">
        <v>4122</v>
      </c>
      <c r="D282" s="51" t="s">
        <v>2049</v>
      </c>
      <c r="E282" s="51" t="s">
        <v>2048</v>
      </c>
      <c r="F282" s="51"/>
      <c r="G282" s="51"/>
      <c r="H282" s="81">
        <v>61751</v>
      </c>
      <c r="I282" s="51"/>
    </row>
    <row r="283" spans="1:9">
      <c r="A283" s="905"/>
      <c r="B283" s="911"/>
      <c r="C283" s="51" t="s">
        <v>4123</v>
      </c>
      <c r="D283" s="51" t="s">
        <v>2049</v>
      </c>
      <c r="E283" s="51" t="s">
        <v>2118</v>
      </c>
      <c r="F283" s="51"/>
      <c r="G283" s="51"/>
      <c r="H283" s="81">
        <v>60864.609999999993</v>
      </c>
      <c r="I283" s="51"/>
    </row>
    <row r="284" spans="1:9">
      <c r="A284" s="905"/>
      <c r="B284" s="911"/>
      <c r="C284" s="51" t="s">
        <v>4124</v>
      </c>
      <c r="D284" s="51" t="s">
        <v>2047</v>
      </c>
      <c r="E284" s="51" t="s">
        <v>2048</v>
      </c>
      <c r="F284" s="51"/>
      <c r="G284" s="51"/>
      <c r="H284" s="81">
        <v>1432052.3599999999</v>
      </c>
      <c r="I284" s="51"/>
    </row>
    <row r="285" spans="1:9">
      <c r="A285" s="905"/>
      <c r="B285" s="911"/>
      <c r="C285" s="51" t="s">
        <v>4125</v>
      </c>
      <c r="D285" s="51" t="s">
        <v>2047</v>
      </c>
      <c r="E285" s="51" t="s">
        <v>2048</v>
      </c>
      <c r="F285" s="51"/>
      <c r="G285" s="51"/>
      <c r="H285" s="81">
        <v>32680.17</v>
      </c>
      <c r="I285" s="51"/>
    </row>
    <row r="286" spans="1:9">
      <c r="A286" s="905"/>
      <c r="B286" s="911"/>
      <c r="C286" s="51" t="s">
        <v>4126</v>
      </c>
      <c r="D286" s="51" t="s">
        <v>2049</v>
      </c>
      <c r="E286" s="51" t="s">
        <v>2048</v>
      </c>
      <c r="F286" s="51"/>
      <c r="G286" s="51"/>
      <c r="H286" s="81">
        <v>166581.82</v>
      </c>
      <c r="I286" s="51"/>
    </row>
    <row r="287" spans="1:9">
      <c r="A287" s="905"/>
      <c r="B287" s="911"/>
      <c r="C287" s="51" t="s">
        <v>4127</v>
      </c>
      <c r="D287" s="51" t="s">
        <v>2049</v>
      </c>
      <c r="E287" s="51" t="s">
        <v>2048</v>
      </c>
      <c r="F287" s="51"/>
      <c r="G287" s="51"/>
      <c r="H287" s="81">
        <v>132009.61000000002</v>
      </c>
      <c r="I287" s="51"/>
    </row>
    <row r="288" spans="1:9">
      <c r="A288" s="905"/>
      <c r="B288" s="911"/>
      <c r="C288" s="51" t="s">
        <v>2102</v>
      </c>
      <c r="D288" s="51" t="s">
        <v>2049</v>
      </c>
      <c r="E288" s="51" t="s">
        <v>2048</v>
      </c>
      <c r="F288" s="51"/>
      <c r="G288" s="51"/>
      <c r="H288" s="81">
        <v>211062.63</v>
      </c>
      <c r="I288" s="51"/>
    </row>
    <row r="289" spans="1:9">
      <c r="A289" s="905"/>
      <c r="B289" s="911"/>
      <c r="C289" s="51" t="s">
        <v>4128</v>
      </c>
      <c r="D289" s="51" t="s">
        <v>2049</v>
      </c>
      <c r="E289" s="51" t="s">
        <v>2048</v>
      </c>
      <c r="F289" s="51"/>
      <c r="G289" s="51"/>
      <c r="H289" s="81">
        <v>11394.539999999999</v>
      </c>
      <c r="I289" s="51"/>
    </row>
    <row r="290" spans="1:9">
      <c r="A290" s="905"/>
      <c r="B290" s="911"/>
      <c r="C290" s="51" t="s">
        <v>4129</v>
      </c>
      <c r="D290" s="51" t="s">
        <v>2049</v>
      </c>
      <c r="E290" s="51" t="s">
        <v>2048</v>
      </c>
      <c r="F290" s="51"/>
      <c r="G290" s="51"/>
      <c r="H290" s="81">
        <v>5850</v>
      </c>
      <c r="I290" s="51"/>
    </row>
    <row r="291" spans="1:9">
      <c r="A291" s="905"/>
      <c r="B291" s="911"/>
      <c r="C291" s="51" t="s">
        <v>4130</v>
      </c>
      <c r="D291" s="51" t="s">
        <v>2047</v>
      </c>
      <c r="E291" s="51" t="s">
        <v>2048</v>
      </c>
      <c r="F291" s="51"/>
      <c r="G291" s="51"/>
      <c r="H291" s="81">
        <v>25457.01</v>
      </c>
      <c r="I291" s="51"/>
    </row>
    <row r="292" spans="1:9">
      <c r="A292" s="905"/>
      <c r="B292" s="911"/>
      <c r="C292" s="51" t="s">
        <v>4131</v>
      </c>
      <c r="D292" s="51" t="s">
        <v>2047</v>
      </c>
      <c r="E292" s="51" t="s">
        <v>2048</v>
      </c>
      <c r="F292" s="51"/>
      <c r="G292" s="51"/>
      <c r="H292" s="81">
        <v>75141.33</v>
      </c>
      <c r="I292" s="51"/>
    </row>
    <row r="293" spans="1:9">
      <c r="A293" s="905"/>
      <c r="B293" s="911"/>
      <c r="C293" s="51" t="s">
        <v>4132</v>
      </c>
      <c r="D293" s="51" t="s">
        <v>2047</v>
      </c>
      <c r="E293" s="51" t="s">
        <v>2048</v>
      </c>
      <c r="F293" s="51"/>
      <c r="G293" s="51"/>
      <c r="H293" s="81">
        <v>20415</v>
      </c>
      <c r="I293" s="51"/>
    </row>
    <row r="294" spans="1:9">
      <c r="A294" s="905"/>
      <c r="B294" s="911"/>
      <c r="C294" s="51" t="s">
        <v>4133</v>
      </c>
      <c r="D294" s="51" t="s">
        <v>2049</v>
      </c>
      <c r="E294" s="51" t="s">
        <v>2048</v>
      </c>
      <c r="F294" s="51"/>
      <c r="G294" s="51"/>
      <c r="H294" s="81">
        <v>3129.27</v>
      </c>
      <c r="I294" s="51"/>
    </row>
    <row r="295" spans="1:9">
      <c r="A295" s="905"/>
      <c r="B295" s="911"/>
      <c r="C295" s="51" t="s">
        <v>4134</v>
      </c>
      <c r="D295" s="51" t="s">
        <v>2047</v>
      </c>
      <c r="E295" s="51" t="s">
        <v>2048</v>
      </c>
      <c r="F295" s="51"/>
      <c r="G295" s="51"/>
      <c r="H295" s="81">
        <v>63110.69</v>
      </c>
      <c r="I295" s="51"/>
    </row>
    <row r="296" spans="1:9">
      <c r="A296" s="905"/>
      <c r="B296" s="911"/>
      <c r="C296" s="51" t="s">
        <v>4135</v>
      </c>
      <c r="D296" s="51" t="s">
        <v>2047</v>
      </c>
      <c r="E296" s="51" t="s">
        <v>2048</v>
      </c>
      <c r="F296" s="51"/>
      <c r="G296" s="51"/>
      <c r="H296" s="81">
        <v>296831.3</v>
      </c>
      <c r="I296" s="51"/>
    </row>
    <row r="297" spans="1:9">
      <c r="A297" s="905"/>
      <c r="B297" s="911"/>
      <c r="C297" s="51" t="s">
        <v>4136</v>
      </c>
      <c r="D297" s="51" t="s">
        <v>2049</v>
      </c>
      <c r="E297" s="51" t="s">
        <v>2057</v>
      </c>
      <c r="F297" s="51"/>
      <c r="G297" s="51"/>
      <c r="H297" s="81">
        <v>18301232.73</v>
      </c>
      <c r="I297" s="51"/>
    </row>
    <row r="298" spans="1:9">
      <c r="A298" s="905"/>
      <c r="B298" s="911"/>
      <c r="C298" s="51" t="s">
        <v>2106</v>
      </c>
      <c r="D298" s="51" t="s">
        <v>2049</v>
      </c>
      <c r="E298" s="51" t="s">
        <v>2048</v>
      </c>
      <c r="F298" s="51"/>
      <c r="G298" s="51"/>
      <c r="H298" s="81">
        <v>123984</v>
      </c>
      <c r="I298" s="51"/>
    </row>
    <row r="299" spans="1:9">
      <c r="A299" s="905"/>
      <c r="B299" s="911"/>
      <c r="C299" s="51" t="s">
        <v>2133</v>
      </c>
      <c r="D299" s="51" t="s">
        <v>2049</v>
      </c>
      <c r="E299" s="51" t="s">
        <v>2048</v>
      </c>
      <c r="F299" s="51"/>
      <c r="G299" s="51"/>
      <c r="H299" s="81">
        <v>28121.95</v>
      </c>
      <c r="I299" s="51"/>
    </row>
    <row r="300" spans="1:9">
      <c r="A300" s="905"/>
      <c r="B300" s="911"/>
      <c r="C300" s="51" t="s">
        <v>4137</v>
      </c>
      <c r="D300" s="51" t="s">
        <v>2049</v>
      </c>
      <c r="E300" s="51" t="s">
        <v>2048</v>
      </c>
      <c r="F300" s="51"/>
      <c r="G300" s="51"/>
      <c r="H300" s="81">
        <v>177382.73000000004</v>
      </c>
      <c r="I300" s="51"/>
    </row>
    <row r="301" spans="1:9">
      <c r="A301" s="905"/>
      <c r="B301" s="911"/>
      <c r="C301" s="51" t="s">
        <v>4138</v>
      </c>
      <c r="D301" s="51" t="s">
        <v>2049</v>
      </c>
      <c r="E301" s="51" t="s">
        <v>2048</v>
      </c>
      <c r="F301" s="51"/>
      <c r="G301" s="51"/>
      <c r="H301" s="81">
        <v>235934.98</v>
      </c>
      <c r="I301" s="51"/>
    </row>
    <row r="302" spans="1:9">
      <c r="A302" s="905"/>
      <c r="B302" s="911"/>
      <c r="C302" s="51" t="s">
        <v>4139</v>
      </c>
      <c r="D302" s="51" t="s">
        <v>2049</v>
      </c>
      <c r="E302" s="51" t="s">
        <v>1324</v>
      </c>
      <c r="F302" s="51"/>
      <c r="G302" s="51"/>
      <c r="H302" s="81">
        <v>3065052.81</v>
      </c>
      <c r="I302" s="51"/>
    </row>
    <row r="303" spans="1:9">
      <c r="A303" s="905"/>
      <c r="B303" s="911"/>
      <c r="C303" s="51" t="s">
        <v>4140</v>
      </c>
      <c r="D303" s="51" t="s">
        <v>2049</v>
      </c>
      <c r="E303" s="51" t="s">
        <v>2048</v>
      </c>
      <c r="F303" s="51"/>
      <c r="G303" s="51"/>
      <c r="H303" s="81">
        <v>7096.41</v>
      </c>
      <c r="I303" s="51"/>
    </row>
    <row r="304" spans="1:9">
      <c r="A304" s="905"/>
      <c r="B304" s="911"/>
      <c r="C304" s="51" t="s">
        <v>4141</v>
      </c>
      <c r="D304" s="51" t="s">
        <v>2049</v>
      </c>
      <c r="E304" s="51" t="s">
        <v>2048</v>
      </c>
      <c r="F304" s="51"/>
      <c r="G304" s="51"/>
      <c r="H304" s="81">
        <v>64092.84</v>
      </c>
      <c r="I304" s="51"/>
    </row>
    <row r="305" spans="1:9">
      <c r="A305" s="905"/>
      <c r="B305" s="911"/>
      <c r="C305" s="51" t="s">
        <v>2151</v>
      </c>
      <c r="D305" s="51" t="s">
        <v>2049</v>
      </c>
      <c r="E305" s="51" t="s">
        <v>2048</v>
      </c>
      <c r="F305" s="51"/>
      <c r="G305" s="51"/>
      <c r="H305" s="81">
        <v>13278.720000000001</v>
      </c>
      <c r="I305" s="51"/>
    </row>
    <row r="306" spans="1:9">
      <c r="A306" s="905"/>
      <c r="B306" s="911"/>
      <c r="C306" s="51" t="s">
        <v>4142</v>
      </c>
      <c r="D306" s="51" t="s">
        <v>2049</v>
      </c>
      <c r="E306" s="51" t="s">
        <v>2048</v>
      </c>
      <c r="F306" s="51"/>
      <c r="G306" s="51"/>
      <c r="H306" s="81">
        <v>1535.65</v>
      </c>
      <c r="I306" s="51"/>
    </row>
    <row r="307" spans="1:9">
      <c r="A307" s="905"/>
      <c r="B307" s="911"/>
      <c r="C307" s="51" t="s">
        <v>4143</v>
      </c>
      <c r="D307" s="51" t="s">
        <v>2049</v>
      </c>
      <c r="E307" s="51" t="s">
        <v>2048</v>
      </c>
      <c r="F307" s="51"/>
      <c r="G307" s="51"/>
      <c r="H307" s="81">
        <v>396372.55</v>
      </c>
      <c r="I307" s="51"/>
    </row>
    <row r="308" spans="1:9">
      <c r="A308" s="905"/>
      <c r="B308" s="911"/>
      <c r="C308" s="51" t="s">
        <v>2159</v>
      </c>
      <c r="D308" s="51" t="s">
        <v>2049</v>
      </c>
      <c r="E308" s="51" t="s">
        <v>2048</v>
      </c>
      <c r="F308" s="51"/>
      <c r="G308" s="51"/>
      <c r="H308" s="81">
        <v>38144.6</v>
      </c>
      <c r="I308" s="51"/>
    </row>
    <row r="309" spans="1:9">
      <c r="A309" s="905"/>
      <c r="B309" s="911"/>
      <c r="C309" s="51" t="s">
        <v>2111</v>
      </c>
      <c r="D309" s="51" t="s">
        <v>2047</v>
      </c>
      <c r="E309" s="51" t="s">
        <v>2048</v>
      </c>
      <c r="F309" s="51"/>
      <c r="G309" s="51"/>
      <c r="H309" s="81">
        <v>50599.19</v>
      </c>
      <c r="I309" s="51"/>
    </row>
    <row r="310" spans="1:9">
      <c r="A310" s="905"/>
      <c r="B310" s="911"/>
      <c r="C310" s="51" t="s">
        <v>2140</v>
      </c>
      <c r="D310" s="51" t="s">
        <v>2049</v>
      </c>
      <c r="E310" s="51" t="s">
        <v>2048</v>
      </c>
      <c r="F310" s="51"/>
      <c r="G310" s="51"/>
      <c r="H310" s="81">
        <v>19590</v>
      </c>
      <c r="I310" s="51"/>
    </row>
    <row r="311" spans="1:9">
      <c r="A311" s="905"/>
      <c r="B311" s="911"/>
      <c r="C311" s="51" t="s">
        <v>4144</v>
      </c>
      <c r="D311" s="51" t="s">
        <v>2049</v>
      </c>
      <c r="E311" s="51" t="s">
        <v>2048</v>
      </c>
      <c r="F311" s="51"/>
      <c r="G311" s="51"/>
      <c r="H311" s="81">
        <v>680865.26</v>
      </c>
      <c r="I311" s="51"/>
    </row>
    <row r="312" spans="1:9">
      <c r="A312" s="905"/>
      <c r="B312" s="911"/>
      <c r="C312" s="51" t="s">
        <v>2083</v>
      </c>
      <c r="D312" s="51" t="s">
        <v>2049</v>
      </c>
      <c r="E312" s="51" t="s">
        <v>2084</v>
      </c>
      <c r="F312" s="51"/>
      <c r="G312" s="51"/>
      <c r="H312" s="81">
        <v>1042205.45</v>
      </c>
      <c r="I312" s="51"/>
    </row>
    <row r="313" spans="1:9">
      <c r="A313" s="905"/>
      <c r="B313" s="911"/>
      <c r="C313" s="51" t="s">
        <v>4145</v>
      </c>
      <c r="D313" s="51" t="s">
        <v>2047</v>
      </c>
      <c r="E313" s="51" t="s">
        <v>2048</v>
      </c>
      <c r="F313" s="51"/>
      <c r="G313" s="51"/>
      <c r="H313" s="81">
        <v>823132</v>
      </c>
      <c r="I313" s="51"/>
    </row>
    <row r="314" spans="1:9">
      <c r="A314" s="905"/>
      <c r="B314" s="911"/>
      <c r="C314" s="51" t="s">
        <v>4146</v>
      </c>
      <c r="D314" s="51" t="s">
        <v>2049</v>
      </c>
      <c r="E314" s="51" t="s">
        <v>2048</v>
      </c>
      <c r="F314" s="51"/>
      <c r="G314" s="51"/>
      <c r="H314" s="81">
        <v>605235</v>
      </c>
      <c r="I314" s="51"/>
    </row>
    <row r="315" spans="1:9">
      <c r="A315" s="905"/>
      <c r="B315" s="911"/>
      <c r="C315" s="51" t="s">
        <v>4147</v>
      </c>
      <c r="D315" s="51" t="s">
        <v>2049</v>
      </c>
      <c r="E315" s="51" t="s">
        <v>2048</v>
      </c>
      <c r="F315" s="51"/>
      <c r="G315" s="51"/>
      <c r="H315" s="81">
        <v>4215335.5</v>
      </c>
      <c r="I315" s="51"/>
    </row>
    <row r="316" spans="1:9">
      <c r="A316" s="905"/>
      <c r="B316" s="911"/>
      <c r="C316" s="51" t="s">
        <v>4148</v>
      </c>
      <c r="D316" s="51" t="s">
        <v>2049</v>
      </c>
      <c r="E316" s="51" t="s">
        <v>2048</v>
      </c>
      <c r="F316" s="51"/>
      <c r="G316" s="51"/>
      <c r="H316" s="81">
        <v>613227</v>
      </c>
      <c r="I316" s="51"/>
    </row>
    <row r="317" spans="1:9">
      <c r="A317" s="905"/>
      <c r="B317" s="911"/>
      <c r="C317" s="51" t="s">
        <v>4149</v>
      </c>
      <c r="D317" s="51" t="s">
        <v>2049</v>
      </c>
      <c r="E317" s="51" t="s">
        <v>2048</v>
      </c>
      <c r="F317" s="51"/>
      <c r="G317" s="51"/>
      <c r="H317" s="81">
        <v>10065.74</v>
      </c>
      <c r="I317" s="51"/>
    </row>
    <row r="318" spans="1:9">
      <c r="A318" s="905"/>
      <c r="B318" s="911"/>
      <c r="C318" s="51" t="s">
        <v>4150</v>
      </c>
      <c r="D318" s="51" t="s">
        <v>2049</v>
      </c>
      <c r="E318" s="51" t="s">
        <v>2048</v>
      </c>
      <c r="F318" s="51"/>
      <c r="G318" s="51"/>
      <c r="H318" s="81">
        <v>111545</v>
      </c>
      <c r="I318" s="51"/>
    </row>
    <row r="319" spans="1:9">
      <c r="A319" s="905"/>
      <c r="B319" s="911"/>
      <c r="C319" s="51" t="s">
        <v>4151</v>
      </c>
      <c r="D319" s="51" t="s">
        <v>2049</v>
      </c>
      <c r="E319" s="51" t="s">
        <v>2048</v>
      </c>
      <c r="F319" s="51"/>
      <c r="G319" s="51"/>
      <c r="H319" s="81">
        <v>843.75</v>
      </c>
      <c r="I319" s="51"/>
    </row>
    <row r="320" spans="1:9">
      <c r="A320" s="905"/>
      <c r="B320" s="911"/>
      <c r="C320" s="51" t="s">
        <v>4152</v>
      </c>
      <c r="D320" s="51" t="s">
        <v>2049</v>
      </c>
      <c r="E320" s="51" t="s">
        <v>2048</v>
      </c>
      <c r="F320" s="51"/>
      <c r="G320" s="51"/>
      <c r="H320" s="81">
        <v>135603.83999999997</v>
      </c>
      <c r="I320" s="51"/>
    </row>
    <row r="321" spans="1:9">
      <c r="A321" s="905"/>
      <c r="B321" s="911"/>
      <c r="C321" s="51" t="s">
        <v>4153</v>
      </c>
      <c r="D321" s="51" t="s">
        <v>2049</v>
      </c>
      <c r="E321" s="51" t="s">
        <v>2048</v>
      </c>
      <c r="F321" s="51"/>
      <c r="G321" s="51"/>
      <c r="H321" s="81">
        <v>2410175.5200000005</v>
      </c>
      <c r="I321" s="51"/>
    </row>
    <row r="322" spans="1:9">
      <c r="A322" s="905"/>
      <c r="B322" s="911"/>
      <c r="C322" s="51" t="s">
        <v>4154</v>
      </c>
      <c r="D322" s="51" t="s">
        <v>2049</v>
      </c>
      <c r="E322" s="51" t="s">
        <v>2048</v>
      </c>
      <c r="F322" s="51"/>
      <c r="G322" s="51"/>
      <c r="H322" s="81">
        <v>17570.18</v>
      </c>
      <c r="I322" s="51"/>
    </row>
    <row r="323" spans="1:9">
      <c r="A323" s="905"/>
      <c r="B323" s="911"/>
      <c r="C323" s="51" t="s">
        <v>4155</v>
      </c>
      <c r="D323" s="51" t="s">
        <v>2049</v>
      </c>
      <c r="E323" s="51" t="s">
        <v>2048</v>
      </c>
      <c r="F323" s="51"/>
      <c r="G323" s="51"/>
      <c r="H323" s="81">
        <v>10061.299999999999</v>
      </c>
      <c r="I323" s="51"/>
    </row>
    <row r="324" spans="1:9">
      <c r="A324" s="905"/>
      <c r="B324" s="911"/>
      <c r="C324" s="51" t="s">
        <v>4156</v>
      </c>
      <c r="D324" s="51" t="s">
        <v>2049</v>
      </c>
      <c r="E324" s="51" t="s">
        <v>2048</v>
      </c>
      <c r="F324" s="51"/>
      <c r="G324" s="51"/>
      <c r="H324" s="81">
        <v>49288.780000000006</v>
      </c>
      <c r="I324" s="51"/>
    </row>
    <row r="325" spans="1:9">
      <c r="A325" s="905"/>
      <c r="B325" s="911"/>
      <c r="C325" s="51" t="s">
        <v>4157</v>
      </c>
      <c r="D325" s="51" t="s">
        <v>2049</v>
      </c>
      <c r="E325" s="51" t="s">
        <v>2048</v>
      </c>
      <c r="F325" s="51"/>
      <c r="G325" s="51"/>
      <c r="H325" s="81">
        <v>1024454</v>
      </c>
      <c r="I325" s="51"/>
    </row>
    <row r="326" spans="1:9">
      <c r="A326" s="905"/>
      <c r="B326" s="911"/>
      <c r="C326" s="51" t="s">
        <v>4158</v>
      </c>
      <c r="D326" s="51" t="s">
        <v>2049</v>
      </c>
      <c r="E326" s="51" t="s">
        <v>2048</v>
      </c>
      <c r="F326" s="51"/>
      <c r="G326" s="51"/>
      <c r="H326" s="81">
        <v>21475.33</v>
      </c>
      <c r="I326" s="51"/>
    </row>
    <row r="327" spans="1:9">
      <c r="A327" s="905"/>
      <c r="B327" s="911"/>
      <c r="C327" s="51" t="s">
        <v>4159</v>
      </c>
      <c r="D327" s="51" t="s">
        <v>2049</v>
      </c>
      <c r="E327" s="51" t="s">
        <v>2048</v>
      </c>
      <c r="F327" s="51"/>
      <c r="G327" s="51"/>
      <c r="H327" s="81">
        <v>33623.49</v>
      </c>
      <c r="I327" s="51"/>
    </row>
    <row r="328" spans="1:9">
      <c r="A328" s="905"/>
      <c r="B328" s="911"/>
      <c r="C328" s="51" t="s">
        <v>4160</v>
      </c>
      <c r="D328" s="51" t="s">
        <v>2049</v>
      </c>
      <c r="E328" s="51" t="s">
        <v>2048</v>
      </c>
      <c r="F328" s="51"/>
      <c r="G328" s="51"/>
      <c r="H328" s="81">
        <v>6181671.3900000006</v>
      </c>
      <c r="I328" s="51"/>
    </row>
    <row r="329" spans="1:9">
      <c r="A329" s="905"/>
      <c r="B329" s="911"/>
      <c r="C329" s="51" t="s">
        <v>4161</v>
      </c>
      <c r="D329" s="51" t="s">
        <v>2049</v>
      </c>
      <c r="E329" s="51" t="s">
        <v>2048</v>
      </c>
      <c r="F329" s="51"/>
      <c r="G329" s="51"/>
      <c r="H329" s="81">
        <v>112061.48999999999</v>
      </c>
      <c r="I329" s="51"/>
    </row>
    <row r="330" spans="1:9">
      <c r="A330" s="905"/>
      <c r="B330" s="911"/>
      <c r="C330" s="51" t="s">
        <v>4162</v>
      </c>
      <c r="D330" s="51" t="s">
        <v>2049</v>
      </c>
      <c r="E330" s="51" t="s">
        <v>2048</v>
      </c>
      <c r="F330" s="51"/>
      <c r="G330" s="51"/>
      <c r="H330" s="81">
        <v>77002.149999999994</v>
      </c>
      <c r="I330" s="51"/>
    </row>
    <row r="331" spans="1:9">
      <c r="A331" s="905"/>
      <c r="B331" s="911"/>
      <c r="C331" s="51" t="s">
        <v>4163</v>
      </c>
      <c r="D331" s="51" t="s">
        <v>2049</v>
      </c>
      <c r="E331" s="51" t="s">
        <v>2082</v>
      </c>
      <c r="F331" s="51"/>
      <c r="G331" s="51"/>
      <c r="H331" s="81">
        <v>2089744.87</v>
      </c>
      <c r="I331" s="51"/>
    </row>
    <row r="332" spans="1:9">
      <c r="A332" s="905"/>
      <c r="B332" s="911"/>
      <c r="C332" s="51" t="s">
        <v>4164</v>
      </c>
      <c r="D332" s="51" t="s">
        <v>2047</v>
      </c>
      <c r="E332" s="51" t="s">
        <v>2048</v>
      </c>
      <c r="F332" s="51"/>
      <c r="G332" s="51"/>
      <c r="H332" s="81">
        <v>49484.4</v>
      </c>
      <c r="I332" s="51"/>
    </row>
    <row r="333" spans="1:9">
      <c r="A333" s="905"/>
      <c r="B333" s="911"/>
      <c r="C333" s="51" t="s">
        <v>4165</v>
      </c>
      <c r="D333" s="51" t="s">
        <v>2047</v>
      </c>
      <c r="E333" s="51" t="s">
        <v>2048</v>
      </c>
      <c r="F333" s="51"/>
      <c r="G333" s="51"/>
      <c r="H333" s="81">
        <v>40790.22</v>
      </c>
      <c r="I333" s="51"/>
    </row>
    <row r="334" spans="1:9">
      <c r="A334" s="905"/>
      <c r="B334" s="911"/>
      <c r="C334" s="51" t="s">
        <v>4166</v>
      </c>
      <c r="D334" s="51" t="s">
        <v>2047</v>
      </c>
      <c r="E334" s="51" t="s">
        <v>2048</v>
      </c>
      <c r="F334" s="51"/>
      <c r="G334" s="51"/>
      <c r="H334" s="81">
        <v>93690</v>
      </c>
      <c r="I334" s="51"/>
    </row>
    <row r="335" spans="1:9">
      <c r="A335" s="905"/>
      <c r="B335" s="911"/>
      <c r="C335" s="51" t="s">
        <v>4167</v>
      </c>
      <c r="D335" s="51" t="s">
        <v>2049</v>
      </c>
      <c r="E335" s="51" t="s">
        <v>4168</v>
      </c>
      <c r="F335" s="51"/>
      <c r="G335" s="51"/>
      <c r="H335" s="81">
        <v>442257.26</v>
      </c>
      <c r="I335" s="51"/>
    </row>
    <row r="336" spans="1:9">
      <c r="A336" s="905"/>
      <c r="B336" s="911"/>
      <c r="C336" s="51" t="s">
        <v>2112</v>
      </c>
      <c r="D336" s="51" t="s">
        <v>2047</v>
      </c>
      <c r="E336" s="51" t="s">
        <v>2048</v>
      </c>
      <c r="F336" s="51"/>
      <c r="G336" s="51"/>
      <c r="H336" s="81">
        <v>121511.41</v>
      </c>
      <c r="I336" s="51"/>
    </row>
    <row r="337" spans="1:9">
      <c r="A337" s="905"/>
      <c r="B337" s="911"/>
      <c r="C337" s="51" t="s">
        <v>4169</v>
      </c>
      <c r="D337" s="51" t="s">
        <v>2049</v>
      </c>
      <c r="E337" s="51" t="s">
        <v>2107</v>
      </c>
      <c r="F337" s="51"/>
      <c r="G337" s="51"/>
      <c r="H337" s="81">
        <v>404065.64</v>
      </c>
      <c r="I337" s="51"/>
    </row>
    <row r="338" spans="1:9">
      <c r="A338" s="905"/>
      <c r="B338" s="911"/>
      <c r="C338" s="51" t="s">
        <v>4170</v>
      </c>
      <c r="D338" s="51" t="s">
        <v>2049</v>
      </c>
      <c r="E338" s="51" t="s">
        <v>2075</v>
      </c>
      <c r="F338" s="51" t="s">
        <v>2051</v>
      </c>
      <c r="G338" s="51"/>
      <c r="H338" s="81">
        <v>2755579.06</v>
      </c>
      <c r="I338" s="51"/>
    </row>
    <row r="339" spans="1:9">
      <c r="A339" s="905"/>
      <c r="B339" s="911"/>
      <c r="C339" s="51" t="s">
        <v>4171</v>
      </c>
      <c r="D339" s="51" t="s">
        <v>2049</v>
      </c>
      <c r="E339" s="51" t="s">
        <v>2048</v>
      </c>
      <c r="F339" s="51"/>
      <c r="G339" s="51"/>
      <c r="H339" s="81">
        <v>25928</v>
      </c>
      <c r="I339" s="51"/>
    </row>
    <row r="340" spans="1:9">
      <c r="A340" s="905"/>
      <c r="B340" s="911"/>
      <c r="C340" s="51" t="s">
        <v>4172</v>
      </c>
      <c r="D340" s="51" t="s">
        <v>2049</v>
      </c>
      <c r="E340" s="51" t="s">
        <v>2119</v>
      </c>
      <c r="F340" s="51"/>
      <c r="G340" s="51"/>
      <c r="H340" s="81">
        <v>193455.38999999998</v>
      </c>
      <c r="I340" s="51"/>
    </row>
    <row r="341" spans="1:9">
      <c r="A341" s="905"/>
      <c r="B341" s="911"/>
      <c r="C341" s="51" t="s">
        <v>2134</v>
      </c>
      <c r="D341" s="51" t="s">
        <v>2047</v>
      </c>
      <c r="E341" s="51" t="s">
        <v>2048</v>
      </c>
      <c r="F341" s="51"/>
      <c r="G341" s="51"/>
      <c r="H341" s="81">
        <v>141229.69</v>
      </c>
      <c r="I341" s="51"/>
    </row>
    <row r="342" spans="1:9">
      <c r="A342" s="905"/>
      <c r="B342" s="911"/>
      <c r="C342" s="51" t="s">
        <v>4173</v>
      </c>
      <c r="D342" s="51" t="s">
        <v>2047</v>
      </c>
      <c r="E342" s="51" t="s">
        <v>2048</v>
      </c>
      <c r="F342" s="51"/>
      <c r="G342" s="51"/>
      <c r="H342" s="81">
        <v>648900.6</v>
      </c>
      <c r="I342" s="51"/>
    </row>
    <row r="343" spans="1:9">
      <c r="A343" s="905"/>
      <c r="B343" s="911"/>
      <c r="C343" s="51" t="s">
        <v>4174</v>
      </c>
      <c r="D343" s="51" t="s">
        <v>2049</v>
      </c>
      <c r="E343" s="51" t="s">
        <v>2048</v>
      </c>
      <c r="F343" s="51"/>
      <c r="G343" s="51"/>
      <c r="H343" s="81">
        <v>204561.22</v>
      </c>
      <c r="I343" s="51"/>
    </row>
    <row r="344" spans="1:9">
      <c r="A344" s="905"/>
      <c r="B344" s="911"/>
      <c r="C344" s="51" t="s">
        <v>4175</v>
      </c>
      <c r="D344" s="51" t="s">
        <v>2049</v>
      </c>
      <c r="E344" s="51" t="s">
        <v>4176</v>
      </c>
      <c r="F344" s="51"/>
      <c r="G344" s="51"/>
      <c r="H344" s="81">
        <v>2174.63</v>
      </c>
      <c r="I344" s="51"/>
    </row>
    <row r="345" spans="1:9">
      <c r="A345" s="905"/>
      <c r="B345" s="911"/>
      <c r="C345" s="51" t="s">
        <v>4177</v>
      </c>
      <c r="D345" s="51" t="s">
        <v>2047</v>
      </c>
      <c r="E345" s="51" t="s">
        <v>2048</v>
      </c>
      <c r="F345" s="51"/>
      <c r="G345" s="51"/>
      <c r="H345" s="81">
        <v>994858.88</v>
      </c>
      <c r="I345" s="51"/>
    </row>
    <row r="346" spans="1:9">
      <c r="A346" s="905"/>
      <c r="B346" s="911"/>
      <c r="C346" s="51" t="s">
        <v>4178</v>
      </c>
      <c r="D346" s="51" t="s">
        <v>2047</v>
      </c>
      <c r="E346" s="51" t="s">
        <v>2048</v>
      </c>
      <c r="F346" s="51"/>
      <c r="G346" s="51"/>
      <c r="H346" s="81">
        <v>100964</v>
      </c>
      <c r="I346" s="51"/>
    </row>
    <row r="347" spans="1:9">
      <c r="A347" s="905"/>
      <c r="B347" s="911"/>
      <c r="C347" s="51" t="s">
        <v>4179</v>
      </c>
      <c r="D347" s="51" t="s">
        <v>2047</v>
      </c>
      <c r="E347" s="51" t="s">
        <v>2048</v>
      </c>
      <c r="F347" s="51"/>
      <c r="G347" s="51"/>
      <c r="H347" s="81">
        <v>161448</v>
      </c>
      <c r="I347" s="51"/>
    </row>
    <row r="348" spans="1:9">
      <c r="A348" s="905"/>
      <c r="B348" s="911"/>
      <c r="C348" s="51" t="s">
        <v>4180</v>
      </c>
      <c r="D348" s="51" t="s">
        <v>2047</v>
      </c>
      <c r="E348" s="51" t="s">
        <v>2048</v>
      </c>
      <c r="F348" s="51"/>
      <c r="G348" s="51"/>
      <c r="H348" s="81">
        <v>2359.8000000000002</v>
      </c>
      <c r="I348" s="51"/>
    </row>
    <row r="349" spans="1:9">
      <c r="A349" s="905"/>
      <c r="B349" s="911"/>
      <c r="C349" s="51" t="s">
        <v>4181</v>
      </c>
      <c r="D349" s="51" t="s">
        <v>2047</v>
      </c>
      <c r="E349" s="51" t="s">
        <v>2048</v>
      </c>
      <c r="F349" s="51"/>
      <c r="G349" s="51"/>
      <c r="H349" s="81">
        <v>27362.54</v>
      </c>
      <c r="I349" s="51"/>
    </row>
    <row r="350" spans="1:9">
      <c r="A350" s="905"/>
      <c r="B350" s="911"/>
      <c r="C350" s="51" t="s">
        <v>4182</v>
      </c>
      <c r="D350" s="51" t="s">
        <v>2047</v>
      </c>
      <c r="E350" s="51" t="s">
        <v>2048</v>
      </c>
      <c r="F350" s="51"/>
      <c r="G350" s="51"/>
      <c r="H350" s="81">
        <v>4652.32</v>
      </c>
      <c r="I350" s="51"/>
    </row>
    <row r="351" spans="1:9">
      <c r="A351" s="905"/>
      <c r="B351" s="911"/>
      <c r="C351" s="51" t="s">
        <v>4183</v>
      </c>
      <c r="D351" s="51" t="s">
        <v>2047</v>
      </c>
      <c r="E351" s="51" t="s">
        <v>2048</v>
      </c>
      <c r="F351" s="51"/>
      <c r="G351" s="51"/>
      <c r="H351" s="81">
        <v>15100</v>
      </c>
      <c r="I351" s="51"/>
    </row>
    <row r="352" spans="1:9">
      <c r="A352" s="905"/>
      <c r="B352" s="911"/>
      <c r="C352" s="51" t="s">
        <v>4184</v>
      </c>
      <c r="D352" s="51" t="s">
        <v>2047</v>
      </c>
      <c r="E352" s="51" t="s">
        <v>2048</v>
      </c>
      <c r="F352" s="51"/>
      <c r="G352" s="51"/>
      <c r="H352" s="81">
        <v>17449.47</v>
      </c>
      <c r="I352" s="51"/>
    </row>
    <row r="353" spans="1:9">
      <c r="A353" s="905"/>
      <c r="B353" s="911"/>
      <c r="C353" s="51" t="s">
        <v>4185</v>
      </c>
      <c r="D353" s="51" t="s">
        <v>2047</v>
      </c>
      <c r="E353" s="51" t="s">
        <v>2048</v>
      </c>
      <c r="F353" s="51"/>
      <c r="G353" s="51"/>
      <c r="H353" s="81">
        <v>124731.42</v>
      </c>
      <c r="I353" s="51"/>
    </row>
    <row r="354" spans="1:9">
      <c r="A354" s="905"/>
      <c r="B354" s="911"/>
      <c r="C354" s="51" t="s">
        <v>4186</v>
      </c>
      <c r="D354" s="51" t="s">
        <v>2047</v>
      </c>
      <c r="E354" s="51" t="s">
        <v>2048</v>
      </c>
      <c r="F354" s="51"/>
      <c r="G354" s="51"/>
      <c r="H354" s="81">
        <v>3699.07</v>
      </c>
      <c r="I354" s="51"/>
    </row>
    <row r="355" spans="1:9">
      <c r="A355" s="905"/>
      <c r="B355" s="911"/>
      <c r="C355" s="51" t="s">
        <v>4187</v>
      </c>
      <c r="D355" s="51" t="s">
        <v>2049</v>
      </c>
      <c r="E355" s="51" t="s">
        <v>2048</v>
      </c>
      <c r="F355" s="51"/>
      <c r="G355" s="51"/>
      <c r="H355" s="81">
        <v>53736.869999999995</v>
      </c>
      <c r="I355" s="51"/>
    </row>
    <row r="356" spans="1:9">
      <c r="A356" s="905"/>
      <c r="B356" s="911"/>
      <c r="C356" s="51" t="s">
        <v>4188</v>
      </c>
      <c r="D356" s="51" t="s">
        <v>2047</v>
      </c>
      <c r="E356" s="51" t="s">
        <v>2048</v>
      </c>
      <c r="F356" s="51"/>
      <c r="G356" s="51"/>
      <c r="H356" s="81">
        <v>111417</v>
      </c>
      <c r="I356" s="51"/>
    </row>
    <row r="357" spans="1:9">
      <c r="A357" s="905"/>
      <c r="B357" s="911"/>
      <c r="C357" s="51" t="s">
        <v>4189</v>
      </c>
      <c r="D357" s="51" t="s">
        <v>2047</v>
      </c>
      <c r="E357" s="51" t="s">
        <v>2048</v>
      </c>
      <c r="F357" s="51"/>
      <c r="G357" s="51"/>
      <c r="H357" s="81">
        <v>32500</v>
      </c>
      <c r="I357" s="51"/>
    </row>
    <row r="358" spans="1:9">
      <c r="A358" s="905"/>
      <c r="B358" s="911"/>
      <c r="C358" s="51" t="s">
        <v>4190</v>
      </c>
      <c r="D358" s="51" t="s">
        <v>2049</v>
      </c>
      <c r="E358" s="51" t="s">
        <v>2048</v>
      </c>
      <c r="F358" s="51"/>
      <c r="G358" s="51"/>
      <c r="H358" s="81">
        <v>12678.41</v>
      </c>
      <c r="I358" s="51"/>
    </row>
    <row r="359" spans="1:9">
      <c r="A359" s="905"/>
      <c r="B359" s="911"/>
      <c r="C359" s="51" t="s">
        <v>4191</v>
      </c>
      <c r="D359" s="51" t="s">
        <v>2049</v>
      </c>
      <c r="E359" s="51" t="s">
        <v>2081</v>
      </c>
      <c r="F359" s="51"/>
      <c r="G359" s="51"/>
      <c r="H359" s="81">
        <v>1220248.5999999999</v>
      </c>
      <c r="I359" s="51"/>
    </row>
    <row r="360" spans="1:9">
      <c r="A360" s="905"/>
      <c r="B360" s="911"/>
      <c r="C360" s="51" t="s">
        <v>4192</v>
      </c>
      <c r="D360" s="51" t="s">
        <v>2049</v>
      </c>
      <c r="E360" s="51" t="s">
        <v>2048</v>
      </c>
      <c r="F360" s="51"/>
      <c r="G360" s="51"/>
      <c r="H360" s="81">
        <v>95159.45</v>
      </c>
      <c r="I360" s="51"/>
    </row>
    <row r="361" spans="1:9">
      <c r="A361" s="905"/>
      <c r="B361" s="911"/>
      <c r="C361" s="51" t="s">
        <v>4193</v>
      </c>
      <c r="D361" s="51" t="s">
        <v>2047</v>
      </c>
      <c r="E361" s="51" t="s">
        <v>2048</v>
      </c>
      <c r="F361" s="51"/>
      <c r="G361" s="51"/>
      <c r="H361" s="81">
        <v>10512</v>
      </c>
      <c r="I361" s="51"/>
    </row>
    <row r="362" spans="1:9">
      <c r="A362" s="905"/>
      <c r="B362" s="911"/>
      <c r="C362" s="51" t="s">
        <v>4194</v>
      </c>
      <c r="D362" s="51" t="s">
        <v>2049</v>
      </c>
      <c r="E362" s="51" t="s">
        <v>2048</v>
      </c>
      <c r="F362" s="51"/>
      <c r="G362" s="51"/>
      <c r="H362" s="81">
        <v>43612.369999999995</v>
      </c>
      <c r="I362" s="51"/>
    </row>
    <row r="363" spans="1:9">
      <c r="A363" s="905"/>
      <c r="B363" s="911"/>
      <c r="C363" s="51" t="s">
        <v>2101</v>
      </c>
      <c r="D363" s="51" t="s">
        <v>2049</v>
      </c>
      <c r="E363" s="51" t="s">
        <v>2048</v>
      </c>
      <c r="F363" s="51"/>
      <c r="G363" s="51"/>
      <c r="H363" s="81">
        <v>167045.15999999997</v>
      </c>
      <c r="I363" s="51"/>
    </row>
    <row r="364" spans="1:9">
      <c r="A364" s="905"/>
      <c r="B364" s="911"/>
      <c r="C364" s="51" t="s">
        <v>4195</v>
      </c>
      <c r="D364" s="51" t="s">
        <v>2049</v>
      </c>
      <c r="E364" s="51" t="s">
        <v>2048</v>
      </c>
      <c r="F364" s="51"/>
      <c r="G364" s="51"/>
      <c r="H364" s="81">
        <v>152222.60999999999</v>
      </c>
      <c r="I364" s="51"/>
    </row>
    <row r="365" spans="1:9">
      <c r="A365" s="905"/>
      <c r="B365" s="911"/>
      <c r="C365" s="51" t="s">
        <v>2157</v>
      </c>
      <c r="D365" s="51" t="s">
        <v>2049</v>
      </c>
      <c r="E365" s="51" t="s">
        <v>2048</v>
      </c>
      <c r="F365" s="51"/>
      <c r="G365" s="51"/>
      <c r="H365" s="81">
        <v>24113.26</v>
      </c>
      <c r="I365" s="51"/>
    </row>
    <row r="366" spans="1:9">
      <c r="A366" s="905"/>
      <c r="B366" s="911"/>
      <c r="C366" s="51" t="s">
        <v>4196</v>
      </c>
      <c r="D366" s="51" t="s">
        <v>2049</v>
      </c>
      <c r="E366" s="51" t="s">
        <v>2048</v>
      </c>
      <c r="F366" s="51"/>
      <c r="G366" s="51"/>
      <c r="H366" s="81">
        <v>19389.010000000002</v>
      </c>
      <c r="I366" s="51"/>
    </row>
    <row r="367" spans="1:9">
      <c r="A367" s="905"/>
      <c r="B367" s="911"/>
      <c r="C367" s="51" t="s">
        <v>4197</v>
      </c>
      <c r="D367" s="51" t="s">
        <v>2047</v>
      </c>
      <c r="E367" s="51" t="s">
        <v>2048</v>
      </c>
      <c r="F367" s="51"/>
      <c r="G367" s="51"/>
      <c r="H367" s="81">
        <v>10286.9</v>
      </c>
      <c r="I367" s="51"/>
    </row>
    <row r="368" spans="1:9">
      <c r="A368" s="905"/>
      <c r="B368" s="911"/>
      <c r="C368" s="51" t="s">
        <v>4198</v>
      </c>
      <c r="D368" s="51" t="s">
        <v>2049</v>
      </c>
      <c r="E368" s="51" t="s">
        <v>2048</v>
      </c>
      <c r="F368" s="51"/>
      <c r="G368" s="51"/>
      <c r="H368" s="81">
        <v>100739.29999999999</v>
      </c>
      <c r="I368" s="51"/>
    </row>
    <row r="369" spans="1:9">
      <c r="A369" s="905"/>
      <c r="B369" s="911"/>
      <c r="C369" s="51" t="s">
        <v>4199</v>
      </c>
      <c r="D369" s="51" t="s">
        <v>2047</v>
      </c>
      <c r="E369" s="51" t="s">
        <v>2048</v>
      </c>
      <c r="F369" s="51"/>
      <c r="G369" s="51"/>
      <c r="H369" s="81">
        <v>507463.48</v>
      </c>
      <c r="I369" s="51"/>
    </row>
    <row r="370" spans="1:9">
      <c r="A370" s="905"/>
      <c r="B370" s="911"/>
      <c r="C370" s="51" t="s">
        <v>4200</v>
      </c>
      <c r="D370" s="51" t="s">
        <v>2047</v>
      </c>
      <c r="E370" s="51" t="s">
        <v>2048</v>
      </c>
      <c r="F370" s="51"/>
      <c r="G370" s="51"/>
      <c r="H370" s="81">
        <v>99384.42</v>
      </c>
      <c r="I370" s="51"/>
    </row>
    <row r="371" spans="1:9">
      <c r="A371" s="905"/>
      <c r="B371" s="911"/>
      <c r="C371" s="51" t="s">
        <v>4201</v>
      </c>
      <c r="D371" s="51" t="s">
        <v>2047</v>
      </c>
      <c r="E371" s="51" t="s">
        <v>2048</v>
      </c>
      <c r="F371" s="51"/>
      <c r="G371" s="51"/>
      <c r="H371" s="81">
        <v>37507</v>
      </c>
      <c r="I371" s="51"/>
    </row>
    <row r="372" spans="1:9">
      <c r="A372" s="905"/>
      <c r="B372" s="911"/>
      <c r="C372" s="51" t="s">
        <v>2108</v>
      </c>
      <c r="D372" s="51" t="s">
        <v>2047</v>
      </c>
      <c r="E372" s="51" t="s">
        <v>2048</v>
      </c>
      <c r="F372" s="51"/>
      <c r="G372" s="51"/>
      <c r="H372" s="81">
        <v>256161.63</v>
      </c>
      <c r="I372" s="51"/>
    </row>
    <row r="373" spans="1:9">
      <c r="A373" s="905"/>
      <c r="B373" s="911"/>
      <c r="C373" s="51" t="s">
        <v>2135</v>
      </c>
      <c r="D373" s="51" t="s">
        <v>2047</v>
      </c>
      <c r="E373" s="51" t="s">
        <v>2048</v>
      </c>
      <c r="F373" s="51"/>
      <c r="G373" s="51"/>
      <c r="H373" s="81">
        <v>140125.95000000001</v>
      </c>
      <c r="I373" s="51"/>
    </row>
    <row r="374" spans="1:9">
      <c r="A374" s="905"/>
      <c r="B374" s="911"/>
      <c r="C374" s="51" t="s">
        <v>2041</v>
      </c>
      <c r="D374" s="51" t="s">
        <v>2047</v>
      </c>
      <c r="E374" s="51" t="s">
        <v>2048</v>
      </c>
      <c r="F374" s="51"/>
      <c r="G374" s="51"/>
      <c r="H374" s="81">
        <v>150704.78999999998</v>
      </c>
      <c r="I374" s="51"/>
    </row>
    <row r="375" spans="1:9">
      <c r="A375" s="905"/>
      <c r="B375" s="911"/>
      <c r="C375" s="51" t="s">
        <v>2137</v>
      </c>
      <c r="D375" s="51" t="s">
        <v>2049</v>
      </c>
      <c r="E375" s="51" t="s">
        <v>2048</v>
      </c>
      <c r="F375" s="51"/>
      <c r="G375" s="51"/>
      <c r="H375" s="81">
        <v>101067.35999999999</v>
      </c>
      <c r="I375" s="51"/>
    </row>
    <row r="376" spans="1:9">
      <c r="A376" s="905"/>
      <c r="B376" s="911"/>
      <c r="C376" s="51" t="s">
        <v>4202</v>
      </c>
      <c r="D376" s="51" t="s">
        <v>2049</v>
      </c>
      <c r="E376" s="51" t="s">
        <v>2048</v>
      </c>
      <c r="F376" s="51"/>
      <c r="G376" s="51"/>
      <c r="H376" s="81">
        <v>128741.83</v>
      </c>
      <c r="I376" s="51"/>
    </row>
    <row r="377" spans="1:9">
      <c r="A377" s="905"/>
      <c r="B377" s="911"/>
      <c r="C377" s="51" t="s">
        <v>4203</v>
      </c>
      <c r="D377" s="51" t="s">
        <v>2049</v>
      </c>
      <c r="E377" s="51" t="s">
        <v>2048</v>
      </c>
      <c r="F377" s="51"/>
      <c r="G377" s="51"/>
      <c r="H377" s="81">
        <v>23712</v>
      </c>
      <c r="I377" s="51"/>
    </row>
    <row r="378" spans="1:9">
      <c r="A378" s="905"/>
      <c r="B378" s="911"/>
      <c r="C378" s="51" t="s">
        <v>4204</v>
      </c>
      <c r="D378" s="51" t="s">
        <v>2049</v>
      </c>
      <c r="E378" s="51" t="s">
        <v>4205</v>
      </c>
      <c r="F378" s="51"/>
      <c r="G378" s="51"/>
      <c r="H378" s="81">
        <v>29571.899999999998</v>
      </c>
      <c r="I378" s="51"/>
    </row>
    <row r="379" spans="1:9">
      <c r="A379" s="905"/>
      <c r="B379" s="911"/>
      <c r="C379" s="51" t="s">
        <v>4206</v>
      </c>
      <c r="D379" s="51" t="s">
        <v>2049</v>
      </c>
      <c r="E379" s="51" t="s">
        <v>2131</v>
      </c>
      <c r="F379" s="51"/>
      <c r="G379" s="51"/>
      <c r="H379" s="81">
        <v>23859.360000000001</v>
      </c>
      <c r="I379" s="51"/>
    </row>
    <row r="380" spans="1:9">
      <c r="A380" s="905"/>
      <c r="B380" s="911"/>
      <c r="C380" s="51" t="s">
        <v>4207</v>
      </c>
      <c r="D380" s="51" t="s">
        <v>2049</v>
      </c>
      <c r="E380" s="51" t="s">
        <v>2048</v>
      </c>
      <c r="F380" s="51"/>
      <c r="G380" s="51"/>
      <c r="H380" s="81">
        <v>9126.6</v>
      </c>
      <c r="I380" s="51"/>
    </row>
    <row r="381" spans="1:9">
      <c r="A381" s="905"/>
      <c r="B381" s="911"/>
      <c r="C381" s="51" t="s">
        <v>4208</v>
      </c>
      <c r="D381" s="51" t="s">
        <v>2049</v>
      </c>
      <c r="E381" s="51" t="s">
        <v>2048</v>
      </c>
      <c r="F381" s="51"/>
      <c r="G381" s="51"/>
      <c r="H381" s="81">
        <v>434232.99</v>
      </c>
      <c r="I381" s="51"/>
    </row>
    <row r="382" spans="1:9">
      <c r="A382" s="905"/>
      <c r="B382" s="911"/>
      <c r="C382" s="51" t="s">
        <v>4209</v>
      </c>
      <c r="D382" s="51" t="s">
        <v>2049</v>
      </c>
      <c r="E382" s="51" t="s">
        <v>2048</v>
      </c>
      <c r="F382" s="51"/>
      <c r="G382" s="51"/>
      <c r="H382" s="81">
        <v>235546.94</v>
      </c>
      <c r="I382" s="51"/>
    </row>
    <row r="383" spans="1:9">
      <c r="A383" s="905"/>
      <c r="B383" s="911"/>
      <c r="C383" s="51" t="s">
        <v>2065</v>
      </c>
      <c r="D383" s="51" t="s">
        <v>2049</v>
      </c>
      <c r="E383" s="51" t="s">
        <v>1945</v>
      </c>
      <c r="F383" s="51"/>
      <c r="G383" s="51"/>
      <c r="H383" s="81">
        <v>5151572.2300000004</v>
      </c>
      <c r="I383" s="51"/>
    </row>
    <row r="384" spans="1:9">
      <c r="A384" s="905"/>
      <c r="B384" s="911"/>
      <c r="C384" s="51" t="s">
        <v>4210</v>
      </c>
      <c r="D384" s="51" t="s">
        <v>2049</v>
      </c>
      <c r="E384" s="51" t="s">
        <v>2116</v>
      </c>
      <c r="F384" s="51"/>
      <c r="G384" s="51"/>
      <c r="H384" s="81">
        <v>140681.32</v>
      </c>
      <c r="I384" s="51"/>
    </row>
    <row r="385" spans="1:9">
      <c r="A385" s="905"/>
      <c r="B385" s="911"/>
      <c r="C385" s="51" t="s">
        <v>2154</v>
      </c>
      <c r="D385" s="51" t="s">
        <v>2049</v>
      </c>
      <c r="E385" s="51" t="s">
        <v>2048</v>
      </c>
      <c r="F385" s="51"/>
      <c r="G385" s="51"/>
      <c r="H385" s="81">
        <v>10371</v>
      </c>
      <c r="I385" s="51"/>
    </row>
    <row r="386" spans="1:9">
      <c r="A386" s="905"/>
      <c r="B386" s="911"/>
      <c r="C386" s="51" t="s">
        <v>2120</v>
      </c>
      <c r="D386" s="51" t="s">
        <v>2049</v>
      </c>
      <c r="E386" s="51" t="s">
        <v>2048</v>
      </c>
      <c r="F386" s="51"/>
      <c r="G386" s="51"/>
      <c r="H386" s="81">
        <v>7208.74</v>
      </c>
      <c r="I386" s="51"/>
    </row>
    <row r="387" spans="1:9">
      <c r="A387" s="905"/>
      <c r="B387" s="911"/>
      <c r="C387" s="51" t="s">
        <v>4211</v>
      </c>
      <c r="D387" s="51" t="s">
        <v>2049</v>
      </c>
      <c r="E387" s="51" t="s">
        <v>2048</v>
      </c>
      <c r="F387" s="51"/>
      <c r="G387" s="51"/>
      <c r="H387" s="81">
        <v>5117.88</v>
      </c>
      <c r="I387" s="51"/>
    </row>
    <row r="388" spans="1:9">
      <c r="A388" s="905"/>
      <c r="B388" s="911"/>
      <c r="C388" s="51" t="s">
        <v>2142</v>
      </c>
      <c r="D388" s="51" t="s">
        <v>2049</v>
      </c>
      <c r="E388" s="51" t="s">
        <v>2048</v>
      </c>
      <c r="F388" s="51"/>
      <c r="G388" s="51"/>
      <c r="H388" s="81">
        <v>22832.71</v>
      </c>
      <c r="I388" s="51"/>
    </row>
    <row r="389" spans="1:9">
      <c r="A389" s="905"/>
      <c r="B389" s="911"/>
      <c r="C389" s="51" t="s">
        <v>2053</v>
      </c>
      <c r="D389" s="51" t="s">
        <v>2047</v>
      </c>
      <c r="E389" s="51" t="s">
        <v>2048</v>
      </c>
      <c r="F389" s="51"/>
      <c r="G389" s="51"/>
      <c r="H389" s="81">
        <v>18170275.440000001</v>
      </c>
      <c r="I389" s="51"/>
    </row>
    <row r="390" spans="1:9">
      <c r="A390" s="905"/>
      <c r="B390" s="911"/>
      <c r="C390" s="51" t="s">
        <v>4212</v>
      </c>
      <c r="D390" s="51" t="s">
        <v>2047</v>
      </c>
      <c r="E390" s="51" t="s">
        <v>2048</v>
      </c>
      <c r="F390" s="51"/>
      <c r="G390" s="51"/>
      <c r="H390" s="81">
        <v>18048.61</v>
      </c>
      <c r="I390" s="51"/>
    </row>
    <row r="391" spans="1:9">
      <c r="A391" s="905"/>
      <c r="B391" s="911"/>
      <c r="C391" s="51" t="s">
        <v>4213</v>
      </c>
      <c r="D391" s="51" t="s">
        <v>2049</v>
      </c>
      <c r="E391" s="51" t="s">
        <v>2048</v>
      </c>
      <c r="F391" s="51"/>
      <c r="G391" s="51"/>
      <c r="H391" s="81">
        <v>132038.49</v>
      </c>
      <c r="I391" s="51"/>
    </row>
    <row r="392" spans="1:9">
      <c r="A392" s="905"/>
      <c r="B392" s="911"/>
      <c r="C392" s="51" t="s">
        <v>4214</v>
      </c>
      <c r="D392" s="51" t="s">
        <v>2047</v>
      </c>
      <c r="E392" s="51" t="s">
        <v>2048</v>
      </c>
      <c r="F392" s="51"/>
      <c r="G392" s="51"/>
      <c r="H392" s="81">
        <v>9142.16</v>
      </c>
      <c r="I392" s="51"/>
    </row>
    <row r="393" spans="1:9">
      <c r="A393" s="905"/>
      <c r="B393" s="911"/>
      <c r="C393" s="51" t="s">
        <v>4215</v>
      </c>
      <c r="D393" s="51" t="s">
        <v>2049</v>
      </c>
      <c r="E393" s="51" t="s">
        <v>2048</v>
      </c>
      <c r="F393" s="51"/>
      <c r="G393" s="51"/>
      <c r="H393" s="81">
        <v>4446</v>
      </c>
      <c r="I393" s="51"/>
    </row>
    <row r="394" spans="1:9">
      <c r="A394" s="905"/>
      <c r="B394" s="911"/>
      <c r="C394" s="51" t="s">
        <v>4216</v>
      </c>
      <c r="D394" s="51" t="s">
        <v>2049</v>
      </c>
      <c r="E394" s="51" t="s">
        <v>2048</v>
      </c>
      <c r="F394" s="51"/>
      <c r="G394" s="51"/>
      <c r="H394" s="81">
        <v>10820</v>
      </c>
      <c r="I394" s="51"/>
    </row>
    <row r="395" spans="1:9">
      <c r="A395" s="905"/>
      <c r="B395" s="911"/>
      <c r="C395" s="51" t="s">
        <v>4217</v>
      </c>
      <c r="D395" s="51" t="s">
        <v>2049</v>
      </c>
      <c r="E395" s="51" t="s">
        <v>2048</v>
      </c>
      <c r="F395" s="51"/>
      <c r="G395" s="51"/>
      <c r="H395" s="81">
        <v>81452.899999999994</v>
      </c>
      <c r="I395" s="51"/>
    </row>
    <row r="396" spans="1:9">
      <c r="A396" s="905"/>
      <c r="B396" s="911"/>
      <c r="C396" s="51" t="s">
        <v>4218</v>
      </c>
      <c r="D396" s="51" t="s">
        <v>2047</v>
      </c>
      <c r="E396" s="51" t="s">
        <v>2048</v>
      </c>
      <c r="F396" s="51"/>
      <c r="G396" s="51"/>
      <c r="H396" s="81">
        <v>21031.39</v>
      </c>
      <c r="I396" s="51"/>
    </row>
    <row r="397" spans="1:9">
      <c r="A397" s="905"/>
      <c r="B397" s="911"/>
      <c r="C397" s="51" t="s">
        <v>4219</v>
      </c>
      <c r="D397" s="51" t="s">
        <v>2047</v>
      </c>
      <c r="E397" s="51" t="s">
        <v>2048</v>
      </c>
      <c r="F397" s="51"/>
      <c r="G397" s="51"/>
      <c r="H397" s="81">
        <v>39790</v>
      </c>
      <c r="I397" s="51"/>
    </row>
    <row r="398" spans="1:9">
      <c r="A398" s="905"/>
      <c r="B398" s="911"/>
      <c r="C398" s="51" t="s">
        <v>4220</v>
      </c>
      <c r="D398" s="51" t="s">
        <v>2049</v>
      </c>
      <c r="E398" s="51" t="s">
        <v>4221</v>
      </c>
      <c r="F398" s="51"/>
      <c r="G398" s="51"/>
      <c r="H398" s="81">
        <v>417358.02</v>
      </c>
      <c r="I398" s="51"/>
    </row>
    <row r="399" spans="1:9">
      <c r="A399" s="905"/>
      <c r="B399" s="911"/>
      <c r="C399" s="51" t="s">
        <v>4222</v>
      </c>
      <c r="D399" s="51" t="s">
        <v>2049</v>
      </c>
      <c r="E399" s="51" t="s">
        <v>2048</v>
      </c>
      <c r="F399" s="51"/>
      <c r="G399" s="51"/>
      <c r="H399" s="81">
        <v>29617.09</v>
      </c>
      <c r="I399" s="51"/>
    </row>
    <row r="400" spans="1:9">
      <c r="A400" s="905"/>
      <c r="B400" s="911"/>
      <c r="C400" s="51" t="s">
        <v>4223</v>
      </c>
      <c r="D400" s="51" t="s">
        <v>2049</v>
      </c>
      <c r="E400" s="51" t="s">
        <v>2048</v>
      </c>
      <c r="F400" s="51"/>
      <c r="G400" s="51"/>
      <c r="H400" s="81">
        <v>29304.350000000002</v>
      </c>
      <c r="I400" s="51"/>
    </row>
    <row r="401" spans="1:9">
      <c r="A401" s="905"/>
      <c r="B401" s="911"/>
      <c r="C401" s="51" t="s">
        <v>4224</v>
      </c>
      <c r="D401" s="51" t="s">
        <v>2049</v>
      </c>
      <c r="E401" s="51" t="s">
        <v>2048</v>
      </c>
      <c r="F401" s="51"/>
      <c r="G401" s="51"/>
      <c r="H401" s="81">
        <v>144366.56</v>
      </c>
      <c r="I401" s="51"/>
    </row>
    <row r="402" spans="1:9">
      <c r="A402" s="905"/>
      <c r="B402" s="911"/>
      <c r="C402" s="51" t="s">
        <v>2066</v>
      </c>
      <c r="D402" s="51" t="s">
        <v>2049</v>
      </c>
      <c r="E402" s="51" t="s">
        <v>2067</v>
      </c>
      <c r="F402" s="51"/>
      <c r="G402" s="51"/>
      <c r="H402" s="81">
        <v>16254872.029999999</v>
      </c>
      <c r="I402" s="51"/>
    </row>
    <row r="403" spans="1:9">
      <c r="A403" s="905"/>
      <c r="B403" s="911"/>
      <c r="C403" s="51" t="s">
        <v>4225</v>
      </c>
      <c r="D403" s="51" t="s">
        <v>2049</v>
      </c>
      <c r="E403" s="51" t="s">
        <v>2048</v>
      </c>
      <c r="F403" s="51"/>
      <c r="G403" s="51"/>
      <c r="H403" s="81">
        <v>17614</v>
      </c>
      <c r="I403" s="51"/>
    </row>
    <row r="404" spans="1:9">
      <c r="A404" s="905"/>
      <c r="B404" s="911"/>
      <c r="C404" s="51" t="s">
        <v>4226</v>
      </c>
      <c r="D404" s="51" t="s">
        <v>2047</v>
      </c>
      <c r="E404" s="51" t="s">
        <v>2048</v>
      </c>
      <c r="F404" s="51"/>
      <c r="G404" s="51"/>
      <c r="H404" s="81">
        <v>39695.94</v>
      </c>
      <c r="I404" s="51"/>
    </row>
    <row r="405" spans="1:9">
      <c r="A405" s="905"/>
      <c r="B405" s="911"/>
      <c r="C405" s="51" t="s">
        <v>4227</v>
      </c>
      <c r="D405" s="51" t="s">
        <v>2049</v>
      </c>
      <c r="E405" s="51" t="s">
        <v>2048</v>
      </c>
      <c r="F405" s="51"/>
      <c r="G405" s="51"/>
      <c r="H405" s="81">
        <v>63094.570000000007</v>
      </c>
      <c r="I405" s="51"/>
    </row>
    <row r="406" spans="1:9">
      <c r="A406" s="905"/>
      <c r="B406" s="911"/>
      <c r="C406" s="51" t="s">
        <v>4228</v>
      </c>
      <c r="D406" s="51" t="s">
        <v>2049</v>
      </c>
      <c r="E406" s="51" t="s">
        <v>2048</v>
      </c>
      <c r="F406" s="51"/>
      <c r="G406" s="51"/>
      <c r="H406" s="81">
        <v>16351.23</v>
      </c>
      <c r="I406" s="51"/>
    </row>
    <row r="407" spans="1:9">
      <c r="A407" s="905"/>
      <c r="B407" s="911"/>
      <c r="C407" s="51" t="s">
        <v>4229</v>
      </c>
      <c r="D407" s="51" t="s">
        <v>2047</v>
      </c>
      <c r="E407" s="51" t="s">
        <v>2048</v>
      </c>
      <c r="F407" s="51"/>
      <c r="G407" s="51"/>
      <c r="H407" s="81">
        <v>3044.3</v>
      </c>
      <c r="I407" s="51"/>
    </row>
    <row r="408" spans="1:9">
      <c r="A408" s="905"/>
      <c r="B408" s="911"/>
      <c r="C408" s="51" t="s">
        <v>4230</v>
      </c>
      <c r="D408" s="51" t="s">
        <v>2047</v>
      </c>
      <c r="E408" s="51" t="s">
        <v>2048</v>
      </c>
      <c r="F408" s="51"/>
      <c r="G408" s="51"/>
      <c r="H408" s="81">
        <v>7740.47</v>
      </c>
      <c r="I408" s="51"/>
    </row>
    <row r="409" spans="1:9">
      <c r="A409" s="905"/>
      <c r="B409" s="911"/>
      <c r="C409" s="51" t="s">
        <v>4231</v>
      </c>
      <c r="D409" s="51" t="s">
        <v>2047</v>
      </c>
      <c r="E409" s="51" t="s">
        <v>2048</v>
      </c>
      <c r="F409" s="51"/>
      <c r="G409" s="51"/>
      <c r="H409" s="81">
        <v>72250</v>
      </c>
      <c r="I409" s="51"/>
    </row>
    <row r="410" spans="1:9">
      <c r="A410" s="905"/>
      <c r="B410" s="911"/>
      <c r="C410" s="51" t="s">
        <v>4232</v>
      </c>
      <c r="D410" s="51" t="s">
        <v>2049</v>
      </c>
      <c r="E410" s="51" t="s">
        <v>2048</v>
      </c>
      <c r="F410" s="51"/>
      <c r="G410" s="51"/>
      <c r="H410" s="81">
        <v>3000</v>
      </c>
      <c r="I410" s="51"/>
    </row>
    <row r="411" spans="1:9">
      <c r="A411" s="905"/>
      <c r="B411" s="911"/>
      <c r="C411" s="51" t="s">
        <v>4233</v>
      </c>
      <c r="D411" s="51" t="s">
        <v>2047</v>
      </c>
      <c r="E411" s="51" t="s">
        <v>2048</v>
      </c>
      <c r="F411" s="51"/>
      <c r="G411" s="51"/>
      <c r="H411" s="81">
        <v>6360</v>
      </c>
      <c r="I411" s="51"/>
    </row>
    <row r="412" spans="1:9">
      <c r="A412" s="905"/>
      <c r="B412" s="911"/>
      <c r="C412" s="51" t="s">
        <v>4234</v>
      </c>
      <c r="D412" s="51" t="s">
        <v>2047</v>
      </c>
      <c r="E412" s="51" t="s">
        <v>2048</v>
      </c>
      <c r="F412" s="51"/>
      <c r="G412" s="51"/>
      <c r="H412" s="81">
        <v>71050</v>
      </c>
      <c r="I412" s="51"/>
    </row>
    <row r="413" spans="1:9">
      <c r="A413" s="905"/>
      <c r="B413" s="911"/>
      <c r="C413" s="51" t="s">
        <v>4235</v>
      </c>
      <c r="D413" s="51" t="s">
        <v>2049</v>
      </c>
      <c r="E413" s="51" t="s">
        <v>4236</v>
      </c>
      <c r="F413" s="51"/>
      <c r="G413" s="51"/>
      <c r="H413" s="81">
        <v>345415.98</v>
      </c>
      <c r="I413" s="51"/>
    </row>
    <row r="414" spans="1:9">
      <c r="A414" s="905"/>
      <c r="B414" s="911"/>
      <c r="C414" s="51" t="s">
        <v>4237</v>
      </c>
      <c r="D414" s="51" t="s">
        <v>2049</v>
      </c>
      <c r="E414" s="51" t="s">
        <v>4238</v>
      </c>
      <c r="F414" s="51"/>
      <c r="G414" s="51"/>
      <c r="H414" s="81">
        <v>119259.5</v>
      </c>
      <c r="I414" s="51"/>
    </row>
    <row r="415" spans="1:9">
      <c r="A415" s="905"/>
      <c r="B415" s="911"/>
      <c r="C415" s="51" t="s">
        <v>4239</v>
      </c>
      <c r="D415" s="51" t="s">
        <v>2047</v>
      </c>
      <c r="E415" s="51" t="s">
        <v>2048</v>
      </c>
      <c r="F415" s="51"/>
      <c r="G415" s="51"/>
      <c r="H415" s="81">
        <v>24565.91</v>
      </c>
      <c r="I415" s="51"/>
    </row>
    <row r="416" spans="1:9">
      <c r="A416" s="905"/>
      <c r="B416" s="911"/>
      <c r="C416" s="51" t="s">
        <v>4240</v>
      </c>
      <c r="D416" s="51" t="s">
        <v>2049</v>
      </c>
      <c r="E416" s="51" t="s">
        <v>2061</v>
      </c>
      <c r="F416" s="51"/>
      <c r="G416" s="51"/>
      <c r="H416" s="81">
        <v>11354547.48</v>
      </c>
      <c r="I416" s="51"/>
    </row>
    <row r="417" spans="1:9">
      <c r="A417" s="905"/>
      <c r="B417" s="911"/>
      <c r="C417" s="51" t="s">
        <v>4241</v>
      </c>
      <c r="D417" s="51" t="s">
        <v>2047</v>
      </c>
      <c r="E417" s="51" t="s">
        <v>2048</v>
      </c>
      <c r="F417" s="51"/>
      <c r="G417" s="51"/>
      <c r="H417" s="81">
        <v>8069.19</v>
      </c>
      <c r="I417" s="51"/>
    </row>
    <row r="418" spans="1:9">
      <c r="A418" s="905"/>
      <c r="B418" s="911"/>
      <c r="C418" s="51" t="s">
        <v>4242</v>
      </c>
      <c r="D418" s="51" t="s">
        <v>2049</v>
      </c>
      <c r="E418" s="51" t="s">
        <v>2048</v>
      </c>
      <c r="F418" s="51"/>
      <c r="G418" s="51"/>
      <c r="H418" s="81">
        <v>103862.73000000001</v>
      </c>
      <c r="I418" s="51"/>
    </row>
    <row r="419" spans="1:9">
      <c r="A419" s="905"/>
      <c r="B419" s="911"/>
      <c r="C419" s="51" t="s">
        <v>4243</v>
      </c>
      <c r="D419" s="51" t="s">
        <v>2049</v>
      </c>
      <c r="E419" s="51" t="s">
        <v>2048</v>
      </c>
      <c r="F419" s="51"/>
      <c r="G419" s="51"/>
      <c r="H419" s="81">
        <v>54245.210000000006</v>
      </c>
      <c r="I419" s="51"/>
    </row>
    <row r="420" spans="1:9">
      <c r="A420" s="905"/>
      <c r="B420" s="911"/>
      <c r="C420" s="51" t="s">
        <v>4244</v>
      </c>
      <c r="D420" s="51" t="s">
        <v>2049</v>
      </c>
      <c r="E420" s="51" t="s">
        <v>2048</v>
      </c>
      <c r="F420" s="51"/>
      <c r="G420" s="51"/>
      <c r="H420" s="81">
        <v>152149.66999999998</v>
      </c>
      <c r="I420" s="51"/>
    </row>
    <row r="421" spans="1:9">
      <c r="A421" s="905"/>
      <c r="B421" s="911"/>
      <c r="C421" s="51" t="s">
        <v>4245</v>
      </c>
      <c r="D421" s="51" t="s">
        <v>2049</v>
      </c>
      <c r="E421" s="51" t="s">
        <v>2048</v>
      </c>
      <c r="F421" s="51"/>
      <c r="G421" s="51"/>
      <c r="H421" s="81">
        <v>24487.3</v>
      </c>
      <c r="I421" s="51"/>
    </row>
    <row r="422" spans="1:9">
      <c r="A422" s="905"/>
      <c r="B422" s="911"/>
      <c r="C422" s="51" t="s">
        <v>4246</v>
      </c>
      <c r="D422" s="51" t="s">
        <v>2049</v>
      </c>
      <c r="E422" s="51" t="s">
        <v>2048</v>
      </c>
      <c r="F422" s="51"/>
      <c r="G422" s="51"/>
      <c r="H422" s="81">
        <v>1827.76</v>
      </c>
      <c r="I422" s="51"/>
    </row>
    <row r="423" spans="1:9">
      <c r="A423" s="905"/>
      <c r="B423" s="911"/>
      <c r="C423" s="51" t="s">
        <v>4247</v>
      </c>
      <c r="D423" s="51" t="s">
        <v>2049</v>
      </c>
      <c r="E423" s="51" t="s">
        <v>2048</v>
      </c>
      <c r="F423" s="51"/>
      <c r="G423" s="51"/>
      <c r="H423" s="81">
        <v>4585.34</v>
      </c>
      <c r="I423" s="51"/>
    </row>
    <row r="424" spans="1:9">
      <c r="A424" s="905"/>
      <c r="B424" s="911"/>
      <c r="C424" s="51" t="s">
        <v>4248</v>
      </c>
      <c r="D424" s="51" t="s">
        <v>2049</v>
      </c>
      <c r="E424" s="51" t="s">
        <v>2048</v>
      </c>
      <c r="F424" s="51"/>
      <c r="G424" s="51"/>
      <c r="H424" s="81">
        <v>54172.04</v>
      </c>
      <c r="I424" s="51"/>
    </row>
    <row r="425" spans="1:9">
      <c r="A425" s="905"/>
      <c r="B425" s="911"/>
      <c r="C425" s="51" t="s">
        <v>4249</v>
      </c>
      <c r="D425" s="51" t="s">
        <v>2049</v>
      </c>
      <c r="E425" s="51" t="s">
        <v>2048</v>
      </c>
      <c r="F425" s="51"/>
      <c r="G425" s="51"/>
      <c r="H425" s="81">
        <v>214212.18</v>
      </c>
      <c r="I425" s="51"/>
    </row>
    <row r="426" spans="1:9">
      <c r="A426" s="905"/>
      <c r="B426" s="911"/>
      <c r="C426" s="51" t="s">
        <v>4250</v>
      </c>
      <c r="D426" s="51" t="s">
        <v>2049</v>
      </c>
      <c r="E426" s="51" t="s">
        <v>2048</v>
      </c>
      <c r="F426" s="51"/>
      <c r="G426" s="51"/>
      <c r="H426" s="81">
        <v>144688.87</v>
      </c>
      <c r="I426" s="51"/>
    </row>
    <row r="427" spans="1:9">
      <c r="A427" s="905"/>
      <c r="B427" s="911"/>
      <c r="C427" s="51" t="s">
        <v>2132</v>
      </c>
      <c r="D427" s="51" t="s">
        <v>2049</v>
      </c>
      <c r="E427" s="51" t="s">
        <v>2048</v>
      </c>
      <c r="F427" s="51"/>
      <c r="G427" s="51"/>
      <c r="H427" s="81">
        <v>28854.07</v>
      </c>
      <c r="I427" s="51"/>
    </row>
    <row r="428" spans="1:9">
      <c r="A428" s="905"/>
      <c r="B428" s="911"/>
      <c r="C428" s="51" t="s">
        <v>4251</v>
      </c>
      <c r="D428" s="51" t="s">
        <v>2049</v>
      </c>
      <c r="E428" s="51" t="s">
        <v>2048</v>
      </c>
      <c r="F428" s="51"/>
      <c r="G428" s="51"/>
      <c r="H428" s="81">
        <v>138588.24</v>
      </c>
      <c r="I428" s="51"/>
    </row>
    <row r="429" spans="1:9">
      <c r="A429" s="905"/>
      <c r="B429" s="911"/>
      <c r="C429" s="51" t="s">
        <v>2100</v>
      </c>
      <c r="D429" s="51" t="s">
        <v>2049</v>
      </c>
      <c r="E429" s="51" t="s">
        <v>2048</v>
      </c>
      <c r="F429" s="51"/>
      <c r="G429" s="51"/>
      <c r="H429" s="81">
        <v>108661.68</v>
      </c>
      <c r="I429" s="51"/>
    </row>
    <row r="430" spans="1:9">
      <c r="A430" s="905"/>
      <c r="B430" s="911"/>
      <c r="C430" s="51" t="s">
        <v>4252</v>
      </c>
      <c r="D430" s="51" t="s">
        <v>2049</v>
      </c>
      <c r="E430" s="51" t="s">
        <v>2048</v>
      </c>
      <c r="F430" s="51"/>
      <c r="G430" s="51"/>
      <c r="H430" s="81">
        <v>163748.32</v>
      </c>
      <c r="I430" s="51"/>
    </row>
    <row r="431" spans="1:9">
      <c r="A431" s="905"/>
      <c r="B431" s="911"/>
      <c r="C431" s="51" t="s">
        <v>4253</v>
      </c>
      <c r="D431" s="51" t="s">
        <v>2049</v>
      </c>
      <c r="E431" s="51" t="s">
        <v>2048</v>
      </c>
      <c r="F431" s="51"/>
      <c r="G431" s="51"/>
      <c r="H431" s="81">
        <v>673803.22</v>
      </c>
      <c r="I431" s="51"/>
    </row>
    <row r="432" spans="1:9">
      <c r="A432" s="905"/>
      <c r="B432" s="911"/>
      <c r="C432" s="51" t="s">
        <v>4254</v>
      </c>
      <c r="D432" s="51" t="s">
        <v>2047</v>
      </c>
      <c r="E432" s="51" t="s">
        <v>2048</v>
      </c>
      <c r="F432" s="51"/>
      <c r="G432" s="51"/>
      <c r="H432" s="81">
        <v>15300</v>
      </c>
      <c r="I432" s="51"/>
    </row>
    <row r="433" spans="1:9">
      <c r="A433" s="905"/>
      <c r="B433" s="911"/>
      <c r="C433" s="51" t="s">
        <v>4255</v>
      </c>
      <c r="D433" s="51" t="s">
        <v>2047</v>
      </c>
      <c r="E433" s="51" t="s">
        <v>2048</v>
      </c>
      <c r="F433" s="51"/>
      <c r="G433" s="51"/>
      <c r="H433" s="81">
        <v>21004.29</v>
      </c>
      <c r="I433" s="51"/>
    </row>
    <row r="434" spans="1:9">
      <c r="A434" s="905"/>
      <c r="B434" s="911"/>
      <c r="C434" s="51" t="s">
        <v>4256</v>
      </c>
      <c r="D434" s="51" t="s">
        <v>2047</v>
      </c>
      <c r="E434" s="51" t="s">
        <v>2048</v>
      </c>
      <c r="F434" s="51"/>
      <c r="G434" s="51"/>
      <c r="H434" s="81">
        <v>3099.6</v>
      </c>
      <c r="I434" s="51"/>
    </row>
    <row r="435" spans="1:9">
      <c r="A435" s="905"/>
      <c r="B435" s="911"/>
      <c r="C435" s="51" t="s">
        <v>2161</v>
      </c>
      <c r="D435" s="51" t="s">
        <v>2047</v>
      </c>
      <c r="E435" s="51" t="s">
        <v>2048</v>
      </c>
      <c r="F435" s="51"/>
      <c r="G435" s="51"/>
      <c r="H435" s="81">
        <v>118234.74</v>
      </c>
      <c r="I435" s="51"/>
    </row>
    <row r="436" spans="1:9">
      <c r="A436" s="905"/>
      <c r="B436" s="911"/>
      <c r="C436" s="51" t="s">
        <v>4257</v>
      </c>
      <c r="D436" s="51" t="s">
        <v>2047</v>
      </c>
      <c r="E436" s="51" t="s">
        <v>2048</v>
      </c>
      <c r="F436" s="51"/>
      <c r="G436" s="51"/>
      <c r="H436" s="81">
        <v>4977.38</v>
      </c>
      <c r="I436" s="51"/>
    </row>
    <row r="437" spans="1:9">
      <c r="A437" s="905"/>
      <c r="B437" s="911"/>
      <c r="C437" s="51" t="s">
        <v>4258</v>
      </c>
      <c r="D437" s="51" t="s">
        <v>2049</v>
      </c>
      <c r="E437" s="51" t="s">
        <v>2048</v>
      </c>
      <c r="F437" s="51"/>
      <c r="G437" s="51"/>
      <c r="H437" s="81">
        <v>24206</v>
      </c>
      <c r="I437" s="51"/>
    </row>
    <row r="438" spans="1:9">
      <c r="A438" s="905"/>
      <c r="B438" s="911"/>
      <c r="C438" s="51" t="s">
        <v>4259</v>
      </c>
      <c r="D438" s="51" t="s">
        <v>2049</v>
      </c>
      <c r="E438" s="51" t="s">
        <v>2048</v>
      </c>
      <c r="F438" s="51"/>
      <c r="G438" s="51"/>
      <c r="H438" s="81">
        <v>168980.69</v>
      </c>
      <c r="I438" s="51"/>
    </row>
    <row r="439" spans="1:9">
      <c r="A439" s="905"/>
      <c r="B439" s="911"/>
      <c r="C439" s="51" t="s">
        <v>4260</v>
      </c>
      <c r="D439" s="51" t="s">
        <v>2049</v>
      </c>
      <c r="E439" s="51" t="s">
        <v>2048</v>
      </c>
      <c r="F439" s="51"/>
      <c r="G439" s="51"/>
      <c r="H439" s="81">
        <v>141574.18</v>
      </c>
      <c r="I439" s="51"/>
    </row>
    <row r="440" spans="1:9">
      <c r="A440" s="905"/>
      <c r="B440" s="911"/>
      <c r="C440" s="51" t="s">
        <v>4261</v>
      </c>
      <c r="D440" s="51" t="s">
        <v>2047</v>
      </c>
      <c r="E440" s="51" t="s">
        <v>2048</v>
      </c>
      <c r="F440" s="51"/>
      <c r="G440" s="51"/>
      <c r="H440" s="81">
        <v>36804.480000000003</v>
      </c>
      <c r="I440" s="51"/>
    </row>
    <row r="441" spans="1:9">
      <c r="A441" s="905"/>
      <c r="B441" s="911"/>
      <c r="C441" s="51" t="s">
        <v>2099</v>
      </c>
      <c r="D441" s="51" t="s">
        <v>2049</v>
      </c>
      <c r="E441" s="51" t="s">
        <v>2048</v>
      </c>
      <c r="F441" s="51"/>
      <c r="G441" s="51"/>
      <c r="H441" s="81">
        <v>182110</v>
      </c>
      <c r="I441" s="51"/>
    </row>
    <row r="442" spans="1:9">
      <c r="A442" s="905"/>
      <c r="B442" s="911"/>
      <c r="C442" s="51" t="s">
        <v>4262</v>
      </c>
      <c r="D442" s="51" t="s">
        <v>2047</v>
      </c>
      <c r="E442" s="51" t="s">
        <v>2048</v>
      </c>
      <c r="F442" s="51"/>
      <c r="G442" s="51"/>
      <c r="H442" s="81">
        <v>9476</v>
      </c>
      <c r="I442" s="51"/>
    </row>
    <row r="443" spans="1:9">
      <c r="A443" s="905"/>
      <c r="B443" s="911"/>
      <c r="C443" s="51" t="s">
        <v>4263</v>
      </c>
      <c r="D443" s="51" t="s">
        <v>2047</v>
      </c>
      <c r="E443" s="51" t="s">
        <v>2048</v>
      </c>
      <c r="F443" s="51"/>
      <c r="G443" s="51"/>
      <c r="H443" s="81">
        <v>186.6</v>
      </c>
      <c r="I443" s="51"/>
    </row>
    <row r="444" spans="1:9">
      <c r="A444" s="905"/>
      <c r="B444" s="911"/>
      <c r="C444" s="51" t="s">
        <v>4264</v>
      </c>
      <c r="D444" s="51" t="s">
        <v>2049</v>
      </c>
      <c r="E444" s="51" t="s">
        <v>2048</v>
      </c>
      <c r="F444" s="51"/>
      <c r="G444" s="51"/>
      <c r="H444" s="81">
        <v>933246.27</v>
      </c>
      <c r="I444" s="51"/>
    </row>
    <row r="445" spans="1:9">
      <c r="A445" s="905"/>
      <c r="B445" s="911"/>
      <c r="C445" s="51" t="s">
        <v>4265</v>
      </c>
      <c r="D445" s="51" t="s">
        <v>2049</v>
      </c>
      <c r="E445" s="51" t="s">
        <v>2048</v>
      </c>
      <c r="F445" s="51"/>
      <c r="G445" s="51"/>
      <c r="H445" s="81">
        <v>39515.550000000003</v>
      </c>
      <c r="I445" s="51"/>
    </row>
    <row r="446" spans="1:9">
      <c r="A446" s="905"/>
      <c r="B446" s="911"/>
      <c r="C446" s="51" t="s">
        <v>4266</v>
      </c>
      <c r="D446" s="51" t="s">
        <v>2047</v>
      </c>
      <c r="E446" s="51" t="s">
        <v>2048</v>
      </c>
      <c r="F446" s="51"/>
      <c r="G446" s="51"/>
      <c r="H446" s="81">
        <v>946769.14000000013</v>
      </c>
      <c r="I446" s="51"/>
    </row>
    <row r="447" spans="1:9">
      <c r="A447" s="905"/>
      <c r="B447" s="911"/>
      <c r="C447" s="51" t="s">
        <v>4267</v>
      </c>
      <c r="D447" s="51" t="s">
        <v>2049</v>
      </c>
      <c r="E447" s="51" t="s">
        <v>2048</v>
      </c>
      <c r="F447" s="51"/>
      <c r="G447" s="51"/>
      <c r="H447" s="81">
        <v>12448.8</v>
      </c>
      <c r="I447" s="51"/>
    </row>
    <row r="448" spans="1:9">
      <c r="A448" s="905"/>
      <c r="B448" s="911"/>
      <c r="C448" s="51" t="s">
        <v>4268</v>
      </c>
      <c r="D448" s="51" t="s">
        <v>2047</v>
      </c>
      <c r="E448" s="51" t="s">
        <v>2048</v>
      </c>
      <c r="F448" s="51"/>
      <c r="G448" s="51"/>
      <c r="H448" s="81">
        <v>3625</v>
      </c>
      <c r="I448" s="51"/>
    </row>
    <row r="449" spans="1:9">
      <c r="A449" s="905"/>
      <c r="B449" s="911"/>
      <c r="C449" s="51" t="s">
        <v>4269</v>
      </c>
      <c r="D449" s="51" t="s">
        <v>2047</v>
      </c>
      <c r="E449" s="51" t="s">
        <v>2048</v>
      </c>
      <c r="F449" s="51"/>
      <c r="G449" s="51"/>
      <c r="H449" s="81">
        <v>29420.62</v>
      </c>
      <c r="I449" s="51"/>
    </row>
    <row r="450" spans="1:9">
      <c r="A450" s="905"/>
      <c r="B450" s="911"/>
      <c r="C450" s="51" t="s">
        <v>2136</v>
      </c>
      <c r="D450" s="51" t="s">
        <v>2047</v>
      </c>
      <c r="E450" s="51" t="s">
        <v>2048</v>
      </c>
      <c r="F450" s="51"/>
      <c r="G450" s="51"/>
      <c r="H450" s="81">
        <v>3220.4</v>
      </c>
      <c r="I450" s="51"/>
    </row>
    <row r="451" spans="1:9">
      <c r="A451" s="905"/>
      <c r="B451" s="911"/>
      <c r="C451" s="51" t="s">
        <v>4270</v>
      </c>
      <c r="D451" s="51" t="s">
        <v>2049</v>
      </c>
      <c r="E451" s="51" t="s">
        <v>2055</v>
      </c>
      <c r="F451" s="51"/>
      <c r="G451" s="51"/>
      <c r="H451" s="81">
        <v>10274222.18</v>
      </c>
      <c r="I451" s="51"/>
    </row>
    <row r="452" spans="1:9">
      <c r="A452" s="905"/>
      <c r="B452" s="911"/>
      <c r="C452" s="51" t="s">
        <v>4271</v>
      </c>
      <c r="D452" s="51" t="s">
        <v>2047</v>
      </c>
      <c r="E452" s="51" t="s">
        <v>2048</v>
      </c>
      <c r="F452" s="51"/>
      <c r="G452" s="51"/>
      <c r="H452" s="81">
        <v>37845.42</v>
      </c>
      <c r="I452" s="51"/>
    </row>
    <row r="453" spans="1:9">
      <c r="A453" s="905"/>
      <c r="B453" s="911"/>
      <c r="C453" s="51" t="s">
        <v>4272</v>
      </c>
      <c r="D453" s="51" t="s">
        <v>2049</v>
      </c>
      <c r="E453" s="51" t="s">
        <v>4273</v>
      </c>
      <c r="F453" s="51"/>
      <c r="G453" s="51"/>
      <c r="H453" s="81">
        <v>1569037.22</v>
      </c>
      <c r="I453" s="51"/>
    </row>
    <row r="454" spans="1:9">
      <c r="A454" s="905"/>
      <c r="B454" s="911"/>
      <c r="C454" s="51" t="s">
        <v>4274</v>
      </c>
      <c r="D454" s="51" t="s">
        <v>2047</v>
      </c>
      <c r="E454" s="51" t="s">
        <v>2048</v>
      </c>
      <c r="F454" s="51"/>
      <c r="G454" s="51"/>
      <c r="H454" s="81">
        <v>41580</v>
      </c>
      <c r="I454" s="51"/>
    </row>
    <row r="455" spans="1:9">
      <c r="A455" s="905"/>
      <c r="B455" s="911"/>
      <c r="C455" s="51" t="s">
        <v>4275</v>
      </c>
      <c r="D455" s="51" t="s">
        <v>2047</v>
      </c>
      <c r="E455" s="51" t="s">
        <v>2048</v>
      </c>
      <c r="F455" s="51"/>
      <c r="G455" s="51"/>
      <c r="H455" s="81">
        <v>10395</v>
      </c>
      <c r="I455" s="51"/>
    </row>
    <row r="456" spans="1:9">
      <c r="A456" s="905"/>
      <c r="B456" s="911"/>
      <c r="C456" s="51" t="s">
        <v>4276</v>
      </c>
      <c r="D456" s="51" t="s">
        <v>2049</v>
      </c>
      <c r="E456" s="51" t="s">
        <v>2048</v>
      </c>
      <c r="F456" s="51"/>
      <c r="G456" s="51"/>
      <c r="H456" s="81">
        <v>13071.34</v>
      </c>
      <c r="I456" s="51"/>
    </row>
    <row r="457" spans="1:9">
      <c r="A457" s="905"/>
      <c r="B457" s="911"/>
      <c r="C457" s="51" t="s">
        <v>4277</v>
      </c>
      <c r="D457" s="51" t="s">
        <v>2049</v>
      </c>
      <c r="E457" s="51" t="s">
        <v>2048</v>
      </c>
      <c r="F457" s="51"/>
      <c r="G457" s="51"/>
      <c r="H457" s="81">
        <v>116433.81</v>
      </c>
      <c r="I457" s="51"/>
    </row>
    <row r="458" spans="1:9">
      <c r="A458" s="905"/>
      <c r="B458" s="911"/>
      <c r="C458" s="51" t="s">
        <v>4278</v>
      </c>
      <c r="D458" s="51" t="s">
        <v>2049</v>
      </c>
      <c r="E458" s="51" t="s">
        <v>2048</v>
      </c>
      <c r="F458" s="51"/>
      <c r="G458" s="51"/>
      <c r="H458" s="81">
        <v>15761.98</v>
      </c>
      <c r="I458" s="51"/>
    </row>
    <row r="459" spans="1:9">
      <c r="A459" s="905"/>
      <c r="B459" s="911"/>
      <c r="C459" s="51" t="s">
        <v>4279</v>
      </c>
      <c r="D459" s="51" t="s">
        <v>2049</v>
      </c>
      <c r="E459" s="51" t="s">
        <v>2048</v>
      </c>
      <c r="F459" s="51"/>
      <c r="G459" s="51"/>
      <c r="H459" s="81">
        <v>126819.67</v>
      </c>
      <c r="I459" s="51"/>
    </row>
    <row r="460" spans="1:9">
      <c r="A460" s="905"/>
      <c r="B460" s="911"/>
      <c r="C460" s="51" t="s">
        <v>4280</v>
      </c>
      <c r="D460" s="51" t="s">
        <v>2049</v>
      </c>
      <c r="E460" s="51" t="s">
        <v>2048</v>
      </c>
      <c r="F460" s="51"/>
      <c r="G460" s="51"/>
      <c r="H460" s="81">
        <v>16968.900000000001</v>
      </c>
      <c r="I460" s="51"/>
    </row>
    <row r="461" spans="1:9">
      <c r="A461" s="905"/>
      <c r="B461" s="911"/>
      <c r="C461" s="51" t="s">
        <v>4281</v>
      </c>
      <c r="D461" s="51" t="s">
        <v>2047</v>
      </c>
      <c r="E461" s="51" t="s">
        <v>2048</v>
      </c>
      <c r="F461" s="51"/>
      <c r="G461" s="51"/>
      <c r="H461" s="81">
        <v>432835</v>
      </c>
      <c r="I461" s="51"/>
    </row>
    <row r="462" spans="1:9">
      <c r="A462" s="905"/>
      <c r="B462" s="911"/>
      <c r="C462" s="51" t="s">
        <v>4282</v>
      </c>
      <c r="D462" s="51" t="s">
        <v>2049</v>
      </c>
      <c r="E462" s="51" t="s">
        <v>2048</v>
      </c>
      <c r="F462" s="51"/>
      <c r="G462" s="51"/>
      <c r="H462" s="81">
        <v>122739.21999999999</v>
      </c>
      <c r="I462" s="51"/>
    </row>
    <row r="463" spans="1:9">
      <c r="A463" s="905"/>
      <c r="B463" s="911"/>
      <c r="C463" s="51" t="s">
        <v>4283</v>
      </c>
      <c r="D463" s="51" t="s">
        <v>2049</v>
      </c>
      <c r="E463" s="51" t="s">
        <v>2048</v>
      </c>
      <c r="F463" s="51"/>
      <c r="G463" s="51"/>
      <c r="H463" s="81">
        <v>25485.46</v>
      </c>
      <c r="I463" s="51"/>
    </row>
    <row r="464" spans="1:9">
      <c r="A464" s="905"/>
      <c r="B464" s="911"/>
      <c r="C464" s="51" t="s">
        <v>4284</v>
      </c>
      <c r="D464" s="51" t="s">
        <v>2047</v>
      </c>
      <c r="E464" s="51" t="s">
        <v>2048</v>
      </c>
      <c r="F464" s="51"/>
      <c r="G464" s="51"/>
      <c r="H464" s="81">
        <v>22209.47</v>
      </c>
      <c r="I464" s="51"/>
    </row>
    <row r="465" spans="1:9">
      <c r="A465" s="905"/>
      <c r="B465" s="911"/>
      <c r="C465" s="51" t="s">
        <v>4285</v>
      </c>
      <c r="D465" s="51" t="s">
        <v>2049</v>
      </c>
      <c r="E465" s="51" t="s">
        <v>2048</v>
      </c>
      <c r="F465" s="51"/>
      <c r="G465" s="51"/>
      <c r="H465" s="81">
        <v>2964.03</v>
      </c>
      <c r="I465" s="51"/>
    </row>
    <row r="466" spans="1:9">
      <c r="A466" s="905"/>
      <c r="B466" s="911"/>
      <c r="C466" s="51" t="s">
        <v>4286</v>
      </c>
      <c r="D466" s="51" t="s">
        <v>2049</v>
      </c>
      <c r="E466" s="51" t="s">
        <v>2048</v>
      </c>
      <c r="F466" s="51"/>
      <c r="G466" s="51"/>
      <c r="H466" s="81">
        <v>158816.01</v>
      </c>
      <c r="I466" s="51"/>
    </row>
    <row r="467" spans="1:9">
      <c r="A467" s="905"/>
      <c r="B467" s="911"/>
      <c r="C467" s="51" t="s">
        <v>2054</v>
      </c>
      <c r="D467" s="51" t="s">
        <v>2047</v>
      </c>
      <c r="E467" s="51" t="s">
        <v>2048</v>
      </c>
      <c r="F467" s="51"/>
      <c r="G467" s="51"/>
      <c r="H467" s="81">
        <v>15092665.32</v>
      </c>
      <c r="I467" s="51"/>
    </row>
    <row r="468" spans="1:9">
      <c r="A468" s="905"/>
      <c r="B468" s="911"/>
      <c r="C468" s="51" t="s">
        <v>4287</v>
      </c>
      <c r="D468" s="51" t="s">
        <v>2049</v>
      </c>
      <c r="E468" s="51" t="s">
        <v>2048</v>
      </c>
      <c r="F468" s="51"/>
      <c r="G468" s="51"/>
      <c r="H468" s="81">
        <v>75181.859999999986</v>
      </c>
      <c r="I468" s="51"/>
    </row>
    <row r="469" spans="1:9">
      <c r="A469" s="905"/>
      <c r="B469" s="911"/>
      <c r="C469" s="51" t="s">
        <v>931</v>
      </c>
      <c r="D469" s="51" t="s">
        <v>2049</v>
      </c>
      <c r="E469" s="51" t="s">
        <v>2048</v>
      </c>
      <c r="F469" s="51"/>
      <c r="G469" s="51"/>
      <c r="H469" s="81">
        <v>240370.86000000002</v>
      </c>
      <c r="I469" s="51"/>
    </row>
    <row r="470" spans="1:9">
      <c r="A470" s="905"/>
      <c r="B470" s="911"/>
      <c r="C470" s="51" t="s">
        <v>4288</v>
      </c>
      <c r="D470" s="51" t="s">
        <v>2049</v>
      </c>
      <c r="E470" s="51" t="s">
        <v>2052</v>
      </c>
      <c r="F470" s="51"/>
      <c r="G470" s="51"/>
      <c r="H470" s="81">
        <v>49218688.310000002</v>
      </c>
      <c r="I470" s="51"/>
    </row>
    <row r="471" spans="1:9">
      <c r="A471" s="905"/>
      <c r="B471" s="911"/>
      <c r="C471" s="51" t="s">
        <v>4289</v>
      </c>
      <c r="D471" s="51" t="s">
        <v>2047</v>
      </c>
      <c r="E471" s="51" t="s">
        <v>2048</v>
      </c>
      <c r="F471" s="51"/>
      <c r="G471" s="51"/>
      <c r="H471" s="81">
        <v>6928.66</v>
      </c>
      <c r="I471" s="51"/>
    </row>
    <row r="472" spans="1:9">
      <c r="A472" s="905"/>
      <c r="B472" s="911"/>
      <c r="C472" s="51" t="s">
        <v>2125</v>
      </c>
      <c r="D472" s="51" t="s">
        <v>2049</v>
      </c>
      <c r="E472" s="51" t="s">
        <v>2048</v>
      </c>
      <c r="F472" s="51"/>
      <c r="G472" s="51"/>
      <c r="H472" s="81">
        <v>144852.33000000002</v>
      </c>
      <c r="I472" s="51"/>
    </row>
    <row r="473" spans="1:9">
      <c r="A473" s="905"/>
      <c r="B473" s="911"/>
      <c r="C473" s="51" t="s">
        <v>4290</v>
      </c>
      <c r="D473" s="51" t="s">
        <v>2049</v>
      </c>
      <c r="E473" s="51" t="s">
        <v>2048</v>
      </c>
      <c r="F473" s="51"/>
      <c r="G473" s="51"/>
      <c r="H473" s="81">
        <v>4928.83</v>
      </c>
      <c r="I473" s="51"/>
    </row>
    <row r="474" spans="1:9">
      <c r="A474" s="905"/>
      <c r="B474" s="911"/>
      <c r="C474" s="51" t="s">
        <v>2085</v>
      </c>
      <c r="D474" s="51" t="s">
        <v>2049</v>
      </c>
      <c r="E474" s="51" t="s">
        <v>2086</v>
      </c>
      <c r="F474" s="51" t="s">
        <v>2064</v>
      </c>
      <c r="G474" s="51"/>
      <c r="H474" s="81">
        <v>2507731.5699999998</v>
      </c>
      <c r="I474" s="51"/>
    </row>
    <row r="475" spans="1:9">
      <c r="A475" s="905"/>
      <c r="B475" s="911"/>
      <c r="C475" s="51" t="s">
        <v>4291</v>
      </c>
      <c r="D475" s="51" t="s">
        <v>2049</v>
      </c>
      <c r="E475" s="51" t="s">
        <v>2048</v>
      </c>
      <c r="F475" s="51"/>
      <c r="G475" s="51"/>
      <c r="H475" s="81">
        <v>3305.51</v>
      </c>
      <c r="I475" s="51"/>
    </row>
    <row r="476" spans="1:9">
      <c r="A476" s="905"/>
      <c r="B476" s="911"/>
      <c r="C476" s="51" t="s">
        <v>4292</v>
      </c>
      <c r="D476" s="51" t="s">
        <v>2049</v>
      </c>
      <c r="E476" s="51" t="s">
        <v>2048</v>
      </c>
      <c r="F476" s="51"/>
      <c r="G476" s="51"/>
      <c r="H476" s="81">
        <v>75214.14</v>
      </c>
      <c r="I476" s="51"/>
    </row>
    <row r="477" spans="1:9">
      <c r="A477" s="905"/>
      <c r="B477" s="911"/>
      <c r="C477" s="51" t="s">
        <v>4293</v>
      </c>
      <c r="D477" s="51" t="s">
        <v>2049</v>
      </c>
      <c r="E477" s="51" t="s">
        <v>2059</v>
      </c>
      <c r="F477" s="51"/>
      <c r="G477" s="51"/>
      <c r="H477" s="81">
        <v>5593830.2699999996</v>
      </c>
      <c r="I477" s="51"/>
    </row>
    <row r="478" spans="1:9">
      <c r="A478" s="905"/>
      <c r="B478" s="911"/>
      <c r="C478" s="51" t="s">
        <v>4294</v>
      </c>
      <c r="D478" s="51" t="s">
        <v>2049</v>
      </c>
      <c r="E478" s="51" t="s">
        <v>2048</v>
      </c>
      <c r="F478" s="51"/>
      <c r="G478" s="51"/>
      <c r="H478" s="81">
        <v>52008.24</v>
      </c>
      <c r="I478" s="51"/>
    </row>
    <row r="479" spans="1:9">
      <c r="A479" s="905"/>
      <c r="B479" s="911"/>
      <c r="C479" s="51" t="s">
        <v>4295</v>
      </c>
      <c r="D479" s="51" t="s">
        <v>2047</v>
      </c>
      <c r="E479" s="51" t="s">
        <v>2048</v>
      </c>
      <c r="F479" s="51"/>
      <c r="G479" s="51"/>
      <c r="H479" s="81">
        <v>66655.73</v>
      </c>
      <c r="I479" s="51"/>
    </row>
    <row r="480" spans="1:9">
      <c r="A480" s="905"/>
      <c r="B480" s="911"/>
      <c r="C480" s="51" t="s">
        <v>4296</v>
      </c>
      <c r="D480" s="51" t="s">
        <v>2049</v>
      </c>
      <c r="E480" s="51" t="s">
        <v>2048</v>
      </c>
      <c r="F480" s="51"/>
      <c r="G480" s="51"/>
      <c r="H480" s="81">
        <v>6333.08</v>
      </c>
      <c r="I480" s="51"/>
    </row>
    <row r="481" spans="1:9">
      <c r="A481" s="905"/>
      <c r="B481" s="911"/>
      <c r="C481" s="51" t="s">
        <v>4297</v>
      </c>
      <c r="D481" s="51" t="s">
        <v>2049</v>
      </c>
      <c r="E481" s="51" t="s">
        <v>2048</v>
      </c>
      <c r="F481" s="51"/>
      <c r="G481" s="51"/>
      <c r="H481" s="81">
        <v>37895.090000000004</v>
      </c>
      <c r="I481" s="51"/>
    </row>
    <row r="482" spans="1:9">
      <c r="A482" s="905"/>
      <c r="B482" s="911"/>
      <c r="C482" s="51" t="s">
        <v>4298</v>
      </c>
      <c r="D482" s="51" t="s">
        <v>2049</v>
      </c>
      <c r="E482" s="51" t="s">
        <v>2048</v>
      </c>
      <c r="F482" s="51"/>
      <c r="G482" s="51"/>
      <c r="H482" s="81">
        <v>4668.3</v>
      </c>
      <c r="I482" s="51"/>
    </row>
    <row r="483" spans="1:9">
      <c r="A483" s="905"/>
      <c r="B483" s="911"/>
      <c r="C483" s="51" t="s">
        <v>4299</v>
      </c>
      <c r="D483" s="51" t="s">
        <v>2049</v>
      </c>
      <c r="E483" s="51" t="s">
        <v>2048</v>
      </c>
      <c r="F483" s="51"/>
      <c r="G483" s="51"/>
      <c r="H483" s="81">
        <v>4000</v>
      </c>
      <c r="I483" s="51"/>
    </row>
    <row r="484" spans="1:9">
      <c r="A484" s="905"/>
      <c r="B484" s="911"/>
      <c r="C484" s="51" t="s">
        <v>4300</v>
      </c>
      <c r="D484" s="51" t="s">
        <v>2049</v>
      </c>
      <c r="E484" s="51" t="s">
        <v>2048</v>
      </c>
      <c r="F484" s="51"/>
      <c r="G484" s="51"/>
      <c r="H484" s="81">
        <v>147830.35</v>
      </c>
      <c r="I484" s="51"/>
    </row>
    <row r="485" spans="1:9">
      <c r="A485" s="905"/>
      <c r="B485" s="911"/>
      <c r="C485" s="51" t="s">
        <v>4301</v>
      </c>
      <c r="D485" s="51" t="s">
        <v>2047</v>
      </c>
      <c r="E485" s="51" t="s">
        <v>2048</v>
      </c>
      <c r="F485" s="51"/>
      <c r="G485" s="51"/>
      <c r="H485" s="81">
        <v>85302.82</v>
      </c>
      <c r="I485" s="51"/>
    </row>
    <row r="486" spans="1:9">
      <c r="A486" s="905"/>
      <c r="B486" s="911"/>
      <c r="C486" s="51" t="s">
        <v>4302</v>
      </c>
      <c r="D486" s="51" t="s">
        <v>2049</v>
      </c>
      <c r="E486" s="51" t="s">
        <v>2048</v>
      </c>
      <c r="F486" s="51"/>
      <c r="G486" s="51"/>
      <c r="H486" s="81">
        <v>213024.14</v>
      </c>
      <c r="I486" s="51"/>
    </row>
    <row r="487" spans="1:9">
      <c r="A487" s="905"/>
      <c r="B487" s="911"/>
      <c r="C487" s="51" t="s">
        <v>4303</v>
      </c>
      <c r="D487" s="51" t="s">
        <v>2047</v>
      </c>
      <c r="E487" s="51" t="s">
        <v>2048</v>
      </c>
      <c r="F487" s="51"/>
      <c r="G487" s="51"/>
      <c r="H487" s="81">
        <v>11833.77</v>
      </c>
      <c r="I487" s="51"/>
    </row>
    <row r="488" spans="1:9">
      <c r="A488" s="905"/>
      <c r="B488" s="911"/>
      <c r="C488" s="51" t="s">
        <v>4304</v>
      </c>
      <c r="D488" s="51" t="s">
        <v>2049</v>
      </c>
      <c r="E488" s="51" t="s">
        <v>2048</v>
      </c>
      <c r="F488" s="51"/>
      <c r="G488" s="51"/>
      <c r="H488" s="81">
        <v>44370</v>
      </c>
      <c r="I488" s="51"/>
    </row>
    <row r="489" spans="1:9">
      <c r="A489" s="905"/>
      <c r="B489" s="911"/>
      <c r="C489" s="51" t="s">
        <v>2163</v>
      </c>
      <c r="D489" s="51" t="s">
        <v>2047</v>
      </c>
      <c r="E489" s="51" t="s">
        <v>2048</v>
      </c>
      <c r="F489" s="51"/>
      <c r="G489" s="51"/>
      <c r="H489" s="81">
        <v>11142.3</v>
      </c>
      <c r="I489" s="51"/>
    </row>
    <row r="490" spans="1:9">
      <c r="A490" s="905"/>
      <c r="B490" s="911"/>
      <c r="C490" s="51" t="s">
        <v>4305</v>
      </c>
      <c r="D490" s="51" t="s">
        <v>2047</v>
      </c>
      <c r="E490" s="51" t="s">
        <v>2048</v>
      </c>
      <c r="F490" s="51"/>
      <c r="G490" s="51"/>
      <c r="H490" s="81">
        <v>25689</v>
      </c>
      <c r="I490" s="51"/>
    </row>
    <row r="491" spans="1:9">
      <c r="A491" s="905"/>
      <c r="B491" s="911"/>
      <c r="C491" s="51" t="s">
        <v>2143</v>
      </c>
      <c r="D491" s="51" t="s">
        <v>2047</v>
      </c>
      <c r="E491" s="51" t="s">
        <v>2048</v>
      </c>
      <c r="F491" s="51"/>
      <c r="G491" s="51"/>
      <c r="H491" s="81">
        <v>9345.84</v>
      </c>
      <c r="I491" s="51"/>
    </row>
    <row r="492" spans="1:9">
      <c r="A492" s="905"/>
      <c r="B492" s="911"/>
      <c r="C492" s="51" t="s">
        <v>4306</v>
      </c>
      <c r="D492" s="51" t="s">
        <v>2049</v>
      </c>
      <c r="E492" s="51" t="s">
        <v>2048</v>
      </c>
      <c r="F492" s="51"/>
      <c r="G492" s="51"/>
      <c r="H492" s="81">
        <v>2311.92</v>
      </c>
      <c r="I492" s="51"/>
    </row>
    <row r="493" spans="1:9">
      <c r="A493" s="905"/>
      <c r="B493" s="911"/>
      <c r="C493" s="51" t="s">
        <v>4307</v>
      </c>
      <c r="D493" s="51" t="s">
        <v>2049</v>
      </c>
      <c r="E493" s="51" t="s">
        <v>2048</v>
      </c>
      <c r="F493" s="51"/>
      <c r="G493" s="51"/>
      <c r="H493" s="81">
        <v>22909.21</v>
      </c>
      <c r="I493" s="51"/>
    </row>
    <row r="494" spans="1:9">
      <c r="A494" s="905"/>
      <c r="B494" s="911"/>
      <c r="C494" s="51" t="s">
        <v>4308</v>
      </c>
      <c r="D494" s="51" t="s">
        <v>2049</v>
      </c>
      <c r="E494" s="51" t="s">
        <v>2048</v>
      </c>
      <c r="F494" s="51"/>
      <c r="G494" s="51"/>
      <c r="H494" s="81">
        <v>27376.65</v>
      </c>
      <c r="I494" s="51"/>
    </row>
    <row r="495" spans="1:9">
      <c r="A495" s="905"/>
      <c r="B495" s="911"/>
      <c r="C495" s="51" t="s">
        <v>4309</v>
      </c>
      <c r="D495" s="51" t="s">
        <v>2047</v>
      </c>
      <c r="E495" s="51" t="s">
        <v>2048</v>
      </c>
      <c r="F495" s="51"/>
      <c r="G495" s="51"/>
      <c r="H495" s="81">
        <v>36700</v>
      </c>
      <c r="I495" s="51"/>
    </row>
    <row r="496" spans="1:9">
      <c r="A496" s="905"/>
      <c r="B496" s="911"/>
      <c r="C496" s="51" t="s">
        <v>4310</v>
      </c>
      <c r="D496" s="51" t="s">
        <v>2049</v>
      </c>
      <c r="E496" s="51" t="s">
        <v>2048</v>
      </c>
      <c r="F496" s="51"/>
      <c r="G496" s="51"/>
      <c r="H496" s="81">
        <v>4381.9799999999996</v>
      </c>
      <c r="I496" s="51"/>
    </row>
    <row r="497" spans="1:9">
      <c r="A497" s="905"/>
      <c r="B497" s="911"/>
      <c r="C497" s="51" t="s">
        <v>4311</v>
      </c>
      <c r="D497" s="51" t="s">
        <v>2047</v>
      </c>
      <c r="E497" s="51" t="s">
        <v>2048</v>
      </c>
      <c r="F497" s="51"/>
      <c r="G497" s="51"/>
      <c r="H497" s="81">
        <v>929.47</v>
      </c>
      <c r="I497" s="51"/>
    </row>
    <row r="498" spans="1:9">
      <c r="A498" s="905"/>
      <c r="B498" s="911"/>
      <c r="C498" s="51" t="s">
        <v>4312</v>
      </c>
      <c r="D498" s="51" t="s">
        <v>2049</v>
      </c>
      <c r="E498" s="51" t="s">
        <v>2048</v>
      </c>
      <c r="F498" s="51"/>
      <c r="G498" s="51"/>
      <c r="H498" s="81">
        <v>40457.18</v>
      </c>
      <c r="I498" s="51"/>
    </row>
    <row r="499" spans="1:9">
      <c r="A499" s="905"/>
      <c r="B499" s="911"/>
      <c r="C499" s="51" t="s">
        <v>4313</v>
      </c>
      <c r="D499" s="51" t="s">
        <v>2049</v>
      </c>
      <c r="E499" s="51" t="s">
        <v>2048</v>
      </c>
      <c r="F499" s="51"/>
      <c r="G499" s="51"/>
      <c r="H499" s="81">
        <v>975632.59</v>
      </c>
      <c r="I499" s="51"/>
    </row>
    <row r="500" spans="1:9">
      <c r="A500" s="905"/>
      <c r="B500" s="911"/>
      <c r="C500" s="51" t="s">
        <v>2110</v>
      </c>
      <c r="D500" s="51" t="s">
        <v>2049</v>
      </c>
      <c r="E500" s="51" t="s">
        <v>2048</v>
      </c>
      <c r="F500" s="51"/>
      <c r="G500" s="51"/>
      <c r="H500" s="81">
        <v>171680</v>
      </c>
      <c r="I500" s="51"/>
    </row>
    <row r="501" spans="1:9">
      <c r="A501" s="905"/>
      <c r="B501" s="911"/>
      <c r="C501" s="51" t="s">
        <v>2152</v>
      </c>
      <c r="D501" s="51" t="s">
        <v>2049</v>
      </c>
      <c r="E501" s="51" t="s">
        <v>2048</v>
      </c>
      <c r="F501" s="51"/>
      <c r="G501" s="51"/>
      <c r="H501" s="81">
        <v>37707.5</v>
      </c>
      <c r="I501" s="51"/>
    </row>
    <row r="502" spans="1:9">
      <c r="A502" s="905"/>
      <c r="B502" s="911"/>
      <c r="C502" s="51" t="s">
        <v>4314</v>
      </c>
      <c r="D502" s="51" t="s">
        <v>2049</v>
      </c>
      <c r="E502" s="51" t="s">
        <v>2048</v>
      </c>
      <c r="F502" s="51"/>
      <c r="G502" s="51"/>
      <c r="H502" s="81">
        <v>58460</v>
      </c>
      <c r="I502" s="51"/>
    </row>
    <row r="503" spans="1:9">
      <c r="A503" s="905"/>
      <c r="B503" s="911"/>
      <c r="C503" s="51" t="s">
        <v>4315</v>
      </c>
      <c r="D503" s="51" t="s">
        <v>2049</v>
      </c>
      <c r="E503" s="51" t="s">
        <v>2048</v>
      </c>
      <c r="F503" s="51"/>
      <c r="G503" s="51"/>
      <c r="H503" s="81">
        <v>16702</v>
      </c>
      <c r="I503" s="51"/>
    </row>
    <row r="504" spans="1:9">
      <c r="A504" s="905"/>
      <c r="B504" s="911"/>
      <c r="C504" s="51" t="s">
        <v>4316</v>
      </c>
      <c r="D504" s="51" t="s">
        <v>2049</v>
      </c>
      <c r="E504" s="51" t="s">
        <v>2048</v>
      </c>
      <c r="F504" s="51"/>
      <c r="G504" s="51"/>
      <c r="H504" s="81">
        <v>1317716.0499999998</v>
      </c>
      <c r="I504" s="51"/>
    </row>
    <row r="505" spans="1:9">
      <c r="A505" s="905"/>
      <c r="B505" s="911"/>
      <c r="C505" s="51" t="s">
        <v>2080</v>
      </c>
      <c r="D505" s="51" t="s">
        <v>2047</v>
      </c>
      <c r="E505" s="51" t="s">
        <v>2048</v>
      </c>
      <c r="F505" s="51"/>
      <c r="G505" s="51"/>
      <c r="H505" s="81">
        <v>242932.32</v>
      </c>
      <c r="I505" s="51"/>
    </row>
    <row r="506" spans="1:9">
      <c r="A506" s="905"/>
      <c r="B506" s="911"/>
      <c r="C506" s="51" t="s">
        <v>4317</v>
      </c>
      <c r="D506" s="51" t="s">
        <v>2047</v>
      </c>
      <c r="E506" s="51" t="s">
        <v>2048</v>
      </c>
      <c r="F506" s="51"/>
      <c r="G506" s="51"/>
      <c r="H506" s="81">
        <v>5873.38</v>
      </c>
      <c r="I506" s="51"/>
    </row>
    <row r="507" spans="1:9">
      <c r="A507" s="905"/>
      <c r="B507" s="911"/>
      <c r="C507" s="51" t="s">
        <v>4318</v>
      </c>
      <c r="D507" s="51" t="s">
        <v>2047</v>
      </c>
      <c r="E507" s="51" t="s">
        <v>2048</v>
      </c>
      <c r="F507" s="51"/>
      <c r="G507" s="51"/>
      <c r="H507" s="81">
        <v>203462.79</v>
      </c>
      <c r="I507" s="51"/>
    </row>
    <row r="508" spans="1:9">
      <c r="A508" s="905"/>
      <c r="B508" s="911"/>
      <c r="C508" s="51" t="s">
        <v>4319</v>
      </c>
      <c r="D508" s="51" t="s">
        <v>2049</v>
      </c>
      <c r="E508" s="51" t="s">
        <v>2048</v>
      </c>
      <c r="F508" s="51"/>
      <c r="G508" s="51"/>
      <c r="H508" s="81">
        <v>36505.18</v>
      </c>
      <c r="I508" s="51"/>
    </row>
    <row r="509" spans="1:9">
      <c r="A509" s="905"/>
      <c r="B509" s="911"/>
      <c r="C509" s="51" t="s">
        <v>4320</v>
      </c>
      <c r="D509" s="51" t="s">
        <v>2049</v>
      </c>
      <c r="E509" s="51" t="s">
        <v>2048</v>
      </c>
      <c r="F509" s="51"/>
      <c r="G509" s="51"/>
      <c r="H509" s="81">
        <v>37895.1</v>
      </c>
      <c r="I509" s="51"/>
    </row>
    <row r="510" spans="1:9">
      <c r="A510" s="905"/>
      <c r="B510" s="911"/>
      <c r="C510" s="51" t="s">
        <v>4321</v>
      </c>
      <c r="D510" s="51" t="s">
        <v>2049</v>
      </c>
      <c r="E510" s="51" t="s">
        <v>2048</v>
      </c>
      <c r="F510" s="51"/>
      <c r="G510" s="51"/>
      <c r="H510" s="81">
        <v>106694.15</v>
      </c>
      <c r="I510" s="51"/>
    </row>
    <row r="511" spans="1:9">
      <c r="A511" s="905"/>
      <c r="B511" s="911"/>
      <c r="C511" s="51" t="s">
        <v>2097</v>
      </c>
      <c r="D511" s="51" t="s">
        <v>2047</v>
      </c>
      <c r="E511" s="51" t="s">
        <v>2048</v>
      </c>
      <c r="F511" s="51"/>
      <c r="G511" s="51"/>
      <c r="H511" s="81">
        <v>181207.14</v>
      </c>
      <c r="I511" s="51"/>
    </row>
    <row r="512" spans="1:9">
      <c r="A512" s="905"/>
      <c r="B512" s="911"/>
      <c r="C512" s="51" t="s">
        <v>4322</v>
      </c>
      <c r="D512" s="51" t="s">
        <v>2047</v>
      </c>
      <c r="E512" s="51" t="s">
        <v>2048</v>
      </c>
      <c r="F512" s="51"/>
      <c r="G512" s="51"/>
      <c r="H512" s="81">
        <v>23281.47</v>
      </c>
      <c r="I512" s="51"/>
    </row>
    <row r="513" spans="1:9">
      <c r="A513" s="905"/>
      <c r="B513" s="911"/>
      <c r="C513" s="51" t="s">
        <v>4323</v>
      </c>
      <c r="D513" s="51" t="s">
        <v>2047</v>
      </c>
      <c r="E513" s="51" t="s">
        <v>2048</v>
      </c>
      <c r="F513" s="51"/>
      <c r="G513" s="51"/>
      <c r="H513" s="81">
        <v>48477.95</v>
      </c>
      <c r="I513" s="51"/>
    </row>
    <row r="514" spans="1:9">
      <c r="A514" s="905"/>
      <c r="B514" s="911"/>
      <c r="C514" s="51" t="s">
        <v>4324</v>
      </c>
      <c r="D514" s="51" t="s">
        <v>2049</v>
      </c>
      <c r="E514" s="51" t="s">
        <v>2048</v>
      </c>
      <c r="F514" s="51"/>
      <c r="G514" s="51"/>
      <c r="H514" s="81">
        <v>5258.37</v>
      </c>
      <c r="I514" s="51"/>
    </row>
    <row r="515" spans="1:9">
      <c r="A515" s="905"/>
      <c r="B515" s="911"/>
      <c r="C515" s="51" t="s">
        <v>4325</v>
      </c>
      <c r="D515" s="51" t="s">
        <v>2047</v>
      </c>
      <c r="E515" s="51" t="s">
        <v>2048</v>
      </c>
      <c r="F515" s="51"/>
      <c r="G515" s="51"/>
      <c r="H515" s="81">
        <v>2600</v>
      </c>
      <c r="I515" s="51"/>
    </row>
    <row r="516" spans="1:9">
      <c r="A516" s="905"/>
      <c r="B516" s="911"/>
      <c r="C516" s="51" t="s">
        <v>4326</v>
      </c>
      <c r="D516" s="51" t="s">
        <v>2047</v>
      </c>
      <c r="E516" s="51" t="s">
        <v>2048</v>
      </c>
      <c r="F516" s="51"/>
      <c r="G516" s="51"/>
      <c r="H516" s="81">
        <v>288202</v>
      </c>
      <c r="I516" s="51"/>
    </row>
    <row r="517" spans="1:9">
      <c r="A517" s="905"/>
      <c r="B517" s="911"/>
      <c r="C517" s="51" t="s">
        <v>4327</v>
      </c>
      <c r="D517" s="51" t="s">
        <v>2047</v>
      </c>
      <c r="E517" s="51" t="s">
        <v>2048</v>
      </c>
      <c r="F517" s="51"/>
      <c r="G517" s="51"/>
      <c r="H517" s="81">
        <v>30692.879999999997</v>
      </c>
      <c r="I517" s="51"/>
    </row>
    <row r="518" spans="1:9">
      <c r="A518" s="905"/>
      <c r="B518" s="911"/>
      <c r="C518" s="51" t="s">
        <v>4328</v>
      </c>
      <c r="D518" s="51" t="s">
        <v>2047</v>
      </c>
      <c r="E518" s="51" t="s">
        <v>2048</v>
      </c>
      <c r="F518" s="51"/>
      <c r="G518" s="51"/>
      <c r="H518" s="81">
        <v>5718.1</v>
      </c>
      <c r="I518" s="51"/>
    </row>
    <row r="519" spans="1:9">
      <c r="A519" s="905"/>
      <c r="B519" s="911"/>
      <c r="C519" s="51" t="s">
        <v>4329</v>
      </c>
      <c r="D519" s="51" t="s">
        <v>2049</v>
      </c>
      <c r="E519" s="51" t="s">
        <v>2048</v>
      </c>
      <c r="F519" s="51"/>
      <c r="G519" s="51"/>
      <c r="H519" s="81">
        <v>175740</v>
      </c>
      <c r="I519" s="51"/>
    </row>
    <row r="520" spans="1:9">
      <c r="A520" s="905"/>
      <c r="B520" s="911"/>
      <c r="C520" s="51" t="s">
        <v>4330</v>
      </c>
      <c r="D520" s="51" t="s">
        <v>2047</v>
      </c>
      <c r="E520" s="51" t="s">
        <v>2048</v>
      </c>
      <c r="F520" s="51"/>
      <c r="G520" s="51"/>
      <c r="H520" s="81">
        <v>77506.25</v>
      </c>
      <c r="I520" s="51"/>
    </row>
    <row r="521" spans="1:9">
      <c r="A521" s="905"/>
      <c r="B521" s="911"/>
      <c r="C521" s="51" t="s">
        <v>4331</v>
      </c>
      <c r="D521" s="51" t="s">
        <v>2049</v>
      </c>
      <c r="E521" s="51" t="s">
        <v>2048</v>
      </c>
      <c r="F521" s="51"/>
      <c r="G521" s="51"/>
      <c r="H521" s="81">
        <v>92460.94</v>
      </c>
      <c r="I521" s="51"/>
    </row>
    <row r="522" spans="1:9">
      <c r="A522" s="905"/>
      <c r="B522" s="911"/>
      <c r="C522" s="51" t="s">
        <v>4332</v>
      </c>
      <c r="D522" s="51" t="s">
        <v>2049</v>
      </c>
      <c r="E522" s="51" t="s">
        <v>2048</v>
      </c>
      <c r="F522" s="51"/>
      <c r="G522" s="51"/>
      <c r="H522" s="81">
        <v>24195.53</v>
      </c>
      <c r="I522" s="51"/>
    </row>
    <row r="523" spans="1:9">
      <c r="A523" s="905"/>
      <c r="B523" s="911"/>
      <c r="C523" s="51" t="s">
        <v>4333</v>
      </c>
      <c r="D523" s="51" t="s">
        <v>2047</v>
      </c>
      <c r="E523" s="51" t="s">
        <v>2048</v>
      </c>
      <c r="F523" s="51"/>
      <c r="G523" s="51"/>
      <c r="H523" s="81">
        <v>15230.26</v>
      </c>
      <c r="I523" s="51"/>
    </row>
    <row r="524" spans="1:9">
      <c r="A524" s="905"/>
      <c r="B524" s="911"/>
      <c r="C524" s="51" t="s">
        <v>2150</v>
      </c>
      <c r="D524" s="51" t="s">
        <v>2047</v>
      </c>
      <c r="E524" s="51" t="s">
        <v>2048</v>
      </c>
      <c r="F524" s="51"/>
      <c r="G524" s="51"/>
      <c r="H524" s="81">
        <v>13797.91</v>
      </c>
      <c r="I524" s="51"/>
    </row>
    <row r="525" spans="1:9">
      <c r="A525" s="905"/>
      <c r="B525" s="911"/>
      <c r="C525" s="51" t="s">
        <v>4334</v>
      </c>
      <c r="D525" s="51" t="s">
        <v>2047</v>
      </c>
      <c r="E525" s="51" t="s">
        <v>2048</v>
      </c>
      <c r="F525" s="51"/>
      <c r="G525" s="51"/>
      <c r="H525" s="81">
        <v>10204.799999999999</v>
      </c>
      <c r="I525" s="51"/>
    </row>
    <row r="526" spans="1:9">
      <c r="A526" s="905"/>
      <c r="B526" s="911"/>
      <c r="C526" s="51" t="s">
        <v>2087</v>
      </c>
      <c r="D526" s="51" t="s">
        <v>2049</v>
      </c>
      <c r="E526" s="51" t="s">
        <v>2048</v>
      </c>
      <c r="F526" s="51"/>
      <c r="G526" s="51"/>
      <c r="H526" s="81">
        <v>419026.41999999993</v>
      </c>
      <c r="I526" s="51"/>
    </row>
    <row r="527" spans="1:9">
      <c r="A527" s="905"/>
      <c r="B527" s="911"/>
      <c r="C527" s="51" t="s">
        <v>4335</v>
      </c>
      <c r="D527" s="51" t="s">
        <v>2049</v>
      </c>
      <c r="E527" s="51" t="s">
        <v>2048</v>
      </c>
      <c r="F527" s="51"/>
      <c r="G527" s="51"/>
      <c r="H527" s="81">
        <v>46658.48</v>
      </c>
      <c r="I527" s="51"/>
    </row>
    <row r="528" spans="1:9">
      <c r="A528" s="905"/>
      <c r="B528" s="911"/>
      <c r="C528" s="51" t="s">
        <v>4336</v>
      </c>
      <c r="D528" s="51" t="s">
        <v>2049</v>
      </c>
      <c r="E528" s="51" t="s">
        <v>2048</v>
      </c>
      <c r="F528" s="51"/>
      <c r="G528" s="51"/>
      <c r="H528" s="81">
        <v>51238.720000000001</v>
      </c>
      <c r="I528" s="51"/>
    </row>
    <row r="529" spans="1:9">
      <c r="A529" s="905"/>
      <c r="B529" s="911"/>
      <c r="C529" s="51" t="s">
        <v>2158</v>
      </c>
      <c r="D529" s="51" t="s">
        <v>2047</v>
      </c>
      <c r="E529" s="51" t="s">
        <v>2048</v>
      </c>
      <c r="F529" s="51"/>
      <c r="G529" s="51"/>
      <c r="H529" s="81">
        <v>14140.4</v>
      </c>
      <c r="I529" s="51"/>
    </row>
    <row r="530" spans="1:9">
      <c r="A530" s="905"/>
      <c r="B530" s="911"/>
      <c r="C530" s="51" t="s">
        <v>4337</v>
      </c>
      <c r="D530" s="51" t="s">
        <v>2047</v>
      </c>
      <c r="E530" s="51" t="s">
        <v>2048</v>
      </c>
      <c r="F530" s="51"/>
      <c r="G530" s="51"/>
      <c r="H530" s="81">
        <v>11735</v>
      </c>
      <c r="I530" s="51"/>
    </row>
    <row r="531" spans="1:9">
      <c r="A531" s="905"/>
      <c r="B531" s="911"/>
      <c r="C531" s="51" t="s">
        <v>4338</v>
      </c>
      <c r="D531" s="51" t="s">
        <v>2047</v>
      </c>
      <c r="E531" s="51" t="s">
        <v>2048</v>
      </c>
      <c r="F531" s="51"/>
      <c r="G531" s="51"/>
      <c r="H531" s="81">
        <v>9068.99</v>
      </c>
      <c r="I531" s="51"/>
    </row>
    <row r="532" spans="1:9">
      <c r="A532" s="905"/>
      <c r="B532" s="911"/>
      <c r="C532" s="51" t="s">
        <v>4339</v>
      </c>
      <c r="D532" s="51" t="s">
        <v>2047</v>
      </c>
      <c r="E532" s="51" t="s">
        <v>2048</v>
      </c>
      <c r="F532" s="51"/>
      <c r="G532" s="51"/>
      <c r="H532" s="81">
        <v>20918.45</v>
      </c>
      <c r="I532" s="51"/>
    </row>
    <row r="533" spans="1:9">
      <c r="A533" s="905"/>
      <c r="B533" s="911"/>
      <c r="C533" s="51" t="s">
        <v>4340</v>
      </c>
      <c r="D533" s="51" t="s">
        <v>2047</v>
      </c>
      <c r="E533" s="51" t="s">
        <v>2048</v>
      </c>
      <c r="F533" s="51"/>
      <c r="G533" s="51"/>
      <c r="H533" s="81">
        <v>49291.240000000005</v>
      </c>
      <c r="I533" s="51"/>
    </row>
    <row r="534" spans="1:9">
      <c r="A534" s="905"/>
      <c r="B534" s="911"/>
      <c r="C534" s="51" t="s">
        <v>4341</v>
      </c>
      <c r="D534" s="51" t="s">
        <v>2049</v>
      </c>
      <c r="E534" s="51" t="s">
        <v>2048</v>
      </c>
      <c r="F534" s="51"/>
      <c r="G534" s="51"/>
      <c r="H534" s="81">
        <v>112448.68</v>
      </c>
      <c r="I534" s="51"/>
    </row>
    <row r="535" spans="1:9">
      <c r="A535" s="905"/>
      <c r="B535" s="911"/>
      <c r="C535" s="51" t="s">
        <v>4342</v>
      </c>
      <c r="D535" s="51" t="s">
        <v>2049</v>
      </c>
      <c r="E535" s="51" t="s">
        <v>2048</v>
      </c>
      <c r="F535" s="51"/>
      <c r="G535" s="51"/>
      <c r="H535" s="81">
        <v>287645.51</v>
      </c>
      <c r="I535" s="51"/>
    </row>
    <row r="536" spans="1:9">
      <c r="A536" s="905"/>
      <c r="B536" s="911"/>
      <c r="C536" s="51" t="s">
        <v>4343</v>
      </c>
      <c r="D536" s="51" t="s">
        <v>2047</v>
      </c>
      <c r="E536" s="51" t="s">
        <v>2048</v>
      </c>
      <c r="F536" s="51"/>
      <c r="G536" s="51"/>
      <c r="H536" s="81">
        <v>104871.76</v>
      </c>
      <c r="I536" s="51"/>
    </row>
    <row r="537" spans="1:9">
      <c r="A537" s="905"/>
      <c r="B537" s="911"/>
      <c r="C537" s="51" t="s">
        <v>4344</v>
      </c>
      <c r="D537" s="51" t="s">
        <v>2049</v>
      </c>
      <c r="E537" s="51" t="s">
        <v>2048</v>
      </c>
      <c r="F537" s="51"/>
      <c r="G537" s="51"/>
      <c r="H537" s="81">
        <v>14712.36</v>
      </c>
      <c r="I537" s="51"/>
    </row>
    <row r="538" spans="1:9">
      <c r="A538" s="905"/>
      <c r="B538" s="911"/>
      <c r="C538" s="51" t="s">
        <v>4345</v>
      </c>
      <c r="D538" s="51" t="s">
        <v>2049</v>
      </c>
      <c r="E538" s="51" t="s">
        <v>2048</v>
      </c>
      <c r="F538" s="51"/>
      <c r="G538" s="51"/>
      <c r="H538" s="81">
        <v>5397972.4600000009</v>
      </c>
      <c r="I538" s="51"/>
    </row>
    <row r="539" spans="1:9">
      <c r="A539" s="905"/>
      <c r="B539" s="911"/>
      <c r="C539" s="51" t="s">
        <v>2114</v>
      </c>
      <c r="D539" s="51" t="s">
        <v>2049</v>
      </c>
      <c r="E539" s="51" t="s">
        <v>2048</v>
      </c>
      <c r="F539" s="51"/>
      <c r="G539" s="51"/>
      <c r="H539" s="81">
        <v>94056.45</v>
      </c>
      <c r="I539" s="51"/>
    </row>
    <row r="540" spans="1:9">
      <c r="A540" s="905"/>
      <c r="B540" s="911"/>
      <c r="C540" s="51" t="s">
        <v>2121</v>
      </c>
      <c r="D540" s="51" t="s">
        <v>2047</v>
      </c>
      <c r="E540" s="51" t="s">
        <v>2048</v>
      </c>
      <c r="F540" s="51"/>
      <c r="G540" s="51"/>
      <c r="H540" s="81">
        <v>11592.29</v>
      </c>
      <c r="I540" s="51"/>
    </row>
    <row r="541" spans="1:9">
      <c r="A541" s="905"/>
      <c r="B541" s="911"/>
      <c r="C541" s="51" t="s">
        <v>4346</v>
      </c>
      <c r="D541" s="51" t="s">
        <v>2049</v>
      </c>
      <c r="E541" s="51" t="s">
        <v>2048</v>
      </c>
      <c r="F541" s="51"/>
      <c r="G541" s="51"/>
      <c r="H541" s="81">
        <v>337773.83999999997</v>
      </c>
      <c r="I541" s="51"/>
    </row>
    <row r="542" spans="1:9">
      <c r="A542" s="905"/>
      <c r="B542" s="911"/>
      <c r="C542" s="51" t="s">
        <v>2070</v>
      </c>
      <c r="D542" s="51" t="s">
        <v>2049</v>
      </c>
      <c r="E542" s="51" t="s">
        <v>2071</v>
      </c>
      <c r="F542" s="51"/>
      <c r="G542" s="51"/>
      <c r="H542" s="81">
        <v>5996171.9600000009</v>
      </c>
      <c r="I542" s="51"/>
    </row>
    <row r="543" spans="1:9">
      <c r="A543" s="905"/>
      <c r="B543" s="911"/>
      <c r="C543" s="51" t="s">
        <v>4347</v>
      </c>
      <c r="D543" s="51" t="s">
        <v>2047</v>
      </c>
      <c r="E543" s="51" t="s">
        <v>2048</v>
      </c>
      <c r="F543" s="51"/>
      <c r="G543" s="51"/>
      <c r="H543" s="81">
        <v>123500</v>
      </c>
      <c r="I543" s="51"/>
    </row>
    <row r="544" spans="1:9">
      <c r="A544" s="905"/>
      <c r="B544" s="911"/>
      <c r="C544" s="51" t="s">
        <v>4348</v>
      </c>
      <c r="D544" s="51" t="s">
        <v>2049</v>
      </c>
      <c r="E544" s="51" t="s">
        <v>2048</v>
      </c>
      <c r="F544" s="51"/>
      <c r="G544" s="51"/>
      <c r="H544" s="81">
        <v>14034.239999999998</v>
      </c>
      <c r="I544" s="51"/>
    </row>
    <row r="545" spans="1:9">
      <c r="A545" s="905"/>
      <c r="B545" s="911"/>
      <c r="C545" s="51" t="s">
        <v>4349</v>
      </c>
      <c r="D545" s="51" t="s">
        <v>2049</v>
      </c>
      <c r="E545" s="51" t="s">
        <v>2048</v>
      </c>
      <c r="F545" s="51"/>
      <c r="G545" s="51"/>
      <c r="H545" s="81">
        <v>82901.959999999992</v>
      </c>
      <c r="I545" s="51"/>
    </row>
    <row r="546" spans="1:9">
      <c r="A546" s="905"/>
      <c r="B546" s="911"/>
      <c r="C546" s="51" t="s">
        <v>4350</v>
      </c>
      <c r="D546" s="51" t="s">
        <v>2049</v>
      </c>
      <c r="E546" s="51" t="s">
        <v>2048</v>
      </c>
      <c r="F546" s="51"/>
      <c r="G546" s="51"/>
      <c r="H546" s="81">
        <v>139817.88</v>
      </c>
      <c r="I546" s="51"/>
    </row>
    <row r="547" spans="1:9">
      <c r="A547" s="905"/>
      <c r="B547" s="911"/>
      <c r="C547" s="51" t="s">
        <v>4351</v>
      </c>
      <c r="D547" s="51" t="s">
        <v>2049</v>
      </c>
      <c r="E547" s="51" t="s">
        <v>2048</v>
      </c>
      <c r="F547" s="51"/>
      <c r="G547" s="51"/>
      <c r="H547" s="81">
        <v>11720</v>
      </c>
      <c r="I547" s="51"/>
    </row>
    <row r="548" spans="1:9">
      <c r="A548" s="905"/>
      <c r="B548" s="911"/>
      <c r="C548" s="51" t="s">
        <v>2103</v>
      </c>
      <c r="D548" s="51" t="s">
        <v>2049</v>
      </c>
      <c r="E548" s="51" t="s">
        <v>2048</v>
      </c>
      <c r="F548" s="51"/>
      <c r="G548" s="51"/>
      <c r="H548" s="81">
        <v>50605.18</v>
      </c>
      <c r="I548" s="51"/>
    </row>
    <row r="549" spans="1:9">
      <c r="A549" s="905"/>
      <c r="B549" s="911"/>
      <c r="C549" s="51" t="s">
        <v>4352</v>
      </c>
      <c r="D549" s="51" t="s">
        <v>2049</v>
      </c>
      <c r="E549" s="51" t="s">
        <v>2048</v>
      </c>
      <c r="F549" s="51"/>
      <c r="G549" s="51"/>
      <c r="H549" s="81">
        <v>185969.69</v>
      </c>
      <c r="I549" s="51"/>
    </row>
    <row r="550" spans="1:9">
      <c r="A550" s="905"/>
      <c r="B550" s="911"/>
      <c r="C550" s="51" t="s">
        <v>4353</v>
      </c>
      <c r="D550" s="51" t="s">
        <v>2049</v>
      </c>
      <c r="E550" s="51" t="s">
        <v>2048</v>
      </c>
      <c r="F550" s="51"/>
      <c r="G550" s="51"/>
      <c r="H550" s="81">
        <v>85749.770000000019</v>
      </c>
      <c r="I550" s="51"/>
    </row>
    <row r="551" spans="1:9">
      <c r="A551" s="905"/>
      <c r="B551" s="911"/>
      <c r="C551" s="51" t="s">
        <v>2126</v>
      </c>
      <c r="D551" s="51" t="s">
        <v>2049</v>
      </c>
      <c r="E551" s="51" t="s">
        <v>2048</v>
      </c>
      <c r="F551" s="51"/>
      <c r="G551" s="51"/>
      <c r="H551" s="81">
        <v>202797.46</v>
      </c>
      <c r="I551" s="51"/>
    </row>
    <row r="552" spans="1:9">
      <c r="A552" s="905"/>
      <c r="B552" s="911"/>
      <c r="C552" s="51" t="s">
        <v>4354</v>
      </c>
      <c r="D552" s="51" t="s">
        <v>2047</v>
      </c>
      <c r="E552" s="51" t="s">
        <v>2048</v>
      </c>
      <c r="F552" s="51"/>
      <c r="G552" s="51"/>
      <c r="H552" s="81">
        <v>-352.29999999999973</v>
      </c>
      <c r="I552" s="51"/>
    </row>
    <row r="553" spans="1:9">
      <c r="A553" s="905"/>
      <c r="B553" s="911"/>
      <c r="C553" s="51" t="s">
        <v>2117</v>
      </c>
      <c r="D553" s="51" t="s">
        <v>2047</v>
      </c>
      <c r="E553" s="51" t="s">
        <v>2048</v>
      </c>
      <c r="F553" s="51"/>
      <c r="G553" s="51"/>
      <c r="H553" s="81">
        <v>111112.95999999999</v>
      </c>
      <c r="I553" s="51"/>
    </row>
    <row r="554" spans="1:9">
      <c r="A554" s="905"/>
      <c r="B554" s="911"/>
      <c r="C554" s="51" t="s">
        <v>4355</v>
      </c>
      <c r="D554" s="51" t="s">
        <v>2049</v>
      </c>
      <c r="E554" s="51" t="s">
        <v>2048</v>
      </c>
      <c r="F554" s="51"/>
      <c r="G554" s="51"/>
      <c r="H554" s="81">
        <v>74620</v>
      </c>
      <c r="I554" s="51"/>
    </row>
    <row r="555" spans="1:9">
      <c r="A555" s="905"/>
      <c r="B555" s="911"/>
      <c r="C555" s="51" t="s">
        <v>4356</v>
      </c>
      <c r="D555" s="51" t="s">
        <v>2049</v>
      </c>
      <c r="E555" s="51" t="s">
        <v>2048</v>
      </c>
      <c r="F555" s="51"/>
      <c r="G555" s="51"/>
      <c r="H555" s="81">
        <v>413153.68000000005</v>
      </c>
      <c r="I555" s="51"/>
    </row>
    <row r="556" spans="1:9">
      <c r="A556" s="905"/>
      <c r="B556" s="911"/>
      <c r="C556" s="51" t="s">
        <v>4357</v>
      </c>
      <c r="D556" s="51" t="s">
        <v>2047</v>
      </c>
      <c r="E556" s="51" t="s">
        <v>2048</v>
      </c>
      <c r="F556" s="51"/>
      <c r="G556" s="51"/>
      <c r="H556" s="81">
        <v>12622.5</v>
      </c>
      <c r="I556" s="51"/>
    </row>
    <row r="557" spans="1:9">
      <c r="A557" s="905"/>
      <c r="B557" s="911"/>
      <c r="C557" s="51" t="s">
        <v>4358</v>
      </c>
      <c r="D557" s="51" t="s">
        <v>2047</v>
      </c>
      <c r="E557" s="51" t="s">
        <v>2048</v>
      </c>
      <c r="F557" s="51"/>
      <c r="G557" s="51"/>
      <c r="H557" s="81">
        <v>64726.36</v>
      </c>
      <c r="I557" s="51"/>
    </row>
    <row r="558" spans="1:9">
      <c r="A558" s="905"/>
      <c r="B558" s="911"/>
      <c r="C558" s="51" t="s">
        <v>4359</v>
      </c>
      <c r="D558" s="51" t="s">
        <v>2049</v>
      </c>
      <c r="E558" s="51" t="s">
        <v>2048</v>
      </c>
      <c r="F558" s="51"/>
      <c r="G558" s="51"/>
      <c r="H558" s="81">
        <v>367816.82</v>
      </c>
      <c r="I558" s="51"/>
    </row>
    <row r="559" spans="1:9">
      <c r="A559" s="905"/>
      <c r="B559" s="911"/>
      <c r="C559" s="51" t="s">
        <v>2141</v>
      </c>
      <c r="D559" s="51" t="s">
        <v>2049</v>
      </c>
      <c r="E559" s="51" t="s">
        <v>2048</v>
      </c>
      <c r="F559" s="51"/>
      <c r="G559" s="51"/>
      <c r="H559" s="81">
        <v>48393.04</v>
      </c>
      <c r="I559" s="51"/>
    </row>
    <row r="560" spans="1:9">
      <c r="A560" s="905"/>
      <c r="B560" s="911"/>
      <c r="C560" s="51" t="s">
        <v>4360</v>
      </c>
      <c r="D560" s="51" t="s">
        <v>2047</v>
      </c>
      <c r="E560" s="51" t="s">
        <v>2048</v>
      </c>
      <c r="F560" s="51"/>
      <c r="G560" s="51"/>
      <c r="H560" s="81">
        <v>539823.84</v>
      </c>
      <c r="I560" s="51"/>
    </row>
    <row r="561" spans="1:9">
      <c r="A561" s="905"/>
      <c r="B561" s="911"/>
      <c r="C561" s="51" t="s">
        <v>2149</v>
      </c>
      <c r="D561" s="51" t="s">
        <v>2049</v>
      </c>
      <c r="E561" s="51" t="s">
        <v>2048</v>
      </c>
      <c r="F561" s="51"/>
      <c r="G561" s="51"/>
      <c r="H561" s="81">
        <v>9534.1999999999989</v>
      </c>
      <c r="I561" s="51"/>
    </row>
    <row r="562" spans="1:9">
      <c r="A562" s="905"/>
      <c r="B562" s="911"/>
      <c r="C562" s="51" t="s">
        <v>4361</v>
      </c>
      <c r="D562" s="51" t="s">
        <v>2047</v>
      </c>
      <c r="E562" s="51" t="s">
        <v>2048</v>
      </c>
      <c r="F562" s="51"/>
      <c r="G562" s="51"/>
      <c r="H562" s="81">
        <v>283819.03000000003</v>
      </c>
      <c r="I562" s="51"/>
    </row>
    <row r="563" spans="1:9">
      <c r="A563" s="905"/>
      <c r="B563" s="911"/>
      <c r="C563" s="51" t="s">
        <v>4362</v>
      </c>
      <c r="D563" s="51" t="s">
        <v>2049</v>
      </c>
      <c r="E563" s="51" t="s">
        <v>2048</v>
      </c>
      <c r="F563" s="51"/>
      <c r="G563" s="51"/>
      <c r="H563" s="81">
        <v>39900</v>
      </c>
      <c r="I563" s="51"/>
    </row>
    <row r="564" spans="1:9">
      <c r="A564" s="905"/>
      <c r="B564" s="911"/>
      <c r="C564" s="51" t="s">
        <v>4363</v>
      </c>
      <c r="D564" s="51" t="s">
        <v>2049</v>
      </c>
      <c r="E564" s="51" t="s">
        <v>2048</v>
      </c>
      <c r="F564" s="51"/>
      <c r="G564" s="51"/>
      <c r="H564" s="81">
        <v>87720</v>
      </c>
      <c r="I564" s="51"/>
    </row>
    <row r="565" spans="1:9">
      <c r="A565" s="905"/>
      <c r="B565" s="911"/>
      <c r="C565" s="51" t="s">
        <v>4364</v>
      </c>
      <c r="D565" s="51" t="s">
        <v>2047</v>
      </c>
      <c r="E565" s="51" t="s">
        <v>2048</v>
      </c>
      <c r="F565" s="51"/>
      <c r="G565" s="51"/>
      <c r="H565" s="81">
        <v>6594.9</v>
      </c>
      <c r="I565" s="51"/>
    </row>
    <row r="566" spans="1:9">
      <c r="A566" s="905"/>
      <c r="B566" s="911"/>
      <c r="C566" s="51" t="s">
        <v>4365</v>
      </c>
      <c r="D566" s="51" t="s">
        <v>2049</v>
      </c>
      <c r="E566" s="51" t="s">
        <v>2048</v>
      </c>
      <c r="F566" s="51"/>
      <c r="G566" s="51"/>
      <c r="H566" s="81">
        <v>162891.85999999999</v>
      </c>
      <c r="I566" s="51"/>
    </row>
    <row r="567" spans="1:9">
      <c r="A567" s="905"/>
      <c r="B567" s="911"/>
      <c r="C567" s="51" t="s">
        <v>4366</v>
      </c>
      <c r="D567" s="51" t="s">
        <v>2049</v>
      </c>
      <c r="E567" s="51" t="s">
        <v>2048</v>
      </c>
      <c r="F567" s="51"/>
      <c r="G567" s="51"/>
      <c r="H567" s="81">
        <v>3023.28</v>
      </c>
      <c r="I567" s="51"/>
    </row>
    <row r="568" spans="1:9">
      <c r="A568" s="905"/>
      <c r="B568" s="911"/>
      <c r="C568" s="51" t="s">
        <v>4367</v>
      </c>
      <c r="D568" s="51" t="s">
        <v>2049</v>
      </c>
      <c r="E568" s="51" t="s">
        <v>2048</v>
      </c>
      <c r="F568" s="51"/>
      <c r="G568" s="51"/>
      <c r="H568" s="81">
        <v>45501.09</v>
      </c>
      <c r="I568" s="51"/>
    </row>
    <row r="569" spans="1:9">
      <c r="A569" s="905"/>
      <c r="B569" s="911"/>
      <c r="C569" s="51" t="s">
        <v>4368</v>
      </c>
      <c r="D569" s="51" t="s">
        <v>2049</v>
      </c>
      <c r="E569" s="51" t="s">
        <v>2048</v>
      </c>
      <c r="F569" s="51"/>
      <c r="G569" s="51"/>
      <c r="H569" s="81">
        <v>880992.01</v>
      </c>
      <c r="I569" s="51"/>
    </row>
    <row r="570" spans="1:9">
      <c r="A570" s="905"/>
      <c r="B570" s="911"/>
      <c r="C570" s="51" t="s">
        <v>4369</v>
      </c>
      <c r="D570" s="51" t="s">
        <v>2049</v>
      </c>
      <c r="E570" s="51" t="s">
        <v>2048</v>
      </c>
      <c r="F570" s="51"/>
      <c r="G570" s="51"/>
      <c r="H570" s="81">
        <v>5729481.1399999997</v>
      </c>
      <c r="I570" s="51"/>
    </row>
    <row r="571" spans="1:9">
      <c r="A571" s="905"/>
      <c r="B571" s="911"/>
      <c r="C571" s="51" t="s">
        <v>2144</v>
      </c>
      <c r="D571" s="51" t="s">
        <v>2049</v>
      </c>
      <c r="E571" s="51" t="s">
        <v>2048</v>
      </c>
      <c r="F571" s="51"/>
      <c r="G571" s="51"/>
      <c r="H571" s="81">
        <v>6165.12</v>
      </c>
      <c r="I571" s="51"/>
    </row>
    <row r="572" spans="1:9">
      <c r="A572" s="905"/>
      <c r="B572" s="911"/>
      <c r="C572" s="51" t="s">
        <v>4370</v>
      </c>
      <c r="D572" s="51" t="s">
        <v>2049</v>
      </c>
      <c r="E572" s="51" t="s">
        <v>2048</v>
      </c>
      <c r="F572" s="51"/>
      <c r="G572" s="51"/>
      <c r="H572" s="81">
        <v>257607.34000000003</v>
      </c>
      <c r="I572" s="51"/>
    </row>
    <row r="573" spans="1:9">
      <c r="A573" s="905"/>
      <c r="B573" s="911"/>
      <c r="C573" s="51" t="s">
        <v>4371</v>
      </c>
      <c r="D573" s="51" t="s">
        <v>2049</v>
      </c>
      <c r="E573" s="51" t="s">
        <v>2048</v>
      </c>
      <c r="F573" s="51"/>
      <c r="G573" s="51"/>
      <c r="H573" s="81">
        <v>42193.33</v>
      </c>
      <c r="I573" s="51"/>
    </row>
    <row r="574" spans="1:9">
      <c r="A574" s="905"/>
      <c r="B574" s="911"/>
      <c r="C574" s="51" t="s">
        <v>2147</v>
      </c>
      <c r="D574" s="51" t="s">
        <v>2049</v>
      </c>
      <c r="E574" s="51" t="s">
        <v>2048</v>
      </c>
      <c r="F574" s="51"/>
      <c r="G574" s="51"/>
      <c r="H574" s="81">
        <v>21765.64</v>
      </c>
      <c r="I574" s="51"/>
    </row>
    <row r="575" spans="1:9">
      <c r="A575" s="905"/>
      <c r="B575" s="911"/>
      <c r="C575" s="51" t="s">
        <v>4372</v>
      </c>
      <c r="D575" s="51" t="s">
        <v>2049</v>
      </c>
      <c r="E575" s="51" t="s">
        <v>2048</v>
      </c>
      <c r="F575" s="51"/>
      <c r="G575" s="51"/>
      <c r="H575" s="81">
        <v>29256.58</v>
      </c>
      <c r="I575" s="51"/>
    </row>
    <row r="576" spans="1:9">
      <c r="A576" s="905"/>
      <c r="B576" s="911"/>
      <c r="C576" s="51" t="s">
        <v>4373</v>
      </c>
      <c r="D576" s="51" t="s">
        <v>2049</v>
      </c>
      <c r="E576" s="51" t="s">
        <v>2048</v>
      </c>
      <c r="F576" s="51"/>
      <c r="G576" s="51"/>
      <c r="H576" s="81">
        <v>122210</v>
      </c>
      <c r="I576" s="51"/>
    </row>
    <row r="577" spans="1:9">
      <c r="A577" s="905"/>
      <c r="B577" s="911"/>
      <c r="C577" s="51" t="s">
        <v>2060</v>
      </c>
      <c r="D577" s="51" t="s">
        <v>2049</v>
      </c>
      <c r="E577" s="51" t="s">
        <v>4374</v>
      </c>
      <c r="F577" s="51"/>
      <c r="G577" s="51"/>
      <c r="H577" s="81">
        <v>13053391.599999998</v>
      </c>
      <c r="I577" s="51"/>
    </row>
    <row r="578" spans="1:9">
      <c r="A578" s="905"/>
      <c r="B578" s="911"/>
      <c r="C578" s="51" t="s">
        <v>4375</v>
      </c>
      <c r="D578" s="51" t="s">
        <v>2049</v>
      </c>
      <c r="E578" s="51" t="s">
        <v>2048</v>
      </c>
      <c r="F578" s="51"/>
      <c r="G578" s="51"/>
      <c r="H578" s="81">
        <v>3011926.47</v>
      </c>
      <c r="I578" s="51"/>
    </row>
    <row r="579" spans="1:9">
      <c r="A579" s="905"/>
      <c r="B579" s="911"/>
      <c r="C579" s="51" t="s">
        <v>2076</v>
      </c>
      <c r="D579" s="51" t="s">
        <v>2049</v>
      </c>
      <c r="E579" s="51" t="s">
        <v>2048</v>
      </c>
      <c r="F579" s="51"/>
      <c r="G579" s="51"/>
      <c r="H579" s="81">
        <v>1990055.9000000001</v>
      </c>
      <c r="I579" s="51"/>
    </row>
    <row r="580" spans="1:9">
      <c r="A580" s="905"/>
      <c r="B580" s="911"/>
      <c r="C580" s="51" t="s">
        <v>4376</v>
      </c>
      <c r="D580" s="51" t="s">
        <v>2049</v>
      </c>
      <c r="E580" s="51" t="s">
        <v>2048</v>
      </c>
      <c r="F580" s="51"/>
      <c r="G580" s="51"/>
      <c r="H580" s="81">
        <v>1694994.55</v>
      </c>
      <c r="I580" s="51"/>
    </row>
    <row r="581" spans="1:9">
      <c r="A581" s="905"/>
      <c r="B581" s="911"/>
      <c r="C581" s="51" t="s">
        <v>2056</v>
      </c>
      <c r="D581" s="51" t="s">
        <v>2047</v>
      </c>
      <c r="E581" s="51" t="s">
        <v>2048</v>
      </c>
      <c r="F581" s="51"/>
      <c r="G581" s="51"/>
      <c r="H581" s="81">
        <v>12642430.92</v>
      </c>
      <c r="I581" s="51"/>
    </row>
    <row r="582" spans="1:9">
      <c r="A582" s="905"/>
      <c r="B582" s="911"/>
      <c r="C582" s="51" t="s">
        <v>4377</v>
      </c>
      <c r="D582" s="51" t="s">
        <v>2047</v>
      </c>
      <c r="E582" s="51" t="s">
        <v>2048</v>
      </c>
      <c r="F582" s="51"/>
      <c r="G582" s="51"/>
      <c r="H582" s="81">
        <v>5196744.67</v>
      </c>
      <c r="I582" s="51"/>
    </row>
    <row r="583" spans="1:9">
      <c r="A583" s="905"/>
      <c r="B583" s="911"/>
      <c r="C583" s="51" t="s">
        <v>4378</v>
      </c>
      <c r="D583" s="51" t="s">
        <v>2049</v>
      </c>
      <c r="E583" s="51" t="s">
        <v>2048</v>
      </c>
      <c r="F583" s="51"/>
      <c r="G583" s="51"/>
      <c r="H583" s="81">
        <v>995976.55999999994</v>
      </c>
      <c r="I583" s="51"/>
    </row>
    <row r="584" spans="1:9">
      <c r="A584" s="905"/>
      <c r="B584" s="911"/>
      <c r="C584" s="51" t="s">
        <v>4379</v>
      </c>
      <c r="D584" s="51" t="s">
        <v>2047</v>
      </c>
      <c r="E584" s="51" t="s">
        <v>2048</v>
      </c>
      <c r="F584" s="51"/>
      <c r="G584" s="51"/>
      <c r="H584" s="81">
        <v>27700.229999999996</v>
      </c>
      <c r="I584" s="51"/>
    </row>
    <row r="585" spans="1:9">
      <c r="A585" s="905"/>
      <c r="B585" s="911"/>
      <c r="C585" s="51" t="s">
        <v>4380</v>
      </c>
      <c r="D585" s="51" t="s">
        <v>2047</v>
      </c>
      <c r="E585" s="51" t="s">
        <v>2048</v>
      </c>
      <c r="F585" s="51"/>
      <c r="G585" s="51"/>
      <c r="H585" s="81">
        <v>57045.33</v>
      </c>
      <c r="I585" s="51"/>
    </row>
    <row r="586" spans="1:9">
      <c r="A586" s="905"/>
      <c r="B586" s="911"/>
      <c r="C586" s="51" t="s">
        <v>4381</v>
      </c>
      <c r="D586" s="51" t="s">
        <v>2047</v>
      </c>
      <c r="E586" s="51" t="s">
        <v>2048</v>
      </c>
      <c r="F586" s="51"/>
      <c r="G586" s="51"/>
      <c r="H586" s="81">
        <v>15800</v>
      </c>
      <c r="I586" s="51"/>
    </row>
    <row r="587" spans="1:9">
      <c r="A587" s="905"/>
      <c r="B587" s="911"/>
      <c r="C587" s="51" t="s">
        <v>4382</v>
      </c>
      <c r="D587" s="51" t="s">
        <v>2047</v>
      </c>
      <c r="E587" s="51" t="s">
        <v>2048</v>
      </c>
      <c r="F587" s="51"/>
      <c r="G587" s="51"/>
      <c r="H587" s="81">
        <v>135277.24</v>
      </c>
      <c r="I587" s="51"/>
    </row>
    <row r="588" spans="1:9">
      <c r="A588" s="905"/>
      <c r="B588" s="911"/>
      <c r="C588" s="51" t="s">
        <v>4383</v>
      </c>
      <c r="D588" s="51" t="s">
        <v>2047</v>
      </c>
      <c r="E588" s="51" t="s">
        <v>2048</v>
      </c>
      <c r="F588" s="51"/>
      <c r="G588" s="51"/>
      <c r="H588" s="81">
        <v>500000</v>
      </c>
      <c r="I588" s="51"/>
    </row>
    <row r="589" spans="1:9">
      <c r="A589" s="905"/>
      <c r="B589" s="911"/>
      <c r="C589" s="51" t="s">
        <v>4384</v>
      </c>
      <c r="D589" s="51" t="s">
        <v>2049</v>
      </c>
      <c r="E589" s="51" t="s">
        <v>2048</v>
      </c>
      <c r="F589" s="51"/>
      <c r="G589" s="51"/>
      <c r="H589" s="81">
        <v>1276677.6800000002</v>
      </c>
      <c r="I589" s="51"/>
    </row>
    <row r="590" spans="1:9">
      <c r="A590" s="905"/>
      <c r="B590" s="911"/>
      <c r="C590" s="51" t="s">
        <v>4385</v>
      </c>
      <c r="D590" s="51" t="s">
        <v>2047</v>
      </c>
      <c r="E590" s="51" t="s">
        <v>2048</v>
      </c>
      <c r="F590" s="51"/>
      <c r="G590" s="51"/>
      <c r="H590" s="81">
        <v>117437.90000000001</v>
      </c>
      <c r="I590" s="51"/>
    </row>
    <row r="591" spans="1:9">
      <c r="A591" s="905"/>
      <c r="B591" s="911"/>
      <c r="C591" s="51" t="s">
        <v>4386</v>
      </c>
      <c r="D591" s="51" t="s">
        <v>2049</v>
      </c>
      <c r="E591" s="51" t="s">
        <v>2048</v>
      </c>
      <c r="F591" s="51"/>
      <c r="G591" s="51"/>
      <c r="H591" s="81">
        <v>211455.96</v>
      </c>
      <c r="I591" s="51"/>
    </row>
    <row r="592" spans="1:9">
      <c r="A592" s="905"/>
      <c r="B592" s="911"/>
      <c r="C592" s="51" t="s">
        <v>4387</v>
      </c>
      <c r="D592" s="51" t="s">
        <v>2047</v>
      </c>
      <c r="E592" s="51" t="s">
        <v>2048</v>
      </c>
      <c r="F592" s="51"/>
      <c r="G592" s="51"/>
      <c r="H592" s="81">
        <v>49489.41</v>
      </c>
      <c r="I592" s="51"/>
    </row>
    <row r="593" spans="1:9">
      <c r="A593" s="905"/>
      <c r="B593" s="911"/>
      <c r="C593" s="51" t="s">
        <v>4388</v>
      </c>
      <c r="D593" s="51" t="s">
        <v>2047</v>
      </c>
      <c r="E593" s="51" t="s">
        <v>2048</v>
      </c>
      <c r="F593" s="51"/>
      <c r="G593" s="51"/>
      <c r="H593" s="81">
        <v>12910.48</v>
      </c>
      <c r="I593" s="51"/>
    </row>
    <row r="594" spans="1:9">
      <c r="A594" s="905"/>
      <c r="B594" s="911"/>
      <c r="C594" s="51" t="s">
        <v>2160</v>
      </c>
      <c r="D594" s="51" t="s">
        <v>2047</v>
      </c>
      <c r="E594" s="51" t="s">
        <v>2048</v>
      </c>
      <c r="F594" s="51"/>
      <c r="G594" s="51"/>
      <c r="H594" s="81">
        <v>46477.5</v>
      </c>
      <c r="I594" s="51"/>
    </row>
    <row r="595" spans="1:9">
      <c r="A595" s="905"/>
      <c r="B595" s="911"/>
      <c r="C595" s="51" t="s">
        <v>2129</v>
      </c>
      <c r="D595" s="51" t="s">
        <v>2047</v>
      </c>
      <c r="E595" s="51" t="s">
        <v>2048</v>
      </c>
      <c r="F595" s="51"/>
      <c r="G595" s="51"/>
      <c r="H595" s="81">
        <v>153329.34</v>
      </c>
      <c r="I595" s="51"/>
    </row>
    <row r="596" spans="1:9">
      <c r="A596" s="905"/>
      <c r="B596" s="911"/>
      <c r="C596" s="51" t="s">
        <v>2168</v>
      </c>
      <c r="D596" s="51" t="s">
        <v>2047</v>
      </c>
      <c r="E596" s="51" t="s">
        <v>2048</v>
      </c>
      <c r="F596" s="51"/>
      <c r="G596" s="51"/>
      <c r="H596" s="81">
        <v>-662.82</v>
      </c>
      <c r="I596" s="51"/>
    </row>
    <row r="597" spans="1:9">
      <c r="A597" s="905"/>
      <c r="B597" s="911"/>
      <c r="C597" s="51" t="s">
        <v>4389</v>
      </c>
      <c r="D597" s="51" t="s">
        <v>2047</v>
      </c>
      <c r="E597" s="51" t="s">
        <v>2048</v>
      </c>
      <c r="F597" s="51"/>
      <c r="G597" s="51"/>
      <c r="H597" s="81">
        <v>253149.38</v>
      </c>
      <c r="I597" s="51"/>
    </row>
    <row r="598" spans="1:9">
      <c r="A598" s="905"/>
      <c r="B598" s="911"/>
      <c r="C598" s="51" t="s">
        <v>4390</v>
      </c>
      <c r="D598" s="51" t="s">
        <v>2047</v>
      </c>
      <c r="E598" s="51" t="s">
        <v>2048</v>
      </c>
      <c r="F598" s="51"/>
      <c r="G598" s="51"/>
      <c r="H598" s="81">
        <v>33259</v>
      </c>
      <c r="I598" s="51"/>
    </row>
    <row r="599" spans="1:9">
      <c r="A599" s="905"/>
      <c r="B599" s="911"/>
      <c r="C599" s="51" t="s">
        <v>4391</v>
      </c>
      <c r="D599" s="51" t="s">
        <v>2047</v>
      </c>
      <c r="E599" s="51" t="s">
        <v>2048</v>
      </c>
      <c r="F599" s="51"/>
      <c r="G599" s="51"/>
      <c r="H599" s="81">
        <v>1897.24</v>
      </c>
      <c r="I599" s="51"/>
    </row>
    <row r="600" spans="1:9">
      <c r="A600" s="905"/>
      <c r="B600" s="911"/>
      <c r="C600" s="51" t="s">
        <v>4392</v>
      </c>
      <c r="D600" s="51" t="s">
        <v>2047</v>
      </c>
      <c r="E600" s="51" t="s">
        <v>2048</v>
      </c>
      <c r="F600" s="51"/>
      <c r="G600" s="51"/>
      <c r="H600" s="81">
        <v>17715.98</v>
      </c>
      <c r="I600" s="51"/>
    </row>
    <row r="601" spans="1:9">
      <c r="A601" s="905"/>
      <c r="B601" s="911"/>
      <c r="C601" s="51" t="s">
        <v>4393</v>
      </c>
      <c r="D601" s="51" t="s">
        <v>2047</v>
      </c>
      <c r="E601" s="51" t="s">
        <v>2048</v>
      </c>
      <c r="F601" s="51"/>
      <c r="G601" s="51"/>
      <c r="H601" s="81">
        <v>1752532.3</v>
      </c>
      <c r="I601" s="51"/>
    </row>
    <row r="602" spans="1:9">
      <c r="A602" s="905"/>
      <c r="B602" s="911"/>
      <c r="C602" s="51" t="s">
        <v>4394</v>
      </c>
      <c r="D602" s="51" t="s">
        <v>2047</v>
      </c>
      <c r="E602" s="51" t="s">
        <v>2048</v>
      </c>
      <c r="F602" s="51"/>
      <c r="G602" s="51"/>
      <c r="H602" s="81">
        <v>37438.35</v>
      </c>
      <c r="I602" s="51"/>
    </row>
    <row r="603" spans="1:9">
      <c r="A603" s="905"/>
      <c r="B603" s="911"/>
      <c r="C603" s="51" t="s">
        <v>4395</v>
      </c>
      <c r="D603" s="51" t="s">
        <v>2047</v>
      </c>
      <c r="E603" s="51" t="s">
        <v>2048</v>
      </c>
      <c r="F603" s="51"/>
      <c r="G603" s="51"/>
      <c r="H603" s="81">
        <v>4965.12</v>
      </c>
      <c r="I603" s="51"/>
    </row>
    <row r="604" spans="1:9">
      <c r="A604" s="905"/>
      <c r="B604" s="911"/>
      <c r="C604" s="51" t="s">
        <v>4396</v>
      </c>
      <c r="D604" s="51" t="s">
        <v>2049</v>
      </c>
      <c r="E604" s="51" t="s">
        <v>4397</v>
      </c>
      <c r="F604" s="51"/>
      <c r="G604" s="51"/>
      <c r="H604" s="81">
        <v>124160.7</v>
      </c>
      <c r="I604" s="51"/>
    </row>
    <row r="605" spans="1:9">
      <c r="A605" s="905"/>
      <c r="B605" s="911"/>
      <c r="C605" s="51" t="s">
        <v>4398</v>
      </c>
      <c r="D605" s="51" t="s">
        <v>2049</v>
      </c>
      <c r="E605" s="51" t="s">
        <v>2048</v>
      </c>
      <c r="F605" s="51"/>
      <c r="G605" s="51"/>
      <c r="H605" s="81">
        <v>58410</v>
      </c>
      <c r="I605" s="51"/>
    </row>
    <row r="606" spans="1:9">
      <c r="A606" s="905"/>
      <c r="B606" s="911"/>
      <c r="C606" s="51" t="s">
        <v>4399</v>
      </c>
      <c r="D606" s="51" t="s">
        <v>2049</v>
      </c>
      <c r="E606" s="51" t="s">
        <v>2048</v>
      </c>
      <c r="F606" s="51"/>
      <c r="G606" s="51"/>
      <c r="H606" s="81">
        <v>169028.07</v>
      </c>
      <c r="I606" s="51"/>
    </row>
    <row r="607" spans="1:9">
      <c r="A607" s="905"/>
      <c r="B607" s="911"/>
      <c r="C607" s="51" t="s">
        <v>4400</v>
      </c>
      <c r="D607" s="51" t="s">
        <v>2049</v>
      </c>
      <c r="E607" s="51" t="s">
        <v>2048</v>
      </c>
      <c r="F607" s="51"/>
      <c r="G607" s="51"/>
      <c r="H607" s="81">
        <v>24815.059999999998</v>
      </c>
      <c r="I607" s="51"/>
    </row>
    <row r="608" spans="1:9">
      <c r="A608" s="905"/>
      <c r="B608" s="911"/>
      <c r="C608" s="51" t="s">
        <v>4401</v>
      </c>
      <c r="D608" s="51" t="s">
        <v>2049</v>
      </c>
      <c r="E608" s="51" t="s">
        <v>2048</v>
      </c>
      <c r="F608" s="51"/>
      <c r="G608" s="51"/>
      <c r="H608" s="81">
        <v>79576.600000000006</v>
      </c>
      <c r="I608" s="51"/>
    </row>
    <row r="609" spans="1:9">
      <c r="A609" s="905"/>
      <c r="B609" s="911"/>
      <c r="C609" s="51" t="s">
        <v>2128</v>
      </c>
      <c r="D609" s="51" t="s">
        <v>2049</v>
      </c>
      <c r="E609" s="51" t="s">
        <v>2048</v>
      </c>
      <c r="F609" s="51"/>
      <c r="G609" s="51"/>
      <c r="H609" s="81">
        <v>59280.03</v>
      </c>
      <c r="I609" s="51"/>
    </row>
    <row r="610" spans="1:9">
      <c r="A610" s="905"/>
      <c r="B610" s="911"/>
      <c r="C610" s="51" t="s">
        <v>4402</v>
      </c>
      <c r="D610" s="51" t="s">
        <v>2049</v>
      </c>
      <c r="E610" s="51" t="s">
        <v>2048</v>
      </c>
      <c r="F610" s="51"/>
      <c r="G610" s="51"/>
      <c r="H610" s="81">
        <v>25763.29</v>
      </c>
      <c r="I610" s="51"/>
    </row>
    <row r="611" spans="1:9">
      <c r="A611" s="905"/>
      <c r="B611" s="911"/>
      <c r="C611" s="51" t="s">
        <v>2130</v>
      </c>
      <c r="D611" s="51" t="s">
        <v>2047</v>
      </c>
      <c r="E611" s="51" t="s">
        <v>2048</v>
      </c>
      <c r="F611" s="51"/>
      <c r="G611" s="51"/>
      <c r="H611" s="81">
        <v>162568.45000000001</v>
      </c>
      <c r="I611" s="51"/>
    </row>
    <row r="612" spans="1:9">
      <c r="A612" s="905"/>
      <c r="B612" s="911"/>
      <c r="C612" s="51" t="s">
        <v>4403</v>
      </c>
      <c r="D612" s="51" t="s">
        <v>2049</v>
      </c>
      <c r="E612" s="51" t="s">
        <v>2048</v>
      </c>
      <c r="F612" s="51"/>
      <c r="G612" s="51"/>
      <c r="H612" s="81">
        <v>21346.83</v>
      </c>
      <c r="I612" s="51"/>
    </row>
    <row r="613" spans="1:9">
      <c r="A613" s="905"/>
      <c r="B613" s="911"/>
      <c r="C613" s="51" t="s">
        <v>4404</v>
      </c>
      <c r="D613" s="51" t="s">
        <v>2049</v>
      </c>
      <c r="E613" s="51" t="s">
        <v>2048</v>
      </c>
      <c r="F613" s="51"/>
      <c r="G613" s="51"/>
      <c r="H613" s="81">
        <v>26914.309999999998</v>
      </c>
      <c r="I613" s="51"/>
    </row>
    <row r="614" spans="1:9">
      <c r="A614" s="905"/>
      <c r="B614" s="911"/>
      <c r="C614" s="51" t="s">
        <v>4405</v>
      </c>
      <c r="D614" s="51" t="s">
        <v>2049</v>
      </c>
      <c r="E614" s="51" t="s">
        <v>2048</v>
      </c>
      <c r="F614" s="51"/>
      <c r="G614" s="51"/>
      <c r="H614" s="81">
        <v>63134.81</v>
      </c>
      <c r="I614" s="51"/>
    </row>
    <row r="615" spans="1:9">
      <c r="A615" s="905"/>
      <c r="B615" s="911"/>
      <c r="C615" s="51" t="s">
        <v>4406</v>
      </c>
      <c r="D615" s="51" t="s">
        <v>2047</v>
      </c>
      <c r="E615" s="51" t="s">
        <v>2048</v>
      </c>
      <c r="F615" s="51"/>
      <c r="G615" s="51"/>
      <c r="H615" s="81">
        <v>30731.18</v>
      </c>
      <c r="I615" s="51"/>
    </row>
    <row r="616" spans="1:9">
      <c r="A616" s="905"/>
      <c r="B616" s="911"/>
      <c r="C616" s="51" t="s">
        <v>4407</v>
      </c>
      <c r="D616" s="51" t="s">
        <v>2047</v>
      </c>
      <c r="E616" s="51" t="s">
        <v>2048</v>
      </c>
      <c r="F616" s="51"/>
      <c r="G616" s="51"/>
      <c r="H616" s="81">
        <v>43650</v>
      </c>
      <c r="I616" s="51"/>
    </row>
    <row r="617" spans="1:9">
      <c r="A617" s="905"/>
      <c r="B617" s="911"/>
      <c r="C617" s="51" t="s">
        <v>4408</v>
      </c>
      <c r="D617" s="51" t="s">
        <v>2047</v>
      </c>
      <c r="E617" s="51" t="s">
        <v>2048</v>
      </c>
      <c r="F617" s="51"/>
      <c r="G617" s="51"/>
      <c r="H617" s="81">
        <v>23675</v>
      </c>
      <c r="I617" s="51"/>
    </row>
    <row r="618" spans="1:9">
      <c r="A618" s="905"/>
      <c r="B618" s="911"/>
      <c r="C618" s="51" t="s">
        <v>4409</v>
      </c>
      <c r="D618" s="51" t="s">
        <v>2047</v>
      </c>
      <c r="E618" s="51" t="s">
        <v>2048</v>
      </c>
      <c r="F618" s="51"/>
      <c r="G618" s="51"/>
      <c r="H618" s="81">
        <v>42855</v>
      </c>
      <c r="I618" s="51"/>
    </row>
    <row r="619" spans="1:9">
      <c r="A619" s="905"/>
      <c r="B619" s="911"/>
      <c r="C619" s="51" t="s">
        <v>4410</v>
      </c>
      <c r="D619" s="51" t="s">
        <v>2049</v>
      </c>
      <c r="E619" s="51" t="s">
        <v>2048</v>
      </c>
      <c r="F619" s="51"/>
      <c r="G619" s="51"/>
      <c r="H619" s="81">
        <v>84474</v>
      </c>
      <c r="I619" s="51"/>
    </row>
    <row r="620" spans="1:9">
      <c r="A620" s="905"/>
      <c r="B620" s="911"/>
      <c r="C620" s="51" t="s">
        <v>2165</v>
      </c>
      <c r="D620" s="51" t="s">
        <v>2047</v>
      </c>
      <c r="E620" s="51" t="s">
        <v>2048</v>
      </c>
      <c r="F620" s="51"/>
      <c r="G620" s="51"/>
      <c r="H620" s="81">
        <v>44123.71</v>
      </c>
      <c r="I620" s="51"/>
    </row>
    <row r="621" spans="1:9">
      <c r="A621" s="905"/>
      <c r="B621" s="911"/>
      <c r="C621" s="51" t="s">
        <v>4411</v>
      </c>
      <c r="D621" s="51" t="s">
        <v>2049</v>
      </c>
      <c r="E621" s="51" t="s">
        <v>2048</v>
      </c>
      <c r="F621" s="51"/>
      <c r="G621" s="51"/>
      <c r="H621" s="81">
        <v>515722.17000000004</v>
      </c>
      <c r="I621" s="51"/>
    </row>
    <row r="622" spans="1:9">
      <c r="A622" s="905"/>
      <c r="B622" s="911"/>
      <c r="C622" s="51" t="s">
        <v>4412</v>
      </c>
      <c r="D622" s="51" t="s">
        <v>2047</v>
      </c>
      <c r="E622" s="51" t="s">
        <v>2048</v>
      </c>
      <c r="F622" s="51"/>
      <c r="G622" s="51"/>
      <c r="H622" s="81">
        <v>21660</v>
      </c>
      <c r="I622" s="51"/>
    </row>
    <row r="623" spans="1:9">
      <c r="A623" s="905"/>
      <c r="B623" s="911"/>
      <c r="C623" s="51" t="s">
        <v>4413</v>
      </c>
      <c r="D623" s="51" t="s">
        <v>2047</v>
      </c>
      <c r="E623" s="51" t="s">
        <v>2048</v>
      </c>
      <c r="F623" s="51"/>
      <c r="G623" s="51"/>
      <c r="H623" s="81">
        <v>18645</v>
      </c>
      <c r="I623" s="51"/>
    </row>
    <row r="624" spans="1:9">
      <c r="A624" s="905"/>
      <c r="B624" s="911"/>
      <c r="C624" s="51" t="s">
        <v>4414</v>
      </c>
      <c r="D624" s="51" t="s">
        <v>2047</v>
      </c>
      <c r="E624" s="51" t="s">
        <v>2048</v>
      </c>
      <c r="F624" s="51"/>
      <c r="G624" s="51"/>
      <c r="H624" s="81">
        <v>18658.34</v>
      </c>
      <c r="I624" s="51"/>
    </row>
    <row r="625" spans="1:9">
      <c r="A625" s="905"/>
      <c r="B625" s="911"/>
      <c r="C625" s="51" t="s">
        <v>2091</v>
      </c>
      <c r="D625" s="51" t="s">
        <v>2047</v>
      </c>
      <c r="E625" s="51" t="s">
        <v>2048</v>
      </c>
      <c r="F625" s="51"/>
      <c r="G625" s="51"/>
      <c r="H625" s="81">
        <v>802147.52</v>
      </c>
      <c r="I625" s="51"/>
    </row>
    <row r="626" spans="1:9">
      <c r="A626" s="905"/>
      <c r="B626" s="911"/>
      <c r="C626" s="51" t="s">
        <v>4415</v>
      </c>
      <c r="D626" s="51" t="s">
        <v>2047</v>
      </c>
      <c r="E626" s="51" t="s">
        <v>2048</v>
      </c>
      <c r="F626" s="51"/>
      <c r="G626" s="51"/>
      <c r="H626" s="81">
        <v>166458.72</v>
      </c>
      <c r="I626" s="51"/>
    </row>
    <row r="627" spans="1:9">
      <c r="A627" s="905"/>
      <c r="B627" s="911"/>
      <c r="C627" s="51" t="s">
        <v>4416</v>
      </c>
      <c r="D627" s="51" t="s">
        <v>2047</v>
      </c>
      <c r="E627" s="51" t="s">
        <v>2048</v>
      </c>
      <c r="F627" s="51"/>
      <c r="G627" s="51"/>
      <c r="H627" s="81">
        <v>24649.32</v>
      </c>
      <c r="I627" s="51"/>
    </row>
    <row r="628" spans="1:9">
      <c r="A628" s="905"/>
      <c r="B628" s="911"/>
      <c r="C628" s="51" t="s">
        <v>4417</v>
      </c>
      <c r="D628" s="51" t="s">
        <v>2049</v>
      </c>
      <c r="E628" s="51" t="s">
        <v>2048</v>
      </c>
      <c r="F628" s="51"/>
      <c r="G628" s="51"/>
      <c r="H628" s="81">
        <v>232132.33</v>
      </c>
      <c r="I628" s="51"/>
    </row>
    <row r="629" spans="1:9">
      <c r="A629" s="905"/>
      <c r="B629" s="911"/>
      <c r="C629" s="51" t="s">
        <v>2113</v>
      </c>
      <c r="D629" s="51" t="s">
        <v>2049</v>
      </c>
      <c r="E629" s="51" t="s">
        <v>2048</v>
      </c>
      <c r="F629" s="51"/>
      <c r="G629" s="51"/>
      <c r="H629" s="81">
        <v>114662.24</v>
      </c>
      <c r="I629" s="51"/>
    </row>
    <row r="630" spans="1:9">
      <c r="A630" s="905"/>
      <c r="B630" s="911"/>
      <c r="C630" s="51" t="s">
        <v>4418</v>
      </c>
      <c r="D630" s="51" t="s">
        <v>2047</v>
      </c>
      <c r="E630" s="51" t="s">
        <v>2048</v>
      </c>
      <c r="F630" s="51"/>
      <c r="G630" s="51"/>
      <c r="H630" s="81">
        <v>13133.66</v>
      </c>
      <c r="I630" s="51"/>
    </row>
    <row r="631" spans="1:9">
      <c r="A631" s="905"/>
      <c r="B631" s="911"/>
      <c r="C631" s="51" t="s">
        <v>4419</v>
      </c>
      <c r="D631" s="51" t="s">
        <v>2047</v>
      </c>
      <c r="E631" s="51" t="s">
        <v>2048</v>
      </c>
      <c r="F631" s="51"/>
      <c r="G631" s="51"/>
      <c r="H631" s="81">
        <v>13511.48</v>
      </c>
      <c r="I631" s="51"/>
    </row>
    <row r="632" spans="1:9">
      <c r="A632" s="905"/>
      <c r="B632" s="911"/>
      <c r="C632" s="51" t="s">
        <v>2156</v>
      </c>
      <c r="D632" s="51" t="s">
        <v>2047</v>
      </c>
      <c r="E632" s="51" t="s">
        <v>2048</v>
      </c>
      <c r="F632" s="51"/>
      <c r="G632" s="51"/>
      <c r="H632" s="81">
        <v>10320</v>
      </c>
      <c r="I632" s="51"/>
    </row>
    <row r="633" spans="1:9">
      <c r="A633" s="905"/>
      <c r="B633" s="911"/>
      <c r="C633" s="51" t="s">
        <v>4420</v>
      </c>
      <c r="D633" s="51" t="s">
        <v>2049</v>
      </c>
      <c r="E633" s="51" t="s">
        <v>2048</v>
      </c>
      <c r="F633" s="51"/>
      <c r="G633" s="51"/>
      <c r="H633" s="81">
        <v>6600</v>
      </c>
      <c r="I633" s="51"/>
    </row>
    <row r="634" spans="1:9">
      <c r="A634" s="905"/>
      <c r="B634" s="911"/>
      <c r="C634" s="51" t="s">
        <v>4421</v>
      </c>
      <c r="D634" s="51" t="s">
        <v>2047</v>
      </c>
      <c r="E634" s="51" t="s">
        <v>2048</v>
      </c>
      <c r="F634" s="51"/>
      <c r="G634" s="51"/>
      <c r="H634" s="81">
        <v>40889.339999999997</v>
      </c>
      <c r="I634" s="51"/>
    </row>
    <row r="635" spans="1:9">
      <c r="A635" s="905"/>
      <c r="B635" s="911"/>
      <c r="C635" s="51" t="s">
        <v>4422</v>
      </c>
      <c r="D635" s="51" t="s">
        <v>2049</v>
      </c>
      <c r="E635" s="51" t="s">
        <v>2048</v>
      </c>
      <c r="F635" s="51"/>
      <c r="G635" s="51"/>
      <c r="H635" s="81">
        <v>47803.6</v>
      </c>
      <c r="I635" s="51"/>
    </row>
    <row r="636" spans="1:9">
      <c r="A636" s="905"/>
      <c r="B636" s="911"/>
      <c r="C636" s="51" t="s">
        <v>4423</v>
      </c>
      <c r="D636" s="51" t="s">
        <v>2049</v>
      </c>
      <c r="E636" s="51" t="s">
        <v>2048</v>
      </c>
      <c r="F636" s="51"/>
      <c r="G636" s="51"/>
      <c r="H636" s="81">
        <v>114806.73</v>
      </c>
      <c r="I636" s="51"/>
    </row>
    <row r="637" spans="1:9">
      <c r="A637" s="905"/>
      <c r="B637" s="911"/>
      <c r="C637" s="51" t="s">
        <v>4424</v>
      </c>
      <c r="D637" s="51" t="s">
        <v>2049</v>
      </c>
      <c r="E637" s="51" t="s">
        <v>2048</v>
      </c>
      <c r="F637" s="51"/>
      <c r="G637" s="51"/>
      <c r="H637" s="81">
        <v>239662.18</v>
      </c>
      <c r="I637" s="51"/>
    </row>
    <row r="638" spans="1:9">
      <c r="A638" s="905"/>
      <c r="B638" s="911"/>
      <c r="C638" s="51" t="s">
        <v>2094</v>
      </c>
      <c r="D638" s="51" t="s">
        <v>2047</v>
      </c>
      <c r="E638" s="51" t="s">
        <v>2048</v>
      </c>
      <c r="F638" s="51"/>
      <c r="G638" s="51"/>
      <c r="H638" s="81">
        <v>256169.19999999998</v>
      </c>
      <c r="I638" s="51"/>
    </row>
    <row r="639" spans="1:9">
      <c r="A639" s="905"/>
      <c r="B639" s="911"/>
      <c r="C639" s="51" t="s">
        <v>4425</v>
      </c>
      <c r="D639" s="51" t="s">
        <v>2049</v>
      </c>
      <c r="E639" s="51" t="s">
        <v>2048</v>
      </c>
      <c r="F639" s="51"/>
      <c r="G639" s="51"/>
      <c r="H639" s="81">
        <v>139218.46000000002</v>
      </c>
      <c r="I639" s="51"/>
    </row>
    <row r="640" spans="1:9">
      <c r="A640" s="905"/>
      <c r="B640" s="911"/>
      <c r="C640" s="51" t="s">
        <v>4426</v>
      </c>
      <c r="D640" s="51" t="s">
        <v>2047</v>
      </c>
      <c r="E640" s="51" t="s">
        <v>2048</v>
      </c>
      <c r="F640" s="51"/>
      <c r="G640" s="51"/>
      <c r="H640" s="81">
        <v>40909.360000000001</v>
      </c>
      <c r="I640" s="51"/>
    </row>
    <row r="641" spans="1:9">
      <c r="A641" s="905"/>
      <c r="B641" s="911"/>
      <c r="C641" s="51" t="s">
        <v>4427</v>
      </c>
      <c r="D641" s="51" t="s">
        <v>2049</v>
      </c>
      <c r="E641" s="51" t="s">
        <v>2048</v>
      </c>
      <c r="F641" s="51"/>
      <c r="G641" s="51"/>
      <c r="H641" s="81">
        <v>189994</v>
      </c>
      <c r="I641" s="51"/>
    </row>
    <row r="642" spans="1:9">
      <c r="A642" s="905"/>
      <c r="B642" s="911"/>
      <c r="C642" s="51" t="s">
        <v>4428</v>
      </c>
      <c r="D642" s="51" t="s">
        <v>2049</v>
      </c>
      <c r="E642" s="51" t="s">
        <v>2048</v>
      </c>
      <c r="F642" s="51"/>
      <c r="G642" s="51"/>
      <c r="H642" s="81">
        <v>79219.3</v>
      </c>
      <c r="I642" s="51"/>
    </row>
    <row r="643" spans="1:9">
      <c r="A643" s="905"/>
      <c r="B643" s="911"/>
      <c r="C643" s="51" t="s">
        <v>2164</v>
      </c>
      <c r="D643" s="51" t="s">
        <v>2049</v>
      </c>
      <c r="E643" s="51" t="s">
        <v>2048</v>
      </c>
      <c r="F643" s="51"/>
      <c r="G643" s="51"/>
      <c r="H643" s="81">
        <v>169742.41</v>
      </c>
      <c r="I643" s="51"/>
    </row>
    <row r="644" spans="1:9">
      <c r="A644" s="905"/>
      <c r="B644" s="911"/>
      <c r="C644" s="51" t="s">
        <v>4429</v>
      </c>
      <c r="D644" s="51" t="s">
        <v>2049</v>
      </c>
      <c r="E644" s="51" t="s">
        <v>2048</v>
      </c>
      <c r="F644" s="51"/>
      <c r="G644" s="51"/>
      <c r="H644" s="81">
        <v>4886503.99</v>
      </c>
      <c r="I644" s="51"/>
    </row>
    <row r="645" spans="1:9">
      <c r="A645" s="905"/>
      <c r="B645" s="911"/>
      <c r="C645" s="51" t="s">
        <v>4430</v>
      </c>
      <c r="D645" s="51" t="s">
        <v>2049</v>
      </c>
      <c r="E645" s="51" t="s">
        <v>2048</v>
      </c>
      <c r="F645" s="51"/>
      <c r="G645" s="51"/>
      <c r="H645" s="81">
        <v>10527.71</v>
      </c>
      <c r="I645" s="51"/>
    </row>
    <row r="646" spans="1:9">
      <c r="A646" s="905"/>
      <c r="B646" s="911"/>
      <c r="C646" s="51" t="s">
        <v>4431</v>
      </c>
      <c r="D646" s="51" t="s">
        <v>2049</v>
      </c>
      <c r="E646" s="51" t="s">
        <v>2048</v>
      </c>
      <c r="F646" s="51"/>
      <c r="G646" s="51"/>
      <c r="H646" s="81">
        <v>654705.07000000007</v>
      </c>
      <c r="I646" s="51"/>
    </row>
    <row r="647" spans="1:9">
      <c r="A647" s="905"/>
      <c r="B647" s="911"/>
      <c r="C647" s="51" t="s">
        <v>4432</v>
      </c>
      <c r="D647" s="51" t="s">
        <v>2049</v>
      </c>
      <c r="E647" s="51" t="s">
        <v>2048</v>
      </c>
      <c r="F647" s="51"/>
      <c r="G647" s="51"/>
      <c r="H647" s="81">
        <v>394933.38</v>
      </c>
      <c r="I647" s="51"/>
    </row>
    <row r="648" spans="1:9">
      <c r="A648" s="905"/>
      <c r="B648" s="911"/>
      <c r="C648" s="51" t="s">
        <v>4433</v>
      </c>
      <c r="D648" s="51" t="s">
        <v>2049</v>
      </c>
      <c r="E648" s="51" t="s">
        <v>2048</v>
      </c>
      <c r="F648" s="51"/>
      <c r="G648" s="51"/>
      <c r="H648" s="81">
        <v>657668.57000000007</v>
      </c>
      <c r="I648" s="51"/>
    </row>
    <row r="649" spans="1:9">
      <c r="A649" s="905"/>
      <c r="B649" s="911"/>
      <c r="C649" s="51" t="s">
        <v>4434</v>
      </c>
      <c r="D649" s="51" t="s">
        <v>2049</v>
      </c>
      <c r="E649" s="51" t="s">
        <v>2048</v>
      </c>
      <c r="F649" s="51"/>
      <c r="G649" s="51"/>
      <c r="H649" s="81">
        <v>284732.87</v>
      </c>
      <c r="I649" s="51"/>
    </row>
    <row r="650" spans="1:9">
      <c r="A650" s="905"/>
      <c r="B650" s="911"/>
      <c r="C650" s="51" t="s">
        <v>2153</v>
      </c>
      <c r="D650" s="51" t="s">
        <v>2049</v>
      </c>
      <c r="E650" s="51" t="s">
        <v>2048</v>
      </c>
      <c r="F650" s="51"/>
      <c r="G650" s="51"/>
      <c r="H650" s="81">
        <v>6362.44</v>
      </c>
      <c r="I650" s="51"/>
    </row>
    <row r="651" spans="1:9">
      <c r="A651" s="905"/>
      <c r="B651" s="911"/>
      <c r="C651" s="51" t="s">
        <v>4435</v>
      </c>
      <c r="D651" s="51" t="s">
        <v>2049</v>
      </c>
      <c r="E651" s="51" t="s">
        <v>2048</v>
      </c>
      <c r="F651" s="51" t="s">
        <v>2074</v>
      </c>
      <c r="G651" s="51"/>
      <c r="H651" s="81">
        <v>822937.83</v>
      </c>
      <c r="I651" s="51"/>
    </row>
    <row r="652" spans="1:9">
      <c r="A652" s="905"/>
      <c r="B652" s="911"/>
      <c r="C652" s="51" t="s">
        <v>2109</v>
      </c>
      <c r="D652" s="51" t="s">
        <v>2049</v>
      </c>
      <c r="E652" s="51" t="s">
        <v>2048</v>
      </c>
      <c r="F652" s="51"/>
      <c r="G652" s="51"/>
      <c r="H652" s="81">
        <v>355932.95</v>
      </c>
      <c r="I652" s="51"/>
    </row>
    <row r="653" spans="1:9">
      <c r="A653" s="905"/>
      <c r="B653" s="911"/>
      <c r="C653" s="51" t="s">
        <v>4436</v>
      </c>
      <c r="D653" s="51" t="s">
        <v>2049</v>
      </c>
      <c r="E653" s="51" t="s">
        <v>2048</v>
      </c>
      <c r="F653" s="51"/>
      <c r="G653" s="51"/>
      <c r="H653" s="81">
        <v>68706.86</v>
      </c>
      <c r="I653" s="51"/>
    </row>
    <row r="654" spans="1:9">
      <c r="A654" s="905"/>
      <c r="B654" s="911"/>
      <c r="C654" s="51" t="s">
        <v>4437</v>
      </c>
      <c r="D654" s="51" t="s">
        <v>2049</v>
      </c>
      <c r="E654" s="51" t="s">
        <v>2048</v>
      </c>
      <c r="F654" s="51"/>
      <c r="G654" s="51"/>
      <c r="H654" s="81">
        <v>15065.55</v>
      </c>
      <c r="I654" s="51"/>
    </row>
    <row r="655" spans="1:9">
      <c r="A655" s="905"/>
      <c r="B655" s="911"/>
      <c r="C655" s="51" t="s">
        <v>4438</v>
      </c>
      <c r="D655" s="51" t="s">
        <v>2049</v>
      </c>
      <c r="E655" s="51" t="s">
        <v>2048</v>
      </c>
      <c r="F655" s="51"/>
      <c r="G655" s="51"/>
      <c r="H655" s="81">
        <v>17548.689999999999</v>
      </c>
      <c r="I655" s="51"/>
    </row>
    <row r="656" spans="1:9">
      <c r="A656" s="905"/>
      <c r="B656" s="911"/>
      <c r="C656" s="51" t="s">
        <v>4439</v>
      </c>
      <c r="D656" s="51" t="s">
        <v>2049</v>
      </c>
      <c r="E656" s="51" t="s">
        <v>2048</v>
      </c>
      <c r="F656" s="51"/>
      <c r="G656" s="51"/>
      <c r="H656" s="81">
        <v>25696.97</v>
      </c>
      <c r="I656" s="51"/>
    </row>
    <row r="657" spans="1:9">
      <c r="A657" s="905"/>
      <c r="B657" s="911"/>
      <c r="C657" s="51" t="s">
        <v>4440</v>
      </c>
      <c r="D657" s="51" t="s">
        <v>2049</v>
      </c>
      <c r="E657" s="51" t="s">
        <v>2048</v>
      </c>
      <c r="F657" s="51"/>
      <c r="G657" s="51"/>
      <c r="H657" s="81">
        <v>13417.53</v>
      </c>
      <c r="I657" s="51"/>
    </row>
    <row r="658" spans="1:9">
      <c r="A658" s="905"/>
      <c r="B658" s="911"/>
      <c r="C658" s="51" t="s">
        <v>4441</v>
      </c>
      <c r="D658" s="51" t="s">
        <v>2047</v>
      </c>
      <c r="E658" s="51" t="s">
        <v>2048</v>
      </c>
      <c r="F658" s="51"/>
      <c r="G658" s="51"/>
      <c r="H658" s="81">
        <v>77197.210000000006</v>
      </c>
      <c r="I658" s="51"/>
    </row>
    <row r="659" spans="1:9">
      <c r="A659" s="905"/>
      <c r="B659" s="911"/>
      <c r="C659" s="51" t="s">
        <v>4442</v>
      </c>
      <c r="D659" s="51" t="s">
        <v>2047</v>
      </c>
      <c r="E659" s="51" t="s">
        <v>2048</v>
      </c>
      <c r="F659" s="51"/>
      <c r="G659" s="51"/>
      <c r="H659" s="81">
        <v>167943.11</v>
      </c>
      <c r="I659" s="51"/>
    </row>
    <row r="660" spans="1:9">
      <c r="A660" s="905"/>
      <c r="B660" s="911"/>
      <c r="C660" s="51" t="s">
        <v>4443</v>
      </c>
      <c r="D660" s="51" t="s">
        <v>2047</v>
      </c>
      <c r="E660" s="51" t="s">
        <v>2048</v>
      </c>
      <c r="F660" s="51"/>
      <c r="G660" s="51"/>
      <c r="H660" s="81">
        <v>64958</v>
      </c>
      <c r="I660" s="51"/>
    </row>
    <row r="661" spans="1:9">
      <c r="A661" s="905"/>
      <c r="B661" s="911"/>
      <c r="C661" s="51" t="s">
        <v>2155</v>
      </c>
      <c r="D661" s="51" t="s">
        <v>2047</v>
      </c>
      <c r="E661" s="51" t="s">
        <v>2048</v>
      </c>
      <c r="F661" s="51"/>
      <c r="G661" s="51"/>
      <c r="H661" s="81">
        <v>43877.240000000005</v>
      </c>
      <c r="I661" s="51"/>
    </row>
    <row r="662" spans="1:9">
      <c r="A662" s="905"/>
      <c r="B662" s="911"/>
      <c r="C662" s="51" t="s">
        <v>4444</v>
      </c>
      <c r="D662" s="51" t="s">
        <v>2047</v>
      </c>
      <c r="E662" s="51" t="s">
        <v>2048</v>
      </c>
      <c r="F662" s="51"/>
      <c r="G662" s="51"/>
      <c r="H662" s="81">
        <v>14637.14</v>
      </c>
      <c r="I662" s="51"/>
    </row>
    <row r="663" spans="1:9">
      <c r="A663" s="905"/>
      <c r="B663" s="911"/>
      <c r="C663" s="51" t="s">
        <v>4445</v>
      </c>
      <c r="D663" s="51" t="s">
        <v>2047</v>
      </c>
      <c r="E663" s="51" t="s">
        <v>2048</v>
      </c>
      <c r="F663" s="51"/>
      <c r="G663" s="51"/>
      <c r="H663" s="81">
        <v>47821.56</v>
      </c>
      <c r="I663" s="51"/>
    </row>
    <row r="664" spans="1:9">
      <c r="A664" s="905"/>
      <c r="B664" s="911"/>
      <c r="C664" s="51" t="s">
        <v>4446</v>
      </c>
      <c r="D664" s="51" t="s">
        <v>2047</v>
      </c>
      <c r="E664" s="51" t="s">
        <v>2048</v>
      </c>
      <c r="F664" s="51"/>
      <c r="G664" s="51"/>
      <c r="H664" s="81">
        <v>54600</v>
      </c>
      <c r="I664" s="51"/>
    </row>
    <row r="665" spans="1:9">
      <c r="A665" s="905"/>
      <c r="B665" s="911"/>
      <c r="C665" s="51" t="s">
        <v>4447</v>
      </c>
      <c r="D665" s="51" t="s">
        <v>2047</v>
      </c>
      <c r="E665" s="51" t="s">
        <v>2048</v>
      </c>
      <c r="F665" s="51"/>
      <c r="G665" s="51"/>
      <c r="H665" s="81">
        <v>85372.56</v>
      </c>
      <c r="I665" s="51"/>
    </row>
    <row r="666" spans="1:9">
      <c r="A666" s="905"/>
      <c r="B666" s="911"/>
      <c r="C666" s="51" t="s">
        <v>4448</v>
      </c>
      <c r="D666" s="51" t="s">
        <v>2049</v>
      </c>
      <c r="E666" s="51" t="s">
        <v>2048</v>
      </c>
      <c r="F666" s="51"/>
      <c r="G666" s="51"/>
      <c r="H666" s="81">
        <v>61582.799999999996</v>
      </c>
      <c r="I666" s="51"/>
    </row>
    <row r="667" spans="1:9">
      <c r="A667" s="905"/>
      <c r="B667" s="911"/>
      <c r="C667" s="51" t="s">
        <v>4449</v>
      </c>
      <c r="D667" s="51" t="s">
        <v>2047</v>
      </c>
      <c r="E667" s="51" t="s">
        <v>2048</v>
      </c>
      <c r="F667" s="51"/>
      <c r="G667" s="51"/>
      <c r="H667" s="81">
        <v>261308.01</v>
      </c>
      <c r="I667" s="51"/>
    </row>
    <row r="668" spans="1:9">
      <c r="A668" s="905"/>
      <c r="B668" s="911"/>
      <c r="C668" s="51" t="s">
        <v>4450</v>
      </c>
      <c r="D668" s="51" t="s">
        <v>2049</v>
      </c>
      <c r="E668" s="51" t="s">
        <v>2048</v>
      </c>
      <c r="F668" s="51"/>
      <c r="G668" s="51"/>
      <c r="H668" s="81">
        <v>1073189.55</v>
      </c>
      <c r="I668" s="51"/>
    </row>
    <row r="669" spans="1:9">
      <c r="A669" s="905"/>
      <c r="B669" s="911"/>
      <c r="C669" s="51" t="s">
        <v>4451</v>
      </c>
      <c r="D669" s="51" t="s">
        <v>2049</v>
      </c>
      <c r="E669" s="51" t="s">
        <v>2048</v>
      </c>
      <c r="F669" s="51"/>
      <c r="G669" s="51"/>
      <c r="H669" s="81">
        <v>19760</v>
      </c>
      <c r="I669" s="51"/>
    </row>
    <row r="670" spans="1:9">
      <c r="A670" s="905"/>
      <c r="B670" s="911"/>
      <c r="C670" s="51" t="s">
        <v>4452</v>
      </c>
      <c r="D670" s="51" t="s">
        <v>2049</v>
      </c>
      <c r="E670" s="51" t="s">
        <v>2048</v>
      </c>
      <c r="F670" s="51"/>
      <c r="G670" s="51"/>
      <c r="H670" s="81">
        <v>148619.03999999998</v>
      </c>
      <c r="I670" s="51"/>
    </row>
    <row r="671" spans="1:9">
      <c r="A671" s="905"/>
      <c r="B671" s="911"/>
      <c r="C671" s="51" t="s">
        <v>4453</v>
      </c>
      <c r="D671" s="51" t="s">
        <v>2049</v>
      </c>
      <c r="E671" s="51" t="s">
        <v>2048</v>
      </c>
      <c r="F671" s="51"/>
      <c r="G671" s="51"/>
      <c r="H671" s="81">
        <v>1282802.56</v>
      </c>
      <c r="I671" s="51"/>
    </row>
    <row r="672" spans="1:9">
      <c r="A672" s="905"/>
      <c r="B672" s="911"/>
      <c r="C672" s="51" t="s">
        <v>4454</v>
      </c>
      <c r="D672" s="51" t="s">
        <v>2049</v>
      </c>
      <c r="E672" s="51" t="s">
        <v>2048</v>
      </c>
      <c r="F672" s="51"/>
      <c r="G672" s="51"/>
      <c r="H672" s="81">
        <v>82814.739999999991</v>
      </c>
      <c r="I672" s="51"/>
    </row>
    <row r="673" spans="1:9">
      <c r="A673" s="905"/>
      <c r="B673" s="911"/>
      <c r="C673" s="51" t="s">
        <v>4455</v>
      </c>
      <c r="D673" s="51" t="s">
        <v>2049</v>
      </c>
      <c r="E673" s="51" t="s">
        <v>2048</v>
      </c>
      <c r="F673" s="51"/>
      <c r="G673" s="51"/>
      <c r="H673" s="81">
        <v>34928.35</v>
      </c>
      <c r="I673" s="51"/>
    </row>
    <row r="674" spans="1:9">
      <c r="A674" s="905"/>
      <c r="B674" s="911"/>
      <c r="C674" s="51" t="s">
        <v>2139</v>
      </c>
      <c r="D674" s="51" t="s">
        <v>2049</v>
      </c>
      <c r="E674" s="51" t="s">
        <v>2048</v>
      </c>
      <c r="F674" s="51"/>
      <c r="G674" s="51"/>
      <c r="H674" s="81">
        <v>73472</v>
      </c>
      <c r="I674" s="51"/>
    </row>
    <row r="675" spans="1:9">
      <c r="A675" s="905"/>
      <c r="B675" s="911"/>
      <c r="C675" s="51" t="s">
        <v>4456</v>
      </c>
      <c r="D675" s="51" t="s">
        <v>2049</v>
      </c>
      <c r="E675" s="51" t="s">
        <v>2048</v>
      </c>
      <c r="F675" s="51"/>
      <c r="G675" s="51"/>
      <c r="H675" s="81">
        <v>51660</v>
      </c>
      <c r="I675" s="51"/>
    </row>
    <row r="676" spans="1:9">
      <c r="A676" s="905"/>
      <c r="B676" s="911"/>
      <c r="C676" s="51" t="s">
        <v>2124</v>
      </c>
      <c r="D676" s="51" t="s">
        <v>2049</v>
      </c>
      <c r="E676" s="51" t="s">
        <v>2048</v>
      </c>
      <c r="F676" s="51"/>
      <c r="G676" s="51"/>
      <c r="H676" s="81">
        <v>134136.81000000003</v>
      </c>
      <c r="I676" s="51"/>
    </row>
    <row r="677" spans="1:9">
      <c r="A677" s="905"/>
      <c r="B677" s="911"/>
      <c r="C677" s="51" t="s">
        <v>2098</v>
      </c>
      <c r="D677" s="51" t="s">
        <v>2049</v>
      </c>
      <c r="E677" s="51" t="s">
        <v>2048</v>
      </c>
      <c r="F677" s="51"/>
      <c r="G677" s="51"/>
      <c r="H677" s="81">
        <v>364517.95999999996</v>
      </c>
      <c r="I677" s="51"/>
    </row>
    <row r="678" spans="1:9">
      <c r="A678" s="905"/>
      <c r="B678" s="911"/>
      <c r="C678" s="51" t="s">
        <v>4457</v>
      </c>
      <c r="D678" s="51" t="s">
        <v>2049</v>
      </c>
      <c r="E678" s="51" t="s">
        <v>2048</v>
      </c>
      <c r="F678" s="51"/>
      <c r="G678" s="51"/>
      <c r="H678" s="81">
        <v>95543.319999999992</v>
      </c>
      <c r="I678" s="51"/>
    </row>
    <row r="679" spans="1:9">
      <c r="A679" s="905"/>
      <c r="B679" s="911"/>
      <c r="C679" s="51" t="s">
        <v>4458</v>
      </c>
      <c r="D679" s="51" t="s">
        <v>2047</v>
      </c>
      <c r="E679" s="51" t="s">
        <v>2048</v>
      </c>
      <c r="F679" s="51"/>
      <c r="G679" s="51"/>
      <c r="H679" s="81">
        <v>2700</v>
      </c>
      <c r="I679" s="51"/>
    </row>
    <row r="680" spans="1:9">
      <c r="A680" s="905"/>
      <c r="B680" s="911"/>
      <c r="C680" s="51" t="s">
        <v>4459</v>
      </c>
      <c r="D680" s="51" t="s">
        <v>2049</v>
      </c>
      <c r="E680" s="51" t="s">
        <v>2048</v>
      </c>
      <c r="F680" s="51"/>
      <c r="G680" s="51"/>
      <c r="H680" s="81">
        <v>2870.1400000000003</v>
      </c>
      <c r="I680" s="51"/>
    </row>
    <row r="681" spans="1:9">
      <c r="A681" s="905"/>
      <c r="B681" s="911"/>
      <c r="C681" s="51" t="s">
        <v>4460</v>
      </c>
      <c r="D681" s="51" t="s">
        <v>2049</v>
      </c>
      <c r="E681" s="51" t="s">
        <v>2048</v>
      </c>
      <c r="F681" s="51"/>
      <c r="G681" s="51"/>
      <c r="H681" s="81">
        <v>10920</v>
      </c>
      <c r="I681" s="51"/>
    </row>
    <row r="682" spans="1:9">
      <c r="A682" s="905"/>
      <c r="B682" s="911"/>
      <c r="C682" s="51" t="s">
        <v>4461</v>
      </c>
      <c r="D682" s="51" t="s">
        <v>2047</v>
      </c>
      <c r="E682" s="51" t="s">
        <v>2048</v>
      </c>
      <c r="F682" s="51"/>
      <c r="G682" s="51"/>
      <c r="H682" s="81">
        <v>15554.46</v>
      </c>
      <c r="I682" s="51"/>
    </row>
    <row r="683" spans="1:9">
      <c r="A683" s="905"/>
      <c r="B683" s="911"/>
      <c r="C683" s="51" t="s">
        <v>4462</v>
      </c>
      <c r="D683" s="51" t="s">
        <v>2047</v>
      </c>
      <c r="E683" s="51" t="s">
        <v>2048</v>
      </c>
      <c r="F683" s="51"/>
      <c r="G683" s="51"/>
      <c r="H683" s="81">
        <v>265945.28999999998</v>
      </c>
      <c r="I683" s="51"/>
    </row>
    <row r="684" spans="1:9">
      <c r="A684" s="905"/>
      <c r="B684" s="911"/>
      <c r="C684" s="51" t="s">
        <v>4463</v>
      </c>
      <c r="D684" s="51" t="s">
        <v>2047</v>
      </c>
      <c r="E684" s="51" t="s">
        <v>2048</v>
      </c>
      <c r="F684" s="51"/>
      <c r="G684" s="51"/>
      <c r="H684" s="81">
        <v>15000</v>
      </c>
      <c r="I684" s="51"/>
    </row>
    <row r="685" spans="1:9">
      <c r="A685" s="905"/>
      <c r="B685" s="911"/>
      <c r="C685" s="51" t="s">
        <v>4464</v>
      </c>
      <c r="D685" s="51" t="s">
        <v>2047</v>
      </c>
      <c r="E685" s="51" t="s">
        <v>2048</v>
      </c>
      <c r="F685" s="51"/>
      <c r="G685" s="51"/>
      <c r="H685" s="81">
        <v>44000</v>
      </c>
      <c r="I685" s="51"/>
    </row>
    <row r="686" spans="1:9">
      <c r="A686" s="905"/>
      <c r="B686" s="911"/>
      <c r="C686" s="51" t="s">
        <v>4465</v>
      </c>
      <c r="D686" s="51" t="s">
        <v>2047</v>
      </c>
      <c r="E686" s="51" t="s">
        <v>2048</v>
      </c>
      <c r="F686" s="51"/>
      <c r="G686" s="51"/>
      <c r="H686" s="81">
        <v>13095</v>
      </c>
      <c r="I686" s="51"/>
    </row>
    <row r="687" spans="1:9">
      <c r="A687" s="905"/>
      <c r="B687" s="911"/>
      <c r="C687" s="51" t="s">
        <v>4466</v>
      </c>
      <c r="D687" s="51" t="s">
        <v>2047</v>
      </c>
      <c r="E687" s="51" t="s">
        <v>2048</v>
      </c>
      <c r="F687" s="51"/>
      <c r="G687" s="51"/>
      <c r="H687" s="81">
        <v>2333.65</v>
      </c>
      <c r="I687" s="51"/>
    </row>
    <row r="688" spans="1:9">
      <c r="A688" s="905"/>
      <c r="B688" s="911"/>
      <c r="C688" s="51" t="s">
        <v>4467</v>
      </c>
      <c r="D688" s="51" t="s">
        <v>2049</v>
      </c>
      <c r="E688" s="51" t="s">
        <v>2048</v>
      </c>
      <c r="F688" s="51"/>
      <c r="G688" s="51"/>
      <c r="H688" s="81">
        <v>4457.8599999999997</v>
      </c>
      <c r="I688" s="51"/>
    </row>
    <row r="689" spans="1:9">
      <c r="A689" s="905"/>
      <c r="B689" s="911"/>
      <c r="C689" s="51" t="s">
        <v>4468</v>
      </c>
      <c r="D689" s="51" t="s">
        <v>2047</v>
      </c>
      <c r="E689" s="51" t="s">
        <v>2048</v>
      </c>
      <c r="F689" s="51"/>
      <c r="G689" s="51"/>
      <c r="H689" s="81">
        <v>8650.93</v>
      </c>
      <c r="I689" s="51"/>
    </row>
    <row r="690" spans="1:9">
      <c r="A690" s="905"/>
      <c r="B690" s="911"/>
      <c r="C690" s="51" t="s">
        <v>4469</v>
      </c>
      <c r="D690" s="51" t="s">
        <v>2049</v>
      </c>
      <c r="E690" s="51" t="s">
        <v>2048</v>
      </c>
      <c r="F690" s="51"/>
      <c r="G690" s="51"/>
      <c r="H690" s="81">
        <v>463361.30000000005</v>
      </c>
      <c r="I690" s="51"/>
    </row>
    <row r="691" spans="1:9">
      <c r="A691" s="905"/>
      <c r="B691" s="911"/>
      <c r="C691" s="51" t="s">
        <v>4470</v>
      </c>
      <c r="D691" s="51" t="s">
        <v>2049</v>
      </c>
      <c r="E691" s="51" t="s">
        <v>2048</v>
      </c>
      <c r="F691" s="51"/>
      <c r="G691" s="51"/>
      <c r="H691" s="81">
        <v>66853.66</v>
      </c>
      <c r="I691" s="51"/>
    </row>
    <row r="692" spans="1:9">
      <c r="A692" s="905"/>
      <c r="B692" s="911"/>
      <c r="C692" s="51" t="s">
        <v>4471</v>
      </c>
      <c r="D692" s="51" t="s">
        <v>2049</v>
      </c>
      <c r="E692" s="51" t="s">
        <v>2048</v>
      </c>
      <c r="F692" s="51"/>
      <c r="G692" s="51"/>
      <c r="H692" s="81">
        <v>252788.38</v>
      </c>
      <c r="I692" s="51"/>
    </row>
    <row r="693" spans="1:9">
      <c r="A693" s="905"/>
      <c r="B693" s="911"/>
      <c r="C693" s="51" t="s">
        <v>4472</v>
      </c>
      <c r="D693" s="51" t="s">
        <v>2047</v>
      </c>
      <c r="E693" s="51" t="s">
        <v>2048</v>
      </c>
      <c r="F693" s="51"/>
      <c r="G693" s="51"/>
      <c r="H693" s="81">
        <v>25212.66</v>
      </c>
      <c r="I693" s="51"/>
    </row>
    <row r="694" spans="1:9">
      <c r="A694" s="905"/>
      <c r="B694" s="911"/>
      <c r="C694" s="51" t="s">
        <v>4473</v>
      </c>
      <c r="D694" s="51" t="s">
        <v>2047</v>
      </c>
      <c r="E694" s="51" t="s">
        <v>2048</v>
      </c>
      <c r="F694" s="51"/>
      <c r="G694" s="51"/>
      <c r="H694" s="81">
        <v>2243525.34</v>
      </c>
      <c r="I694" s="51"/>
    </row>
    <row r="695" spans="1:9">
      <c r="A695" s="905"/>
      <c r="B695" s="911"/>
      <c r="C695" s="51" t="s">
        <v>3990</v>
      </c>
      <c r="D695" s="51" t="s">
        <v>2049</v>
      </c>
      <c r="E695" s="51" t="s">
        <v>2079</v>
      </c>
      <c r="F695" s="51"/>
      <c r="G695" s="51"/>
      <c r="H695" s="81">
        <v>1364461.6</v>
      </c>
      <c r="I695" s="51"/>
    </row>
    <row r="696" spans="1:9">
      <c r="A696" s="905"/>
      <c r="B696" s="911"/>
      <c r="C696" s="51" t="s">
        <v>4474</v>
      </c>
      <c r="D696" s="51" t="s">
        <v>2049</v>
      </c>
      <c r="E696" s="51" t="s">
        <v>2050</v>
      </c>
      <c r="F696" s="51"/>
      <c r="G696" s="51"/>
      <c r="H696" s="81">
        <v>70638200.689999998</v>
      </c>
      <c r="I696" s="51"/>
    </row>
    <row r="697" spans="1:9">
      <c r="A697" s="905"/>
      <c r="B697" s="911"/>
      <c r="C697" s="51" t="s">
        <v>4475</v>
      </c>
      <c r="D697" s="51" t="s">
        <v>2049</v>
      </c>
      <c r="E697" s="51" t="s">
        <v>2048</v>
      </c>
      <c r="F697" s="51"/>
      <c r="G697" s="51"/>
      <c r="H697" s="81">
        <v>205543392.78</v>
      </c>
      <c r="I697" s="51"/>
    </row>
    <row r="698" spans="1:9">
      <c r="A698" s="905"/>
      <c r="B698" s="911"/>
      <c r="C698" s="51" t="s">
        <v>4476</v>
      </c>
      <c r="D698" s="51" t="s">
        <v>2049</v>
      </c>
      <c r="E698" s="51" t="s">
        <v>2048</v>
      </c>
      <c r="F698" s="51"/>
      <c r="G698" s="51"/>
      <c r="H698" s="81">
        <v>29745292.279999997</v>
      </c>
      <c r="I698" s="51"/>
    </row>
    <row r="699" spans="1:9">
      <c r="A699" s="905"/>
      <c r="B699" s="911"/>
      <c r="C699" s="51" t="s">
        <v>4477</v>
      </c>
      <c r="D699" s="51" t="s">
        <v>2049</v>
      </c>
      <c r="E699" s="51" t="s">
        <v>2048</v>
      </c>
      <c r="F699" s="51"/>
      <c r="G699" s="51"/>
      <c r="H699" s="81">
        <v>364825.39</v>
      </c>
      <c r="I699" s="51"/>
    </row>
    <row r="700" spans="1:9">
      <c r="A700" s="905"/>
      <c r="B700" s="911"/>
      <c r="C700" s="51" t="s">
        <v>4478</v>
      </c>
      <c r="D700" s="51" t="s">
        <v>2047</v>
      </c>
      <c r="E700" s="51" t="s">
        <v>2048</v>
      </c>
      <c r="F700" s="51"/>
      <c r="G700" s="51"/>
      <c r="H700" s="81">
        <v>33545.46</v>
      </c>
      <c r="I700" s="51"/>
    </row>
    <row r="701" spans="1:9">
      <c r="A701" s="905"/>
      <c r="B701" s="911"/>
      <c r="C701" s="51" t="s">
        <v>4479</v>
      </c>
      <c r="D701" s="51" t="s">
        <v>2049</v>
      </c>
      <c r="E701" s="51" t="s">
        <v>2048</v>
      </c>
      <c r="F701" s="51"/>
      <c r="G701" s="51"/>
      <c r="H701" s="81">
        <v>83795.809999999983</v>
      </c>
      <c r="I701" s="51"/>
    </row>
    <row r="702" spans="1:9">
      <c r="A702" s="905"/>
      <c r="B702" s="911"/>
      <c r="C702" s="51" t="s">
        <v>4480</v>
      </c>
      <c r="D702" s="51" t="s">
        <v>2047</v>
      </c>
      <c r="E702" s="51" t="s">
        <v>2048</v>
      </c>
      <c r="F702" s="51"/>
      <c r="G702" s="51"/>
      <c r="H702" s="81">
        <v>26225.96</v>
      </c>
      <c r="I702" s="51"/>
    </row>
    <row r="703" spans="1:9">
      <c r="A703" s="905"/>
      <c r="B703" s="911"/>
      <c r="C703" s="51" t="s">
        <v>2138</v>
      </c>
      <c r="D703" s="51" t="s">
        <v>2049</v>
      </c>
      <c r="E703" s="51" t="s">
        <v>2048</v>
      </c>
      <c r="F703" s="51"/>
      <c r="G703" s="51"/>
      <c r="H703" s="81">
        <v>3556.8</v>
      </c>
      <c r="I703" s="51"/>
    </row>
    <row r="704" spans="1:9">
      <c r="A704" s="905"/>
      <c r="B704" s="911"/>
      <c r="C704" s="51" t="s">
        <v>2072</v>
      </c>
      <c r="D704" s="51" t="s">
        <v>2049</v>
      </c>
      <c r="E704" s="51" t="s">
        <v>2073</v>
      </c>
      <c r="F704" s="51"/>
      <c r="G704" s="51"/>
      <c r="H704" s="81">
        <v>3292176.17</v>
      </c>
      <c r="I704" s="51"/>
    </row>
    <row r="705" spans="1:9">
      <c r="A705" s="905"/>
      <c r="B705" s="911"/>
      <c r="C705" s="51" t="s">
        <v>4481</v>
      </c>
      <c r="D705" s="51" t="s">
        <v>2049</v>
      </c>
      <c r="E705" s="51" t="s">
        <v>2048</v>
      </c>
      <c r="F705" s="51"/>
      <c r="G705" s="51"/>
      <c r="H705" s="81">
        <v>425162.2</v>
      </c>
      <c r="I705" s="51"/>
    </row>
    <row r="706" spans="1:9">
      <c r="A706" s="905"/>
      <c r="B706" s="911"/>
      <c r="C706" s="51" t="s">
        <v>4482</v>
      </c>
      <c r="D706" s="51" t="s">
        <v>2049</v>
      </c>
      <c r="E706" s="51" t="s">
        <v>2048</v>
      </c>
      <c r="F706" s="51"/>
      <c r="G706" s="51"/>
      <c r="H706" s="81">
        <v>41298.400000000001</v>
      </c>
      <c r="I706" s="51"/>
    </row>
    <row r="707" spans="1:9">
      <c r="A707" s="905"/>
      <c r="B707" s="911"/>
      <c r="C707" s="51" t="s">
        <v>4483</v>
      </c>
      <c r="D707" s="51" t="s">
        <v>2049</v>
      </c>
      <c r="E707" s="51" t="s">
        <v>2048</v>
      </c>
      <c r="F707" s="51"/>
      <c r="G707" s="51"/>
      <c r="H707" s="81">
        <v>11934.84</v>
      </c>
      <c r="I707" s="51"/>
    </row>
    <row r="708" spans="1:9">
      <c r="A708" s="905"/>
      <c r="B708" s="911"/>
      <c r="C708" s="51" t="s">
        <v>4484</v>
      </c>
      <c r="D708" s="51" t="s">
        <v>2049</v>
      </c>
      <c r="E708" s="51" t="s">
        <v>2048</v>
      </c>
      <c r="F708" s="51"/>
      <c r="G708" s="51"/>
      <c r="H708" s="81">
        <v>339200.24</v>
      </c>
      <c r="I708" s="51"/>
    </row>
    <row r="709" spans="1:9">
      <c r="A709" s="905"/>
      <c r="B709" s="911"/>
      <c r="C709" s="51" t="s">
        <v>4485</v>
      </c>
      <c r="D709" s="51" t="s">
        <v>2049</v>
      </c>
      <c r="E709" s="51" t="s">
        <v>2048</v>
      </c>
      <c r="F709" s="51"/>
      <c r="G709" s="51"/>
      <c r="H709" s="81">
        <v>12844</v>
      </c>
      <c r="I709" s="51"/>
    </row>
    <row r="710" spans="1:9">
      <c r="A710" s="905"/>
      <c r="B710" s="911"/>
      <c r="C710" s="51" t="s">
        <v>4486</v>
      </c>
      <c r="D710" s="51" t="s">
        <v>2049</v>
      </c>
      <c r="E710" s="51" t="s">
        <v>2062</v>
      </c>
      <c r="F710" s="51"/>
      <c r="G710" s="51"/>
      <c r="H710" s="81">
        <v>8923192.2699999996</v>
      </c>
      <c r="I710" s="51"/>
    </row>
    <row r="711" spans="1:9">
      <c r="A711" s="905"/>
      <c r="B711" s="911"/>
      <c r="C711" s="51" t="s">
        <v>4487</v>
      </c>
      <c r="D711" s="51" t="s">
        <v>2049</v>
      </c>
      <c r="E711" s="51" t="s">
        <v>2048</v>
      </c>
      <c r="F711" s="51"/>
      <c r="G711" s="51"/>
      <c r="H711" s="81">
        <v>25966.16</v>
      </c>
      <c r="I711" s="51"/>
    </row>
    <row r="712" spans="1:9">
      <c r="A712" s="905"/>
      <c r="B712" s="911"/>
      <c r="C712" s="51" t="s">
        <v>4488</v>
      </c>
      <c r="D712" s="51" t="s">
        <v>2047</v>
      </c>
      <c r="E712" s="51" t="s">
        <v>2048</v>
      </c>
      <c r="F712" s="51"/>
      <c r="G712" s="51"/>
      <c r="H712" s="81">
        <v>8441.630000000001</v>
      </c>
      <c r="I712" s="51"/>
    </row>
    <row r="713" spans="1:9">
      <c r="A713" s="905"/>
      <c r="B713" s="911"/>
      <c r="C713" s="51" t="s">
        <v>4489</v>
      </c>
      <c r="D713" s="51" t="s">
        <v>2047</v>
      </c>
      <c r="E713" s="51" t="s">
        <v>2048</v>
      </c>
      <c r="F713" s="51"/>
      <c r="G713" s="51"/>
      <c r="H713" s="81">
        <v>5750</v>
      </c>
      <c r="I713" s="51"/>
    </row>
    <row r="714" spans="1:9">
      <c r="A714" s="905"/>
      <c r="B714" s="911"/>
      <c r="C714" s="51" t="s">
        <v>4490</v>
      </c>
      <c r="D714" s="51" t="s">
        <v>2047</v>
      </c>
      <c r="E714" s="51" t="s">
        <v>2048</v>
      </c>
      <c r="F714" s="51"/>
      <c r="G714" s="51"/>
      <c r="H714" s="81">
        <v>697281.54</v>
      </c>
      <c r="I714" s="51"/>
    </row>
    <row r="715" spans="1:9">
      <c r="A715" s="905"/>
      <c r="B715" s="911"/>
      <c r="C715" s="51" t="s">
        <v>4491</v>
      </c>
      <c r="D715" s="51" t="s">
        <v>2047</v>
      </c>
      <c r="E715" s="51" t="s">
        <v>2048</v>
      </c>
      <c r="F715" s="51"/>
      <c r="G715" s="51"/>
      <c r="H715" s="81">
        <v>32613.54</v>
      </c>
      <c r="I715" s="51"/>
    </row>
    <row r="716" spans="1:9">
      <c r="A716" s="905"/>
      <c r="B716" s="911"/>
      <c r="C716" s="51" t="s">
        <v>4492</v>
      </c>
      <c r="D716" s="51" t="s">
        <v>2049</v>
      </c>
      <c r="E716" s="51" t="s">
        <v>2048</v>
      </c>
      <c r="F716" s="51"/>
      <c r="G716" s="51"/>
      <c r="H716" s="81">
        <v>148840.52000000002</v>
      </c>
      <c r="I716" s="51"/>
    </row>
    <row r="717" spans="1:9">
      <c r="A717" s="905"/>
      <c r="B717" s="911"/>
      <c r="C717" s="51" t="s">
        <v>4493</v>
      </c>
      <c r="D717" s="51" t="s">
        <v>2049</v>
      </c>
      <c r="E717" s="51" t="s">
        <v>2048</v>
      </c>
      <c r="F717" s="51"/>
      <c r="G717" s="51"/>
      <c r="H717" s="81">
        <v>628892.51</v>
      </c>
      <c r="I717" s="51"/>
    </row>
    <row r="718" spans="1:9">
      <c r="A718" s="905"/>
      <c r="B718" s="911"/>
      <c r="C718" s="51" t="s">
        <v>2093</v>
      </c>
      <c r="D718" s="51" t="s">
        <v>2047</v>
      </c>
      <c r="E718" s="51" t="s">
        <v>2048</v>
      </c>
      <c r="F718" s="51"/>
      <c r="G718" s="51"/>
      <c r="H718" s="81">
        <v>376948.75</v>
      </c>
      <c r="I718" s="51"/>
    </row>
    <row r="719" spans="1:9">
      <c r="A719" s="905"/>
      <c r="B719" s="911"/>
      <c r="C719" s="51" t="s">
        <v>4494</v>
      </c>
      <c r="D719" s="51" t="s">
        <v>2047</v>
      </c>
      <c r="E719" s="51" t="s">
        <v>2048</v>
      </c>
      <c r="F719" s="51"/>
      <c r="G719" s="51"/>
      <c r="H719" s="81">
        <v>10023.450000000001</v>
      </c>
      <c r="I719" s="51"/>
    </row>
    <row r="720" spans="1:9">
      <c r="A720" s="905"/>
      <c r="B720" s="911"/>
      <c r="C720" s="51" t="s">
        <v>2092</v>
      </c>
      <c r="D720" s="51" t="s">
        <v>2047</v>
      </c>
      <c r="E720" s="51" t="s">
        <v>2048</v>
      </c>
      <c r="F720" s="51"/>
      <c r="G720" s="51"/>
      <c r="H720" s="81">
        <v>177432.19</v>
      </c>
      <c r="I720" s="51"/>
    </row>
    <row r="721" spans="1:9">
      <c r="A721" s="905"/>
      <c r="B721" s="911"/>
      <c r="C721" s="51" t="s">
        <v>2146</v>
      </c>
      <c r="D721" s="51" t="s">
        <v>2049</v>
      </c>
      <c r="E721" s="51" t="s">
        <v>2048</v>
      </c>
      <c r="F721" s="51"/>
      <c r="G721" s="51"/>
      <c r="H721" s="81">
        <v>74092.550000000017</v>
      </c>
      <c r="I721" s="51"/>
    </row>
    <row r="722" spans="1:9">
      <c r="A722" s="905"/>
      <c r="B722" s="911"/>
      <c r="C722" s="51" t="s">
        <v>4495</v>
      </c>
      <c r="D722" s="51" t="s">
        <v>2047</v>
      </c>
      <c r="E722" s="51" t="s">
        <v>2048</v>
      </c>
      <c r="F722" s="51"/>
      <c r="G722" s="51"/>
      <c r="H722" s="81">
        <v>400.9</v>
      </c>
      <c r="I722" s="51"/>
    </row>
    <row r="723" spans="1:9">
      <c r="A723" s="905"/>
      <c r="B723" s="911"/>
      <c r="C723" s="51" t="s">
        <v>4496</v>
      </c>
      <c r="D723" s="51" t="s">
        <v>2049</v>
      </c>
      <c r="E723" s="51" t="s">
        <v>2048</v>
      </c>
      <c r="F723" s="51"/>
      <c r="G723" s="51"/>
      <c r="H723" s="81">
        <v>320582.88999999996</v>
      </c>
      <c r="I723" s="51"/>
    </row>
    <row r="724" spans="1:9">
      <c r="A724" s="905"/>
      <c r="B724" s="911"/>
      <c r="C724" s="51" t="s">
        <v>4497</v>
      </c>
      <c r="D724" s="51" t="s">
        <v>2049</v>
      </c>
      <c r="E724" s="51" t="s">
        <v>2048</v>
      </c>
      <c r="F724" s="51"/>
      <c r="G724" s="51"/>
      <c r="H724" s="81">
        <v>37156.31</v>
      </c>
      <c r="I724" s="51"/>
    </row>
    <row r="725" spans="1:9">
      <c r="A725" s="905"/>
      <c r="B725" s="911"/>
      <c r="C725" s="51" t="s">
        <v>2148</v>
      </c>
      <c r="D725" s="51" t="s">
        <v>2049</v>
      </c>
      <c r="E725" s="51" t="s">
        <v>2048</v>
      </c>
      <c r="F725" s="51"/>
      <c r="G725" s="51"/>
      <c r="H725" s="81">
        <v>41598.129999999997</v>
      </c>
      <c r="I725" s="51"/>
    </row>
    <row r="726" spans="1:9">
      <c r="A726" s="905"/>
      <c r="B726" s="911"/>
      <c r="C726" s="51" t="s">
        <v>2167</v>
      </c>
      <c r="D726" s="51" t="s">
        <v>2049</v>
      </c>
      <c r="E726" s="51" t="s">
        <v>2048</v>
      </c>
      <c r="F726" s="51"/>
      <c r="G726" s="51"/>
      <c r="H726" s="81">
        <v>999.95</v>
      </c>
      <c r="I726" s="51"/>
    </row>
    <row r="727" spans="1:9">
      <c r="A727" s="905"/>
      <c r="B727" s="911"/>
      <c r="C727" s="51" t="s">
        <v>4498</v>
      </c>
      <c r="D727" s="51" t="s">
        <v>2047</v>
      </c>
      <c r="E727" s="51" t="s">
        <v>2048</v>
      </c>
      <c r="F727" s="51"/>
      <c r="G727" s="51"/>
      <c r="H727" s="81">
        <v>6886.28</v>
      </c>
      <c r="I727" s="51"/>
    </row>
    <row r="728" spans="1:9">
      <c r="A728" s="906"/>
      <c r="B728" s="911"/>
      <c r="C728" s="51" t="s">
        <v>4499</v>
      </c>
      <c r="D728" s="51" t="s">
        <v>2047</v>
      </c>
      <c r="E728" s="51" t="s">
        <v>2048</v>
      </c>
      <c r="F728" s="51"/>
      <c r="G728" s="51"/>
      <c r="H728" s="81">
        <v>13030</v>
      </c>
      <c r="I728" s="51"/>
    </row>
    <row r="729" spans="1:9">
      <c r="A729" s="892">
        <v>9</v>
      </c>
      <c r="B729" s="892" t="s">
        <v>574</v>
      </c>
      <c r="C729" s="221" t="s">
        <v>4500</v>
      </c>
      <c r="D729" s="221" t="s">
        <v>2049</v>
      </c>
      <c r="E729" s="221" t="s">
        <v>4501</v>
      </c>
      <c r="F729" s="221" t="s">
        <v>4502</v>
      </c>
      <c r="G729" s="221"/>
      <c r="H729" s="251">
        <v>175673.92999999996</v>
      </c>
      <c r="I729" s="221"/>
    </row>
    <row r="730" spans="1:9">
      <c r="A730" s="896"/>
      <c r="B730" s="896"/>
      <c r="C730" s="221" t="s">
        <v>4503</v>
      </c>
      <c r="D730" s="221" t="s">
        <v>2049</v>
      </c>
      <c r="E730" s="221" t="s">
        <v>2127</v>
      </c>
      <c r="F730" s="221" t="s">
        <v>4504</v>
      </c>
      <c r="G730" s="221"/>
      <c r="H730" s="251">
        <v>4087906.1299999994</v>
      </c>
      <c r="I730" s="221"/>
    </row>
    <row r="731" spans="1:9">
      <c r="A731" s="896"/>
      <c r="B731" s="896"/>
      <c r="C731" s="221" t="s">
        <v>4505</v>
      </c>
      <c r="D731" s="221" t="s">
        <v>2049</v>
      </c>
      <c r="E731" s="221"/>
      <c r="F731" s="221" t="s">
        <v>4506</v>
      </c>
      <c r="G731" s="221"/>
      <c r="H731" s="251">
        <v>5322519.4799999995</v>
      </c>
      <c r="I731" s="221"/>
    </row>
    <row r="732" spans="1:9">
      <c r="A732" s="896"/>
      <c r="B732" s="896"/>
      <c r="C732" s="221" t="s">
        <v>4507</v>
      </c>
      <c r="D732" s="221" t="s">
        <v>2049</v>
      </c>
      <c r="E732" s="221"/>
      <c r="F732" s="221" t="s">
        <v>4508</v>
      </c>
      <c r="G732" s="221"/>
      <c r="H732" s="251">
        <v>15432.56</v>
      </c>
      <c r="I732" s="221"/>
    </row>
    <row r="733" spans="1:9">
      <c r="A733" s="896"/>
      <c r="B733" s="896"/>
      <c r="C733" s="221" t="s">
        <v>4509</v>
      </c>
      <c r="D733" s="221" t="s">
        <v>2049</v>
      </c>
      <c r="E733" s="221"/>
      <c r="F733" s="221" t="s">
        <v>4510</v>
      </c>
      <c r="G733" s="221"/>
      <c r="H733" s="251">
        <v>841592.97</v>
      </c>
      <c r="I733" s="221"/>
    </row>
    <row r="734" spans="1:9">
      <c r="A734" s="896"/>
      <c r="B734" s="896"/>
      <c r="C734" s="221" t="s">
        <v>4511</v>
      </c>
      <c r="D734" s="221" t="s">
        <v>2049</v>
      </c>
      <c r="E734" s="221"/>
      <c r="F734" s="221" t="s">
        <v>4512</v>
      </c>
      <c r="G734" s="221"/>
      <c r="H734" s="251">
        <v>2698145.41</v>
      </c>
      <c r="I734" s="221"/>
    </row>
    <row r="735" spans="1:9">
      <c r="A735" s="896"/>
      <c r="B735" s="896"/>
      <c r="C735" s="221" t="s">
        <v>4513</v>
      </c>
      <c r="D735" s="221" t="s">
        <v>2049</v>
      </c>
      <c r="E735" s="221" t="s">
        <v>4514</v>
      </c>
      <c r="F735" s="221"/>
      <c r="G735" s="221"/>
      <c r="H735" s="251">
        <v>329630.87</v>
      </c>
      <c r="I735" s="221"/>
    </row>
    <row r="736" spans="1:9">
      <c r="A736" s="896"/>
      <c r="B736" s="896"/>
      <c r="C736" s="221" t="s">
        <v>4515</v>
      </c>
      <c r="D736" s="221" t="s">
        <v>2049</v>
      </c>
      <c r="E736" s="221" t="s">
        <v>4516</v>
      </c>
      <c r="F736" s="221"/>
      <c r="G736" s="221"/>
      <c r="H736" s="251">
        <v>562128.37</v>
      </c>
      <c r="I736" s="221"/>
    </row>
    <row r="737" spans="1:9">
      <c r="A737" s="896"/>
      <c r="B737" s="896"/>
      <c r="C737" s="221" t="s">
        <v>4517</v>
      </c>
      <c r="D737" s="221" t="s">
        <v>2049</v>
      </c>
      <c r="E737" s="221"/>
      <c r="F737" s="221" t="s">
        <v>4518</v>
      </c>
      <c r="G737" s="221"/>
      <c r="H737" s="251">
        <v>251153.7</v>
      </c>
      <c r="I737" s="221"/>
    </row>
    <row r="738" spans="1:9">
      <c r="A738" s="896"/>
      <c r="B738" s="896"/>
      <c r="C738" s="221" t="s">
        <v>4519</v>
      </c>
      <c r="D738" s="221" t="s">
        <v>2049</v>
      </c>
      <c r="E738" s="221"/>
      <c r="F738" s="221" t="s">
        <v>4520</v>
      </c>
      <c r="G738" s="221"/>
      <c r="H738" s="251">
        <v>73069.399999999994</v>
      </c>
      <c r="I738" s="221"/>
    </row>
    <row r="739" spans="1:9">
      <c r="A739" s="896"/>
      <c r="B739" s="896"/>
      <c r="C739" s="221" t="s">
        <v>4521</v>
      </c>
      <c r="D739" s="221" t="s">
        <v>2049</v>
      </c>
      <c r="E739" s="221"/>
      <c r="F739" s="221" t="s">
        <v>4522</v>
      </c>
      <c r="G739" s="221"/>
      <c r="H739" s="251">
        <v>47600</v>
      </c>
      <c r="I739" s="221"/>
    </row>
    <row r="740" spans="1:9">
      <c r="A740" s="896"/>
      <c r="B740" s="896"/>
      <c r="C740" s="221" t="s">
        <v>4523</v>
      </c>
      <c r="D740" s="221" t="s">
        <v>2049</v>
      </c>
      <c r="E740" s="221"/>
      <c r="F740" s="221" t="s">
        <v>4524</v>
      </c>
      <c r="G740" s="221"/>
      <c r="H740" s="251">
        <v>1131867.26</v>
      </c>
      <c r="I740" s="221"/>
    </row>
    <row r="741" spans="1:9">
      <c r="A741" s="896"/>
      <c r="B741" s="896"/>
      <c r="C741" s="221" t="s">
        <v>4525</v>
      </c>
      <c r="D741" s="221" t="s">
        <v>2049</v>
      </c>
      <c r="E741" s="221"/>
      <c r="F741" s="221" t="s">
        <v>4526</v>
      </c>
      <c r="G741" s="221"/>
      <c r="H741" s="251">
        <v>57016.33</v>
      </c>
      <c r="I741" s="221"/>
    </row>
    <row r="742" spans="1:9">
      <c r="A742" s="896"/>
      <c r="B742" s="896"/>
      <c r="C742" s="221" t="s">
        <v>4527</v>
      </c>
      <c r="D742" s="221" t="s">
        <v>2049</v>
      </c>
      <c r="E742" s="221"/>
      <c r="F742" s="221" t="s">
        <v>4528</v>
      </c>
      <c r="G742" s="221"/>
      <c r="H742" s="251">
        <v>413598</v>
      </c>
      <c r="I742" s="221"/>
    </row>
    <row r="743" spans="1:9">
      <c r="A743" s="896"/>
      <c r="B743" s="896"/>
      <c r="C743" s="221" t="s">
        <v>4529</v>
      </c>
      <c r="D743" s="221" t="s">
        <v>2049</v>
      </c>
      <c r="E743" s="221"/>
      <c r="F743" s="221" t="s">
        <v>4530</v>
      </c>
      <c r="G743" s="221"/>
      <c r="H743" s="251">
        <v>38073</v>
      </c>
      <c r="I743" s="221"/>
    </row>
    <row r="744" spans="1:9">
      <c r="A744" s="896"/>
      <c r="B744" s="896"/>
      <c r="C744" s="221" t="s">
        <v>4531</v>
      </c>
      <c r="D744" s="221" t="s">
        <v>2049</v>
      </c>
      <c r="E744" s="221" t="s">
        <v>4532</v>
      </c>
      <c r="F744" s="221" t="s">
        <v>4533</v>
      </c>
      <c r="G744" s="221"/>
      <c r="H744" s="251">
        <v>203571.02000000002</v>
      </c>
      <c r="I744" s="221"/>
    </row>
    <row r="745" spans="1:9">
      <c r="A745" s="896"/>
      <c r="B745" s="896"/>
      <c r="C745" s="221" t="s">
        <v>4534</v>
      </c>
      <c r="D745" s="221" t="s">
        <v>2049</v>
      </c>
      <c r="E745" s="221"/>
      <c r="F745" s="221" t="s">
        <v>4535</v>
      </c>
      <c r="G745" s="221"/>
      <c r="H745" s="251">
        <v>790.4</v>
      </c>
      <c r="I745" s="221"/>
    </row>
    <row r="746" spans="1:9">
      <c r="A746" s="896"/>
      <c r="B746" s="896"/>
      <c r="C746" s="221" t="s">
        <v>4536</v>
      </c>
      <c r="D746" s="221" t="s">
        <v>2049</v>
      </c>
      <c r="E746" s="221"/>
      <c r="F746" s="221" t="s">
        <v>4537</v>
      </c>
      <c r="G746" s="221"/>
      <c r="H746" s="251">
        <v>161124</v>
      </c>
      <c r="I746" s="221"/>
    </row>
    <row r="747" spans="1:9">
      <c r="A747" s="896"/>
      <c r="B747" s="896"/>
      <c r="C747" s="221" t="s">
        <v>4538</v>
      </c>
      <c r="D747" s="221" t="s">
        <v>2049</v>
      </c>
      <c r="E747" s="221"/>
      <c r="F747" s="221" t="s">
        <v>4539</v>
      </c>
      <c r="G747" s="221"/>
      <c r="H747" s="251">
        <v>4940</v>
      </c>
      <c r="I747" s="221"/>
    </row>
    <row r="748" spans="1:9">
      <c r="A748" s="896"/>
      <c r="B748" s="896"/>
      <c r="C748" s="221" t="s">
        <v>4540</v>
      </c>
      <c r="D748" s="221" t="s">
        <v>2049</v>
      </c>
      <c r="E748" s="221"/>
      <c r="F748" s="221" t="s">
        <v>4541</v>
      </c>
      <c r="G748" s="221"/>
      <c r="H748" s="251">
        <v>1172671.18</v>
      </c>
      <c r="I748" s="221"/>
    </row>
    <row r="749" spans="1:9">
      <c r="A749" s="896"/>
      <c r="B749" s="896"/>
      <c r="C749" s="221" t="s">
        <v>4542</v>
      </c>
      <c r="D749" s="221" t="s">
        <v>2049</v>
      </c>
      <c r="E749" s="221"/>
      <c r="F749" s="221" t="s">
        <v>4543</v>
      </c>
      <c r="G749" s="221"/>
      <c r="H749" s="251">
        <v>12295.829999999998</v>
      </c>
      <c r="I749" s="221"/>
    </row>
    <row r="750" spans="1:9">
      <c r="A750" s="896"/>
      <c r="B750" s="896"/>
      <c r="C750" s="221" t="s">
        <v>4544</v>
      </c>
      <c r="D750" s="221" t="s">
        <v>2049</v>
      </c>
      <c r="E750" s="221"/>
      <c r="F750" s="221" t="s">
        <v>4545</v>
      </c>
      <c r="G750" s="221"/>
      <c r="H750" s="251">
        <v>1295215.1200000001</v>
      </c>
      <c r="I750" s="221"/>
    </row>
    <row r="751" spans="1:9">
      <c r="A751" s="896"/>
      <c r="B751" s="896"/>
      <c r="C751" s="221" t="s">
        <v>4546</v>
      </c>
      <c r="D751" s="221" t="s">
        <v>2049</v>
      </c>
      <c r="E751" s="221"/>
      <c r="F751" s="221" t="s">
        <v>4547</v>
      </c>
      <c r="G751" s="221"/>
      <c r="H751" s="251">
        <v>582549.68000000005</v>
      </c>
      <c r="I751" s="221"/>
    </row>
    <row r="752" spans="1:9">
      <c r="A752" s="896"/>
      <c r="B752" s="896"/>
      <c r="C752" s="221" t="s">
        <v>4548</v>
      </c>
      <c r="D752" s="221" t="s">
        <v>2049</v>
      </c>
      <c r="E752" s="221"/>
      <c r="F752" s="221" t="s">
        <v>4549</v>
      </c>
      <c r="G752" s="221"/>
      <c r="H752" s="251">
        <v>83520</v>
      </c>
      <c r="I752" s="221"/>
    </row>
    <row r="753" spans="1:9">
      <c r="A753" s="896"/>
      <c r="B753" s="896"/>
      <c r="C753" s="221" t="s">
        <v>4550</v>
      </c>
      <c r="D753" s="221" t="s">
        <v>2049</v>
      </c>
      <c r="E753" s="221"/>
      <c r="F753" s="221" t="s">
        <v>4551</v>
      </c>
      <c r="G753" s="221"/>
      <c r="H753" s="251">
        <v>43396.37</v>
      </c>
      <c r="I753" s="221"/>
    </row>
    <row r="754" spans="1:9">
      <c r="A754" s="896"/>
      <c r="B754" s="896"/>
      <c r="C754" s="221" t="s">
        <v>4552</v>
      </c>
      <c r="D754" s="221" t="s">
        <v>2049</v>
      </c>
      <c r="E754" s="221"/>
      <c r="F754" s="221" t="s">
        <v>4553</v>
      </c>
      <c r="G754" s="221"/>
      <c r="H754" s="251">
        <v>42783.86</v>
      </c>
      <c r="I754" s="221"/>
    </row>
    <row r="755" spans="1:9">
      <c r="A755" s="896"/>
      <c r="B755" s="896"/>
      <c r="C755" s="221" t="s">
        <v>4554</v>
      </c>
      <c r="D755" s="221" t="s">
        <v>2049</v>
      </c>
      <c r="E755" s="221" t="s">
        <v>4555</v>
      </c>
      <c r="F755" s="221" t="s">
        <v>4556</v>
      </c>
      <c r="G755" s="221"/>
      <c r="H755" s="251">
        <v>42325.5</v>
      </c>
      <c r="I755" s="221"/>
    </row>
    <row r="756" spans="1:9">
      <c r="A756" s="896"/>
      <c r="B756" s="896"/>
      <c r="C756" s="221" t="s">
        <v>3940</v>
      </c>
      <c r="D756" s="221" t="s">
        <v>2049</v>
      </c>
      <c r="E756" s="221"/>
      <c r="F756" s="221" t="s">
        <v>4557</v>
      </c>
      <c r="G756" s="221"/>
      <c r="H756" s="251">
        <v>649600</v>
      </c>
      <c r="I756" s="221"/>
    </row>
    <row r="757" spans="1:9">
      <c r="A757" s="896"/>
      <c r="B757" s="896"/>
      <c r="C757" s="221" t="s">
        <v>4558</v>
      </c>
      <c r="D757" s="221" t="s">
        <v>2049</v>
      </c>
      <c r="E757" s="221" t="s">
        <v>4559</v>
      </c>
      <c r="F757" s="221" t="s">
        <v>4560</v>
      </c>
      <c r="G757" s="221"/>
      <c r="H757" s="251">
        <v>511664.73999999993</v>
      </c>
      <c r="I757" s="221"/>
    </row>
    <row r="758" spans="1:9">
      <c r="A758" s="896"/>
      <c r="B758" s="896"/>
      <c r="C758" s="221" t="s">
        <v>4561</v>
      </c>
      <c r="D758" s="221" t="s">
        <v>2049</v>
      </c>
      <c r="E758" s="221" t="s">
        <v>4562</v>
      </c>
      <c r="F758" s="221" t="s">
        <v>4563</v>
      </c>
      <c r="G758" s="221"/>
      <c r="H758" s="251">
        <v>217936.01</v>
      </c>
      <c r="I758" s="221"/>
    </row>
    <row r="759" spans="1:9">
      <c r="A759" s="896"/>
      <c r="B759" s="896"/>
      <c r="C759" s="221" t="s">
        <v>4564</v>
      </c>
      <c r="D759" s="221" t="s">
        <v>2049</v>
      </c>
      <c r="E759" s="221"/>
      <c r="F759" s="221" t="s">
        <v>4565</v>
      </c>
      <c r="G759" s="221"/>
      <c r="H759" s="251">
        <v>18850.769999999997</v>
      </c>
      <c r="I759" s="221"/>
    </row>
    <row r="760" spans="1:9">
      <c r="A760" s="896"/>
      <c r="B760" s="896"/>
      <c r="C760" s="221" t="s">
        <v>4566</v>
      </c>
      <c r="D760" s="221" t="s">
        <v>2049</v>
      </c>
      <c r="E760" s="221"/>
      <c r="F760" s="221" t="s">
        <v>4567</v>
      </c>
      <c r="G760" s="221"/>
      <c r="H760" s="251">
        <v>4200</v>
      </c>
      <c r="I760" s="221"/>
    </row>
    <row r="761" spans="1:9">
      <c r="A761" s="896"/>
      <c r="B761" s="896"/>
      <c r="C761" s="221" t="s">
        <v>4568</v>
      </c>
      <c r="D761" s="221" t="s">
        <v>2049</v>
      </c>
      <c r="E761" s="221"/>
      <c r="F761" s="221" t="s">
        <v>4569</v>
      </c>
      <c r="G761" s="221"/>
      <c r="H761" s="251">
        <v>23200</v>
      </c>
      <c r="I761" s="221"/>
    </row>
    <row r="762" spans="1:9">
      <c r="A762" s="896"/>
      <c r="B762" s="896"/>
      <c r="C762" s="221" t="s">
        <v>4570</v>
      </c>
      <c r="D762" s="221" t="s">
        <v>2049</v>
      </c>
      <c r="E762" s="221" t="s">
        <v>575</v>
      </c>
      <c r="F762" s="221" t="s">
        <v>4571</v>
      </c>
      <c r="G762" s="221"/>
      <c r="H762" s="251">
        <v>54031.43</v>
      </c>
      <c r="I762" s="221"/>
    </row>
    <row r="763" spans="1:9">
      <c r="A763" s="896"/>
      <c r="B763" s="896"/>
      <c r="C763" s="221" t="s">
        <v>4572</v>
      </c>
      <c r="D763" s="221" t="s">
        <v>2049</v>
      </c>
      <c r="E763" s="221" t="s">
        <v>575</v>
      </c>
      <c r="F763" s="221" t="s">
        <v>4573</v>
      </c>
      <c r="G763" s="221"/>
      <c r="H763" s="251">
        <v>54729.85</v>
      </c>
      <c r="I763" s="221"/>
    </row>
    <row r="764" spans="1:9">
      <c r="A764" s="896"/>
      <c r="B764" s="896"/>
      <c r="C764" s="221" t="s">
        <v>4574</v>
      </c>
      <c r="D764" s="221" t="s">
        <v>2049</v>
      </c>
      <c r="E764" s="221"/>
      <c r="F764" s="221" t="s">
        <v>4575</v>
      </c>
      <c r="G764" s="221"/>
      <c r="H764" s="251">
        <v>117551.62000000001</v>
      </c>
      <c r="I764" s="221"/>
    </row>
    <row r="765" spans="1:9">
      <c r="A765" s="896"/>
      <c r="B765" s="896"/>
      <c r="C765" s="221" t="s">
        <v>4576</v>
      </c>
      <c r="D765" s="221" t="s">
        <v>2049</v>
      </c>
      <c r="E765" s="221"/>
      <c r="F765" s="221" t="s">
        <v>4577</v>
      </c>
      <c r="G765" s="221"/>
      <c r="H765" s="251">
        <v>7414809.8599999985</v>
      </c>
      <c r="I765" s="221"/>
    </row>
    <row r="766" spans="1:9">
      <c r="A766" s="896"/>
      <c r="B766" s="896"/>
      <c r="C766" s="221" t="s">
        <v>4578</v>
      </c>
      <c r="D766" s="221" t="s">
        <v>2049</v>
      </c>
      <c r="E766" s="221"/>
      <c r="F766" s="221" t="s">
        <v>4579</v>
      </c>
      <c r="G766" s="221"/>
      <c r="H766" s="251">
        <v>17674.63</v>
      </c>
      <c r="I766" s="221"/>
    </row>
    <row r="767" spans="1:9">
      <c r="A767" s="896"/>
      <c r="B767" s="896"/>
      <c r="C767" s="221" t="s">
        <v>4580</v>
      </c>
      <c r="D767" s="221" t="s">
        <v>2049</v>
      </c>
      <c r="E767" s="221"/>
      <c r="F767" s="221" t="s">
        <v>4581</v>
      </c>
      <c r="G767" s="221"/>
      <c r="H767" s="251">
        <v>8055482.0299999984</v>
      </c>
      <c r="I767" s="221"/>
    </row>
    <row r="768" spans="1:9">
      <c r="A768" s="896"/>
      <c r="B768" s="896"/>
      <c r="C768" s="221" t="s">
        <v>4582</v>
      </c>
      <c r="D768" s="221" t="s">
        <v>2049</v>
      </c>
      <c r="E768" s="221"/>
      <c r="F768" s="221" t="s">
        <v>4583</v>
      </c>
      <c r="G768" s="221"/>
      <c r="H768" s="251">
        <v>317820</v>
      </c>
      <c r="I768" s="221"/>
    </row>
    <row r="769" spans="1:9">
      <c r="A769" s="896"/>
      <c r="B769" s="896"/>
      <c r="C769" s="221" t="s">
        <v>4584</v>
      </c>
      <c r="D769" s="221" t="s">
        <v>2049</v>
      </c>
      <c r="E769" s="221" t="s">
        <v>2179</v>
      </c>
      <c r="F769" s="221" t="s">
        <v>4585</v>
      </c>
      <c r="G769" s="221"/>
      <c r="H769" s="251">
        <v>5111840.129999998</v>
      </c>
      <c r="I769" s="221"/>
    </row>
    <row r="770" spans="1:9">
      <c r="A770" s="896"/>
      <c r="B770" s="896"/>
      <c r="C770" s="221" t="s">
        <v>4586</v>
      </c>
      <c r="D770" s="221" t="s">
        <v>2049</v>
      </c>
      <c r="E770" s="221" t="s">
        <v>2171</v>
      </c>
      <c r="F770" s="221"/>
      <c r="G770" s="221"/>
      <c r="H770" s="251">
        <v>9115081.0500000007</v>
      </c>
      <c r="I770" s="221"/>
    </row>
    <row r="771" spans="1:9">
      <c r="A771" s="896"/>
      <c r="B771" s="896"/>
      <c r="C771" s="221" t="s">
        <v>4587</v>
      </c>
      <c r="D771" s="221" t="s">
        <v>2049</v>
      </c>
      <c r="E771" s="221" t="s">
        <v>4588</v>
      </c>
      <c r="F771" s="221" t="s">
        <v>2170</v>
      </c>
      <c r="G771" s="221"/>
      <c r="H771" s="251">
        <v>677995.74999999965</v>
      </c>
      <c r="I771" s="221"/>
    </row>
    <row r="772" spans="1:9">
      <c r="A772" s="896"/>
      <c r="B772" s="896"/>
      <c r="C772" s="221" t="s">
        <v>4589</v>
      </c>
      <c r="D772" s="221" t="s">
        <v>2049</v>
      </c>
      <c r="E772" s="221"/>
      <c r="F772" s="221" t="s">
        <v>4590</v>
      </c>
      <c r="G772" s="221"/>
      <c r="H772" s="251">
        <v>3530671.6800000006</v>
      </c>
      <c r="I772" s="221"/>
    </row>
    <row r="773" spans="1:9">
      <c r="A773" s="896"/>
      <c r="B773" s="896"/>
      <c r="C773" s="221" t="s">
        <v>4591</v>
      </c>
      <c r="D773" s="221" t="s">
        <v>2049</v>
      </c>
      <c r="E773" s="221"/>
      <c r="F773" s="221" t="s">
        <v>4592</v>
      </c>
      <c r="G773" s="221"/>
      <c r="H773" s="251">
        <v>740355.44</v>
      </c>
      <c r="I773" s="221"/>
    </row>
    <row r="774" spans="1:9">
      <c r="A774" s="896"/>
      <c r="B774" s="896"/>
      <c r="C774" s="221" t="s">
        <v>4593</v>
      </c>
      <c r="D774" s="221" t="s">
        <v>2049</v>
      </c>
      <c r="E774" s="221"/>
      <c r="F774" s="221" t="s">
        <v>4594</v>
      </c>
      <c r="G774" s="221"/>
      <c r="H774" s="251">
        <v>25636</v>
      </c>
      <c r="I774" s="221"/>
    </row>
    <row r="775" spans="1:9">
      <c r="A775" s="896"/>
      <c r="B775" s="896"/>
      <c r="C775" s="221" t="s">
        <v>4595</v>
      </c>
      <c r="D775" s="221" t="s">
        <v>2049</v>
      </c>
      <c r="E775" s="221" t="s">
        <v>4596</v>
      </c>
      <c r="F775" s="221" t="s">
        <v>4597</v>
      </c>
      <c r="G775" s="221"/>
      <c r="H775" s="251">
        <v>58422.989999999991</v>
      </c>
      <c r="I775" s="221"/>
    </row>
    <row r="776" spans="1:9">
      <c r="A776" s="896"/>
      <c r="B776" s="896"/>
      <c r="C776" s="221" t="s">
        <v>4598</v>
      </c>
      <c r="D776" s="221" t="s">
        <v>2049</v>
      </c>
      <c r="E776" s="221"/>
      <c r="F776" s="221" t="s">
        <v>4599</v>
      </c>
      <c r="G776" s="221"/>
      <c r="H776" s="251">
        <v>47951.470000000008</v>
      </c>
      <c r="I776" s="221"/>
    </row>
    <row r="777" spans="1:9">
      <c r="A777" s="896"/>
      <c r="B777" s="896"/>
      <c r="C777" s="221" t="s">
        <v>4600</v>
      </c>
      <c r="D777" s="221" t="s">
        <v>2049</v>
      </c>
      <c r="E777" s="221"/>
      <c r="F777" s="221" t="s">
        <v>4601</v>
      </c>
      <c r="G777" s="221"/>
      <c r="H777" s="251">
        <v>55134.8</v>
      </c>
      <c r="I777" s="221"/>
    </row>
    <row r="778" spans="1:9">
      <c r="A778" s="896"/>
      <c r="B778" s="896"/>
      <c r="C778" s="221" t="s">
        <v>4602</v>
      </c>
      <c r="D778" s="221" t="s">
        <v>2049</v>
      </c>
      <c r="E778" s="221"/>
      <c r="F778" s="221" t="s">
        <v>4603</v>
      </c>
      <c r="G778" s="221"/>
      <c r="H778" s="251">
        <v>48953.16</v>
      </c>
      <c r="I778" s="221"/>
    </row>
    <row r="779" spans="1:9">
      <c r="A779" s="896"/>
      <c r="B779" s="896"/>
      <c r="C779" s="221" t="s">
        <v>4604</v>
      </c>
      <c r="D779" s="221" t="s">
        <v>2049</v>
      </c>
      <c r="E779" s="221"/>
      <c r="F779" s="221" t="s">
        <v>4605</v>
      </c>
      <c r="G779" s="221"/>
      <c r="H779" s="251">
        <v>2261092.8199999998</v>
      </c>
      <c r="I779" s="221"/>
    </row>
    <row r="780" spans="1:9">
      <c r="A780" s="896"/>
      <c r="B780" s="896"/>
      <c r="C780" s="221" t="s">
        <v>4606</v>
      </c>
      <c r="D780" s="221" t="s">
        <v>2049</v>
      </c>
      <c r="E780" s="221"/>
      <c r="F780" s="221" t="s">
        <v>4607</v>
      </c>
      <c r="G780" s="221"/>
      <c r="H780" s="251">
        <v>7339930.8199999984</v>
      </c>
      <c r="I780" s="221"/>
    </row>
    <row r="781" spans="1:9">
      <c r="A781" s="896"/>
      <c r="B781" s="896"/>
      <c r="C781" s="221" t="s">
        <v>4608</v>
      </c>
      <c r="D781" s="221" t="s">
        <v>2049</v>
      </c>
      <c r="E781" s="221"/>
      <c r="F781" s="221" t="s">
        <v>4609</v>
      </c>
      <c r="G781" s="221"/>
      <c r="H781" s="251">
        <v>75796.95</v>
      </c>
      <c r="I781" s="221"/>
    </row>
    <row r="782" spans="1:9">
      <c r="A782" s="896"/>
      <c r="B782" s="896"/>
      <c r="C782" s="221" t="s">
        <v>4610</v>
      </c>
      <c r="D782" s="221" t="s">
        <v>2049</v>
      </c>
      <c r="E782" s="221"/>
      <c r="F782" s="221" t="s">
        <v>4611</v>
      </c>
      <c r="G782" s="221"/>
      <c r="H782" s="251">
        <v>22358.400000000001</v>
      </c>
      <c r="I782" s="221"/>
    </row>
    <row r="783" spans="1:9">
      <c r="A783" s="896"/>
      <c r="B783" s="896"/>
      <c r="C783" s="221" t="s">
        <v>4612</v>
      </c>
      <c r="D783" s="221" t="s">
        <v>2049</v>
      </c>
      <c r="E783" s="221" t="s">
        <v>2231</v>
      </c>
      <c r="F783" s="221" t="s">
        <v>4613</v>
      </c>
      <c r="G783" s="221"/>
      <c r="H783" s="251">
        <v>133267.68000000002</v>
      </c>
      <c r="I783" s="221"/>
    </row>
    <row r="784" spans="1:9">
      <c r="A784" s="896"/>
      <c r="B784" s="896"/>
      <c r="C784" s="221" t="s">
        <v>4614</v>
      </c>
      <c r="D784" s="221" t="s">
        <v>2049</v>
      </c>
      <c r="E784" s="221"/>
      <c r="F784" s="221" t="s">
        <v>4615</v>
      </c>
      <c r="G784" s="221"/>
      <c r="H784" s="251">
        <v>8520</v>
      </c>
      <c r="I784" s="221"/>
    </row>
    <row r="785" spans="1:9">
      <c r="A785" s="896"/>
      <c r="B785" s="896"/>
      <c r="C785" s="221" t="s">
        <v>4616</v>
      </c>
      <c r="D785" s="221" t="s">
        <v>2049</v>
      </c>
      <c r="E785" s="221" t="s">
        <v>4617</v>
      </c>
      <c r="F785" s="221" t="s">
        <v>4618</v>
      </c>
      <c r="G785" s="221"/>
      <c r="H785" s="251">
        <v>18910.32</v>
      </c>
      <c r="I785" s="221"/>
    </row>
    <row r="786" spans="1:9">
      <c r="A786" s="896"/>
      <c r="B786" s="896"/>
      <c r="C786" s="221" t="s">
        <v>4619</v>
      </c>
      <c r="D786" s="221" t="s">
        <v>2049</v>
      </c>
      <c r="E786" s="221" t="s">
        <v>4620</v>
      </c>
      <c r="F786" s="221" t="s">
        <v>4621</v>
      </c>
      <c r="G786" s="221"/>
      <c r="H786" s="251">
        <v>101906</v>
      </c>
      <c r="I786" s="221"/>
    </row>
    <row r="787" spans="1:9">
      <c r="A787" s="896"/>
      <c r="B787" s="896"/>
      <c r="C787" s="221" t="s">
        <v>4622</v>
      </c>
      <c r="D787" s="221" t="s">
        <v>2049</v>
      </c>
      <c r="E787" s="221" t="s">
        <v>2173</v>
      </c>
      <c r="F787" s="221" t="s">
        <v>4623</v>
      </c>
      <c r="G787" s="221"/>
      <c r="H787" s="251">
        <v>612230.34000000008</v>
      </c>
      <c r="I787" s="221"/>
    </row>
    <row r="788" spans="1:9">
      <c r="A788" s="896"/>
      <c r="B788" s="896"/>
      <c r="C788" s="221" t="s">
        <v>4624</v>
      </c>
      <c r="D788" s="221" t="s">
        <v>2049</v>
      </c>
      <c r="E788" s="221" t="s">
        <v>4625</v>
      </c>
      <c r="F788" s="221" t="s">
        <v>4626</v>
      </c>
      <c r="G788" s="221"/>
      <c r="H788" s="251">
        <v>44986.96</v>
      </c>
      <c r="I788" s="221"/>
    </row>
    <row r="789" spans="1:9">
      <c r="A789" s="896"/>
      <c r="B789" s="896"/>
      <c r="C789" s="221" t="s">
        <v>4627</v>
      </c>
      <c r="D789" s="221" t="s">
        <v>2049</v>
      </c>
      <c r="E789" s="221"/>
      <c r="F789" s="221" t="s">
        <v>4628</v>
      </c>
      <c r="G789" s="221"/>
      <c r="H789" s="251">
        <v>17968.400000000001</v>
      </c>
      <c r="I789" s="221"/>
    </row>
    <row r="790" spans="1:9">
      <c r="A790" s="896"/>
      <c r="B790" s="896"/>
      <c r="C790" s="221" t="s">
        <v>4629</v>
      </c>
      <c r="D790" s="221" t="s">
        <v>2049</v>
      </c>
      <c r="E790" s="221"/>
      <c r="F790" s="221" t="s">
        <v>4630</v>
      </c>
      <c r="G790" s="221"/>
      <c r="H790" s="251">
        <v>82364.31</v>
      </c>
      <c r="I790" s="221"/>
    </row>
    <row r="791" spans="1:9">
      <c r="A791" s="896"/>
      <c r="B791" s="896"/>
      <c r="C791" s="221" t="s">
        <v>4631</v>
      </c>
      <c r="D791" s="221" t="s">
        <v>2049</v>
      </c>
      <c r="E791" s="221" t="s">
        <v>575</v>
      </c>
      <c r="F791" s="221"/>
      <c r="G791" s="221"/>
      <c r="H791" s="251">
        <v>90462.399999999994</v>
      </c>
      <c r="I791" s="221"/>
    </row>
    <row r="792" spans="1:9">
      <c r="A792" s="896"/>
      <c r="B792" s="896"/>
      <c r="C792" s="221" t="s">
        <v>4632</v>
      </c>
      <c r="D792" s="221" t="s">
        <v>2049</v>
      </c>
      <c r="E792" s="221" t="s">
        <v>4633</v>
      </c>
      <c r="F792" s="221" t="s">
        <v>4634</v>
      </c>
      <c r="G792" s="221"/>
      <c r="H792" s="251">
        <v>473599.4200000001</v>
      </c>
      <c r="I792" s="221"/>
    </row>
    <row r="793" spans="1:9">
      <c r="A793" s="896"/>
      <c r="B793" s="896"/>
      <c r="C793" s="221" t="s">
        <v>4635</v>
      </c>
      <c r="D793" s="221" t="s">
        <v>2049</v>
      </c>
      <c r="E793" s="221"/>
      <c r="F793" s="221" t="s">
        <v>4636</v>
      </c>
      <c r="G793" s="221"/>
      <c r="H793" s="251">
        <v>1045991.6199999999</v>
      </c>
      <c r="I793" s="221"/>
    </row>
    <row r="794" spans="1:9">
      <c r="A794" s="896"/>
      <c r="B794" s="896"/>
      <c r="C794" s="221" t="s">
        <v>4637</v>
      </c>
      <c r="D794" s="221" t="s">
        <v>2049</v>
      </c>
      <c r="E794" s="221"/>
      <c r="F794" s="221" t="s">
        <v>4638</v>
      </c>
      <c r="G794" s="221"/>
      <c r="H794" s="251">
        <v>1243824.9800000004</v>
      </c>
      <c r="I794" s="221"/>
    </row>
    <row r="795" spans="1:9">
      <c r="A795" s="896"/>
      <c r="B795" s="896"/>
      <c r="C795" s="221" t="s">
        <v>4639</v>
      </c>
      <c r="D795" s="221" t="s">
        <v>2049</v>
      </c>
      <c r="E795" s="221"/>
      <c r="F795" s="221" t="s">
        <v>4640</v>
      </c>
      <c r="G795" s="221"/>
      <c r="H795" s="251">
        <v>53032.759999999995</v>
      </c>
      <c r="I795" s="221"/>
    </row>
    <row r="796" spans="1:9">
      <c r="A796" s="896"/>
      <c r="B796" s="896"/>
      <c r="C796" s="221" t="s">
        <v>4641</v>
      </c>
      <c r="D796" s="221" t="s">
        <v>2049</v>
      </c>
      <c r="E796" s="221" t="s">
        <v>575</v>
      </c>
      <c r="F796" s="221" t="s">
        <v>4642</v>
      </c>
      <c r="G796" s="221"/>
      <c r="H796" s="251">
        <v>356298.49</v>
      </c>
      <c r="I796" s="221"/>
    </row>
    <row r="797" spans="1:9">
      <c r="A797" s="896"/>
      <c r="B797" s="896"/>
      <c r="C797" s="221" t="s">
        <v>4643</v>
      </c>
      <c r="D797" s="221" t="s">
        <v>2049</v>
      </c>
      <c r="E797" s="221"/>
      <c r="F797" s="221" t="s">
        <v>4644</v>
      </c>
      <c r="G797" s="221"/>
      <c r="H797" s="251">
        <v>849194.94</v>
      </c>
      <c r="I797" s="221"/>
    </row>
    <row r="798" spans="1:9">
      <c r="A798" s="896"/>
      <c r="B798" s="896"/>
      <c r="C798" s="221" t="s">
        <v>4645</v>
      </c>
      <c r="D798" s="221" t="s">
        <v>2049</v>
      </c>
      <c r="E798" s="221"/>
      <c r="F798" s="221" t="s">
        <v>4646</v>
      </c>
      <c r="G798" s="221"/>
      <c r="H798" s="251">
        <v>7870261.0599999987</v>
      </c>
      <c r="I798" s="221"/>
    </row>
    <row r="799" spans="1:9">
      <c r="A799" s="896"/>
      <c r="B799" s="896"/>
      <c r="C799" s="221" t="s">
        <v>4647</v>
      </c>
      <c r="D799" s="221" t="s">
        <v>2049</v>
      </c>
      <c r="E799" s="221" t="s">
        <v>575</v>
      </c>
      <c r="F799" s="221" t="s">
        <v>4648</v>
      </c>
      <c r="G799" s="221"/>
      <c r="H799" s="251">
        <v>129594.62</v>
      </c>
      <c r="I799" s="221"/>
    </row>
    <row r="800" spans="1:9">
      <c r="A800" s="896"/>
      <c r="B800" s="896"/>
      <c r="C800" s="221" t="s">
        <v>4649</v>
      </c>
      <c r="D800" s="221" t="s">
        <v>2049</v>
      </c>
      <c r="E800" s="221"/>
      <c r="F800" s="221" t="s">
        <v>4650</v>
      </c>
      <c r="G800" s="221"/>
      <c r="H800" s="251">
        <v>116920.15999999999</v>
      </c>
      <c r="I800" s="221"/>
    </row>
    <row r="801" spans="1:9">
      <c r="A801" s="896"/>
      <c r="B801" s="896"/>
      <c r="C801" s="221" t="s">
        <v>4651</v>
      </c>
      <c r="D801" s="221" t="s">
        <v>2049</v>
      </c>
      <c r="E801" s="221" t="s">
        <v>4652</v>
      </c>
      <c r="F801" s="221" t="s">
        <v>4653</v>
      </c>
      <c r="G801" s="221"/>
      <c r="H801" s="251">
        <v>1422063.9599999995</v>
      </c>
      <c r="I801" s="221"/>
    </row>
    <row r="802" spans="1:9">
      <c r="A802" s="896"/>
      <c r="B802" s="896"/>
      <c r="C802" s="221" t="s">
        <v>4654</v>
      </c>
      <c r="D802" s="221" t="s">
        <v>2049</v>
      </c>
      <c r="E802" s="221"/>
      <c r="F802" s="221" t="s">
        <v>4655</v>
      </c>
      <c r="G802" s="221"/>
      <c r="H802" s="251">
        <v>7460</v>
      </c>
      <c r="I802" s="221"/>
    </row>
    <row r="803" spans="1:9">
      <c r="A803" s="896"/>
      <c r="B803" s="896"/>
      <c r="C803" s="221" t="s">
        <v>4656</v>
      </c>
      <c r="D803" s="221" t="s">
        <v>2049</v>
      </c>
      <c r="E803" s="221"/>
      <c r="F803" s="221" t="s">
        <v>4657</v>
      </c>
      <c r="G803" s="221"/>
      <c r="H803" s="251">
        <v>341536.5</v>
      </c>
      <c r="I803" s="221"/>
    </row>
    <row r="804" spans="1:9">
      <c r="A804" s="896"/>
      <c r="B804" s="896"/>
      <c r="C804" s="221" t="s">
        <v>4658</v>
      </c>
      <c r="D804" s="221" t="s">
        <v>2049</v>
      </c>
      <c r="E804" s="221"/>
      <c r="F804" s="221" t="s">
        <v>4659</v>
      </c>
      <c r="G804" s="221"/>
      <c r="H804" s="251">
        <v>1088.3</v>
      </c>
      <c r="I804" s="221"/>
    </row>
    <row r="805" spans="1:9">
      <c r="A805" s="896"/>
      <c r="B805" s="896"/>
      <c r="C805" s="221" t="s">
        <v>4660</v>
      </c>
      <c r="D805" s="221" t="s">
        <v>2049</v>
      </c>
      <c r="E805" s="221"/>
      <c r="F805" s="221" t="s">
        <v>4661</v>
      </c>
      <c r="G805" s="221"/>
      <c r="H805" s="251">
        <v>2764309.68</v>
      </c>
      <c r="I805" s="221"/>
    </row>
    <row r="806" spans="1:9">
      <c r="A806" s="896"/>
      <c r="B806" s="896"/>
      <c r="C806" s="221" t="s">
        <v>4662</v>
      </c>
      <c r="D806" s="221" t="s">
        <v>2049</v>
      </c>
      <c r="E806" s="221"/>
      <c r="F806" s="221" t="s">
        <v>4663</v>
      </c>
      <c r="G806" s="221"/>
      <c r="H806" s="251">
        <v>408165.83999999997</v>
      </c>
      <c r="I806" s="221"/>
    </row>
    <row r="807" spans="1:9">
      <c r="A807" s="896"/>
      <c r="B807" s="896"/>
      <c r="C807" s="221" t="s">
        <v>4664</v>
      </c>
      <c r="D807" s="221" t="s">
        <v>2049</v>
      </c>
      <c r="E807" s="221"/>
      <c r="F807" s="221" t="s">
        <v>4665</v>
      </c>
      <c r="G807" s="221"/>
      <c r="H807" s="251">
        <v>13920</v>
      </c>
      <c r="I807" s="221"/>
    </row>
    <row r="808" spans="1:9">
      <c r="A808" s="896"/>
      <c r="B808" s="896"/>
      <c r="C808" s="221" t="s">
        <v>4666</v>
      </c>
      <c r="D808" s="221" t="s">
        <v>2049</v>
      </c>
      <c r="E808" s="221"/>
      <c r="F808" s="221" t="s">
        <v>4667</v>
      </c>
      <c r="G808" s="221"/>
      <c r="H808" s="251">
        <v>53465.12999999999</v>
      </c>
      <c r="I808" s="221"/>
    </row>
    <row r="809" spans="1:9">
      <c r="A809" s="896"/>
      <c r="B809" s="896"/>
      <c r="C809" s="221" t="s">
        <v>4668</v>
      </c>
      <c r="D809" s="221" t="s">
        <v>2049</v>
      </c>
      <c r="E809" s="221"/>
      <c r="F809" s="221" t="s">
        <v>4669</v>
      </c>
      <c r="G809" s="221"/>
      <c r="H809" s="251">
        <v>24097.84</v>
      </c>
      <c r="I809" s="221"/>
    </row>
    <row r="810" spans="1:9">
      <c r="A810" s="896"/>
      <c r="B810" s="896"/>
      <c r="C810" s="221" t="s">
        <v>4670</v>
      </c>
      <c r="D810" s="221" t="s">
        <v>2049</v>
      </c>
      <c r="E810" s="221"/>
      <c r="F810" s="221" t="s">
        <v>4671</v>
      </c>
      <c r="G810" s="221"/>
      <c r="H810" s="251">
        <v>275443.76</v>
      </c>
      <c r="I810" s="221"/>
    </row>
    <row r="811" spans="1:9">
      <c r="A811" s="896"/>
      <c r="B811" s="896"/>
      <c r="C811" s="221" t="s">
        <v>4672</v>
      </c>
      <c r="D811" s="221" t="s">
        <v>2049</v>
      </c>
      <c r="E811" s="221"/>
      <c r="F811" s="221" t="s">
        <v>4673</v>
      </c>
      <c r="G811" s="221"/>
      <c r="H811" s="251">
        <v>87290</v>
      </c>
      <c r="I811" s="221"/>
    </row>
    <row r="812" spans="1:9">
      <c r="A812" s="896"/>
      <c r="B812" s="896"/>
      <c r="C812" s="221" t="s">
        <v>4674</v>
      </c>
      <c r="D812" s="221" t="s">
        <v>2049</v>
      </c>
      <c r="E812" s="221"/>
      <c r="F812" s="221" t="s">
        <v>4675</v>
      </c>
      <c r="G812" s="221"/>
      <c r="H812" s="251">
        <v>309947.45</v>
      </c>
      <c r="I812" s="221"/>
    </row>
    <row r="813" spans="1:9">
      <c r="A813" s="896"/>
      <c r="B813" s="896"/>
      <c r="C813" s="221" t="s">
        <v>4676</v>
      </c>
      <c r="D813" s="221" t="s">
        <v>2049</v>
      </c>
      <c r="E813" s="221"/>
      <c r="F813" s="221" t="s">
        <v>4677</v>
      </c>
      <c r="G813" s="221"/>
      <c r="H813" s="251">
        <v>60000</v>
      </c>
      <c r="I813" s="221"/>
    </row>
    <row r="814" spans="1:9">
      <c r="A814" s="896"/>
      <c r="B814" s="896"/>
      <c r="C814" s="221" t="s">
        <v>4678</v>
      </c>
      <c r="D814" s="221" t="s">
        <v>2049</v>
      </c>
      <c r="E814" s="221" t="s">
        <v>4679</v>
      </c>
      <c r="F814" s="221"/>
      <c r="G814" s="221"/>
      <c r="H814" s="251">
        <v>978352.23999999976</v>
      </c>
      <c r="I814" s="221"/>
    </row>
    <row r="815" spans="1:9">
      <c r="A815" s="896"/>
      <c r="B815" s="896"/>
      <c r="C815" s="221" t="s">
        <v>4680</v>
      </c>
      <c r="D815" s="221" t="s">
        <v>2049</v>
      </c>
      <c r="E815" s="221"/>
      <c r="F815" s="221" t="s">
        <v>4681</v>
      </c>
      <c r="G815" s="221"/>
      <c r="H815" s="251">
        <v>61039.199999999997</v>
      </c>
      <c r="I815" s="221"/>
    </row>
    <row r="816" spans="1:9">
      <c r="A816" s="896"/>
      <c r="B816" s="896"/>
      <c r="C816" s="221" t="s">
        <v>4682</v>
      </c>
      <c r="D816" s="221" t="s">
        <v>2049</v>
      </c>
      <c r="E816" s="221" t="s">
        <v>4683</v>
      </c>
      <c r="F816" s="221"/>
      <c r="G816" s="221"/>
      <c r="H816" s="251">
        <v>28003094.010000005</v>
      </c>
      <c r="I816" s="221"/>
    </row>
    <row r="817" spans="1:9">
      <c r="A817" s="896"/>
      <c r="B817" s="896"/>
      <c r="C817" s="221" t="s">
        <v>4684</v>
      </c>
      <c r="D817" s="221" t="s">
        <v>2049</v>
      </c>
      <c r="E817" s="221"/>
      <c r="F817" s="221" t="s">
        <v>4685</v>
      </c>
      <c r="G817" s="221"/>
      <c r="H817" s="251">
        <v>215206.73000000004</v>
      </c>
      <c r="I817" s="221"/>
    </row>
    <row r="818" spans="1:9">
      <c r="A818" s="896"/>
      <c r="B818" s="896"/>
      <c r="C818" s="221" t="s">
        <v>4686</v>
      </c>
      <c r="D818" s="221" t="s">
        <v>2049</v>
      </c>
      <c r="E818" s="221"/>
      <c r="F818" s="221" t="s">
        <v>4687</v>
      </c>
      <c r="G818" s="221"/>
      <c r="H818" s="251">
        <v>65578.5</v>
      </c>
      <c r="I818" s="221"/>
    </row>
    <row r="819" spans="1:9">
      <c r="A819" s="896"/>
      <c r="B819" s="896"/>
      <c r="C819" s="221" t="s">
        <v>4688</v>
      </c>
      <c r="D819" s="221" t="s">
        <v>2049</v>
      </c>
      <c r="E819" s="221"/>
      <c r="F819" s="221" t="s">
        <v>4689</v>
      </c>
      <c r="G819" s="221"/>
      <c r="H819" s="251">
        <v>2254</v>
      </c>
      <c r="I819" s="221"/>
    </row>
    <row r="820" spans="1:9">
      <c r="A820" s="896"/>
      <c r="B820" s="896"/>
      <c r="C820" s="221" t="s">
        <v>4690</v>
      </c>
      <c r="D820" s="221" t="s">
        <v>2049</v>
      </c>
      <c r="E820" s="221" t="s">
        <v>4691</v>
      </c>
      <c r="F820" s="221"/>
      <c r="G820" s="221"/>
      <c r="H820" s="251">
        <v>614934.03</v>
      </c>
      <c r="I820" s="221"/>
    </row>
    <row r="821" spans="1:9">
      <c r="A821" s="896"/>
      <c r="B821" s="896"/>
      <c r="C821" s="221" t="s">
        <v>4692</v>
      </c>
      <c r="D821" s="221" t="s">
        <v>2049</v>
      </c>
      <c r="E821" s="221"/>
      <c r="F821" s="221" t="s">
        <v>4693</v>
      </c>
      <c r="G821" s="221"/>
      <c r="H821" s="251">
        <v>189423.79</v>
      </c>
      <c r="I821" s="221"/>
    </row>
    <row r="822" spans="1:9">
      <c r="A822" s="896"/>
      <c r="B822" s="896"/>
      <c r="C822" s="221" t="s">
        <v>4694</v>
      </c>
      <c r="D822" s="221" t="s">
        <v>2049</v>
      </c>
      <c r="E822" s="221" t="s">
        <v>4695</v>
      </c>
      <c r="F822" s="221" t="s">
        <v>4696</v>
      </c>
      <c r="G822" s="221"/>
      <c r="H822" s="251">
        <v>175025</v>
      </c>
      <c r="I822" s="221"/>
    </row>
    <row r="823" spans="1:9">
      <c r="A823" s="896"/>
      <c r="B823" s="896"/>
      <c r="C823" s="221" t="s">
        <v>4697</v>
      </c>
      <c r="D823" s="221" t="s">
        <v>2049</v>
      </c>
      <c r="E823" s="221"/>
      <c r="F823" s="221" t="s">
        <v>4698</v>
      </c>
      <c r="G823" s="221"/>
      <c r="H823" s="251">
        <v>8414.9500000000007</v>
      </c>
      <c r="I823" s="221"/>
    </row>
    <row r="824" spans="1:9">
      <c r="A824" s="896"/>
      <c r="B824" s="896"/>
      <c r="C824" s="221" t="s">
        <v>4699</v>
      </c>
      <c r="D824" s="221" t="s">
        <v>2049</v>
      </c>
      <c r="E824" s="221"/>
      <c r="F824" s="221" t="s">
        <v>4700</v>
      </c>
      <c r="G824" s="221"/>
      <c r="H824" s="251">
        <v>103212.16</v>
      </c>
      <c r="I824" s="221"/>
    </row>
    <row r="825" spans="1:9">
      <c r="A825" s="896"/>
      <c r="B825" s="896"/>
      <c r="C825" s="221" t="s">
        <v>4701</v>
      </c>
      <c r="D825" s="221" t="s">
        <v>2049</v>
      </c>
      <c r="E825" s="221"/>
      <c r="F825" s="221" t="s">
        <v>4702</v>
      </c>
      <c r="G825" s="221"/>
      <c r="H825" s="251">
        <v>12490</v>
      </c>
      <c r="I825" s="221"/>
    </row>
    <row r="826" spans="1:9">
      <c r="A826" s="896"/>
      <c r="B826" s="896"/>
      <c r="C826" s="221" t="s">
        <v>4703</v>
      </c>
      <c r="D826" s="221" t="s">
        <v>2049</v>
      </c>
      <c r="E826" s="221" t="s">
        <v>4704</v>
      </c>
      <c r="F826" s="221" t="s">
        <v>4705</v>
      </c>
      <c r="G826" s="221"/>
      <c r="H826" s="251">
        <v>100474.62000000001</v>
      </c>
      <c r="I826" s="221"/>
    </row>
    <row r="827" spans="1:9">
      <c r="A827" s="896"/>
      <c r="B827" s="896"/>
      <c r="C827" s="221" t="s">
        <v>4706</v>
      </c>
      <c r="D827" s="221" t="s">
        <v>2049</v>
      </c>
      <c r="E827" s="221"/>
      <c r="F827" s="221" t="s">
        <v>4707</v>
      </c>
      <c r="G827" s="221"/>
      <c r="H827" s="251">
        <v>714044.5</v>
      </c>
      <c r="I827" s="221"/>
    </row>
    <row r="828" spans="1:9">
      <c r="A828" s="896"/>
      <c r="B828" s="896"/>
      <c r="C828" s="221" t="s">
        <v>4708</v>
      </c>
      <c r="D828" s="221" t="s">
        <v>2049</v>
      </c>
      <c r="E828" s="221" t="s">
        <v>4709</v>
      </c>
      <c r="F828" s="221"/>
      <c r="G828" s="221"/>
      <c r="H828" s="251">
        <v>16771720.279999997</v>
      </c>
      <c r="I828" s="221"/>
    </row>
    <row r="829" spans="1:9">
      <c r="A829" s="896"/>
      <c r="B829" s="896"/>
      <c r="C829" s="221" t="s">
        <v>4710</v>
      </c>
      <c r="D829" s="221" t="s">
        <v>2049</v>
      </c>
      <c r="E829" s="221"/>
      <c r="F829" s="221" t="s">
        <v>4711</v>
      </c>
      <c r="G829" s="221"/>
      <c r="H829" s="251">
        <v>13024.48</v>
      </c>
      <c r="I829" s="221"/>
    </row>
    <row r="830" spans="1:9">
      <c r="A830" s="896"/>
      <c r="B830" s="896"/>
      <c r="C830" s="221" t="s">
        <v>4712</v>
      </c>
      <c r="D830" s="221" t="s">
        <v>2049</v>
      </c>
      <c r="E830" s="221" t="s">
        <v>4713</v>
      </c>
      <c r="F830" s="221" t="s">
        <v>4714</v>
      </c>
      <c r="G830" s="221"/>
      <c r="H830" s="251">
        <v>4930</v>
      </c>
      <c r="I830" s="221"/>
    </row>
    <row r="831" spans="1:9">
      <c r="A831" s="896"/>
      <c r="B831" s="896"/>
      <c r="C831" s="221" t="s">
        <v>4715</v>
      </c>
      <c r="D831" s="221" t="s">
        <v>2049</v>
      </c>
      <c r="E831" s="221" t="s">
        <v>4716</v>
      </c>
      <c r="F831" s="221" t="s">
        <v>4717</v>
      </c>
      <c r="G831" s="221"/>
      <c r="H831" s="251">
        <v>97518.52</v>
      </c>
      <c r="I831" s="221"/>
    </row>
    <row r="832" spans="1:9">
      <c r="A832" s="896"/>
      <c r="B832" s="896"/>
      <c r="C832" s="221" t="s">
        <v>4718</v>
      </c>
      <c r="D832" s="221" t="s">
        <v>2049</v>
      </c>
      <c r="E832" s="221" t="s">
        <v>4719</v>
      </c>
      <c r="F832" s="221" t="s">
        <v>4720</v>
      </c>
      <c r="G832" s="221"/>
      <c r="H832" s="251">
        <v>172428.19999999998</v>
      </c>
      <c r="I832" s="221"/>
    </row>
    <row r="833" spans="1:9">
      <c r="A833" s="896"/>
      <c r="B833" s="896"/>
      <c r="C833" s="221" t="s">
        <v>4721</v>
      </c>
      <c r="D833" s="221" t="s">
        <v>2049</v>
      </c>
      <c r="E833" s="221" t="s">
        <v>4722</v>
      </c>
      <c r="F833" s="221" t="s">
        <v>4723</v>
      </c>
      <c r="G833" s="221"/>
      <c r="H833" s="251">
        <v>901407.39000000013</v>
      </c>
      <c r="I833" s="221"/>
    </row>
    <row r="834" spans="1:9">
      <c r="A834" s="896"/>
      <c r="B834" s="896"/>
      <c r="C834" s="221" t="s">
        <v>4724</v>
      </c>
      <c r="D834" s="221" t="s">
        <v>2049</v>
      </c>
      <c r="E834" s="221"/>
      <c r="F834" s="221" t="s">
        <v>4725</v>
      </c>
      <c r="G834" s="221"/>
      <c r="H834" s="251">
        <v>397171.27999999997</v>
      </c>
      <c r="I834" s="221"/>
    </row>
    <row r="835" spans="1:9">
      <c r="A835" s="896"/>
      <c r="B835" s="896"/>
      <c r="C835" s="221" t="s">
        <v>4726</v>
      </c>
      <c r="D835" s="221" t="s">
        <v>2049</v>
      </c>
      <c r="E835" s="221" t="s">
        <v>2428</v>
      </c>
      <c r="F835" s="221" t="s">
        <v>4727</v>
      </c>
      <c r="G835" s="221"/>
      <c r="H835" s="251">
        <v>505428.98</v>
      </c>
      <c r="I835" s="221"/>
    </row>
    <row r="836" spans="1:9">
      <c r="A836" s="896"/>
      <c r="B836" s="896"/>
      <c r="C836" s="221" t="s">
        <v>4728</v>
      </c>
      <c r="D836" s="221" t="s">
        <v>2049</v>
      </c>
      <c r="E836" s="221" t="s">
        <v>4729</v>
      </c>
      <c r="F836" s="221" t="s">
        <v>4730</v>
      </c>
      <c r="G836" s="221"/>
      <c r="H836" s="251">
        <v>2111225.2100000004</v>
      </c>
      <c r="I836" s="221"/>
    </row>
    <row r="837" spans="1:9">
      <c r="A837" s="896"/>
      <c r="B837" s="896"/>
      <c r="C837" s="221" t="s">
        <v>4731</v>
      </c>
      <c r="D837" s="221" t="s">
        <v>2049</v>
      </c>
      <c r="E837" s="221"/>
      <c r="F837" s="221" t="s">
        <v>4732</v>
      </c>
      <c r="G837" s="221"/>
      <c r="H837" s="251">
        <v>159818.88999999998</v>
      </c>
      <c r="I837" s="221"/>
    </row>
    <row r="838" spans="1:9">
      <c r="A838" s="896"/>
      <c r="B838" s="896"/>
      <c r="C838" s="221" t="s">
        <v>4733</v>
      </c>
      <c r="D838" s="221" t="s">
        <v>2049</v>
      </c>
      <c r="E838" s="221" t="s">
        <v>4734</v>
      </c>
      <c r="F838" s="221" t="s">
        <v>4735</v>
      </c>
      <c r="G838" s="221"/>
      <c r="H838" s="251">
        <v>920191.80999999982</v>
      </c>
      <c r="I838" s="221"/>
    </row>
    <row r="839" spans="1:9">
      <c r="A839" s="896"/>
      <c r="B839" s="896"/>
      <c r="C839" s="221" t="s">
        <v>4736</v>
      </c>
      <c r="D839" s="221" t="s">
        <v>2049</v>
      </c>
      <c r="E839" s="221"/>
      <c r="F839" s="221" t="s">
        <v>4737</v>
      </c>
      <c r="G839" s="221"/>
      <c r="H839" s="251">
        <v>6956117.5999999996</v>
      </c>
      <c r="I839" s="221"/>
    </row>
    <row r="840" spans="1:9">
      <c r="A840" s="896"/>
      <c r="B840" s="896"/>
      <c r="C840" s="221" t="s">
        <v>4738</v>
      </c>
      <c r="D840" s="221" t="s">
        <v>2049</v>
      </c>
      <c r="E840" s="221" t="s">
        <v>2175</v>
      </c>
      <c r="F840" s="221"/>
      <c r="G840" s="221"/>
      <c r="H840" s="251">
        <v>2341286.41</v>
      </c>
      <c r="I840" s="221"/>
    </row>
    <row r="841" spans="1:9">
      <c r="A841" s="896"/>
      <c r="B841" s="896"/>
      <c r="C841" s="221" t="s">
        <v>4739</v>
      </c>
      <c r="D841" s="221" t="s">
        <v>2049</v>
      </c>
      <c r="E841" s="221"/>
      <c r="F841" s="221" t="s">
        <v>4740</v>
      </c>
      <c r="G841" s="221"/>
      <c r="H841" s="251">
        <v>830045.78999999992</v>
      </c>
      <c r="I841" s="221"/>
    </row>
    <row r="842" spans="1:9">
      <c r="A842" s="896"/>
      <c r="B842" s="896"/>
      <c r="C842" s="221" t="s">
        <v>4741</v>
      </c>
      <c r="D842" s="221" t="s">
        <v>2049</v>
      </c>
      <c r="E842" s="221"/>
      <c r="F842" s="221" t="s">
        <v>4742</v>
      </c>
      <c r="G842" s="221"/>
      <c r="H842" s="251">
        <v>132798.40000000002</v>
      </c>
      <c r="I842" s="221"/>
    </row>
    <row r="843" spans="1:9">
      <c r="A843" s="896"/>
      <c r="B843" s="896"/>
      <c r="C843" s="221" t="s">
        <v>4743</v>
      </c>
      <c r="D843" s="221" t="s">
        <v>2049</v>
      </c>
      <c r="E843" s="221"/>
      <c r="F843" s="221" t="s">
        <v>4744</v>
      </c>
      <c r="G843" s="221"/>
      <c r="H843" s="251">
        <v>111899.86</v>
      </c>
      <c r="I843" s="221"/>
    </row>
    <row r="844" spans="1:9">
      <c r="A844" s="896"/>
      <c r="B844" s="896"/>
      <c r="C844" s="221" t="s">
        <v>4745</v>
      </c>
      <c r="D844" s="221" t="s">
        <v>2049</v>
      </c>
      <c r="E844" s="221"/>
      <c r="F844" s="221" t="s">
        <v>4746</v>
      </c>
      <c r="G844" s="221"/>
      <c r="H844" s="251">
        <v>1064160.97</v>
      </c>
      <c r="I844" s="221"/>
    </row>
    <row r="845" spans="1:9">
      <c r="A845" s="896"/>
      <c r="B845" s="896"/>
      <c r="C845" s="221" t="s">
        <v>4747</v>
      </c>
      <c r="D845" s="221" t="s">
        <v>2049</v>
      </c>
      <c r="E845" s="221"/>
      <c r="F845" s="221" t="s">
        <v>4748</v>
      </c>
      <c r="G845" s="221"/>
      <c r="H845" s="251">
        <v>647906.49999999988</v>
      </c>
      <c r="I845" s="221"/>
    </row>
    <row r="846" spans="1:9">
      <c r="A846" s="896"/>
      <c r="B846" s="896"/>
      <c r="C846" s="221" t="s">
        <v>4749</v>
      </c>
      <c r="D846" s="221" t="s">
        <v>2049</v>
      </c>
      <c r="E846" s="221"/>
      <c r="F846" s="221" t="s">
        <v>4750</v>
      </c>
      <c r="G846" s="221"/>
      <c r="H846" s="251">
        <v>197760.13000000003</v>
      </c>
      <c r="I846" s="221"/>
    </row>
    <row r="847" spans="1:9">
      <c r="A847" s="896"/>
      <c r="B847" s="896"/>
      <c r="C847" s="221" t="s">
        <v>4751</v>
      </c>
      <c r="D847" s="221" t="s">
        <v>2049</v>
      </c>
      <c r="E847" s="221"/>
      <c r="F847" s="221" t="s">
        <v>4752</v>
      </c>
      <c r="G847" s="221"/>
      <c r="H847" s="251">
        <v>27642.400000000001</v>
      </c>
      <c r="I847" s="221"/>
    </row>
    <row r="848" spans="1:9">
      <c r="A848" s="896"/>
      <c r="B848" s="896"/>
      <c r="C848" s="221" t="s">
        <v>4753</v>
      </c>
      <c r="D848" s="221" t="s">
        <v>2049</v>
      </c>
      <c r="E848" s="221"/>
      <c r="F848" s="221" t="s">
        <v>4754</v>
      </c>
      <c r="G848" s="221"/>
      <c r="H848" s="251">
        <v>84408.87000000001</v>
      </c>
      <c r="I848" s="221"/>
    </row>
    <row r="849" spans="1:9">
      <c r="A849" s="896"/>
      <c r="B849" s="896"/>
      <c r="C849" s="221" t="s">
        <v>3655</v>
      </c>
      <c r="D849" s="221" t="s">
        <v>2049</v>
      </c>
      <c r="E849" s="221"/>
      <c r="F849" s="221" t="s">
        <v>4755</v>
      </c>
      <c r="G849" s="221"/>
      <c r="H849" s="251">
        <v>907705.8</v>
      </c>
      <c r="I849" s="221"/>
    </row>
    <row r="850" spans="1:9">
      <c r="A850" s="896"/>
      <c r="B850" s="896"/>
      <c r="C850" s="221" t="s">
        <v>4756</v>
      </c>
      <c r="D850" s="221" t="s">
        <v>2049</v>
      </c>
      <c r="E850" s="221"/>
      <c r="F850" s="221" t="s">
        <v>4757</v>
      </c>
      <c r="G850" s="221"/>
      <c r="H850" s="251">
        <v>12128.62</v>
      </c>
      <c r="I850" s="221"/>
    </row>
    <row r="851" spans="1:9">
      <c r="A851" s="896"/>
      <c r="B851" s="896"/>
      <c r="C851" s="221" t="s">
        <v>4758</v>
      </c>
      <c r="D851" s="221" t="s">
        <v>2049</v>
      </c>
      <c r="E851" s="221"/>
      <c r="F851" s="221" t="s">
        <v>4759</v>
      </c>
      <c r="G851" s="221"/>
      <c r="H851" s="251">
        <v>501312.86</v>
      </c>
      <c r="I851" s="221"/>
    </row>
    <row r="852" spans="1:9">
      <c r="A852" s="896"/>
      <c r="B852" s="896"/>
      <c r="C852" s="221" t="s">
        <v>4760</v>
      </c>
      <c r="D852" s="221" t="s">
        <v>2049</v>
      </c>
      <c r="E852" s="221"/>
      <c r="F852" s="221" t="s">
        <v>4761</v>
      </c>
      <c r="G852" s="221"/>
      <c r="H852" s="251">
        <v>16465992.92</v>
      </c>
      <c r="I852" s="221"/>
    </row>
    <row r="853" spans="1:9">
      <c r="A853" s="896"/>
      <c r="B853" s="896"/>
      <c r="C853" s="221" t="s">
        <v>4762</v>
      </c>
      <c r="D853" s="221" t="s">
        <v>2049</v>
      </c>
      <c r="E853" s="221" t="s">
        <v>2253</v>
      </c>
      <c r="F853" s="221" t="s">
        <v>4763</v>
      </c>
      <c r="G853" s="221"/>
      <c r="H853" s="251">
        <v>1705677.6199999999</v>
      </c>
      <c r="I853" s="221"/>
    </row>
    <row r="854" spans="1:9">
      <c r="A854" s="896"/>
      <c r="B854" s="896"/>
      <c r="C854" s="221" t="s">
        <v>4764</v>
      </c>
      <c r="D854" s="221" t="s">
        <v>2049</v>
      </c>
      <c r="E854" s="221"/>
      <c r="F854" s="221" t="s">
        <v>2176</v>
      </c>
      <c r="G854" s="221"/>
      <c r="H854" s="251">
        <v>3362572.4299999983</v>
      </c>
      <c r="I854" s="221"/>
    </row>
    <row r="855" spans="1:9">
      <c r="A855" s="896"/>
      <c r="B855" s="896"/>
      <c r="C855" s="221" t="s">
        <v>4765</v>
      </c>
      <c r="D855" s="221" t="s">
        <v>2049</v>
      </c>
      <c r="E855" s="221"/>
      <c r="F855" s="221" t="s">
        <v>4766</v>
      </c>
      <c r="G855" s="221"/>
      <c r="H855" s="251">
        <v>4000</v>
      </c>
      <c r="I855" s="221"/>
    </row>
    <row r="856" spans="1:9">
      <c r="A856" s="896"/>
      <c r="B856" s="896"/>
      <c r="C856" s="221" t="s">
        <v>4767</v>
      </c>
      <c r="D856" s="221" t="s">
        <v>2049</v>
      </c>
      <c r="E856" s="221"/>
      <c r="F856" s="221" t="s">
        <v>4768</v>
      </c>
      <c r="G856" s="221"/>
      <c r="H856" s="251">
        <v>459742.82999999996</v>
      </c>
      <c r="I856" s="221"/>
    </row>
    <row r="857" spans="1:9">
      <c r="A857" s="896"/>
      <c r="B857" s="896"/>
      <c r="C857" s="221" t="s">
        <v>4769</v>
      </c>
      <c r="D857" s="221" t="s">
        <v>2049</v>
      </c>
      <c r="E857" s="221" t="s">
        <v>4770</v>
      </c>
      <c r="F857" s="221" t="s">
        <v>4771</v>
      </c>
      <c r="G857" s="221"/>
      <c r="H857" s="251">
        <v>897.84</v>
      </c>
      <c r="I857" s="221"/>
    </row>
    <row r="858" spans="1:9">
      <c r="A858" s="896"/>
      <c r="B858" s="896"/>
      <c r="C858" s="221" t="s">
        <v>4772</v>
      </c>
      <c r="D858" s="221" t="s">
        <v>2049</v>
      </c>
      <c r="E858" s="221"/>
      <c r="F858" s="221" t="s">
        <v>4773</v>
      </c>
      <c r="G858" s="221"/>
      <c r="H858" s="251">
        <v>28756.69</v>
      </c>
      <c r="I858" s="221"/>
    </row>
    <row r="859" spans="1:9">
      <c r="A859" s="896"/>
      <c r="B859" s="896"/>
      <c r="C859" s="221" t="s">
        <v>4774</v>
      </c>
      <c r="D859" s="221" t="s">
        <v>2049</v>
      </c>
      <c r="E859" s="221"/>
      <c r="F859" s="221" t="s">
        <v>4775</v>
      </c>
      <c r="G859" s="221"/>
      <c r="H859" s="251">
        <v>53855936.280000001</v>
      </c>
      <c r="I859" s="221"/>
    </row>
    <row r="860" spans="1:9">
      <c r="A860" s="896"/>
      <c r="B860" s="896"/>
      <c r="C860" s="221" t="s">
        <v>4776</v>
      </c>
      <c r="D860" s="221" t="s">
        <v>2049</v>
      </c>
      <c r="E860" s="221"/>
      <c r="F860" s="221" t="s">
        <v>4777</v>
      </c>
      <c r="G860" s="221"/>
      <c r="H860" s="251">
        <v>3245714.6</v>
      </c>
      <c r="I860" s="221"/>
    </row>
    <row r="861" spans="1:9">
      <c r="A861" s="896"/>
      <c r="B861" s="896"/>
      <c r="C861" s="221" t="s">
        <v>4778</v>
      </c>
      <c r="D861" s="221" t="s">
        <v>2049</v>
      </c>
      <c r="E861" s="221"/>
      <c r="F861" s="221" t="s">
        <v>4779</v>
      </c>
      <c r="G861" s="221"/>
      <c r="H861" s="251">
        <v>22993.520000000004</v>
      </c>
      <c r="I861" s="221"/>
    </row>
    <row r="862" spans="1:9">
      <c r="A862" s="896"/>
      <c r="B862" s="896"/>
      <c r="C862" s="221" t="s">
        <v>4780</v>
      </c>
      <c r="D862" s="221" t="s">
        <v>2049</v>
      </c>
      <c r="E862" s="221" t="s">
        <v>4781</v>
      </c>
      <c r="F862" s="221" t="s">
        <v>4782</v>
      </c>
      <c r="G862" s="221"/>
      <c r="H862" s="251">
        <v>463114.93000000005</v>
      </c>
      <c r="I862" s="221"/>
    </row>
    <row r="863" spans="1:9">
      <c r="A863" s="896"/>
      <c r="B863" s="896"/>
      <c r="C863" s="221" t="s">
        <v>4783</v>
      </c>
      <c r="D863" s="221" t="s">
        <v>2049</v>
      </c>
      <c r="E863" s="221"/>
      <c r="F863" s="221" t="s">
        <v>4784</v>
      </c>
      <c r="G863" s="221"/>
      <c r="H863" s="251">
        <v>4507</v>
      </c>
      <c r="I863" s="221"/>
    </row>
    <row r="864" spans="1:9">
      <c r="A864" s="896"/>
      <c r="B864" s="896"/>
      <c r="C864" s="221" t="s">
        <v>4785</v>
      </c>
      <c r="D864" s="221" t="s">
        <v>2049</v>
      </c>
      <c r="E864" s="221" t="s">
        <v>1947</v>
      </c>
      <c r="F864" s="221" t="s">
        <v>4786</v>
      </c>
      <c r="G864" s="221"/>
      <c r="H864" s="251">
        <v>62758</v>
      </c>
      <c r="I864" s="221"/>
    </row>
    <row r="865" spans="1:9">
      <c r="A865" s="896"/>
      <c r="B865" s="896"/>
      <c r="C865" s="221" t="s">
        <v>4787</v>
      </c>
      <c r="D865" s="221" t="s">
        <v>2049</v>
      </c>
      <c r="E865" s="221" t="s">
        <v>575</v>
      </c>
      <c r="F865" s="221" t="s">
        <v>4788</v>
      </c>
      <c r="G865" s="221"/>
      <c r="H865" s="251">
        <v>241036.69</v>
      </c>
      <c r="I865" s="221"/>
    </row>
    <row r="866" spans="1:9">
      <c r="A866" s="896"/>
      <c r="B866" s="896"/>
      <c r="C866" s="221" t="s">
        <v>2088</v>
      </c>
      <c r="D866" s="221" t="s">
        <v>2049</v>
      </c>
      <c r="E866" s="221" t="s">
        <v>2089</v>
      </c>
      <c r="F866" s="221" t="s">
        <v>4611</v>
      </c>
      <c r="G866" s="221"/>
      <c r="H866" s="251">
        <v>1522714.0599999998</v>
      </c>
      <c r="I866" s="221"/>
    </row>
    <row r="867" spans="1:9">
      <c r="A867" s="896"/>
      <c r="B867" s="896"/>
      <c r="C867" s="221" t="s">
        <v>4789</v>
      </c>
      <c r="D867" s="221" t="s">
        <v>2049</v>
      </c>
      <c r="E867" s="221" t="s">
        <v>2090</v>
      </c>
      <c r="F867" s="221" t="s">
        <v>4790</v>
      </c>
      <c r="G867" s="221"/>
      <c r="H867" s="251">
        <v>161349.63</v>
      </c>
      <c r="I867" s="221"/>
    </row>
    <row r="868" spans="1:9">
      <c r="A868" s="896"/>
      <c r="B868" s="896"/>
      <c r="C868" s="221" t="s">
        <v>4791</v>
      </c>
      <c r="D868" s="221" t="s">
        <v>2049</v>
      </c>
      <c r="E868" s="221" t="s">
        <v>4792</v>
      </c>
      <c r="F868" s="221" t="s">
        <v>4793</v>
      </c>
      <c r="G868" s="221"/>
      <c r="H868" s="251">
        <v>6259570.1999999983</v>
      </c>
      <c r="I868" s="221"/>
    </row>
    <row r="869" spans="1:9">
      <c r="A869" s="896"/>
      <c r="B869" s="896"/>
      <c r="C869" s="221" t="s">
        <v>4794</v>
      </c>
      <c r="D869" s="221" t="s">
        <v>2049</v>
      </c>
      <c r="E869" s="221"/>
      <c r="F869" s="221" t="s">
        <v>4795</v>
      </c>
      <c r="G869" s="221"/>
      <c r="H869" s="251">
        <v>5340.64</v>
      </c>
      <c r="I869" s="221"/>
    </row>
    <row r="870" spans="1:9">
      <c r="A870" s="896"/>
      <c r="B870" s="896"/>
      <c r="C870" s="221" t="s">
        <v>4796</v>
      </c>
      <c r="D870" s="221" t="s">
        <v>2049</v>
      </c>
      <c r="E870" s="221" t="s">
        <v>4797</v>
      </c>
      <c r="F870" s="221" t="s">
        <v>4798</v>
      </c>
      <c r="G870" s="221"/>
      <c r="H870" s="251">
        <v>216035.6</v>
      </c>
      <c r="I870" s="221"/>
    </row>
    <row r="871" spans="1:9">
      <c r="A871" s="896"/>
      <c r="B871" s="896"/>
      <c r="C871" s="221" t="s">
        <v>4799</v>
      </c>
      <c r="D871" s="221" t="s">
        <v>2049</v>
      </c>
      <c r="E871" s="221" t="s">
        <v>575</v>
      </c>
      <c r="F871" s="221" t="s">
        <v>4800</v>
      </c>
      <c r="G871" s="221"/>
      <c r="H871" s="251">
        <v>293600.95</v>
      </c>
      <c r="I871" s="221"/>
    </row>
    <row r="872" spans="1:9">
      <c r="A872" s="896"/>
      <c r="B872" s="896"/>
      <c r="C872" s="221" t="s">
        <v>4801</v>
      </c>
      <c r="D872" s="221" t="s">
        <v>2049</v>
      </c>
      <c r="E872" s="221" t="s">
        <v>4802</v>
      </c>
      <c r="F872" s="221" t="s">
        <v>4803</v>
      </c>
      <c r="G872" s="221"/>
      <c r="H872" s="251">
        <v>36980236.729999997</v>
      </c>
      <c r="I872" s="221"/>
    </row>
    <row r="873" spans="1:9">
      <c r="A873" s="896"/>
      <c r="B873" s="896"/>
      <c r="C873" s="221" t="s">
        <v>4804</v>
      </c>
      <c r="D873" s="221" t="s">
        <v>2049</v>
      </c>
      <c r="E873" s="221" t="s">
        <v>2068</v>
      </c>
      <c r="F873" s="221" t="s">
        <v>4805</v>
      </c>
      <c r="G873" s="221"/>
      <c r="H873" s="251">
        <v>3414139.5300000003</v>
      </c>
      <c r="I873" s="221"/>
    </row>
    <row r="874" spans="1:9">
      <c r="A874" s="896"/>
      <c r="B874" s="896"/>
      <c r="C874" s="221" t="s">
        <v>4806</v>
      </c>
      <c r="D874" s="221" t="s">
        <v>2049</v>
      </c>
      <c r="E874" s="221" t="s">
        <v>4807</v>
      </c>
      <c r="F874" s="221" t="s">
        <v>4808</v>
      </c>
      <c r="G874" s="221"/>
      <c r="H874" s="251">
        <v>1349264.2000000002</v>
      </c>
      <c r="I874" s="221"/>
    </row>
    <row r="875" spans="1:9">
      <c r="A875" s="896"/>
      <c r="B875" s="896"/>
      <c r="C875" s="221" t="s">
        <v>4809</v>
      </c>
      <c r="D875" s="221" t="s">
        <v>2049</v>
      </c>
      <c r="E875" s="221"/>
      <c r="F875" s="221" t="s">
        <v>4611</v>
      </c>
      <c r="G875" s="221"/>
      <c r="H875" s="251">
        <v>20421.659999999996</v>
      </c>
      <c r="I875" s="221"/>
    </row>
    <row r="876" spans="1:9">
      <c r="A876" s="896"/>
      <c r="B876" s="896"/>
      <c r="C876" s="221" t="s">
        <v>4810</v>
      </c>
      <c r="D876" s="221" t="s">
        <v>2049</v>
      </c>
      <c r="E876" s="221" t="s">
        <v>4811</v>
      </c>
      <c r="F876" s="221" t="s">
        <v>4812</v>
      </c>
      <c r="G876" s="221"/>
      <c r="H876" s="251">
        <v>5171.28</v>
      </c>
      <c r="I876" s="221"/>
    </row>
    <row r="877" spans="1:9">
      <c r="A877" s="896"/>
      <c r="B877" s="896"/>
      <c r="C877" s="221" t="s">
        <v>4813</v>
      </c>
      <c r="D877" s="221" t="s">
        <v>2049</v>
      </c>
      <c r="E877" s="221"/>
      <c r="F877" s="221" t="s">
        <v>4814</v>
      </c>
      <c r="G877" s="221"/>
      <c r="H877" s="251">
        <v>594266.41</v>
      </c>
      <c r="I877" s="221"/>
    </row>
    <row r="878" spans="1:9">
      <c r="A878" s="896"/>
      <c r="B878" s="896"/>
      <c r="C878" s="221" t="s">
        <v>4815</v>
      </c>
      <c r="D878" s="221" t="s">
        <v>2049</v>
      </c>
      <c r="E878" s="221" t="s">
        <v>4816</v>
      </c>
      <c r="F878" s="221" t="s">
        <v>4817</v>
      </c>
      <c r="G878" s="221"/>
      <c r="H878" s="251">
        <v>73080</v>
      </c>
      <c r="I878" s="221"/>
    </row>
    <row r="879" spans="1:9">
      <c r="A879" s="896"/>
      <c r="B879" s="896"/>
      <c r="C879" s="221" t="s">
        <v>4818</v>
      </c>
      <c r="D879" s="221" t="s">
        <v>2049</v>
      </c>
      <c r="E879" s="221" t="s">
        <v>688</v>
      </c>
      <c r="F879" s="221" t="s">
        <v>4819</v>
      </c>
      <c r="G879" s="221"/>
      <c r="H879" s="251">
        <v>556548.27999999991</v>
      </c>
      <c r="I879" s="221"/>
    </row>
    <row r="880" spans="1:9">
      <c r="A880" s="896"/>
      <c r="B880" s="896"/>
      <c r="C880" s="221" t="s">
        <v>4820</v>
      </c>
      <c r="D880" s="221" t="s">
        <v>2049</v>
      </c>
      <c r="E880" s="221" t="s">
        <v>2177</v>
      </c>
      <c r="F880" s="221" t="s">
        <v>4821</v>
      </c>
      <c r="G880" s="221"/>
      <c r="H880" s="251">
        <v>5487521.1300000008</v>
      </c>
      <c r="I880" s="221"/>
    </row>
    <row r="881" spans="1:9">
      <c r="A881" s="896"/>
      <c r="B881" s="896"/>
      <c r="C881" s="221" t="s">
        <v>4822</v>
      </c>
      <c r="D881" s="221" t="s">
        <v>2049</v>
      </c>
      <c r="E881" s="221"/>
      <c r="F881" s="221" t="s">
        <v>4823</v>
      </c>
      <c r="G881" s="221"/>
      <c r="H881" s="251">
        <v>16701.099999999999</v>
      </c>
      <c r="I881" s="221"/>
    </row>
    <row r="882" spans="1:9">
      <c r="A882" s="896"/>
      <c r="B882" s="896"/>
      <c r="C882" s="221" t="s">
        <v>4824</v>
      </c>
      <c r="D882" s="221" t="s">
        <v>2049</v>
      </c>
      <c r="E882" s="221" t="s">
        <v>4825</v>
      </c>
      <c r="F882" s="221" t="s">
        <v>4826</v>
      </c>
      <c r="G882" s="221"/>
      <c r="H882" s="251">
        <v>177483.37</v>
      </c>
      <c r="I882" s="221"/>
    </row>
    <row r="883" spans="1:9">
      <c r="A883" s="896"/>
      <c r="B883" s="896"/>
      <c r="C883" s="221" t="s">
        <v>4827</v>
      </c>
      <c r="D883" s="221" t="s">
        <v>2049</v>
      </c>
      <c r="E883" s="221"/>
      <c r="F883" s="221" t="s">
        <v>4828</v>
      </c>
      <c r="G883" s="221"/>
      <c r="H883" s="251">
        <v>22730.400000000001</v>
      </c>
      <c r="I883" s="221"/>
    </row>
    <row r="884" spans="1:9">
      <c r="A884" s="896"/>
      <c r="B884" s="896"/>
      <c r="C884" s="221" t="s">
        <v>4829</v>
      </c>
      <c r="D884" s="221" t="s">
        <v>2049</v>
      </c>
      <c r="E884" s="221"/>
      <c r="F884" s="221" t="s">
        <v>4830</v>
      </c>
      <c r="G884" s="221"/>
      <c r="H884" s="251">
        <v>15303</v>
      </c>
      <c r="I884" s="221"/>
    </row>
    <row r="885" spans="1:9">
      <c r="A885" s="896"/>
      <c r="B885" s="896"/>
      <c r="C885" s="221" t="s">
        <v>4831</v>
      </c>
      <c r="D885" s="221" t="s">
        <v>2049</v>
      </c>
      <c r="E885" s="221"/>
      <c r="F885" s="221" t="s">
        <v>4832</v>
      </c>
      <c r="G885" s="221"/>
      <c r="H885" s="251">
        <v>19131</v>
      </c>
      <c r="I885" s="221"/>
    </row>
    <row r="886" spans="1:9">
      <c r="A886" s="896"/>
      <c r="B886" s="896"/>
      <c r="C886" s="221" t="s">
        <v>4833</v>
      </c>
      <c r="D886" s="221" t="s">
        <v>2049</v>
      </c>
      <c r="E886" s="221" t="s">
        <v>575</v>
      </c>
      <c r="F886" s="221" t="s">
        <v>4834</v>
      </c>
      <c r="G886" s="221"/>
      <c r="H886" s="251">
        <v>1116899.94</v>
      </c>
      <c r="I886" s="221"/>
    </row>
    <row r="887" spans="1:9">
      <c r="A887" s="896"/>
      <c r="B887" s="896"/>
      <c r="C887" s="221" t="s">
        <v>4835</v>
      </c>
      <c r="D887" s="221" t="s">
        <v>2049</v>
      </c>
      <c r="E887" s="221"/>
      <c r="F887" s="221" t="s">
        <v>4836</v>
      </c>
      <c r="G887" s="221"/>
      <c r="H887" s="251">
        <v>125040</v>
      </c>
      <c r="I887" s="221"/>
    </row>
    <row r="888" spans="1:9">
      <c r="A888" s="896"/>
      <c r="B888" s="896"/>
      <c r="C888" s="221" t="s">
        <v>4837</v>
      </c>
      <c r="D888" s="221" t="s">
        <v>2049</v>
      </c>
      <c r="E888" s="221"/>
      <c r="F888" s="221" t="s">
        <v>4838</v>
      </c>
      <c r="G888" s="221"/>
      <c r="H888" s="251">
        <v>366344.95999999996</v>
      </c>
      <c r="I888" s="221"/>
    </row>
    <row r="889" spans="1:9">
      <c r="A889" s="896"/>
      <c r="B889" s="896"/>
      <c r="C889" s="221" t="s">
        <v>4839</v>
      </c>
      <c r="D889" s="221" t="s">
        <v>2049</v>
      </c>
      <c r="E889" s="221"/>
      <c r="F889" s="221" t="s">
        <v>4840</v>
      </c>
      <c r="G889" s="221"/>
      <c r="H889" s="251">
        <v>75906.67</v>
      </c>
      <c r="I889" s="221"/>
    </row>
    <row r="890" spans="1:9">
      <c r="A890" s="896"/>
      <c r="B890" s="896"/>
      <c r="C890" s="221" t="s">
        <v>4841</v>
      </c>
      <c r="D890" s="221" t="s">
        <v>2049</v>
      </c>
      <c r="E890" s="221"/>
      <c r="F890" s="221" t="s">
        <v>4842</v>
      </c>
      <c r="G890" s="221"/>
      <c r="H890" s="251">
        <v>2265820.21</v>
      </c>
      <c r="I890" s="221"/>
    </row>
    <row r="891" spans="1:9">
      <c r="A891" s="896"/>
      <c r="B891" s="896"/>
      <c r="C891" s="221" t="s">
        <v>4843</v>
      </c>
      <c r="D891" s="221" t="s">
        <v>2049</v>
      </c>
      <c r="E891" s="221"/>
      <c r="F891" s="221" t="s">
        <v>4844</v>
      </c>
      <c r="G891" s="221"/>
      <c r="H891" s="251">
        <v>1493974.1</v>
      </c>
      <c r="I891" s="221"/>
    </row>
    <row r="892" spans="1:9">
      <c r="A892" s="896"/>
      <c r="B892" s="896"/>
      <c r="C892" s="221" t="s">
        <v>4845</v>
      </c>
      <c r="D892" s="221" t="s">
        <v>2049</v>
      </c>
      <c r="E892" s="221" t="s">
        <v>2169</v>
      </c>
      <c r="F892" s="221"/>
      <c r="G892" s="221"/>
      <c r="H892" s="251">
        <v>6566251.3199999984</v>
      </c>
      <c r="I892" s="221"/>
    </row>
    <row r="893" spans="1:9">
      <c r="A893" s="896"/>
      <c r="B893" s="896"/>
      <c r="C893" s="221" t="s">
        <v>4846</v>
      </c>
      <c r="D893" s="221" t="s">
        <v>2049</v>
      </c>
      <c r="E893" s="221"/>
      <c r="F893" s="221" t="s">
        <v>4847</v>
      </c>
      <c r="G893" s="221"/>
      <c r="H893" s="251">
        <v>58011.6</v>
      </c>
      <c r="I893" s="221"/>
    </row>
    <row r="894" spans="1:9">
      <c r="A894" s="896"/>
      <c r="B894" s="896"/>
      <c r="C894" s="221" t="s">
        <v>4848</v>
      </c>
      <c r="D894" s="221" t="s">
        <v>2049</v>
      </c>
      <c r="E894" s="221"/>
      <c r="F894" s="221" t="s">
        <v>4849</v>
      </c>
      <c r="G894" s="221"/>
      <c r="H894" s="251">
        <v>2855003.2199999997</v>
      </c>
      <c r="I894" s="221"/>
    </row>
    <row r="895" spans="1:9">
      <c r="A895" s="896"/>
      <c r="B895" s="896"/>
      <c r="C895" s="221" t="s">
        <v>4850</v>
      </c>
      <c r="D895" s="221" t="s">
        <v>2049</v>
      </c>
      <c r="E895" s="221" t="s">
        <v>4851</v>
      </c>
      <c r="F895" s="221" t="s">
        <v>4852</v>
      </c>
      <c r="G895" s="221"/>
      <c r="H895" s="251">
        <v>268791.65999999997</v>
      </c>
      <c r="I895" s="221"/>
    </row>
    <row r="896" spans="1:9">
      <c r="A896" s="896"/>
      <c r="B896" s="896"/>
      <c r="C896" s="221" t="s">
        <v>4853</v>
      </c>
      <c r="D896" s="221" t="s">
        <v>2049</v>
      </c>
      <c r="E896" s="221"/>
      <c r="F896" s="221" t="s">
        <v>4611</v>
      </c>
      <c r="G896" s="221"/>
      <c r="H896" s="251">
        <v>11198547.379999999</v>
      </c>
      <c r="I896" s="221"/>
    </row>
    <row r="897" spans="1:9">
      <c r="A897" s="896"/>
      <c r="B897" s="896"/>
      <c r="C897" s="221" t="s">
        <v>4854</v>
      </c>
      <c r="D897" s="221" t="s">
        <v>2049</v>
      </c>
      <c r="E897" s="221"/>
      <c r="F897" s="221" t="s">
        <v>4855</v>
      </c>
      <c r="G897" s="221"/>
      <c r="H897" s="251">
        <v>13300</v>
      </c>
      <c r="I897" s="221"/>
    </row>
    <row r="898" spans="1:9">
      <c r="A898" s="896"/>
      <c r="B898" s="896"/>
      <c r="C898" s="221" t="s">
        <v>930</v>
      </c>
      <c r="D898" s="221" t="s">
        <v>2049</v>
      </c>
      <c r="E898" s="221"/>
      <c r="F898" s="221" t="s">
        <v>4856</v>
      </c>
      <c r="G898" s="221"/>
      <c r="H898" s="251">
        <v>318614.58999999997</v>
      </c>
      <c r="I898" s="221"/>
    </row>
    <row r="899" spans="1:9">
      <c r="A899" s="896"/>
      <c r="B899" s="896"/>
      <c r="C899" s="221" t="s">
        <v>4857</v>
      </c>
      <c r="D899" s="221" t="s">
        <v>2049</v>
      </c>
      <c r="E899" s="221" t="s">
        <v>575</v>
      </c>
      <c r="F899" s="221"/>
      <c r="G899" s="221"/>
      <c r="H899" s="251">
        <v>923344.64999999991</v>
      </c>
      <c r="I899" s="221"/>
    </row>
    <row r="900" spans="1:9">
      <c r="A900" s="896"/>
      <c r="B900" s="896"/>
      <c r="C900" s="221" t="s">
        <v>4858</v>
      </c>
      <c r="D900" s="221" t="s">
        <v>2049</v>
      </c>
      <c r="E900" s="221"/>
      <c r="F900" s="221" t="s">
        <v>4859</v>
      </c>
      <c r="G900" s="221"/>
      <c r="H900" s="251">
        <v>280681.27999999997</v>
      </c>
      <c r="I900" s="221"/>
    </row>
    <row r="901" spans="1:9">
      <c r="A901" s="896"/>
      <c r="B901" s="896"/>
      <c r="C901" s="221" t="s">
        <v>4860</v>
      </c>
      <c r="D901" s="221" t="s">
        <v>2049</v>
      </c>
      <c r="E901" s="221"/>
      <c r="F901" s="221" t="s">
        <v>4861</v>
      </c>
      <c r="G901" s="221"/>
      <c r="H901" s="251">
        <v>2560</v>
      </c>
      <c r="I901" s="221"/>
    </row>
    <row r="902" spans="1:9">
      <c r="A902" s="896"/>
      <c r="B902" s="896"/>
      <c r="C902" s="221" t="s">
        <v>4862</v>
      </c>
      <c r="D902" s="221" t="s">
        <v>2049</v>
      </c>
      <c r="E902" s="221"/>
      <c r="F902" s="221" t="s">
        <v>4863</v>
      </c>
      <c r="G902" s="221"/>
      <c r="H902" s="251">
        <v>227782.87</v>
      </c>
      <c r="I902" s="221"/>
    </row>
    <row r="903" spans="1:9">
      <c r="A903" s="896"/>
      <c r="B903" s="896"/>
      <c r="C903" s="221" t="s">
        <v>4864</v>
      </c>
      <c r="D903" s="221" t="s">
        <v>2049</v>
      </c>
      <c r="E903" s="221" t="s">
        <v>4865</v>
      </c>
      <c r="F903" s="221" t="s">
        <v>4866</v>
      </c>
      <c r="G903" s="221"/>
      <c r="H903" s="251">
        <v>106490.04</v>
      </c>
      <c r="I903" s="221"/>
    </row>
    <row r="904" spans="1:9">
      <c r="A904" s="896"/>
      <c r="B904" s="896"/>
      <c r="C904" s="221" t="s">
        <v>4867</v>
      </c>
      <c r="D904" s="221" t="s">
        <v>2049</v>
      </c>
      <c r="E904" s="221"/>
      <c r="F904" s="221" t="s">
        <v>4868</v>
      </c>
      <c r="G904" s="221"/>
      <c r="H904" s="251">
        <v>2533732.56</v>
      </c>
      <c r="I904" s="221"/>
    </row>
    <row r="905" spans="1:9">
      <c r="A905" s="896"/>
      <c r="B905" s="896"/>
      <c r="C905" s="221" t="s">
        <v>4869</v>
      </c>
      <c r="D905" s="221" t="s">
        <v>2049</v>
      </c>
      <c r="E905" s="221" t="s">
        <v>575</v>
      </c>
      <c r="F905" s="221" t="s">
        <v>4870</v>
      </c>
      <c r="G905" s="221"/>
      <c r="H905" s="251">
        <v>996749.12000000011</v>
      </c>
      <c r="I905" s="221"/>
    </row>
    <row r="906" spans="1:9">
      <c r="A906" s="896"/>
      <c r="B906" s="896"/>
      <c r="C906" s="221" t="s">
        <v>4871</v>
      </c>
      <c r="D906" s="221" t="s">
        <v>2049</v>
      </c>
      <c r="E906" s="221" t="s">
        <v>4872</v>
      </c>
      <c r="F906" s="221" t="s">
        <v>4873</v>
      </c>
      <c r="G906" s="221"/>
      <c r="H906" s="251">
        <v>189080</v>
      </c>
      <c r="I906" s="221"/>
    </row>
    <row r="907" spans="1:9">
      <c r="A907" s="896"/>
      <c r="B907" s="896"/>
      <c r="C907" s="221" t="s">
        <v>4874</v>
      </c>
      <c r="D907" s="221" t="s">
        <v>2049</v>
      </c>
      <c r="E907" s="221"/>
      <c r="F907" s="221" t="s">
        <v>4875</v>
      </c>
      <c r="G907" s="221"/>
      <c r="H907" s="251">
        <v>233049.74</v>
      </c>
      <c r="I907" s="221"/>
    </row>
    <row r="908" spans="1:9">
      <c r="A908" s="896"/>
      <c r="B908" s="896"/>
      <c r="C908" s="221" t="s">
        <v>4876</v>
      </c>
      <c r="D908" s="221" t="s">
        <v>2049</v>
      </c>
      <c r="E908" s="221" t="s">
        <v>4877</v>
      </c>
      <c r="F908" s="221" t="s">
        <v>4878</v>
      </c>
      <c r="G908" s="221"/>
      <c r="H908" s="251">
        <v>7866.03</v>
      </c>
      <c r="I908" s="221"/>
    </row>
    <row r="909" spans="1:9">
      <c r="A909" s="896"/>
      <c r="B909" s="896"/>
      <c r="C909" s="221" t="s">
        <v>4879</v>
      </c>
      <c r="D909" s="221" t="s">
        <v>2049</v>
      </c>
      <c r="E909" s="221"/>
      <c r="F909" s="221" t="s">
        <v>4880</v>
      </c>
      <c r="G909" s="221"/>
      <c r="H909" s="251">
        <v>463815.74</v>
      </c>
      <c r="I909" s="221"/>
    </row>
    <row r="910" spans="1:9">
      <c r="A910" s="896"/>
      <c r="B910" s="896"/>
      <c r="C910" s="221" t="s">
        <v>4881</v>
      </c>
      <c r="D910" s="221" t="s">
        <v>2049</v>
      </c>
      <c r="E910" s="221"/>
      <c r="F910" s="221" t="s">
        <v>4882</v>
      </c>
      <c r="G910" s="221"/>
      <c r="H910" s="251">
        <v>680447.81</v>
      </c>
      <c r="I910" s="221"/>
    </row>
    <row r="911" spans="1:9">
      <c r="A911" s="896"/>
      <c r="B911" s="896"/>
      <c r="C911" s="221" t="s">
        <v>4883</v>
      </c>
      <c r="D911" s="221" t="s">
        <v>2049</v>
      </c>
      <c r="E911" s="221" t="s">
        <v>4884</v>
      </c>
      <c r="F911" s="221"/>
      <c r="G911" s="221"/>
      <c r="H911" s="251">
        <v>410602.12</v>
      </c>
      <c r="I911" s="221"/>
    </row>
    <row r="912" spans="1:9">
      <c r="A912" s="896"/>
      <c r="B912" s="896"/>
      <c r="C912" s="221" t="s">
        <v>4885</v>
      </c>
      <c r="D912" s="221" t="s">
        <v>2049</v>
      </c>
      <c r="E912" s="221" t="s">
        <v>4886</v>
      </c>
      <c r="F912" s="221"/>
      <c r="G912" s="221"/>
      <c r="H912" s="251">
        <v>101910.23999999999</v>
      </c>
      <c r="I912" s="221"/>
    </row>
    <row r="913" spans="1:9">
      <c r="A913" s="896"/>
      <c r="B913" s="896"/>
      <c r="C913" s="221" t="s">
        <v>4887</v>
      </c>
      <c r="D913" s="221" t="s">
        <v>2049</v>
      </c>
      <c r="E913" s="221"/>
      <c r="F913" s="221" t="s">
        <v>4888</v>
      </c>
      <c r="G913" s="221"/>
      <c r="H913" s="251">
        <v>92158.14</v>
      </c>
      <c r="I913" s="221"/>
    </row>
    <row r="914" spans="1:9">
      <c r="A914" s="896"/>
      <c r="B914" s="896"/>
      <c r="C914" s="221" t="s">
        <v>4889</v>
      </c>
      <c r="D914" s="221" t="s">
        <v>2049</v>
      </c>
      <c r="E914" s="221"/>
      <c r="F914" s="221" t="s">
        <v>4890</v>
      </c>
      <c r="G914" s="221"/>
      <c r="H914" s="251">
        <v>244029.2</v>
      </c>
      <c r="I914" s="221"/>
    </row>
    <row r="915" spans="1:9">
      <c r="A915" s="896"/>
      <c r="B915" s="896"/>
      <c r="C915" s="221" t="s">
        <v>4891</v>
      </c>
      <c r="D915" s="221" t="s">
        <v>2049</v>
      </c>
      <c r="E915" s="221"/>
      <c r="F915" s="221" t="s">
        <v>4892</v>
      </c>
      <c r="G915" s="221"/>
      <c r="H915" s="251">
        <v>630211.75</v>
      </c>
      <c r="I915" s="221"/>
    </row>
    <row r="916" spans="1:9">
      <c r="A916" s="896"/>
      <c r="B916" s="896"/>
      <c r="C916" s="221" t="s">
        <v>4893</v>
      </c>
      <c r="D916" s="221" t="s">
        <v>2049</v>
      </c>
      <c r="E916" s="221" t="s">
        <v>4894</v>
      </c>
      <c r="F916" s="221" t="s">
        <v>4895</v>
      </c>
      <c r="G916" s="221"/>
      <c r="H916" s="251">
        <v>18222.439999999999</v>
      </c>
      <c r="I916" s="221"/>
    </row>
    <row r="917" spans="1:9">
      <c r="A917" s="896"/>
      <c r="B917" s="896"/>
      <c r="C917" s="221" t="s">
        <v>4896</v>
      </c>
      <c r="D917" s="221" t="s">
        <v>2049</v>
      </c>
      <c r="E917" s="221" t="s">
        <v>4897</v>
      </c>
      <c r="F917" s="221" t="s">
        <v>4898</v>
      </c>
      <c r="G917" s="221"/>
      <c r="H917" s="251">
        <v>309578.82</v>
      </c>
      <c r="I917" s="221"/>
    </row>
    <row r="918" spans="1:9">
      <c r="A918" s="896"/>
      <c r="B918" s="896"/>
      <c r="C918" s="221" t="s">
        <v>4899</v>
      </c>
      <c r="D918" s="221" t="s">
        <v>2047</v>
      </c>
      <c r="E918" s="221"/>
      <c r="F918" s="221" t="s">
        <v>4900</v>
      </c>
      <c r="G918" s="221"/>
      <c r="H918" s="251">
        <v>3632758.5500000003</v>
      </c>
      <c r="I918" s="221"/>
    </row>
    <row r="919" spans="1:9">
      <c r="A919" s="896"/>
      <c r="B919" s="896"/>
      <c r="C919" s="221" t="s">
        <v>4901</v>
      </c>
      <c r="D919" s="221" t="s">
        <v>2047</v>
      </c>
      <c r="E919" s="221"/>
      <c r="F919" s="221" t="s">
        <v>4902</v>
      </c>
      <c r="G919" s="221"/>
      <c r="H919" s="251">
        <v>422185.87999999995</v>
      </c>
      <c r="I919" s="221"/>
    </row>
    <row r="920" spans="1:9">
      <c r="A920" s="896"/>
      <c r="B920" s="896"/>
      <c r="C920" s="221" t="s">
        <v>4903</v>
      </c>
      <c r="D920" s="221" t="s">
        <v>2047</v>
      </c>
      <c r="E920" s="221"/>
      <c r="F920" s="221" t="s">
        <v>4904</v>
      </c>
      <c r="G920" s="221"/>
      <c r="H920" s="251">
        <v>23500</v>
      </c>
      <c r="I920" s="221"/>
    </row>
    <row r="921" spans="1:9">
      <c r="A921" s="896"/>
      <c r="B921" s="896"/>
      <c r="C921" s="221" t="s">
        <v>4905</v>
      </c>
      <c r="D921" s="221" t="s">
        <v>2047</v>
      </c>
      <c r="E921" s="221" t="s">
        <v>575</v>
      </c>
      <c r="F921" s="221" t="s">
        <v>4906</v>
      </c>
      <c r="G921" s="221"/>
      <c r="H921" s="251">
        <v>156029.22</v>
      </c>
      <c r="I921" s="221"/>
    </row>
    <row r="922" spans="1:9">
      <c r="A922" s="896"/>
      <c r="B922" s="896"/>
      <c r="C922" s="221" t="s">
        <v>4907</v>
      </c>
      <c r="D922" s="221" t="s">
        <v>2047</v>
      </c>
      <c r="E922" s="221"/>
      <c r="F922" s="221" t="s">
        <v>4908</v>
      </c>
      <c r="G922" s="221"/>
      <c r="H922" s="251">
        <v>2007960.03</v>
      </c>
      <c r="I922" s="221"/>
    </row>
    <row r="923" spans="1:9">
      <c r="A923" s="896"/>
      <c r="B923" s="896"/>
      <c r="C923" s="221" t="s">
        <v>4909</v>
      </c>
      <c r="D923" s="221" t="s">
        <v>2047</v>
      </c>
      <c r="E923" s="221"/>
      <c r="F923" s="221" t="s">
        <v>4910</v>
      </c>
      <c r="G923" s="221"/>
      <c r="H923" s="251">
        <v>152499.02000000002</v>
      </c>
      <c r="I923" s="221"/>
    </row>
    <row r="924" spans="1:9">
      <c r="A924" s="896"/>
      <c r="B924" s="896"/>
      <c r="C924" s="221" t="s">
        <v>4911</v>
      </c>
      <c r="D924" s="221" t="s">
        <v>2047</v>
      </c>
      <c r="E924" s="221"/>
      <c r="F924" s="221" t="s">
        <v>4912</v>
      </c>
      <c r="G924" s="221"/>
      <c r="H924" s="251">
        <v>4761.21</v>
      </c>
      <c r="I924" s="221"/>
    </row>
    <row r="925" spans="1:9">
      <c r="A925" s="896"/>
      <c r="B925" s="896"/>
      <c r="C925" s="221" t="s">
        <v>4913</v>
      </c>
      <c r="D925" s="221" t="s">
        <v>2047</v>
      </c>
      <c r="E925" s="221"/>
      <c r="F925" s="221" t="s">
        <v>4914</v>
      </c>
      <c r="G925" s="221"/>
      <c r="H925" s="251">
        <v>365105</v>
      </c>
      <c r="I925" s="221"/>
    </row>
    <row r="926" spans="1:9">
      <c r="A926" s="896"/>
      <c r="B926" s="896"/>
      <c r="C926" s="221" t="s">
        <v>4915</v>
      </c>
      <c r="D926" s="221" t="s">
        <v>2047</v>
      </c>
      <c r="E926" s="221" t="s">
        <v>575</v>
      </c>
      <c r="F926" s="221" t="s">
        <v>4916</v>
      </c>
      <c r="G926" s="221"/>
      <c r="H926" s="251">
        <v>844532.7799999998</v>
      </c>
      <c r="I926" s="221"/>
    </row>
    <row r="927" spans="1:9">
      <c r="A927" s="896"/>
      <c r="B927" s="896"/>
      <c r="C927" s="221" t="s">
        <v>4917</v>
      </c>
      <c r="D927" s="221" t="s">
        <v>2047</v>
      </c>
      <c r="E927" s="221"/>
      <c r="F927" s="221" t="s">
        <v>4918</v>
      </c>
      <c r="G927" s="221"/>
      <c r="H927" s="251">
        <v>46843.06</v>
      </c>
      <c r="I927" s="221"/>
    </row>
    <row r="928" spans="1:9">
      <c r="A928" s="896"/>
      <c r="B928" s="896"/>
      <c r="C928" s="221" t="s">
        <v>4919</v>
      </c>
      <c r="D928" s="221" t="s">
        <v>2047</v>
      </c>
      <c r="E928" s="221"/>
      <c r="F928" s="221" t="s">
        <v>4920</v>
      </c>
      <c r="G928" s="221"/>
      <c r="H928" s="251">
        <v>7824</v>
      </c>
      <c r="I928" s="221"/>
    </row>
    <row r="929" spans="1:9">
      <c r="A929" s="896"/>
      <c r="B929" s="896"/>
      <c r="C929" s="221" t="s">
        <v>4921</v>
      </c>
      <c r="D929" s="221" t="s">
        <v>2047</v>
      </c>
      <c r="E929" s="221"/>
      <c r="F929" s="221" t="s">
        <v>4922</v>
      </c>
      <c r="G929" s="221"/>
      <c r="H929" s="251">
        <v>467889.59</v>
      </c>
      <c r="I929" s="221"/>
    </row>
    <row r="930" spans="1:9">
      <c r="A930" s="896"/>
      <c r="B930" s="896"/>
      <c r="C930" s="221" t="s">
        <v>4923</v>
      </c>
      <c r="D930" s="221" t="s">
        <v>2047</v>
      </c>
      <c r="E930" s="221"/>
      <c r="F930" s="221" t="s">
        <v>4924</v>
      </c>
      <c r="G930" s="221"/>
      <c r="H930" s="251">
        <v>99486</v>
      </c>
      <c r="I930" s="221"/>
    </row>
    <row r="931" spans="1:9">
      <c r="A931" s="896"/>
      <c r="B931" s="896"/>
      <c r="C931" s="221" t="s">
        <v>4925</v>
      </c>
      <c r="D931" s="221" t="s">
        <v>2047</v>
      </c>
      <c r="E931" s="221"/>
      <c r="F931" s="221" t="s">
        <v>4924</v>
      </c>
      <c r="G931" s="221"/>
      <c r="H931" s="251">
        <v>39950.83</v>
      </c>
      <c r="I931" s="221"/>
    </row>
    <row r="932" spans="1:9">
      <c r="A932" s="896"/>
      <c r="B932" s="896"/>
      <c r="C932" s="221" t="s">
        <v>4926</v>
      </c>
      <c r="D932" s="221" t="s">
        <v>2047</v>
      </c>
      <c r="E932" s="221"/>
      <c r="F932" s="221" t="s">
        <v>4927</v>
      </c>
      <c r="G932" s="221"/>
      <c r="H932" s="251">
        <v>210829.76</v>
      </c>
      <c r="I932" s="221"/>
    </row>
    <row r="933" spans="1:9">
      <c r="A933" s="896"/>
      <c r="B933" s="896"/>
      <c r="C933" s="221" t="s">
        <v>4928</v>
      </c>
      <c r="D933" s="221" t="s">
        <v>2047</v>
      </c>
      <c r="E933" s="221"/>
      <c r="F933" s="221" t="s">
        <v>4929</v>
      </c>
      <c r="G933" s="221"/>
      <c r="H933" s="251">
        <v>3443880.53</v>
      </c>
      <c r="I933" s="221"/>
    </row>
    <row r="934" spans="1:9">
      <c r="A934" s="896"/>
      <c r="B934" s="896"/>
      <c r="C934" s="221" t="s">
        <v>4930</v>
      </c>
      <c r="D934" s="221" t="s">
        <v>2047</v>
      </c>
      <c r="E934" s="221" t="s">
        <v>575</v>
      </c>
      <c r="F934" s="221" t="s">
        <v>4931</v>
      </c>
      <c r="G934" s="221"/>
      <c r="H934" s="251">
        <v>521856</v>
      </c>
      <c r="I934" s="221"/>
    </row>
    <row r="935" spans="1:9">
      <c r="A935" s="896"/>
      <c r="B935" s="896"/>
      <c r="C935" s="221" t="s">
        <v>4932</v>
      </c>
      <c r="D935" s="221" t="s">
        <v>2047</v>
      </c>
      <c r="E935" s="221"/>
      <c r="F935" s="221" t="s">
        <v>4933</v>
      </c>
      <c r="G935" s="221"/>
      <c r="H935" s="251">
        <v>8111.1399999999994</v>
      </c>
      <c r="I935" s="221"/>
    </row>
    <row r="936" spans="1:9">
      <c r="A936" s="896"/>
      <c r="B936" s="896"/>
      <c r="C936" s="221" t="s">
        <v>4934</v>
      </c>
      <c r="D936" s="221" t="s">
        <v>2047</v>
      </c>
      <c r="E936" s="221"/>
      <c r="F936" s="221" t="s">
        <v>4611</v>
      </c>
      <c r="G936" s="221"/>
      <c r="H936" s="251">
        <v>69809.76999999999</v>
      </c>
      <c r="I936" s="221"/>
    </row>
    <row r="937" spans="1:9">
      <c r="A937" s="896"/>
      <c r="B937" s="896"/>
      <c r="C937" s="221" t="s">
        <v>4935</v>
      </c>
      <c r="D937" s="221" t="s">
        <v>2047</v>
      </c>
      <c r="E937" s="221"/>
      <c r="F937" s="221" t="s">
        <v>4936</v>
      </c>
      <c r="G937" s="221"/>
      <c r="H937" s="251">
        <v>46316.61</v>
      </c>
      <c r="I937" s="221"/>
    </row>
    <row r="938" spans="1:9">
      <c r="A938" s="896"/>
      <c r="B938" s="896"/>
      <c r="C938" s="221" t="s">
        <v>4937</v>
      </c>
      <c r="D938" s="221" t="s">
        <v>2047</v>
      </c>
      <c r="E938" s="221"/>
      <c r="F938" s="221" t="s">
        <v>4938</v>
      </c>
      <c r="G938" s="221"/>
      <c r="H938" s="251">
        <v>177371.73999999996</v>
      </c>
      <c r="I938" s="221"/>
    </row>
    <row r="939" spans="1:9">
      <c r="A939" s="896"/>
      <c r="B939" s="896"/>
      <c r="C939" s="221" t="s">
        <v>4939</v>
      </c>
      <c r="D939" s="221" t="s">
        <v>2047</v>
      </c>
      <c r="E939" s="221"/>
      <c r="F939" s="221" t="s">
        <v>4940</v>
      </c>
      <c r="G939" s="221"/>
      <c r="H939" s="251">
        <v>1463.06</v>
      </c>
      <c r="I939" s="221"/>
    </row>
    <row r="940" spans="1:9">
      <c r="A940" s="896"/>
      <c r="B940" s="896"/>
      <c r="C940" s="221" t="s">
        <v>4941</v>
      </c>
      <c r="D940" s="221" t="s">
        <v>2047</v>
      </c>
      <c r="E940" s="221"/>
      <c r="F940" s="221" t="s">
        <v>4942</v>
      </c>
      <c r="G940" s="221"/>
      <c r="H940" s="251">
        <v>136020.25999999998</v>
      </c>
      <c r="I940" s="221"/>
    </row>
    <row r="941" spans="1:9">
      <c r="A941" s="896"/>
      <c r="B941" s="896"/>
      <c r="C941" s="221" t="s">
        <v>4943</v>
      </c>
      <c r="D941" s="221" t="s">
        <v>2047</v>
      </c>
      <c r="E941" s="221"/>
      <c r="F941" s="221" t="s">
        <v>4944</v>
      </c>
      <c r="G941" s="221"/>
      <c r="H941" s="251">
        <v>93242.23</v>
      </c>
      <c r="I941" s="221"/>
    </row>
    <row r="942" spans="1:9">
      <c r="A942" s="896"/>
      <c r="B942" s="896"/>
      <c r="C942" s="221" t="s">
        <v>4945</v>
      </c>
      <c r="D942" s="221" t="s">
        <v>2047</v>
      </c>
      <c r="E942" s="221"/>
      <c r="F942" s="221" t="s">
        <v>4946</v>
      </c>
      <c r="G942" s="221"/>
      <c r="H942" s="251">
        <v>76810.95</v>
      </c>
      <c r="I942" s="221"/>
    </row>
    <row r="943" spans="1:9">
      <c r="A943" s="896"/>
      <c r="B943" s="896"/>
      <c r="C943" s="221" t="s">
        <v>4947</v>
      </c>
      <c r="D943" s="221" t="s">
        <v>2047</v>
      </c>
      <c r="E943" s="221" t="s">
        <v>575</v>
      </c>
      <c r="F943" s="221" t="s">
        <v>4948</v>
      </c>
      <c r="G943" s="221"/>
      <c r="H943" s="251">
        <v>10550.429999999998</v>
      </c>
      <c r="I943" s="221"/>
    </row>
    <row r="944" spans="1:9">
      <c r="A944" s="896"/>
      <c r="B944" s="896"/>
      <c r="C944" s="221" t="s">
        <v>4949</v>
      </c>
      <c r="D944" s="221" t="s">
        <v>2047</v>
      </c>
      <c r="E944" s="221"/>
      <c r="F944" s="221" t="s">
        <v>4950</v>
      </c>
      <c r="G944" s="221"/>
      <c r="H944" s="251">
        <v>10265.049999999999</v>
      </c>
      <c r="I944" s="221"/>
    </row>
    <row r="945" spans="1:9">
      <c r="A945" s="896"/>
      <c r="B945" s="896"/>
      <c r="C945" s="221" t="s">
        <v>4951</v>
      </c>
      <c r="D945" s="221" t="s">
        <v>2047</v>
      </c>
      <c r="E945" s="221"/>
      <c r="F945" s="221" t="s">
        <v>4952</v>
      </c>
      <c r="G945" s="221"/>
      <c r="H945" s="251">
        <v>171169.93</v>
      </c>
      <c r="I945" s="221"/>
    </row>
    <row r="946" spans="1:9">
      <c r="A946" s="896"/>
      <c r="B946" s="896"/>
      <c r="C946" s="221" t="s">
        <v>4953</v>
      </c>
      <c r="D946" s="221" t="s">
        <v>2047</v>
      </c>
      <c r="E946" s="221"/>
      <c r="F946" s="221" t="s">
        <v>4954</v>
      </c>
      <c r="G946" s="221"/>
      <c r="H946" s="251">
        <v>53578.34</v>
      </c>
      <c r="I946" s="221"/>
    </row>
    <row r="947" spans="1:9">
      <c r="A947" s="896"/>
      <c r="B947" s="896"/>
      <c r="C947" s="221" t="s">
        <v>4955</v>
      </c>
      <c r="D947" s="221" t="s">
        <v>2047</v>
      </c>
      <c r="E947" s="221"/>
      <c r="F947" s="221" t="s">
        <v>4956</v>
      </c>
      <c r="G947" s="221"/>
      <c r="H947" s="251">
        <v>3450.06</v>
      </c>
      <c r="I947" s="221"/>
    </row>
    <row r="948" spans="1:9">
      <c r="A948" s="896"/>
      <c r="B948" s="896"/>
      <c r="C948" s="221" t="s">
        <v>4957</v>
      </c>
      <c r="D948" s="221" t="s">
        <v>2047</v>
      </c>
      <c r="E948" s="221"/>
      <c r="F948" s="221" t="s">
        <v>4958</v>
      </c>
      <c r="G948" s="221"/>
      <c r="H948" s="251">
        <v>11263.2</v>
      </c>
      <c r="I948" s="221"/>
    </row>
    <row r="949" spans="1:9">
      <c r="A949" s="896"/>
      <c r="B949" s="896"/>
      <c r="C949" s="221" t="s">
        <v>4959</v>
      </c>
      <c r="D949" s="221" t="s">
        <v>2047</v>
      </c>
      <c r="E949" s="221"/>
      <c r="F949" s="221" t="s">
        <v>4960</v>
      </c>
      <c r="G949" s="221"/>
      <c r="H949" s="251">
        <v>13140.82</v>
      </c>
      <c r="I949" s="221"/>
    </row>
    <row r="950" spans="1:9">
      <c r="A950" s="896"/>
      <c r="B950" s="896"/>
      <c r="C950" s="221" t="s">
        <v>4961</v>
      </c>
      <c r="D950" s="221" t="s">
        <v>2047</v>
      </c>
      <c r="E950" s="221"/>
      <c r="F950" s="221" t="s">
        <v>4962</v>
      </c>
      <c r="G950" s="221"/>
      <c r="H950" s="251">
        <v>586373.48</v>
      </c>
      <c r="I950" s="221"/>
    </row>
    <row r="951" spans="1:9">
      <c r="A951" s="896"/>
      <c r="B951" s="896"/>
      <c r="C951" s="221" t="s">
        <v>4963</v>
      </c>
      <c r="D951" s="221" t="s">
        <v>2047</v>
      </c>
      <c r="E951" s="221"/>
      <c r="F951" s="221" t="s">
        <v>4964</v>
      </c>
      <c r="G951" s="221"/>
      <c r="H951" s="251">
        <v>75250</v>
      </c>
      <c r="I951" s="221"/>
    </row>
    <row r="952" spans="1:9">
      <c r="A952" s="896"/>
      <c r="B952" s="896"/>
      <c r="C952" s="221" t="s">
        <v>4965</v>
      </c>
      <c r="D952" s="221" t="s">
        <v>2047</v>
      </c>
      <c r="E952" s="221"/>
      <c r="F952" s="221" t="s">
        <v>4966</v>
      </c>
      <c r="G952" s="221"/>
      <c r="H952" s="251">
        <v>42791.16</v>
      </c>
      <c r="I952" s="221"/>
    </row>
    <row r="953" spans="1:9">
      <c r="A953" s="896"/>
      <c r="B953" s="896"/>
      <c r="C953" s="221" t="s">
        <v>4967</v>
      </c>
      <c r="D953" s="221" t="s">
        <v>2047</v>
      </c>
      <c r="E953" s="221"/>
      <c r="F953" s="221" t="s">
        <v>4968</v>
      </c>
      <c r="G953" s="221"/>
      <c r="H953" s="251">
        <v>1141.51</v>
      </c>
      <c r="I953" s="221"/>
    </row>
    <row r="954" spans="1:9">
      <c r="A954" s="896"/>
      <c r="B954" s="896"/>
      <c r="C954" s="221" t="s">
        <v>4969</v>
      </c>
      <c r="D954" s="221" t="s">
        <v>2047</v>
      </c>
      <c r="E954" s="221"/>
      <c r="F954" s="221" t="s">
        <v>4970</v>
      </c>
      <c r="G954" s="221"/>
      <c r="H954" s="251">
        <v>15703.27</v>
      </c>
      <c r="I954" s="221"/>
    </row>
    <row r="955" spans="1:9">
      <c r="A955" s="896"/>
      <c r="B955" s="896"/>
      <c r="C955" s="221" t="s">
        <v>4971</v>
      </c>
      <c r="D955" s="221" t="s">
        <v>2047</v>
      </c>
      <c r="E955" s="221"/>
      <c r="F955" s="221" t="s">
        <v>4972</v>
      </c>
      <c r="G955" s="221"/>
      <c r="H955" s="251">
        <v>1057821.1300000001</v>
      </c>
      <c r="I955" s="221"/>
    </row>
    <row r="956" spans="1:9">
      <c r="A956" s="896"/>
      <c r="B956" s="896"/>
      <c r="C956" s="221" t="s">
        <v>4973</v>
      </c>
      <c r="D956" s="221" t="s">
        <v>2047</v>
      </c>
      <c r="E956" s="221"/>
      <c r="F956" s="221" t="s">
        <v>4974</v>
      </c>
      <c r="G956" s="221"/>
      <c r="H956" s="251">
        <v>225052.62</v>
      </c>
      <c r="I956" s="221"/>
    </row>
    <row r="957" spans="1:9">
      <c r="A957" s="896"/>
      <c r="B957" s="896"/>
      <c r="C957" s="221" t="s">
        <v>4975</v>
      </c>
      <c r="D957" s="221" t="s">
        <v>2047</v>
      </c>
      <c r="E957" s="221"/>
      <c r="F957" s="221" t="s">
        <v>4976</v>
      </c>
      <c r="G957" s="221"/>
      <c r="H957" s="251">
        <v>6422.22</v>
      </c>
      <c r="I957" s="221"/>
    </row>
    <row r="958" spans="1:9">
      <c r="A958" s="896"/>
      <c r="B958" s="896"/>
      <c r="C958" s="221" t="s">
        <v>4977</v>
      </c>
      <c r="D958" s="221" t="s">
        <v>2047</v>
      </c>
      <c r="E958" s="221"/>
      <c r="F958" s="221" t="s">
        <v>4978</v>
      </c>
      <c r="G958" s="221"/>
      <c r="H958" s="251">
        <v>135382.6</v>
      </c>
      <c r="I958" s="221"/>
    </row>
    <row r="959" spans="1:9">
      <c r="A959" s="896"/>
      <c r="B959" s="896"/>
      <c r="C959" s="221" t="s">
        <v>4979</v>
      </c>
      <c r="D959" s="221" t="s">
        <v>2047</v>
      </c>
      <c r="E959" s="221"/>
      <c r="F959" s="221" t="s">
        <v>4980</v>
      </c>
      <c r="G959" s="221"/>
      <c r="H959" s="251">
        <v>61000</v>
      </c>
      <c r="I959" s="221"/>
    </row>
    <row r="960" spans="1:9">
      <c r="A960" s="896"/>
      <c r="B960" s="896"/>
      <c r="C960" s="221" t="s">
        <v>4981</v>
      </c>
      <c r="D960" s="221" t="s">
        <v>2047</v>
      </c>
      <c r="E960" s="221"/>
      <c r="F960" s="221" t="s">
        <v>4982</v>
      </c>
      <c r="G960" s="221"/>
      <c r="H960" s="251">
        <v>3552</v>
      </c>
      <c r="I960" s="221"/>
    </row>
    <row r="961" spans="1:9">
      <c r="A961" s="896"/>
      <c r="B961" s="896"/>
      <c r="C961" s="221" t="s">
        <v>4983</v>
      </c>
      <c r="D961" s="221" t="s">
        <v>2047</v>
      </c>
      <c r="E961" s="221"/>
      <c r="F961" s="221" t="s">
        <v>4984</v>
      </c>
      <c r="G961" s="221"/>
      <c r="H961" s="251">
        <v>29058.719999999998</v>
      </c>
      <c r="I961" s="221"/>
    </row>
    <row r="962" spans="1:9">
      <c r="A962" s="896"/>
      <c r="B962" s="896"/>
      <c r="C962" s="221" t="s">
        <v>4985</v>
      </c>
      <c r="D962" s="221" t="s">
        <v>2047</v>
      </c>
      <c r="E962" s="221"/>
      <c r="F962" s="221" t="s">
        <v>4986</v>
      </c>
      <c r="G962" s="221"/>
      <c r="H962" s="251">
        <v>6828.02</v>
      </c>
      <c r="I962" s="221"/>
    </row>
    <row r="963" spans="1:9">
      <c r="A963" s="896"/>
      <c r="B963" s="896"/>
      <c r="C963" s="221" t="s">
        <v>4987</v>
      </c>
      <c r="D963" s="221" t="s">
        <v>2047</v>
      </c>
      <c r="E963" s="221"/>
      <c r="F963" s="221" t="s">
        <v>4988</v>
      </c>
      <c r="G963" s="221"/>
      <c r="H963" s="251">
        <v>690185.36</v>
      </c>
      <c r="I963" s="221"/>
    </row>
    <row r="964" spans="1:9">
      <c r="A964" s="896"/>
      <c r="B964" s="896"/>
      <c r="C964" s="221" t="s">
        <v>4989</v>
      </c>
      <c r="D964" s="221" t="s">
        <v>2047</v>
      </c>
      <c r="E964" s="221"/>
      <c r="F964" s="221" t="s">
        <v>4990</v>
      </c>
      <c r="G964" s="221"/>
      <c r="H964" s="251">
        <v>230887.58000000002</v>
      </c>
      <c r="I964" s="221"/>
    </row>
    <row r="965" spans="1:9">
      <c r="A965" s="896"/>
      <c r="B965" s="896"/>
      <c r="C965" s="221" t="s">
        <v>4991</v>
      </c>
      <c r="D965" s="221" t="s">
        <v>2047</v>
      </c>
      <c r="E965" s="221"/>
      <c r="F965" s="221" t="s">
        <v>4992</v>
      </c>
      <c r="G965" s="221"/>
      <c r="H965" s="251">
        <v>4093467.7</v>
      </c>
      <c r="I965" s="221"/>
    </row>
    <row r="966" spans="1:9">
      <c r="A966" s="896"/>
      <c r="B966" s="896"/>
      <c r="C966" s="221" t="s">
        <v>4991</v>
      </c>
      <c r="D966" s="221" t="s">
        <v>2047</v>
      </c>
      <c r="E966" s="221"/>
      <c r="F966" s="221" t="s">
        <v>4992</v>
      </c>
      <c r="G966" s="221"/>
      <c r="H966" s="251">
        <v>11535294.469999999</v>
      </c>
      <c r="I966" s="221"/>
    </row>
    <row r="967" spans="1:9">
      <c r="A967" s="896"/>
      <c r="B967" s="896"/>
      <c r="C967" s="221" t="s">
        <v>4993</v>
      </c>
      <c r="D967" s="221" t="s">
        <v>2047</v>
      </c>
      <c r="E967" s="221"/>
      <c r="F967" s="221" t="s">
        <v>4994</v>
      </c>
      <c r="G967" s="221"/>
      <c r="H967" s="251">
        <v>8296.66</v>
      </c>
      <c r="I967" s="221"/>
    </row>
    <row r="968" spans="1:9">
      <c r="A968" s="896"/>
      <c r="B968" s="896"/>
      <c r="C968" s="221" t="s">
        <v>4995</v>
      </c>
      <c r="D968" s="221" t="s">
        <v>2047</v>
      </c>
      <c r="E968" s="221"/>
      <c r="F968" s="221" t="s">
        <v>4996</v>
      </c>
      <c r="G968" s="221"/>
      <c r="H968" s="251">
        <v>54739.049999999981</v>
      </c>
      <c r="I968" s="221"/>
    </row>
    <row r="969" spans="1:9">
      <c r="A969" s="896"/>
      <c r="B969" s="896"/>
      <c r="C969" s="221" t="s">
        <v>4997</v>
      </c>
      <c r="D969" s="221" t="s">
        <v>2047</v>
      </c>
      <c r="E969" s="221"/>
      <c r="F969" s="221" t="s">
        <v>4998</v>
      </c>
      <c r="G969" s="221"/>
      <c r="H969" s="251">
        <v>71929.59</v>
      </c>
      <c r="I969" s="221"/>
    </row>
    <row r="970" spans="1:9">
      <c r="A970" s="896"/>
      <c r="B970" s="896"/>
      <c r="C970" s="221" t="s">
        <v>4999</v>
      </c>
      <c r="D970" s="221" t="s">
        <v>2047</v>
      </c>
      <c r="E970" s="221"/>
      <c r="F970" s="221" t="s">
        <v>5000</v>
      </c>
      <c r="G970" s="221"/>
      <c r="H970" s="251">
        <v>68951.34</v>
      </c>
      <c r="I970" s="221"/>
    </row>
    <row r="971" spans="1:9">
      <c r="A971" s="896"/>
      <c r="B971" s="896"/>
      <c r="C971" s="221" t="s">
        <v>5001</v>
      </c>
      <c r="D971" s="221" t="s">
        <v>2047</v>
      </c>
      <c r="E971" s="221"/>
      <c r="F971" s="221" t="s">
        <v>5002</v>
      </c>
      <c r="G971" s="221"/>
      <c r="H971" s="251">
        <v>646297.19999999995</v>
      </c>
      <c r="I971" s="221"/>
    </row>
    <row r="972" spans="1:9">
      <c r="A972" s="896"/>
      <c r="B972" s="896"/>
      <c r="C972" s="221" t="s">
        <v>5003</v>
      </c>
      <c r="D972" s="221" t="s">
        <v>2047</v>
      </c>
      <c r="E972" s="221"/>
      <c r="F972" s="221" t="s">
        <v>5004</v>
      </c>
      <c r="G972" s="221"/>
      <c r="H972" s="251">
        <v>30019.46</v>
      </c>
      <c r="I972" s="221"/>
    </row>
    <row r="973" spans="1:9">
      <c r="A973" s="896"/>
      <c r="B973" s="896"/>
      <c r="C973" s="221" t="s">
        <v>5005</v>
      </c>
      <c r="D973" s="221" t="s">
        <v>2047</v>
      </c>
      <c r="E973" s="221"/>
      <c r="F973" s="221" t="s">
        <v>5006</v>
      </c>
      <c r="G973" s="221"/>
      <c r="H973" s="251">
        <v>63882.94</v>
      </c>
      <c r="I973" s="221"/>
    </row>
    <row r="974" spans="1:9">
      <c r="A974" s="896"/>
      <c r="B974" s="896"/>
      <c r="C974" s="221" t="s">
        <v>5007</v>
      </c>
      <c r="D974" s="221" t="s">
        <v>2047</v>
      </c>
      <c r="E974" s="221"/>
      <c r="F974" s="221" t="s">
        <v>5008</v>
      </c>
      <c r="G974" s="221"/>
      <c r="H974" s="251">
        <v>720</v>
      </c>
      <c r="I974" s="221"/>
    </row>
    <row r="975" spans="1:9">
      <c r="A975" s="896"/>
      <c r="B975" s="896"/>
      <c r="C975" s="221" t="s">
        <v>5009</v>
      </c>
      <c r="D975" s="221" t="s">
        <v>2047</v>
      </c>
      <c r="E975" s="221"/>
      <c r="F975" s="221" t="s">
        <v>5010</v>
      </c>
      <c r="G975" s="221"/>
      <c r="H975" s="251">
        <v>33263.360000000001</v>
      </c>
      <c r="I975" s="221"/>
    </row>
    <row r="976" spans="1:9">
      <c r="A976" s="896"/>
      <c r="B976" s="896"/>
      <c r="C976" s="221" t="s">
        <v>5011</v>
      </c>
      <c r="D976" s="221" t="s">
        <v>2047</v>
      </c>
      <c r="E976" s="221"/>
      <c r="F976" s="221" t="s">
        <v>5012</v>
      </c>
      <c r="G976" s="221"/>
      <c r="H976" s="251">
        <v>9342</v>
      </c>
      <c r="I976" s="221"/>
    </row>
    <row r="977" spans="1:9">
      <c r="A977" s="896"/>
      <c r="B977" s="896"/>
      <c r="C977" s="221" t="s">
        <v>5013</v>
      </c>
      <c r="D977" s="221" t="s">
        <v>2047</v>
      </c>
      <c r="E977" s="221"/>
      <c r="F977" s="221" t="s">
        <v>5014</v>
      </c>
      <c r="G977" s="221"/>
      <c r="H977" s="251">
        <v>884414.53999999992</v>
      </c>
      <c r="I977" s="221"/>
    </row>
    <row r="978" spans="1:9">
      <c r="A978" s="896"/>
      <c r="B978" s="896"/>
      <c r="C978" s="221" t="s">
        <v>5015</v>
      </c>
      <c r="D978" s="221" t="s">
        <v>2047</v>
      </c>
      <c r="E978" s="221"/>
      <c r="F978" s="221" t="s">
        <v>5016</v>
      </c>
      <c r="G978" s="221"/>
      <c r="H978" s="251">
        <v>335673.71</v>
      </c>
      <c r="I978" s="221"/>
    </row>
    <row r="979" spans="1:9">
      <c r="A979" s="896"/>
      <c r="B979" s="896"/>
      <c r="C979" s="221" t="s">
        <v>5017</v>
      </c>
      <c r="D979" s="221" t="s">
        <v>2047</v>
      </c>
      <c r="E979" s="221"/>
      <c r="F979" s="221" t="s">
        <v>5018</v>
      </c>
      <c r="G979" s="221"/>
      <c r="H979" s="251">
        <v>503534.96</v>
      </c>
      <c r="I979" s="221"/>
    </row>
    <row r="980" spans="1:9">
      <c r="A980" s="896"/>
      <c r="B980" s="896"/>
      <c r="C980" s="221" t="s">
        <v>5019</v>
      </c>
      <c r="D980" s="221" t="s">
        <v>2047</v>
      </c>
      <c r="E980" s="221" t="s">
        <v>575</v>
      </c>
      <c r="F980" s="221" t="s">
        <v>5020</v>
      </c>
      <c r="G980" s="221"/>
      <c r="H980" s="251">
        <v>933920.27999999991</v>
      </c>
      <c r="I980" s="221"/>
    </row>
    <row r="981" spans="1:9">
      <c r="A981" s="896"/>
      <c r="B981" s="896"/>
      <c r="C981" s="221" t="s">
        <v>5021</v>
      </c>
      <c r="D981" s="221" t="s">
        <v>2047</v>
      </c>
      <c r="E981" s="221"/>
      <c r="F981" s="221" t="s">
        <v>5022</v>
      </c>
      <c r="G981" s="221"/>
      <c r="H981" s="251">
        <v>61048.37</v>
      </c>
      <c r="I981" s="221"/>
    </row>
    <row r="982" spans="1:9">
      <c r="A982" s="896"/>
      <c r="B982" s="896"/>
      <c r="C982" s="221" t="s">
        <v>5023</v>
      </c>
      <c r="D982" s="221" t="s">
        <v>2047</v>
      </c>
      <c r="E982" s="221"/>
      <c r="F982" s="221" t="s">
        <v>5024</v>
      </c>
      <c r="G982" s="221"/>
      <c r="H982" s="251">
        <v>8931.64</v>
      </c>
      <c r="I982" s="221"/>
    </row>
    <row r="983" spans="1:9">
      <c r="A983" s="896"/>
      <c r="B983" s="896"/>
      <c r="C983" s="221" t="s">
        <v>5025</v>
      </c>
      <c r="D983" s="221" t="s">
        <v>2047</v>
      </c>
      <c r="E983" s="221"/>
      <c r="F983" s="221" t="s">
        <v>5026</v>
      </c>
      <c r="G983" s="221"/>
      <c r="H983" s="251">
        <v>158799.73000000001</v>
      </c>
      <c r="I983" s="221"/>
    </row>
    <row r="984" spans="1:9">
      <c r="A984" s="896"/>
      <c r="B984" s="896"/>
      <c r="C984" s="221" t="s">
        <v>5027</v>
      </c>
      <c r="D984" s="221" t="s">
        <v>2047</v>
      </c>
      <c r="E984" s="221"/>
      <c r="F984" s="221" t="s">
        <v>5028</v>
      </c>
      <c r="G984" s="221"/>
      <c r="H984" s="251">
        <v>12440.76</v>
      </c>
      <c r="I984" s="221"/>
    </row>
    <row r="985" spans="1:9">
      <c r="A985" s="896"/>
      <c r="B985" s="896"/>
      <c r="C985" s="221" t="s">
        <v>5029</v>
      </c>
      <c r="D985" s="221" t="s">
        <v>2047</v>
      </c>
      <c r="E985" s="221"/>
      <c r="F985" s="221" t="s">
        <v>5030</v>
      </c>
      <c r="G985" s="221"/>
      <c r="H985" s="251">
        <v>5123.63</v>
      </c>
      <c r="I985" s="221"/>
    </row>
    <row r="986" spans="1:9">
      <c r="A986" s="896"/>
      <c r="B986" s="896"/>
      <c r="C986" s="221" t="s">
        <v>5031</v>
      </c>
      <c r="D986" s="221" t="s">
        <v>2047</v>
      </c>
      <c r="E986" s="221"/>
      <c r="F986" s="221" t="s">
        <v>5032</v>
      </c>
      <c r="G986" s="221"/>
      <c r="H986" s="251">
        <v>16052.130000000001</v>
      </c>
      <c r="I986" s="221"/>
    </row>
    <row r="987" spans="1:9">
      <c r="A987" s="896"/>
      <c r="B987" s="896"/>
      <c r="C987" s="221" t="s">
        <v>5033</v>
      </c>
      <c r="D987" s="221" t="s">
        <v>2047</v>
      </c>
      <c r="E987" s="221"/>
      <c r="F987" s="221" t="s">
        <v>5034</v>
      </c>
      <c r="G987" s="221"/>
      <c r="H987" s="251">
        <v>19383.11</v>
      </c>
      <c r="I987" s="221"/>
    </row>
    <row r="988" spans="1:9">
      <c r="A988" s="896"/>
      <c r="B988" s="896"/>
      <c r="C988" s="221" t="s">
        <v>5035</v>
      </c>
      <c r="D988" s="221" t="s">
        <v>2047</v>
      </c>
      <c r="E988" s="221"/>
      <c r="F988" s="221" t="s">
        <v>5036</v>
      </c>
      <c r="G988" s="221"/>
      <c r="H988" s="251">
        <v>189988.75</v>
      </c>
      <c r="I988" s="221"/>
    </row>
    <row r="989" spans="1:9">
      <c r="A989" s="896"/>
      <c r="B989" s="896"/>
      <c r="C989" s="221" t="s">
        <v>5037</v>
      </c>
      <c r="D989" s="221" t="s">
        <v>2047</v>
      </c>
      <c r="E989" s="221"/>
      <c r="F989" s="221" t="s">
        <v>5038</v>
      </c>
      <c r="G989" s="221"/>
      <c r="H989" s="251">
        <v>12929.74</v>
      </c>
      <c r="I989" s="221"/>
    </row>
    <row r="990" spans="1:9">
      <c r="A990" s="896"/>
      <c r="B990" s="896"/>
      <c r="C990" s="221" t="s">
        <v>5039</v>
      </c>
      <c r="D990" s="221" t="s">
        <v>2047</v>
      </c>
      <c r="E990" s="221"/>
      <c r="F990" s="221" t="s">
        <v>5040</v>
      </c>
      <c r="G990" s="221"/>
      <c r="H990" s="251">
        <v>8406.83</v>
      </c>
      <c r="I990" s="221"/>
    </row>
    <row r="991" spans="1:9">
      <c r="A991" s="896"/>
      <c r="B991" s="896"/>
      <c r="C991" s="221" t="s">
        <v>5041</v>
      </c>
      <c r="D991" s="221" t="s">
        <v>2047</v>
      </c>
      <c r="E991" s="221"/>
      <c r="F991" s="221" t="s">
        <v>5042</v>
      </c>
      <c r="G991" s="221"/>
      <c r="H991" s="251">
        <v>408770.23000000004</v>
      </c>
      <c r="I991" s="221"/>
    </row>
    <row r="992" spans="1:9">
      <c r="A992" s="896"/>
      <c r="B992" s="896"/>
      <c r="C992" s="221" t="s">
        <v>5043</v>
      </c>
      <c r="D992" s="221" t="s">
        <v>2047</v>
      </c>
      <c r="E992" s="221"/>
      <c r="F992" s="221" t="s">
        <v>5044</v>
      </c>
      <c r="G992" s="221"/>
      <c r="H992" s="251">
        <v>4895.8900000000003</v>
      </c>
      <c r="I992" s="221"/>
    </row>
    <row r="993" spans="1:9">
      <c r="A993" s="896"/>
      <c r="B993" s="896"/>
      <c r="C993" s="221" t="s">
        <v>5045</v>
      </c>
      <c r="D993" s="221" t="s">
        <v>2047</v>
      </c>
      <c r="E993" s="221"/>
      <c r="F993" s="221" t="s">
        <v>5046</v>
      </c>
      <c r="G993" s="221"/>
      <c r="H993" s="251">
        <v>90000.72</v>
      </c>
      <c r="I993" s="221"/>
    </row>
    <row r="994" spans="1:9">
      <c r="A994" s="896"/>
      <c r="B994" s="896"/>
      <c r="C994" s="221" t="s">
        <v>5047</v>
      </c>
      <c r="D994" s="221" t="s">
        <v>2047</v>
      </c>
      <c r="E994" s="221"/>
      <c r="F994" s="221" t="s">
        <v>5048</v>
      </c>
      <c r="G994" s="221"/>
      <c r="H994" s="251">
        <v>29381.93</v>
      </c>
      <c r="I994" s="221"/>
    </row>
    <row r="995" spans="1:9">
      <c r="A995" s="896"/>
      <c r="B995" s="896"/>
      <c r="C995" s="221" t="s">
        <v>5049</v>
      </c>
      <c r="D995" s="221" t="s">
        <v>2047</v>
      </c>
      <c r="E995" s="221"/>
      <c r="F995" s="221" t="s">
        <v>5050</v>
      </c>
      <c r="G995" s="221"/>
      <c r="H995" s="251">
        <v>66.97</v>
      </c>
      <c r="I995" s="221"/>
    </row>
    <row r="996" spans="1:9">
      <c r="A996" s="896"/>
      <c r="B996" s="896"/>
      <c r="C996" s="221" t="s">
        <v>5051</v>
      </c>
      <c r="D996" s="221" t="s">
        <v>2047</v>
      </c>
      <c r="E996" s="221"/>
      <c r="F996" s="221" t="s">
        <v>5052</v>
      </c>
      <c r="G996" s="221"/>
      <c r="H996" s="251">
        <v>684935.97000000009</v>
      </c>
      <c r="I996" s="221"/>
    </row>
    <row r="997" spans="1:9">
      <c r="A997" s="896"/>
      <c r="B997" s="896"/>
      <c r="C997" s="221" t="s">
        <v>5053</v>
      </c>
      <c r="D997" s="221" t="s">
        <v>2047</v>
      </c>
      <c r="E997" s="221"/>
      <c r="F997" s="221" t="s">
        <v>5054</v>
      </c>
      <c r="G997" s="221"/>
      <c r="H997" s="251">
        <v>345846.12</v>
      </c>
      <c r="I997" s="221"/>
    </row>
    <row r="998" spans="1:9">
      <c r="A998" s="896"/>
      <c r="B998" s="896"/>
      <c r="C998" s="221" t="s">
        <v>5055</v>
      </c>
      <c r="D998" s="221" t="s">
        <v>2047</v>
      </c>
      <c r="E998" s="221"/>
      <c r="F998" s="221" t="s">
        <v>5056</v>
      </c>
      <c r="G998" s="221"/>
      <c r="H998" s="251">
        <v>30444.55</v>
      </c>
      <c r="I998" s="221"/>
    </row>
    <row r="999" spans="1:9">
      <c r="A999" s="896"/>
      <c r="B999" s="896"/>
      <c r="C999" s="221" t="s">
        <v>5057</v>
      </c>
      <c r="D999" s="221" t="s">
        <v>2047</v>
      </c>
      <c r="E999" s="221"/>
      <c r="F999" s="221" t="s">
        <v>5058</v>
      </c>
      <c r="G999" s="221"/>
      <c r="H999" s="251">
        <v>27850</v>
      </c>
      <c r="I999" s="221"/>
    </row>
    <row r="1000" spans="1:9">
      <c r="A1000" s="896"/>
      <c r="B1000" s="896"/>
      <c r="C1000" s="221" t="s">
        <v>5059</v>
      </c>
      <c r="D1000" s="221" t="s">
        <v>2047</v>
      </c>
      <c r="E1000" s="221"/>
      <c r="F1000" s="221" t="s">
        <v>5060</v>
      </c>
      <c r="G1000" s="221"/>
      <c r="H1000" s="251">
        <v>284150.91000000003</v>
      </c>
      <c r="I1000" s="221"/>
    </row>
    <row r="1001" spans="1:9">
      <c r="A1001" s="896"/>
      <c r="B1001" s="896"/>
      <c r="C1001" s="221" t="s">
        <v>5061</v>
      </c>
      <c r="D1001" s="221" t="s">
        <v>2047</v>
      </c>
      <c r="E1001" s="221"/>
      <c r="F1001" s="221" t="s">
        <v>5062</v>
      </c>
      <c r="G1001" s="221"/>
      <c r="H1001" s="251">
        <v>163204.21999999997</v>
      </c>
      <c r="I1001" s="221"/>
    </row>
    <row r="1002" spans="1:9">
      <c r="A1002" s="896"/>
      <c r="B1002" s="896"/>
      <c r="C1002" s="221" t="s">
        <v>5063</v>
      </c>
      <c r="D1002" s="221" t="s">
        <v>2047</v>
      </c>
      <c r="E1002" s="221"/>
      <c r="F1002" s="221" t="s">
        <v>5064</v>
      </c>
      <c r="G1002" s="221"/>
      <c r="H1002" s="251">
        <v>942017.31</v>
      </c>
      <c r="I1002" s="221"/>
    </row>
    <row r="1003" spans="1:9">
      <c r="A1003" s="896"/>
      <c r="B1003" s="896"/>
      <c r="C1003" s="221" t="s">
        <v>5065</v>
      </c>
      <c r="D1003" s="221" t="s">
        <v>2047</v>
      </c>
      <c r="E1003" s="221"/>
      <c r="F1003" s="221" t="s">
        <v>5066</v>
      </c>
      <c r="G1003" s="221"/>
      <c r="H1003" s="251">
        <v>126164.21999999999</v>
      </c>
      <c r="I1003" s="221"/>
    </row>
    <row r="1004" spans="1:9">
      <c r="A1004" s="896"/>
      <c r="B1004" s="896"/>
      <c r="C1004" s="221" t="s">
        <v>5067</v>
      </c>
      <c r="D1004" s="221" t="s">
        <v>2047</v>
      </c>
      <c r="E1004" s="221"/>
      <c r="F1004" s="221" t="s">
        <v>5068</v>
      </c>
      <c r="G1004" s="221"/>
      <c r="H1004" s="251">
        <v>7768.87</v>
      </c>
      <c r="I1004" s="221"/>
    </row>
    <row r="1005" spans="1:9">
      <c r="A1005" s="896"/>
      <c r="B1005" s="896"/>
      <c r="C1005" s="221" t="s">
        <v>5069</v>
      </c>
      <c r="D1005" s="221" t="s">
        <v>2047</v>
      </c>
      <c r="E1005" s="221"/>
      <c r="F1005" s="221" t="s">
        <v>5070</v>
      </c>
      <c r="G1005" s="221"/>
      <c r="H1005" s="251">
        <v>26908.850000000002</v>
      </c>
      <c r="I1005" s="221"/>
    </row>
    <row r="1006" spans="1:9">
      <c r="A1006" s="896"/>
      <c r="B1006" s="896"/>
      <c r="C1006" s="221" t="s">
        <v>5071</v>
      </c>
      <c r="D1006" s="221" t="s">
        <v>2047</v>
      </c>
      <c r="E1006" s="221"/>
      <c r="F1006" s="221" t="s">
        <v>5072</v>
      </c>
      <c r="G1006" s="221"/>
      <c r="H1006" s="251">
        <v>524860</v>
      </c>
      <c r="I1006" s="221"/>
    </row>
    <row r="1007" spans="1:9">
      <c r="A1007" s="896"/>
      <c r="B1007" s="896"/>
      <c r="C1007" s="221" t="s">
        <v>5073</v>
      </c>
      <c r="D1007" s="221" t="s">
        <v>2047</v>
      </c>
      <c r="E1007" s="221"/>
      <c r="F1007" s="221" t="s">
        <v>5074</v>
      </c>
      <c r="G1007" s="221"/>
      <c r="H1007" s="251">
        <v>47180.04</v>
      </c>
      <c r="I1007" s="221"/>
    </row>
    <row r="1008" spans="1:9">
      <c r="A1008" s="896"/>
      <c r="B1008" s="896"/>
      <c r="C1008" s="221" t="s">
        <v>5075</v>
      </c>
      <c r="D1008" s="221" t="s">
        <v>2047</v>
      </c>
      <c r="E1008" s="221"/>
      <c r="F1008" s="221" t="s">
        <v>5076</v>
      </c>
      <c r="G1008" s="221"/>
      <c r="H1008" s="251">
        <v>9040</v>
      </c>
      <c r="I1008" s="221"/>
    </row>
    <row r="1009" spans="1:9">
      <c r="A1009" s="896"/>
      <c r="B1009" s="896"/>
      <c r="C1009" s="221" t="s">
        <v>5077</v>
      </c>
      <c r="D1009" s="221" t="s">
        <v>2047</v>
      </c>
      <c r="E1009" s="221"/>
      <c r="F1009" s="221" t="s">
        <v>5078</v>
      </c>
      <c r="G1009" s="221"/>
      <c r="H1009" s="251">
        <v>27985.91</v>
      </c>
      <c r="I1009" s="221"/>
    </row>
    <row r="1010" spans="1:9">
      <c r="A1010" s="896"/>
      <c r="B1010" s="896"/>
      <c r="C1010" s="221" t="s">
        <v>5079</v>
      </c>
      <c r="D1010" s="221" t="s">
        <v>2047</v>
      </c>
      <c r="E1010" s="221"/>
      <c r="F1010" s="221" t="s">
        <v>5080</v>
      </c>
      <c r="G1010" s="221"/>
      <c r="H1010" s="251">
        <v>8256</v>
      </c>
      <c r="I1010" s="221"/>
    </row>
    <row r="1011" spans="1:9">
      <c r="A1011" s="896"/>
      <c r="B1011" s="896"/>
      <c r="C1011" s="221" t="s">
        <v>5081</v>
      </c>
      <c r="D1011" s="221" t="s">
        <v>2047</v>
      </c>
      <c r="E1011" s="221"/>
      <c r="F1011" s="221" t="s">
        <v>5082</v>
      </c>
      <c r="G1011" s="221"/>
      <c r="H1011" s="251">
        <v>860.42</v>
      </c>
      <c r="I1011" s="221"/>
    </row>
    <row r="1012" spans="1:9">
      <c r="A1012" s="896"/>
      <c r="B1012" s="896"/>
      <c r="C1012" s="221" t="s">
        <v>5083</v>
      </c>
      <c r="D1012" s="221" t="s">
        <v>2047</v>
      </c>
      <c r="E1012" s="221"/>
      <c r="F1012" s="221" t="s">
        <v>5084</v>
      </c>
      <c r="G1012" s="221"/>
      <c r="H1012" s="251">
        <v>36040.29</v>
      </c>
      <c r="I1012" s="221"/>
    </row>
    <row r="1013" spans="1:9">
      <c r="A1013" s="896"/>
      <c r="B1013" s="896"/>
      <c r="C1013" s="221" t="s">
        <v>5085</v>
      </c>
      <c r="D1013" s="221" t="s">
        <v>2047</v>
      </c>
      <c r="E1013" s="221"/>
      <c r="F1013" s="221" t="s">
        <v>5086</v>
      </c>
      <c r="G1013" s="221"/>
      <c r="H1013" s="251">
        <v>271700.45</v>
      </c>
      <c r="I1013" s="221"/>
    </row>
    <row r="1014" spans="1:9">
      <c r="A1014" s="896"/>
      <c r="B1014" s="896"/>
      <c r="C1014" s="221" t="s">
        <v>5087</v>
      </c>
      <c r="D1014" s="221" t="s">
        <v>2047</v>
      </c>
      <c r="E1014" s="221"/>
      <c r="F1014" s="221" t="s">
        <v>5088</v>
      </c>
      <c r="G1014" s="221"/>
      <c r="H1014" s="251">
        <v>21148.010000000002</v>
      </c>
      <c r="I1014" s="221"/>
    </row>
    <row r="1015" spans="1:9">
      <c r="A1015" s="896"/>
      <c r="B1015" s="896"/>
      <c r="C1015" s="221" t="s">
        <v>5089</v>
      </c>
      <c r="D1015" s="221" t="s">
        <v>2047</v>
      </c>
      <c r="E1015" s="221"/>
      <c r="F1015" s="221" t="s">
        <v>5090</v>
      </c>
      <c r="G1015" s="221"/>
      <c r="H1015" s="251">
        <v>2372763.4500000002</v>
      </c>
      <c r="I1015" s="221"/>
    </row>
    <row r="1016" spans="1:9">
      <c r="A1016" s="896"/>
      <c r="B1016" s="896"/>
      <c r="C1016" s="221" t="s">
        <v>5091</v>
      </c>
      <c r="D1016" s="221" t="s">
        <v>2047</v>
      </c>
      <c r="E1016" s="221"/>
      <c r="F1016" s="221" t="s">
        <v>5092</v>
      </c>
      <c r="G1016" s="221"/>
      <c r="H1016" s="251">
        <v>53561.02</v>
      </c>
      <c r="I1016" s="221"/>
    </row>
    <row r="1017" spans="1:9">
      <c r="A1017" s="896"/>
      <c r="B1017" s="896"/>
      <c r="C1017" s="221" t="s">
        <v>5093</v>
      </c>
      <c r="D1017" s="221" t="s">
        <v>2047</v>
      </c>
      <c r="E1017" s="221"/>
      <c r="F1017" s="221" t="s">
        <v>5094</v>
      </c>
      <c r="G1017" s="221"/>
      <c r="H1017" s="251">
        <v>9460602.6499999985</v>
      </c>
      <c r="I1017" s="221"/>
    </row>
    <row r="1018" spans="1:9">
      <c r="A1018" s="896"/>
      <c r="B1018" s="896"/>
      <c r="C1018" s="221" t="s">
        <v>5095</v>
      </c>
      <c r="D1018" s="221" t="s">
        <v>2047</v>
      </c>
      <c r="E1018" s="221"/>
      <c r="F1018" s="221" t="s">
        <v>5096</v>
      </c>
      <c r="G1018" s="221"/>
      <c r="H1018" s="251">
        <v>25651.940000000006</v>
      </c>
      <c r="I1018" s="221"/>
    </row>
    <row r="1019" spans="1:9">
      <c r="A1019" s="896"/>
      <c r="B1019" s="896"/>
      <c r="C1019" s="221" t="s">
        <v>5097</v>
      </c>
      <c r="D1019" s="221" t="s">
        <v>2047</v>
      </c>
      <c r="E1019" s="221"/>
      <c r="F1019" s="221" t="s">
        <v>5098</v>
      </c>
      <c r="G1019" s="221"/>
      <c r="H1019" s="251">
        <v>12526.19</v>
      </c>
      <c r="I1019" s="221"/>
    </row>
    <row r="1020" spans="1:9">
      <c r="A1020" s="896"/>
      <c r="B1020" s="896"/>
      <c r="C1020" s="221" t="s">
        <v>5099</v>
      </c>
      <c r="D1020" s="221" t="s">
        <v>2047</v>
      </c>
      <c r="E1020" s="221"/>
      <c r="F1020" s="221" t="s">
        <v>5100</v>
      </c>
      <c r="G1020" s="221"/>
      <c r="H1020" s="251">
        <v>1137071.46</v>
      </c>
      <c r="I1020" s="221"/>
    </row>
    <row r="1021" spans="1:9">
      <c r="A1021" s="896"/>
      <c r="B1021" s="896"/>
      <c r="C1021" s="221" t="s">
        <v>5101</v>
      </c>
      <c r="D1021" s="221" t="s">
        <v>2047</v>
      </c>
      <c r="E1021" s="221"/>
      <c r="F1021" s="221" t="s">
        <v>5102</v>
      </c>
      <c r="G1021" s="221"/>
      <c r="H1021" s="251">
        <v>74604</v>
      </c>
      <c r="I1021" s="221"/>
    </row>
    <row r="1022" spans="1:9">
      <c r="A1022" s="896"/>
      <c r="B1022" s="896"/>
      <c r="C1022" s="221" t="s">
        <v>5103</v>
      </c>
      <c r="D1022" s="221" t="s">
        <v>2047</v>
      </c>
      <c r="E1022" s="221"/>
      <c r="F1022" s="221" t="s">
        <v>5104</v>
      </c>
      <c r="G1022" s="221"/>
      <c r="H1022" s="251">
        <v>1352.4900000000002</v>
      </c>
      <c r="I1022" s="221"/>
    </row>
    <row r="1023" spans="1:9">
      <c r="A1023" s="896"/>
      <c r="B1023" s="896"/>
      <c r="C1023" s="221" t="s">
        <v>5105</v>
      </c>
      <c r="D1023" s="221" t="s">
        <v>2047</v>
      </c>
      <c r="E1023" s="221"/>
      <c r="F1023" s="221" t="s">
        <v>5106</v>
      </c>
      <c r="G1023" s="221"/>
      <c r="H1023" s="251">
        <v>5965</v>
      </c>
      <c r="I1023" s="221"/>
    </row>
    <row r="1024" spans="1:9">
      <c r="A1024" s="896"/>
      <c r="B1024" s="896"/>
      <c r="C1024" s="221" t="s">
        <v>5107</v>
      </c>
      <c r="D1024" s="221" t="s">
        <v>2047</v>
      </c>
      <c r="E1024" s="221"/>
      <c r="F1024" s="221" t="s">
        <v>5108</v>
      </c>
      <c r="G1024" s="221"/>
      <c r="H1024" s="251">
        <v>12867.099999999999</v>
      </c>
      <c r="I1024" s="221"/>
    </row>
    <row r="1025" spans="1:9">
      <c r="A1025" s="896"/>
      <c r="B1025" s="896"/>
      <c r="C1025" s="221" t="s">
        <v>5109</v>
      </c>
      <c r="D1025" s="221" t="s">
        <v>2047</v>
      </c>
      <c r="E1025" s="221"/>
      <c r="F1025" s="221" t="s">
        <v>5110</v>
      </c>
      <c r="G1025" s="221"/>
      <c r="H1025" s="251">
        <v>4287.03</v>
      </c>
      <c r="I1025" s="221"/>
    </row>
    <row r="1026" spans="1:9">
      <c r="A1026" s="896"/>
      <c r="B1026" s="896"/>
      <c r="C1026" s="221" t="s">
        <v>5111</v>
      </c>
      <c r="D1026" s="221" t="s">
        <v>2047</v>
      </c>
      <c r="E1026" s="221"/>
      <c r="F1026" s="221" t="s">
        <v>5112</v>
      </c>
      <c r="G1026" s="221"/>
      <c r="H1026" s="251">
        <v>146894.90000000002</v>
      </c>
      <c r="I1026" s="221"/>
    </row>
    <row r="1027" spans="1:9">
      <c r="A1027" s="896"/>
      <c r="B1027" s="896"/>
      <c r="C1027" s="221" t="s">
        <v>5113</v>
      </c>
      <c r="D1027" s="221" t="s">
        <v>2047</v>
      </c>
      <c r="E1027" s="221"/>
      <c r="F1027" s="221" t="s">
        <v>5114</v>
      </c>
      <c r="G1027" s="221"/>
      <c r="H1027" s="251">
        <v>814.81</v>
      </c>
      <c r="I1027" s="221"/>
    </row>
    <row r="1028" spans="1:9">
      <c r="A1028" s="896"/>
      <c r="B1028" s="896"/>
      <c r="C1028" s="221" t="s">
        <v>5115</v>
      </c>
      <c r="D1028" s="221" t="s">
        <v>2047</v>
      </c>
      <c r="E1028" s="221"/>
      <c r="F1028" s="221" t="s">
        <v>5116</v>
      </c>
      <c r="G1028" s="221"/>
      <c r="H1028" s="251">
        <v>27911</v>
      </c>
      <c r="I1028" s="221"/>
    </row>
    <row r="1029" spans="1:9">
      <c r="A1029" s="896"/>
      <c r="B1029" s="896"/>
      <c r="C1029" s="221" t="s">
        <v>5117</v>
      </c>
      <c r="D1029" s="221" t="s">
        <v>2047</v>
      </c>
      <c r="E1029" s="221"/>
      <c r="F1029" s="221" t="s">
        <v>5118</v>
      </c>
      <c r="G1029" s="221"/>
      <c r="H1029" s="251">
        <v>42304.31</v>
      </c>
      <c r="I1029" s="221"/>
    </row>
    <row r="1030" spans="1:9">
      <c r="A1030" s="896"/>
      <c r="B1030" s="896"/>
      <c r="C1030" s="221" t="s">
        <v>5119</v>
      </c>
      <c r="D1030" s="221" t="s">
        <v>2047</v>
      </c>
      <c r="E1030" s="221"/>
      <c r="F1030" s="221" t="s">
        <v>5120</v>
      </c>
      <c r="G1030" s="221"/>
      <c r="H1030" s="251">
        <v>417456.87</v>
      </c>
      <c r="I1030" s="221"/>
    </row>
    <row r="1031" spans="1:9">
      <c r="A1031" s="896"/>
      <c r="B1031" s="896"/>
      <c r="C1031" s="221" t="s">
        <v>929</v>
      </c>
      <c r="D1031" s="221" t="s">
        <v>2047</v>
      </c>
      <c r="E1031" s="221"/>
      <c r="F1031" s="221" t="s">
        <v>5121</v>
      </c>
      <c r="G1031" s="221"/>
      <c r="H1031" s="251">
        <v>65230.749999999993</v>
      </c>
      <c r="I1031" s="221"/>
    </row>
    <row r="1032" spans="1:9">
      <c r="A1032" s="896"/>
      <c r="B1032" s="896"/>
      <c r="C1032" s="221" t="s">
        <v>5122</v>
      </c>
      <c r="D1032" s="221" t="s">
        <v>2047</v>
      </c>
      <c r="E1032" s="221"/>
      <c r="F1032" s="221" t="s">
        <v>5123</v>
      </c>
      <c r="G1032" s="221"/>
      <c r="H1032" s="251">
        <v>5399.18</v>
      </c>
      <c r="I1032" s="221"/>
    </row>
    <row r="1033" spans="1:9">
      <c r="A1033" s="896"/>
      <c r="B1033" s="896"/>
      <c r="C1033" s="221" t="s">
        <v>5124</v>
      </c>
      <c r="D1033" s="221" t="s">
        <v>2047</v>
      </c>
      <c r="E1033" s="221" t="s">
        <v>575</v>
      </c>
      <c r="F1033" s="221" t="s">
        <v>5125</v>
      </c>
      <c r="G1033" s="221"/>
      <c r="H1033" s="251">
        <v>14951625.369999999</v>
      </c>
      <c r="I1033" s="221"/>
    </row>
    <row r="1034" spans="1:9">
      <c r="A1034" s="896"/>
      <c r="B1034" s="896"/>
      <c r="C1034" s="221" t="s">
        <v>5126</v>
      </c>
      <c r="D1034" s="221" t="s">
        <v>2047</v>
      </c>
      <c r="E1034" s="221"/>
      <c r="F1034" s="221" t="s">
        <v>5127</v>
      </c>
      <c r="G1034" s="221"/>
      <c r="H1034" s="251">
        <v>104013</v>
      </c>
      <c r="I1034" s="221"/>
    </row>
    <row r="1035" spans="1:9">
      <c r="A1035" s="896"/>
      <c r="B1035" s="896"/>
      <c r="C1035" s="221" t="s">
        <v>5128</v>
      </c>
      <c r="D1035" s="221" t="s">
        <v>2047</v>
      </c>
      <c r="E1035" s="221"/>
      <c r="F1035" s="221" t="s">
        <v>5129</v>
      </c>
      <c r="G1035" s="221"/>
      <c r="H1035" s="251">
        <v>21582.11</v>
      </c>
      <c r="I1035" s="221"/>
    </row>
    <row r="1036" spans="1:9">
      <c r="A1036" s="896"/>
      <c r="B1036" s="896"/>
      <c r="C1036" s="221" t="s">
        <v>5130</v>
      </c>
      <c r="D1036" s="221" t="s">
        <v>2047</v>
      </c>
      <c r="E1036" s="221"/>
      <c r="F1036" s="221" t="s">
        <v>5131</v>
      </c>
      <c r="G1036" s="221"/>
      <c r="H1036" s="251">
        <v>33300</v>
      </c>
      <c r="I1036" s="221"/>
    </row>
    <row r="1037" spans="1:9">
      <c r="A1037" s="896"/>
      <c r="B1037" s="896"/>
      <c r="C1037" s="221" t="s">
        <v>5132</v>
      </c>
      <c r="D1037" s="221" t="s">
        <v>2047</v>
      </c>
      <c r="E1037" s="221"/>
      <c r="F1037" s="221" t="s">
        <v>5133</v>
      </c>
      <c r="G1037" s="221"/>
      <c r="H1037" s="251">
        <v>37793.17</v>
      </c>
      <c r="I1037" s="221"/>
    </row>
    <row r="1038" spans="1:9">
      <c r="A1038" s="896"/>
      <c r="B1038" s="896"/>
      <c r="C1038" s="221" t="s">
        <v>5134</v>
      </c>
      <c r="D1038" s="221" t="s">
        <v>2047</v>
      </c>
      <c r="E1038" s="221"/>
      <c r="F1038" s="221" t="s">
        <v>5135</v>
      </c>
      <c r="G1038" s="221"/>
      <c r="H1038" s="251">
        <v>869238.2</v>
      </c>
      <c r="I1038" s="221"/>
    </row>
    <row r="1039" spans="1:9">
      <c r="A1039" s="896"/>
      <c r="B1039" s="896"/>
      <c r="C1039" s="221" t="s">
        <v>5136</v>
      </c>
      <c r="D1039" s="221" t="s">
        <v>2047</v>
      </c>
      <c r="E1039" s="221"/>
      <c r="F1039" s="221" t="s">
        <v>5137</v>
      </c>
      <c r="G1039" s="221"/>
      <c r="H1039" s="251">
        <v>11101.18</v>
      </c>
      <c r="I1039" s="221"/>
    </row>
    <row r="1040" spans="1:9">
      <c r="A1040" s="896"/>
      <c r="B1040" s="896"/>
      <c r="C1040" s="221" t="s">
        <v>5138</v>
      </c>
      <c r="D1040" s="221" t="s">
        <v>2047</v>
      </c>
      <c r="E1040" s="221"/>
      <c r="F1040" s="221" t="s">
        <v>5139</v>
      </c>
      <c r="G1040" s="221"/>
      <c r="H1040" s="251">
        <v>37600</v>
      </c>
      <c r="I1040" s="221"/>
    </row>
    <row r="1041" spans="1:9">
      <c r="A1041" s="896"/>
      <c r="B1041" s="896"/>
      <c r="C1041" s="221" t="s">
        <v>5140</v>
      </c>
      <c r="D1041" s="221" t="s">
        <v>2047</v>
      </c>
      <c r="E1041" s="221"/>
      <c r="F1041" s="221" t="s">
        <v>5141</v>
      </c>
      <c r="G1041" s="221"/>
      <c r="H1041" s="251">
        <v>32765.559999999998</v>
      </c>
      <c r="I1041" s="221"/>
    </row>
    <row r="1042" spans="1:9">
      <c r="A1042" s="896"/>
      <c r="B1042" s="896"/>
      <c r="C1042" s="221" t="s">
        <v>5142</v>
      </c>
      <c r="D1042" s="221" t="s">
        <v>2047</v>
      </c>
      <c r="E1042" s="221"/>
      <c r="F1042" s="221" t="s">
        <v>5143</v>
      </c>
      <c r="G1042" s="221"/>
      <c r="H1042" s="251">
        <v>80549.679999999993</v>
      </c>
      <c r="I1042" s="221"/>
    </row>
    <row r="1043" spans="1:9">
      <c r="A1043" s="896"/>
      <c r="B1043" s="896"/>
      <c r="C1043" s="221" t="s">
        <v>5144</v>
      </c>
      <c r="D1043" s="221" t="s">
        <v>2047</v>
      </c>
      <c r="E1043" s="221"/>
      <c r="F1043" s="221" t="s">
        <v>5145</v>
      </c>
      <c r="G1043" s="221"/>
      <c r="H1043" s="251">
        <v>69700</v>
      </c>
      <c r="I1043" s="221"/>
    </row>
    <row r="1044" spans="1:9">
      <c r="A1044" s="896"/>
      <c r="B1044" s="896"/>
      <c r="C1044" s="221" t="s">
        <v>5146</v>
      </c>
      <c r="D1044" s="221" t="s">
        <v>2047</v>
      </c>
      <c r="E1044" s="221"/>
      <c r="F1044" s="221" t="s">
        <v>5147</v>
      </c>
      <c r="G1044" s="221"/>
      <c r="H1044" s="251">
        <v>62525</v>
      </c>
      <c r="I1044" s="221"/>
    </row>
    <row r="1045" spans="1:9">
      <c r="A1045" s="896"/>
      <c r="B1045" s="896"/>
      <c r="C1045" s="221" t="s">
        <v>5148</v>
      </c>
      <c r="D1045" s="221" t="s">
        <v>2047</v>
      </c>
      <c r="E1045" s="221" t="s">
        <v>575</v>
      </c>
      <c r="F1045" s="221" t="s">
        <v>5149</v>
      </c>
      <c r="G1045" s="221"/>
      <c r="H1045" s="251">
        <v>1279358.7400000005</v>
      </c>
      <c r="I1045" s="221"/>
    </row>
    <row r="1046" spans="1:9">
      <c r="A1046" s="896"/>
      <c r="B1046" s="896"/>
      <c r="C1046" s="221" t="s">
        <v>5150</v>
      </c>
      <c r="D1046" s="221" t="s">
        <v>2047</v>
      </c>
      <c r="E1046" s="221"/>
      <c r="F1046" s="221" t="s">
        <v>5151</v>
      </c>
      <c r="G1046" s="221"/>
      <c r="H1046" s="251">
        <v>8114.58</v>
      </c>
      <c r="I1046" s="221"/>
    </row>
    <row r="1047" spans="1:9">
      <c r="A1047" s="896"/>
      <c r="B1047" s="896"/>
      <c r="C1047" s="221" t="s">
        <v>5152</v>
      </c>
      <c r="D1047" s="221" t="s">
        <v>2047</v>
      </c>
      <c r="E1047" s="221"/>
      <c r="F1047" s="221" t="s">
        <v>5153</v>
      </c>
      <c r="G1047" s="221"/>
      <c r="H1047" s="251">
        <v>53840</v>
      </c>
      <c r="I1047" s="221"/>
    </row>
    <row r="1048" spans="1:9">
      <c r="A1048" s="896"/>
      <c r="B1048" s="896"/>
      <c r="C1048" s="221" t="s">
        <v>5154</v>
      </c>
      <c r="D1048" s="221" t="s">
        <v>2047</v>
      </c>
      <c r="E1048" s="221"/>
      <c r="F1048" s="221" t="s">
        <v>5155</v>
      </c>
      <c r="G1048" s="221"/>
      <c r="H1048" s="251">
        <v>15888.18</v>
      </c>
      <c r="I1048" s="221"/>
    </row>
    <row r="1049" spans="1:9">
      <c r="A1049" s="896"/>
      <c r="B1049" s="896"/>
      <c r="C1049" s="221" t="s">
        <v>5156</v>
      </c>
      <c r="D1049" s="221" t="s">
        <v>2047</v>
      </c>
      <c r="E1049" s="221"/>
      <c r="F1049" s="221" t="s">
        <v>5157</v>
      </c>
      <c r="G1049" s="221"/>
      <c r="H1049" s="251">
        <v>162057.75</v>
      </c>
      <c r="I1049" s="221"/>
    </row>
    <row r="1050" spans="1:9">
      <c r="A1050" s="896"/>
      <c r="B1050" s="896"/>
      <c r="C1050" s="221" t="s">
        <v>5158</v>
      </c>
      <c r="D1050" s="221" t="s">
        <v>2047</v>
      </c>
      <c r="E1050" s="221"/>
      <c r="F1050" s="221" t="s">
        <v>5159</v>
      </c>
      <c r="G1050" s="221"/>
      <c r="H1050" s="251">
        <v>3692.26</v>
      </c>
      <c r="I1050" s="221"/>
    </row>
    <row r="1051" spans="1:9">
      <c r="A1051" s="896"/>
      <c r="B1051" s="896"/>
      <c r="C1051" s="221" t="s">
        <v>5160</v>
      </c>
      <c r="D1051" s="221" t="s">
        <v>2047</v>
      </c>
      <c r="E1051" s="221"/>
      <c r="F1051" s="221" t="s">
        <v>5161</v>
      </c>
      <c r="G1051" s="221"/>
      <c r="H1051" s="251">
        <v>97817.38</v>
      </c>
      <c r="I1051" s="221"/>
    </row>
    <row r="1052" spans="1:9">
      <c r="A1052" s="896"/>
      <c r="B1052" s="896"/>
      <c r="C1052" s="221" t="s">
        <v>5162</v>
      </c>
      <c r="D1052" s="221" t="s">
        <v>2047</v>
      </c>
      <c r="E1052" s="221"/>
      <c r="F1052" s="221" t="s">
        <v>5163</v>
      </c>
      <c r="G1052" s="221"/>
      <c r="H1052" s="251">
        <v>46800</v>
      </c>
      <c r="I1052" s="221"/>
    </row>
    <row r="1053" spans="1:9">
      <c r="A1053" s="896"/>
      <c r="B1053" s="896"/>
      <c r="C1053" s="221" t="s">
        <v>5164</v>
      </c>
      <c r="D1053" s="221" t="s">
        <v>2047</v>
      </c>
      <c r="E1053" s="221"/>
      <c r="F1053" s="221" t="s">
        <v>5165</v>
      </c>
      <c r="G1053" s="221"/>
      <c r="H1053" s="251">
        <v>3532989.0199999996</v>
      </c>
      <c r="I1053" s="221"/>
    </row>
    <row r="1054" spans="1:9">
      <c r="A1054" s="896"/>
      <c r="B1054" s="896"/>
      <c r="C1054" s="221" t="s">
        <v>5166</v>
      </c>
      <c r="D1054" s="221" t="s">
        <v>2047</v>
      </c>
      <c r="E1054" s="221"/>
      <c r="F1054" s="221" t="s">
        <v>5167</v>
      </c>
      <c r="G1054" s="221"/>
      <c r="H1054" s="251">
        <v>1430.35</v>
      </c>
      <c r="I1054" s="221"/>
    </row>
    <row r="1055" spans="1:9">
      <c r="A1055" s="896"/>
      <c r="B1055" s="896"/>
      <c r="C1055" s="221" t="s">
        <v>5168</v>
      </c>
      <c r="D1055" s="221" t="s">
        <v>2047</v>
      </c>
      <c r="E1055" s="221"/>
      <c r="F1055" s="221" t="s">
        <v>5169</v>
      </c>
      <c r="G1055" s="221"/>
      <c r="H1055" s="251">
        <v>209164.97</v>
      </c>
      <c r="I1055" s="221"/>
    </row>
    <row r="1056" spans="1:9">
      <c r="A1056" s="896"/>
      <c r="B1056" s="896"/>
      <c r="C1056" s="221" t="s">
        <v>5170</v>
      </c>
      <c r="D1056" s="221" t="s">
        <v>2047</v>
      </c>
      <c r="E1056" s="221"/>
      <c r="F1056" s="221" t="s">
        <v>5171</v>
      </c>
      <c r="G1056" s="221"/>
      <c r="H1056" s="251">
        <v>12197.8</v>
      </c>
      <c r="I1056" s="221"/>
    </row>
    <row r="1057" spans="1:9">
      <c r="A1057" s="896"/>
      <c r="B1057" s="896"/>
      <c r="C1057" s="221" t="s">
        <v>5172</v>
      </c>
      <c r="D1057" s="221" t="s">
        <v>2047</v>
      </c>
      <c r="E1057" s="221"/>
      <c r="F1057" s="221" t="s">
        <v>5173</v>
      </c>
      <c r="G1057" s="221"/>
      <c r="H1057" s="251">
        <v>2447.9299999999998</v>
      </c>
      <c r="I1057" s="221"/>
    </row>
    <row r="1058" spans="1:9">
      <c r="A1058" s="896"/>
      <c r="B1058" s="896"/>
      <c r="C1058" s="221" t="s">
        <v>5174</v>
      </c>
      <c r="D1058" s="221" t="s">
        <v>2047</v>
      </c>
      <c r="E1058" s="221"/>
      <c r="F1058" s="221" t="s">
        <v>5175</v>
      </c>
      <c r="G1058" s="221"/>
      <c r="H1058" s="251">
        <v>7550</v>
      </c>
      <c r="I1058" s="221"/>
    </row>
    <row r="1059" spans="1:9">
      <c r="A1059" s="896"/>
      <c r="B1059" s="896"/>
      <c r="C1059" s="221" t="s">
        <v>5176</v>
      </c>
      <c r="D1059" s="221" t="s">
        <v>2047</v>
      </c>
      <c r="E1059" s="221"/>
      <c r="F1059" s="221" t="s">
        <v>5177</v>
      </c>
      <c r="G1059" s="221"/>
      <c r="H1059" s="251">
        <v>4292.93</v>
      </c>
      <c r="I1059" s="221"/>
    </row>
    <row r="1060" spans="1:9">
      <c r="A1060" s="896"/>
      <c r="B1060" s="896"/>
      <c r="C1060" s="221" t="s">
        <v>5178</v>
      </c>
      <c r="D1060" s="221" t="s">
        <v>2047</v>
      </c>
      <c r="E1060" s="221"/>
      <c r="F1060" s="221" t="s">
        <v>5179</v>
      </c>
      <c r="G1060" s="221"/>
      <c r="H1060" s="251">
        <v>51857.509999999995</v>
      </c>
      <c r="I1060" s="221"/>
    </row>
    <row r="1061" spans="1:9">
      <c r="A1061" s="896"/>
      <c r="B1061" s="896"/>
      <c r="C1061" s="221" t="s">
        <v>5180</v>
      </c>
      <c r="D1061" s="221" t="s">
        <v>2047</v>
      </c>
      <c r="E1061" s="221"/>
      <c r="F1061" s="221" t="s">
        <v>5181</v>
      </c>
      <c r="G1061" s="221"/>
      <c r="H1061" s="251">
        <v>9150</v>
      </c>
      <c r="I1061" s="221"/>
    </row>
    <row r="1062" spans="1:9">
      <c r="A1062" s="889">
        <v>10</v>
      </c>
      <c r="B1062" s="889" t="s">
        <v>578</v>
      </c>
      <c r="C1062" s="51" t="s">
        <v>2180</v>
      </c>
      <c r="D1062" s="51" t="s">
        <v>2047</v>
      </c>
      <c r="E1062" s="51"/>
      <c r="F1062" s="51" t="s">
        <v>847</v>
      </c>
      <c r="G1062" s="51">
        <v>1</v>
      </c>
      <c r="H1062" s="81" t="s">
        <v>1247</v>
      </c>
      <c r="I1062" s="51" t="s">
        <v>801</v>
      </c>
    </row>
    <row r="1063" spans="1:9">
      <c r="A1063" s="890"/>
      <c r="B1063" s="890"/>
      <c r="C1063" s="51" t="s">
        <v>2181</v>
      </c>
      <c r="D1063" s="51" t="s">
        <v>2047</v>
      </c>
      <c r="E1063" s="51"/>
      <c r="F1063" s="51" t="s">
        <v>847</v>
      </c>
      <c r="G1063" s="51">
        <v>1</v>
      </c>
      <c r="H1063" s="81" t="s">
        <v>1247</v>
      </c>
      <c r="I1063" s="51" t="s">
        <v>801</v>
      </c>
    </row>
    <row r="1064" spans="1:9">
      <c r="A1064" s="890"/>
      <c r="B1064" s="890"/>
      <c r="C1064" s="51" t="s">
        <v>2182</v>
      </c>
      <c r="D1064" s="51" t="s">
        <v>2049</v>
      </c>
      <c r="E1064" s="51"/>
      <c r="F1064" s="51" t="s">
        <v>847</v>
      </c>
      <c r="G1064" s="51">
        <v>1</v>
      </c>
      <c r="H1064" s="81" t="s">
        <v>1247</v>
      </c>
      <c r="I1064" s="51" t="s">
        <v>801</v>
      </c>
    </row>
    <row r="1065" spans="1:9">
      <c r="A1065" s="890"/>
      <c r="B1065" s="890"/>
      <c r="C1065" s="51" t="s">
        <v>2183</v>
      </c>
      <c r="D1065" s="51" t="s">
        <v>2049</v>
      </c>
      <c r="E1065" s="51"/>
      <c r="F1065" s="51" t="s">
        <v>2058</v>
      </c>
      <c r="G1065" s="51">
        <v>1</v>
      </c>
      <c r="H1065" s="81" t="s">
        <v>1247</v>
      </c>
      <c r="I1065" s="51" t="s">
        <v>801</v>
      </c>
    </row>
    <row r="1066" spans="1:9">
      <c r="A1066" s="890"/>
      <c r="B1066" s="890"/>
      <c r="C1066" s="51" t="s">
        <v>2184</v>
      </c>
      <c r="D1066" s="51" t="s">
        <v>2049</v>
      </c>
      <c r="E1066" s="51"/>
      <c r="F1066" s="51" t="s">
        <v>2058</v>
      </c>
      <c r="G1066" s="51">
        <v>1</v>
      </c>
      <c r="H1066" s="81" t="s">
        <v>1247</v>
      </c>
      <c r="I1066" s="51" t="s">
        <v>801</v>
      </c>
    </row>
    <row r="1067" spans="1:9">
      <c r="A1067" s="890"/>
      <c r="B1067" s="890"/>
      <c r="C1067" s="51" t="s">
        <v>2185</v>
      </c>
      <c r="D1067" s="51" t="s">
        <v>2047</v>
      </c>
      <c r="E1067" s="51"/>
      <c r="F1067" s="51" t="s">
        <v>847</v>
      </c>
      <c r="G1067" s="51">
        <v>1</v>
      </c>
      <c r="H1067" s="81" t="s">
        <v>1247</v>
      </c>
      <c r="I1067" s="51" t="s">
        <v>801</v>
      </c>
    </row>
    <row r="1068" spans="1:9">
      <c r="A1068" s="890"/>
      <c r="B1068" s="890"/>
      <c r="C1068" s="51" t="s">
        <v>2186</v>
      </c>
      <c r="D1068" s="51" t="s">
        <v>2049</v>
      </c>
      <c r="E1068" s="51"/>
      <c r="F1068" s="51" t="s">
        <v>2058</v>
      </c>
      <c r="G1068" s="51">
        <v>1</v>
      </c>
      <c r="H1068" s="81" t="s">
        <v>1247</v>
      </c>
      <c r="I1068" s="51" t="s">
        <v>801</v>
      </c>
    </row>
    <row r="1069" spans="1:9">
      <c r="A1069" s="891"/>
      <c r="B1069" s="891"/>
      <c r="C1069" s="51" t="s">
        <v>2187</v>
      </c>
      <c r="D1069" s="51" t="s">
        <v>2047</v>
      </c>
      <c r="E1069" s="51"/>
      <c r="F1069" s="51" t="s">
        <v>847</v>
      </c>
      <c r="G1069" s="51">
        <v>1</v>
      </c>
      <c r="H1069" s="81" t="s">
        <v>1247</v>
      </c>
      <c r="I1069" s="51" t="s">
        <v>801</v>
      </c>
    </row>
    <row r="1070" spans="1:9">
      <c r="A1070" s="892">
        <v>11</v>
      </c>
      <c r="B1070" s="892" t="s">
        <v>582</v>
      </c>
      <c r="C1070" s="221" t="s">
        <v>2188</v>
      </c>
      <c r="D1070" s="221" t="s">
        <v>2049</v>
      </c>
      <c r="E1070" s="221" t="s">
        <v>2189</v>
      </c>
      <c r="F1070" s="221"/>
      <c r="G1070" s="221">
        <v>1</v>
      </c>
      <c r="H1070" s="251" t="s">
        <v>1247</v>
      </c>
      <c r="I1070" s="221"/>
    </row>
    <row r="1071" spans="1:9">
      <c r="A1071" s="896"/>
      <c r="B1071" s="896"/>
      <c r="C1071" s="221" t="s">
        <v>2190</v>
      </c>
      <c r="D1071" s="221" t="s">
        <v>2049</v>
      </c>
      <c r="E1071" s="221" t="s">
        <v>2191</v>
      </c>
      <c r="F1071" s="221"/>
      <c r="G1071" s="221">
        <v>1</v>
      </c>
      <c r="H1071" s="251" t="s">
        <v>1247</v>
      </c>
      <c r="I1071" s="221"/>
    </row>
    <row r="1072" spans="1:9">
      <c r="A1072" s="896"/>
      <c r="B1072" s="896"/>
      <c r="C1072" s="221" t="s">
        <v>2192</v>
      </c>
      <c r="D1072" s="221" t="s">
        <v>2049</v>
      </c>
      <c r="E1072" s="221" t="s">
        <v>2193</v>
      </c>
      <c r="F1072" s="221"/>
      <c r="G1072" s="221">
        <v>1</v>
      </c>
      <c r="H1072" s="251" t="s">
        <v>1247</v>
      </c>
      <c r="I1072" s="221"/>
    </row>
    <row r="1073" spans="1:9">
      <c r="A1073" s="896"/>
      <c r="B1073" s="896"/>
      <c r="C1073" s="221" t="s">
        <v>2194</v>
      </c>
      <c r="D1073" s="221" t="s">
        <v>2047</v>
      </c>
      <c r="E1073" s="221" t="s">
        <v>2195</v>
      </c>
      <c r="F1073" s="221"/>
      <c r="G1073" s="221">
        <v>1</v>
      </c>
      <c r="H1073" s="251" t="s">
        <v>1247</v>
      </c>
      <c r="I1073" s="221"/>
    </row>
    <row r="1074" spans="1:9">
      <c r="A1074" s="893"/>
      <c r="B1074" s="893"/>
      <c r="C1074" s="221" t="s">
        <v>1943</v>
      </c>
      <c r="D1074" s="221" t="s">
        <v>2049</v>
      </c>
      <c r="E1074" s="221" t="s">
        <v>1944</v>
      </c>
      <c r="F1074" s="221"/>
      <c r="G1074" s="221">
        <v>1</v>
      </c>
      <c r="H1074" s="251" t="s">
        <v>1247</v>
      </c>
      <c r="I1074" s="221"/>
    </row>
    <row r="1075" spans="1:9">
      <c r="A1075" s="902">
        <v>12</v>
      </c>
      <c r="B1075" s="902" t="s">
        <v>590</v>
      </c>
      <c r="C1075" s="51" t="s">
        <v>2299</v>
      </c>
      <c r="D1075" s="51" t="s">
        <v>2049</v>
      </c>
      <c r="E1075" s="51" t="s">
        <v>2300</v>
      </c>
      <c r="F1075" s="51" t="s">
        <v>5182</v>
      </c>
      <c r="G1075" s="51"/>
      <c r="H1075" s="81">
        <v>81337536.390000001</v>
      </c>
      <c r="I1075" s="51"/>
    </row>
    <row r="1076" spans="1:9">
      <c r="A1076" s="920"/>
      <c r="B1076" s="920"/>
      <c r="C1076" s="51" t="s">
        <v>2297</v>
      </c>
      <c r="D1076" s="51" t="s">
        <v>2049</v>
      </c>
      <c r="E1076" s="51" t="s">
        <v>2298</v>
      </c>
      <c r="F1076" s="51" t="s">
        <v>5183</v>
      </c>
      <c r="G1076" s="51"/>
      <c r="H1076" s="81">
        <v>29444347.449999999</v>
      </c>
      <c r="I1076" s="51"/>
    </row>
    <row r="1077" spans="1:9">
      <c r="A1077" s="920"/>
      <c r="B1077" s="920"/>
      <c r="C1077" s="51" t="s">
        <v>5184</v>
      </c>
      <c r="D1077" s="51" t="s">
        <v>2049</v>
      </c>
      <c r="E1077" s="51" t="s">
        <v>1940</v>
      </c>
      <c r="F1077" s="51" t="s">
        <v>5185</v>
      </c>
      <c r="G1077" s="51"/>
      <c r="H1077" s="81">
        <v>19368363.140000001</v>
      </c>
      <c r="I1077" s="51"/>
    </row>
    <row r="1078" spans="1:9">
      <c r="A1078" s="920"/>
      <c r="B1078" s="920"/>
      <c r="C1078" s="51" t="s">
        <v>5186</v>
      </c>
      <c r="D1078" s="51" t="s">
        <v>2049</v>
      </c>
      <c r="E1078" s="51" t="s">
        <v>5187</v>
      </c>
      <c r="F1078" s="51" t="s">
        <v>5188</v>
      </c>
      <c r="G1078" s="51"/>
      <c r="H1078" s="81">
        <v>15597577.25</v>
      </c>
      <c r="I1078" s="51"/>
    </row>
    <row r="1079" spans="1:9">
      <c r="A1079" s="920"/>
      <c r="B1079" s="920"/>
      <c r="C1079" s="51" t="s">
        <v>2294</v>
      </c>
      <c r="D1079" s="51" t="s">
        <v>2049</v>
      </c>
      <c r="E1079" s="51" t="s">
        <v>2295</v>
      </c>
      <c r="F1079" s="51" t="s">
        <v>5189</v>
      </c>
      <c r="G1079" s="51"/>
      <c r="H1079" s="81">
        <v>14390910.740000002</v>
      </c>
      <c r="I1079" s="51"/>
    </row>
    <row r="1080" spans="1:9">
      <c r="A1080" s="920"/>
      <c r="B1080" s="920"/>
      <c r="C1080" s="51" t="s">
        <v>2296</v>
      </c>
      <c r="D1080" s="51" t="s">
        <v>2049</v>
      </c>
      <c r="E1080" s="51" t="s">
        <v>1942</v>
      </c>
      <c r="F1080" s="51" t="s">
        <v>5190</v>
      </c>
      <c r="G1080" s="51"/>
      <c r="H1080" s="81">
        <v>13182387.57</v>
      </c>
      <c r="I1080" s="51"/>
    </row>
    <row r="1081" spans="1:9">
      <c r="A1081" s="920"/>
      <c r="B1081" s="920"/>
      <c r="C1081" s="51" t="s">
        <v>5191</v>
      </c>
      <c r="D1081" s="51" t="s">
        <v>2049</v>
      </c>
      <c r="E1081" s="51" t="s">
        <v>5192</v>
      </c>
      <c r="F1081" s="51" t="s">
        <v>5193</v>
      </c>
      <c r="G1081" s="51"/>
      <c r="H1081" s="81">
        <v>7584565.8000000007</v>
      </c>
      <c r="I1081" s="51"/>
    </row>
    <row r="1082" spans="1:9">
      <c r="A1082" s="920"/>
      <c r="B1082" s="920"/>
      <c r="C1082" s="51" t="s">
        <v>5194</v>
      </c>
      <c r="D1082" s="51" t="s">
        <v>2049</v>
      </c>
      <c r="E1082" s="51" t="s">
        <v>5195</v>
      </c>
      <c r="F1082" s="51" t="s">
        <v>5196</v>
      </c>
      <c r="G1082" s="51"/>
      <c r="H1082" s="81">
        <v>4077587.32</v>
      </c>
      <c r="I1082" s="51"/>
    </row>
    <row r="1083" spans="1:9">
      <c r="A1083" s="920"/>
      <c r="B1083" s="920"/>
      <c r="C1083" s="51" t="s">
        <v>1943</v>
      </c>
      <c r="D1083" s="51" t="s">
        <v>2049</v>
      </c>
      <c r="E1083" s="51" t="s">
        <v>1944</v>
      </c>
      <c r="F1083" s="51" t="s">
        <v>5197</v>
      </c>
      <c r="G1083" s="51"/>
      <c r="H1083" s="81">
        <v>3991373.86</v>
      </c>
      <c r="I1083" s="51"/>
    </row>
    <row r="1084" spans="1:9">
      <c r="A1084" s="920"/>
      <c r="B1084" s="920"/>
      <c r="C1084" s="51" t="s">
        <v>2282</v>
      </c>
      <c r="D1084" s="51" t="s">
        <v>2049</v>
      </c>
      <c r="E1084" s="51" t="s">
        <v>2174</v>
      </c>
      <c r="F1084" s="51" t="s">
        <v>5198</v>
      </c>
      <c r="G1084" s="51"/>
      <c r="H1084" s="81">
        <v>3703162.4</v>
      </c>
      <c r="I1084" s="51"/>
    </row>
    <row r="1085" spans="1:9">
      <c r="A1085" s="920"/>
      <c r="B1085" s="920"/>
      <c r="C1085" s="51" t="s">
        <v>2289</v>
      </c>
      <c r="D1085" s="51" t="s">
        <v>2049</v>
      </c>
      <c r="E1085" s="51" t="s">
        <v>2290</v>
      </c>
      <c r="F1085" s="51" t="s">
        <v>5199</v>
      </c>
      <c r="G1085" s="51"/>
      <c r="H1085" s="81">
        <v>2989771.25</v>
      </c>
      <c r="I1085" s="51"/>
    </row>
    <row r="1086" spans="1:9">
      <c r="A1086" s="920"/>
      <c r="B1086" s="920"/>
      <c r="C1086" s="51" t="s">
        <v>2287</v>
      </c>
      <c r="D1086" s="51" t="s">
        <v>2049</v>
      </c>
      <c r="E1086" s="51" t="s">
        <v>2288</v>
      </c>
      <c r="F1086" s="51" t="s">
        <v>5200</v>
      </c>
      <c r="G1086" s="51"/>
      <c r="H1086" s="81">
        <v>2919974.7699999996</v>
      </c>
      <c r="I1086" s="51"/>
    </row>
    <row r="1087" spans="1:9">
      <c r="A1087" s="920"/>
      <c r="B1087" s="920"/>
      <c r="C1087" s="51" t="s">
        <v>2039</v>
      </c>
      <c r="D1087" s="51" t="s">
        <v>2049</v>
      </c>
      <c r="E1087" s="51" t="s">
        <v>2293</v>
      </c>
      <c r="F1087" s="51" t="s">
        <v>5201</v>
      </c>
      <c r="G1087" s="51"/>
      <c r="H1087" s="81">
        <v>2665413.6400000006</v>
      </c>
      <c r="I1087" s="51"/>
    </row>
    <row r="1088" spans="1:9">
      <c r="A1088" s="920"/>
      <c r="B1088" s="920"/>
      <c r="C1088" s="51" t="s">
        <v>5202</v>
      </c>
      <c r="D1088" s="51" t="s">
        <v>2049</v>
      </c>
      <c r="E1088" s="51" t="s">
        <v>5203</v>
      </c>
      <c r="F1088" s="51" t="s">
        <v>5204</v>
      </c>
      <c r="G1088" s="51"/>
      <c r="H1088" s="81">
        <v>2591460.9899999998</v>
      </c>
      <c r="I1088" s="51"/>
    </row>
    <row r="1089" spans="1:9">
      <c r="A1089" s="920"/>
      <c r="B1089" s="920"/>
      <c r="C1089" s="51" t="s">
        <v>2291</v>
      </c>
      <c r="D1089" s="51" t="s">
        <v>2049</v>
      </c>
      <c r="E1089" s="51" t="s">
        <v>2292</v>
      </c>
      <c r="F1089" s="51" t="s">
        <v>5205</v>
      </c>
      <c r="G1089" s="51"/>
      <c r="H1089" s="81">
        <v>2334546.3999999994</v>
      </c>
      <c r="I1089" s="51"/>
    </row>
    <row r="1090" spans="1:9">
      <c r="A1090" s="920"/>
      <c r="B1090" s="920"/>
      <c r="C1090" s="51" t="s">
        <v>2283</v>
      </c>
      <c r="D1090" s="51" t="s">
        <v>2049</v>
      </c>
      <c r="E1090" s="51" t="s">
        <v>2284</v>
      </c>
      <c r="F1090" s="51" t="s">
        <v>5206</v>
      </c>
      <c r="G1090" s="51"/>
      <c r="H1090" s="81">
        <v>2253006.36</v>
      </c>
      <c r="I1090" s="51"/>
    </row>
    <row r="1091" spans="1:9">
      <c r="A1091" s="920"/>
      <c r="B1091" s="920"/>
      <c r="C1091" s="51" t="s">
        <v>2276</v>
      </c>
      <c r="D1091" s="51" t="s">
        <v>2049</v>
      </c>
      <c r="E1091" s="51" t="s">
        <v>2277</v>
      </c>
      <c r="F1091" s="51" t="s">
        <v>5207</v>
      </c>
      <c r="G1091" s="51"/>
      <c r="H1091" s="81">
        <v>2172245.4900000002</v>
      </c>
      <c r="I1091" s="51"/>
    </row>
    <row r="1092" spans="1:9">
      <c r="A1092" s="920"/>
      <c r="B1092" s="920"/>
      <c r="C1092" s="51" t="s">
        <v>5208</v>
      </c>
      <c r="D1092" s="51" t="s">
        <v>2049</v>
      </c>
      <c r="E1092" s="51" t="s">
        <v>5209</v>
      </c>
      <c r="F1092" s="51" t="s">
        <v>5210</v>
      </c>
      <c r="G1092" s="51"/>
      <c r="H1092" s="81">
        <v>1925996</v>
      </c>
      <c r="I1092" s="51"/>
    </row>
    <row r="1093" spans="1:9">
      <c r="A1093" s="920"/>
      <c r="B1093" s="920"/>
      <c r="C1093" s="51" t="s">
        <v>5211</v>
      </c>
      <c r="D1093" s="51" t="s">
        <v>2049</v>
      </c>
      <c r="E1093" s="51" t="s">
        <v>5212</v>
      </c>
      <c r="F1093" s="51" t="s">
        <v>5213</v>
      </c>
      <c r="G1093" s="51"/>
      <c r="H1093" s="81">
        <v>1746466.99</v>
      </c>
      <c r="I1093" s="51"/>
    </row>
    <row r="1094" spans="1:9">
      <c r="A1094" s="920"/>
      <c r="B1094" s="920"/>
      <c r="C1094" s="51" t="s">
        <v>5214</v>
      </c>
      <c r="D1094" s="51" t="s">
        <v>2049</v>
      </c>
      <c r="E1094" s="51" t="s">
        <v>2278</v>
      </c>
      <c r="F1094" s="51" t="s">
        <v>5215</v>
      </c>
      <c r="G1094" s="51"/>
      <c r="H1094" s="81">
        <v>1552313.6800000004</v>
      </c>
      <c r="I1094" s="51"/>
    </row>
    <row r="1095" spans="1:9">
      <c r="A1095" s="920"/>
      <c r="B1095" s="920"/>
      <c r="C1095" s="51" t="s">
        <v>2281</v>
      </c>
      <c r="D1095" s="51" t="s">
        <v>2049</v>
      </c>
      <c r="E1095" s="51" t="s">
        <v>2090</v>
      </c>
      <c r="F1095" s="51" t="s">
        <v>5216</v>
      </c>
      <c r="G1095" s="51"/>
      <c r="H1095" s="81">
        <v>1384072.6699999997</v>
      </c>
      <c r="I1095" s="51"/>
    </row>
    <row r="1096" spans="1:9">
      <c r="A1096" s="920"/>
      <c r="B1096" s="920"/>
      <c r="C1096" s="51" t="s">
        <v>2268</v>
      </c>
      <c r="D1096" s="51" t="s">
        <v>2049</v>
      </c>
      <c r="E1096" s="51" t="s">
        <v>2269</v>
      </c>
      <c r="F1096" s="51" t="s">
        <v>5217</v>
      </c>
      <c r="G1096" s="51"/>
      <c r="H1096" s="81">
        <v>1319017.6100000001</v>
      </c>
      <c r="I1096" s="51"/>
    </row>
    <row r="1097" spans="1:9">
      <c r="A1097" s="920"/>
      <c r="B1097" s="920"/>
      <c r="C1097" s="51" t="s">
        <v>2262</v>
      </c>
      <c r="D1097" s="51" t="s">
        <v>2049</v>
      </c>
      <c r="E1097" s="51" t="s">
        <v>2263</v>
      </c>
      <c r="F1097" s="51" t="s">
        <v>5218</v>
      </c>
      <c r="G1097" s="51"/>
      <c r="H1097" s="81">
        <v>1287663.7699999998</v>
      </c>
      <c r="I1097" s="51"/>
    </row>
    <row r="1098" spans="1:9">
      <c r="A1098" s="920"/>
      <c r="B1098" s="920"/>
      <c r="C1098" s="51" t="s">
        <v>5219</v>
      </c>
      <c r="D1098" s="51" t="s">
        <v>2049</v>
      </c>
      <c r="E1098" s="51" t="s">
        <v>5220</v>
      </c>
      <c r="F1098" s="51" t="s">
        <v>5221</v>
      </c>
      <c r="G1098" s="51"/>
      <c r="H1098" s="81">
        <v>1247182.6200000001</v>
      </c>
      <c r="I1098" s="51"/>
    </row>
    <row r="1099" spans="1:9">
      <c r="A1099" s="920"/>
      <c r="B1099" s="920"/>
      <c r="C1099" s="51" t="s">
        <v>2274</v>
      </c>
      <c r="D1099" s="51" t="s">
        <v>2049</v>
      </c>
      <c r="E1099" s="51" t="s">
        <v>2275</v>
      </c>
      <c r="F1099" s="51" t="s">
        <v>5222</v>
      </c>
      <c r="G1099" s="51"/>
      <c r="H1099" s="81">
        <v>1018707.9199999998</v>
      </c>
      <c r="I1099" s="51"/>
    </row>
    <row r="1100" spans="1:9">
      <c r="A1100" s="920"/>
      <c r="B1100" s="920"/>
      <c r="C1100" s="51" t="s">
        <v>2126</v>
      </c>
      <c r="D1100" s="51" t="s">
        <v>2049</v>
      </c>
      <c r="E1100" s="51" t="s">
        <v>2127</v>
      </c>
      <c r="F1100" s="51" t="s">
        <v>5223</v>
      </c>
      <c r="G1100" s="51"/>
      <c r="H1100" s="81">
        <v>970184.98999999976</v>
      </c>
      <c r="I1100" s="51"/>
    </row>
    <row r="1101" spans="1:9">
      <c r="A1101" s="920"/>
      <c r="B1101" s="920"/>
      <c r="C1101" s="51" t="s">
        <v>2260</v>
      </c>
      <c r="D1101" s="51" t="s">
        <v>2049</v>
      </c>
      <c r="E1101" s="51" t="s">
        <v>2261</v>
      </c>
      <c r="F1101" s="51" t="s">
        <v>5224</v>
      </c>
      <c r="G1101" s="51"/>
      <c r="H1101" s="81">
        <v>970004.03999999969</v>
      </c>
      <c r="I1101" s="51"/>
    </row>
    <row r="1102" spans="1:9">
      <c r="A1102" s="920"/>
      <c r="B1102" s="920"/>
      <c r="C1102" s="51" t="s">
        <v>2279</v>
      </c>
      <c r="D1102" s="51" t="s">
        <v>2049</v>
      </c>
      <c r="E1102" s="51" t="s">
        <v>2280</v>
      </c>
      <c r="F1102" s="51" t="s">
        <v>5225</v>
      </c>
      <c r="G1102" s="51"/>
      <c r="H1102" s="81">
        <v>855468.40999999992</v>
      </c>
      <c r="I1102" s="51"/>
    </row>
    <row r="1103" spans="1:9">
      <c r="A1103" s="920"/>
      <c r="B1103" s="920"/>
      <c r="C1103" s="51" t="s">
        <v>5226</v>
      </c>
      <c r="D1103" s="51" t="s">
        <v>2049</v>
      </c>
      <c r="E1103" s="51" t="s">
        <v>5227</v>
      </c>
      <c r="F1103" s="51" t="s">
        <v>5228</v>
      </c>
      <c r="G1103" s="51"/>
      <c r="H1103" s="81">
        <v>848155.72</v>
      </c>
      <c r="I1103" s="51"/>
    </row>
    <row r="1104" spans="1:9">
      <c r="A1104" s="920"/>
      <c r="B1104" s="920"/>
      <c r="C1104" s="51" t="s">
        <v>2196</v>
      </c>
      <c r="D1104" s="51" t="s">
        <v>2049</v>
      </c>
      <c r="E1104" s="51" t="s">
        <v>2197</v>
      </c>
      <c r="F1104" s="51" t="s">
        <v>5229</v>
      </c>
      <c r="G1104" s="51"/>
      <c r="H1104" s="81">
        <v>838169.24</v>
      </c>
      <c r="I1104" s="51"/>
    </row>
    <row r="1105" spans="1:9">
      <c r="A1105" s="920"/>
      <c r="B1105" s="920"/>
      <c r="C1105" s="51" t="s">
        <v>2273</v>
      </c>
      <c r="D1105" s="51" t="s">
        <v>2049</v>
      </c>
      <c r="E1105" s="51" t="s">
        <v>5230</v>
      </c>
      <c r="F1105" s="51" t="s">
        <v>5231</v>
      </c>
      <c r="G1105" s="51"/>
      <c r="H1105" s="81">
        <v>729768.91</v>
      </c>
      <c r="I1105" s="51"/>
    </row>
    <row r="1106" spans="1:9">
      <c r="A1106" s="920"/>
      <c r="B1106" s="920"/>
      <c r="C1106" s="51" t="s">
        <v>2285</v>
      </c>
      <c r="D1106" s="51" t="s">
        <v>2049</v>
      </c>
      <c r="E1106" s="51" t="s">
        <v>2286</v>
      </c>
      <c r="F1106" s="51" t="s">
        <v>5232</v>
      </c>
      <c r="G1106" s="51"/>
      <c r="H1106" s="81">
        <v>724390.2799999998</v>
      </c>
      <c r="I1106" s="51"/>
    </row>
    <row r="1107" spans="1:9">
      <c r="A1107" s="920"/>
      <c r="B1107" s="920"/>
      <c r="C1107" s="51" t="s">
        <v>2095</v>
      </c>
      <c r="D1107" s="51" t="s">
        <v>2049</v>
      </c>
      <c r="E1107" s="51" t="s">
        <v>2096</v>
      </c>
      <c r="F1107" s="51" t="s">
        <v>5233</v>
      </c>
      <c r="G1107" s="51"/>
      <c r="H1107" s="81">
        <v>695796.99999999988</v>
      </c>
      <c r="I1107" s="51"/>
    </row>
    <row r="1108" spans="1:9">
      <c r="A1108" s="920"/>
      <c r="B1108" s="920"/>
      <c r="C1108" s="51" t="s">
        <v>1983</v>
      </c>
      <c r="D1108" s="51" t="s">
        <v>2049</v>
      </c>
      <c r="E1108" s="51" t="s">
        <v>2271</v>
      </c>
      <c r="F1108" s="51" t="s">
        <v>5229</v>
      </c>
      <c r="G1108" s="51"/>
      <c r="H1108" s="81">
        <v>660934.5</v>
      </c>
      <c r="I1108" s="51"/>
    </row>
    <row r="1109" spans="1:9">
      <c r="A1109" s="920"/>
      <c r="B1109" s="920"/>
      <c r="C1109" s="51" t="s">
        <v>5234</v>
      </c>
      <c r="D1109" s="51" t="s">
        <v>2049</v>
      </c>
      <c r="E1109" s="51" t="s">
        <v>5235</v>
      </c>
      <c r="F1109" s="51" t="s">
        <v>5236</v>
      </c>
      <c r="G1109" s="51"/>
      <c r="H1109" s="81">
        <v>658364.92000000004</v>
      </c>
      <c r="I1109" s="51"/>
    </row>
    <row r="1110" spans="1:9">
      <c r="A1110" s="920"/>
      <c r="B1110" s="920"/>
      <c r="C1110" s="51" t="s">
        <v>2069</v>
      </c>
      <c r="D1110" s="51" t="s">
        <v>2049</v>
      </c>
      <c r="E1110" s="51" t="s">
        <v>2267</v>
      </c>
      <c r="F1110" s="51" t="s">
        <v>5237</v>
      </c>
      <c r="G1110" s="51"/>
      <c r="H1110" s="81">
        <v>615325.37</v>
      </c>
      <c r="I1110" s="51"/>
    </row>
    <row r="1111" spans="1:9">
      <c r="A1111" s="920"/>
      <c r="B1111" s="920"/>
      <c r="C1111" s="51" t="s">
        <v>2222</v>
      </c>
      <c r="D1111" s="51" t="s">
        <v>2049</v>
      </c>
      <c r="E1111" s="51" t="s">
        <v>2169</v>
      </c>
      <c r="F1111" s="51" t="s">
        <v>5238</v>
      </c>
      <c r="G1111" s="51"/>
      <c r="H1111" s="81">
        <v>582208.59</v>
      </c>
      <c r="I1111" s="51"/>
    </row>
    <row r="1112" spans="1:9">
      <c r="A1112" s="920"/>
      <c r="B1112" s="920"/>
      <c r="C1112" s="51" t="s">
        <v>2213</v>
      </c>
      <c r="D1112" s="51" t="s">
        <v>2049</v>
      </c>
      <c r="E1112" s="51" t="s">
        <v>2214</v>
      </c>
      <c r="F1112" s="51" t="s">
        <v>5239</v>
      </c>
      <c r="G1112" s="51"/>
      <c r="H1112" s="81">
        <v>562963.63</v>
      </c>
      <c r="I1112" s="51"/>
    </row>
    <row r="1113" spans="1:9">
      <c r="A1113" s="920"/>
      <c r="B1113" s="920"/>
      <c r="C1113" s="51" t="s">
        <v>2266</v>
      </c>
      <c r="D1113" s="51" t="s">
        <v>2049</v>
      </c>
      <c r="E1113" s="51" t="s">
        <v>2198</v>
      </c>
      <c r="F1113" s="51" t="s">
        <v>5240</v>
      </c>
      <c r="G1113" s="51"/>
      <c r="H1113" s="81">
        <v>512900.62999999995</v>
      </c>
      <c r="I1113" s="51"/>
    </row>
    <row r="1114" spans="1:9">
      <c r="A1114" s="920"/>
      <c r="B1114" s="920"/>
      <c r="C1114" s="51" t="s">
        <v>2272</v>
      </c>
      <c r="D1114" s="51" t="s">
        <v>2049</v>
      </c>
      <c r="E1114" s="51" t="s">
        <v>2428</v>
      </c>
      <c r="F1114" s="51" t="s">
        <v>5241</v>
      </c>
      <c r="G1114" s="51"/>
      <c r="H1114" s="81">
        <v>502776.08999999997</v>
      </c>
      <c r="I1114" s="51"/>
    </row>
    <row r="1115" spans="1:9">
      <c r="A1115" s="920"/>
      <c r="B1115" s="920"/>
      <c r="C1115" s="51" t="s">
        <v>3805</v>
      </c>
      <c r="D1115" s="51" t="s">
        <v>2049</v>
      </c>
      <c r="E1115" s="51" t="s">
        <v>3806</v>
      </c>
      <c r="F1115" s="51" t="s">
        <v>5242</v>
      </c>
      <c r="G1115" s="51"/>
      <c r="H1115" s="81">
        <v>498785.81</v>
      </c>
      <c r="I1115" s="51"/>
    </row>
    <row r="1116" spans="1:9">
      <c r="A1116" s="920"/>
      <c r="B1116" s="920"/>
      <c r="C1116" s="51" t="s">
        <v>2270</v>
      </c>
      <c r="D1116" s="51" t="s">
        <v>2049</v>
      </c>
      <c r="E1116" s="51" t="s">
        <v>4514</v>
      </c>
      <c r="F1116" s="51" t="s">
        <v>5243</v>
      </c>
      <c r="G1116" s="51"/>
      <c r="H1116" s="81">
        <v>479452.43</v>
      </c>
      <c r="I1116" s="51"/>
    </row>
    <row r="1117" spans="1:9">
      <c r="A1117" s="920"/>
      <c r="B1117" s="920"/>
      <c r="C1117" s="51" t="s">
        <v>2249</v>
      </c>
      <c r="D1117" s="51" t="s">
        <v>2049</v>
      </c>
      <c r="E1117" s="51" t="s">
        <v>2250</v>
      </c>
      <c r="F1117" s="51" t="s">
        <v>5244</v>
      </c>
      <c r="G1117" s="51"/>
      <c r="H1117" s="81">
        <v>451629.47</v>
      </c>
      <c r="I1117" s="51"/>
    </row>
    <row r="1118" spans="1:9">
      <c r="A1118" s="920"/>
      <c r="B1118" s="920"/>
      <c r="C1118" s="51" t="s">
        <v>5245</v>
      </c>
      <c r="D1118" s="51" t="s">
        <v>2049</v>
      </c>
      <c r="E1118" s="51" t="s">
        <v>5246</v>
      </c>
      <c r="F1118" s="51" t="s">
        <v>5247</v>
      </c>
      <c r="G1118" s="51"/>
      <c r="H1118" s="81">
        <v>437830.74</v>
      </c>
      <c r="I1118" s="51"/>
    </row>
    <row r="1119" spans="1:9">
      <c r="A1119" s="920"/>
      <c r="B1119" s="920"/>
      <c r="C1119" s="51" t="s">
        <v>5248</v>
      </c>
      <c r="D1119" s="51" t="s">
        <v>2049</v>
      </c>
      <c r="E1119" s="51" t="s">
        <v>5249</v>
      </c>
      <c r="F1119" s="51" t="s">
        <v>5250</v>
      </c>
      <c r="G1119" s="51"/>
      <c r="H1119" s="81">
        <v>425809.65</v>
      </c>
      <c r="I1119" s="51"/>
    </row>
    <row r="1120" spans="1:9">
      <c r="A1120" s="920"/>
      <c r="B1120" s="920"/>
      <c r="C1120" s="51" t="s">
        <v>5251</v>
      </c>
      <c r="D1120" s="51" t="s">
        <v>2049</v>
      </c>
      <c r="E1120" s="51" t="s">
        <v>5252</v>
      </c>
      <c r="F1120" s="51" t="s">
        <v>5253</v>
      </c>
      <c r="G1120" s="51"/>
      <c r="H1120" s="81">
        <v>413825.36</v>
      </c>
      <c r="I1120" s="51"/>
    </row>
    <row r="1121" spans="1:9">
      <c r="A1121" s="920"/>
      <c r="B1121" s="920"/>
      <c r="C1121" s="51" t="s">
        <v>2209</v>
      </c>
      <c r="D1121" s="51" t="s">
        <v>2049</v>
      </c>
      <c r="E1121" s="51" t="s">
        <v>2210</v>
      </c>
      <c r="F1121" s="51" t="s">
        <v>5254</v>
      </c>
      <c r="G1121" s="51"/>
      <c r="H1121" s="81">
        <v>413736.83999999997</v>
      </c>
      <c r="I1121" s="51"/>
    </row>
    <row r="1122" spans="1:9">
      <c r="A1122" s="920"/>
      <c r="B1122" s="920"/>
      <c r="C1122" s="51" t="s">
        <v>5255</v>
      </c>
      <c r="D1122" s="51" t="s">
        <v>2049</v>
      </c>
      <c r="E1122" s="51" t="s">
        <v>5256</v>
      </c>
      <c r="F1122" s="51" t="s">
        <v>5257</v>
      </c>
      <c r="G1122" s="51"/>
      <c r="H1122" s="81">
        <v>390511.99</v>
      </c>
      <c r="I1122" s="51"/>
    </row>
    <row r="1123" spans="1:9">
      <c r="A1123" s="920"/>
      <c r="B1123" s="920"/>
      <c r="C1123" s="51" t="s">
        <v>2258</v>
      </c>
      <c r="D1123" s="51" t="s">
        <v>2049</v>
      </c>
      <c r="E1123" s="51" t="s">
        <v>2259</v>
      </c>
      <c r="F1123" s="51" t="s">
        <v>5258</v>
      </c>
      <c r="G1123" s="51"/>
      <c r="H1123" s="81">
        <v>348042.97</v>
      </c>
      <c r="I1123" s="51"/>
    </row>
    <row r="1124" spans="1:9">
      <c r="A1124" s="920"/>
      <c r="B1124" s="920"/>
      <c r="C1124" s="51" t="s">
        <v>2239</v>
      </c>
      <c r="D1124" s="51" t="s">
        <v>2049</v>
      </c>
      <c r="E1124" s="51" t="s">
        <v>2240</v>
      </c>
      <c r="F1124" s="51" t="s">
        <v>5259</v>
      </c>
      <c r="G1124" s="51"/>
      <c r="H1124" s="81">
        <v>325766.50000000006</v>
      </c>
      <c r="I1124" s="51"/>
    </row>
    <row r="1125" spans="1:9">
      <c r="A1125" s="920"/>
      <c r="B1125" s="920"/>
      <c r="C1125" s="51" t="s">
        <v>2227</v>
      </c>
      <c r="D1125" s="51" t="s">
        <v>2049</v>
      </c>
      <c r="E1125" s="51" t="s">
        <v>2228</v>
      </c>
      <c r="F1125" s="51" t="s">
        <v>5260</v>
      </c>
      <c r="G1125" s="51"/>
      <c r="H1125" s="81">
        <v>309498.44</v>
      </c>
      <c r="I1125" s="51"/>
    </row>
    <row r="1126" spans="1:9">
      <c r="A1126" s="920"/>
      <c r="B1126" s="920"/>
      <c r="C1126" s="51" t="s">
        <v>2243</v>
      </c>
      <c r="D1126" s="51" t="s">
        <v>2049</v>
      </c>
      <c r="E1126" s="51" t="s">
        <v>2244</v>
      </c>
      <c r="F1126" s="51" t="s">
        <v>5261</v>
      </c>
      <c r="G1126" s="51"/>
      <c r="H1126" s="81">
        <v>293405.84000000008</v>
      </c>
      <c r="I1126" s="51"/>
    </row>
    <row r="1127" spans="1:9">
      <c r="A1127" s="920"/>
      <c r="B1127" s="920"/>
      <c r="C1127" s="51" t="s">
        <v>2220</v>
      </c>
      <c r="D1127" s="51" t="s">
        <v>2049</v>
      </c>
      <c r="E1127" s="51" t="s">
        <v>2221</v>
      </c>
      <c r="F1127" s="51" t="s">
        <v>5262</v>
      </c>
      <c r="G1127" s="51"/>
      <c r="H1127" s="81">
        <v>284771.62</v>
      </c>
      <c r="I1127" s="51"/>
    </row>
    <row r="1128" spans="1:9">
      <c r="A1128" s="920"/>
      <c r="B1128" s="920"/>
      <c r="C1128" s="51" t="s">
        <v>2256</v>
      </c>
      <c r="D1128" s="51" t="s">
        <v>2049</v>
      </c>
      <c r="E1128" s="51" t="s">
        <v>2257</v>
      </c>
      <c r="F1128" s="51" t="s">
        <v>5263</v>
      </c>
      <c r="G1128" s="51"/>
      <c r="H1128" s="81">
        <v>265290.34999999998</v>
      </c>
      <c r="I1128" s="51"/>
    </row>
    <row r="1129" spans="1:9">
      <c r="A1129" s="920"/>
      <c r="B1129" s="920"/>
      <c r="C1129" s="51" t="s">
        <v>2223</v>
      </c>
      <c r="D1129" s="51" t="s">
        <v>2049</v>
      </c>
      <c r="E1129" s="51" t="s">
        <v>2224</v>
      </c>
      <c r="F1129" s="51" t="s">
        <v>5264</v>
      </c>
      <c r="G1129" s="51"/>
      <c r="H1129" s="81">
        <v>249211.09999999998</v>
      </c>
      <c r="I1129" s="51"/>
    </row>
    <row r="1130" spans="1:9">
      <c r="A1130" s="920"/>
      <c r="B1130" s="920"/>
      <c r="C1130" s="51" t="s">
        <v>1967</v>
      </c>
      <c r="D1130" s="51" t="s">
        <v>2049</v>
      </c>
      <c r="E1130" s="51" t="s">
        <v>2178</v>
      </c>
      <c r="F1130" s="51" t="s">
        <v>5265</v>
      </c>
      <c r="G1130" s="51"/>
      <c r="H1130" s="81">
        <v>248880.67</v>
      </c>
      <c r="I1130" s="51"/>
    </row>
    <row r="1131" spans="1:9">
      <c r="A1131" s="920"/>
      <c r="B1131" s="920"/>
      <c r="C1131" s="51" t="s">
        <v>2254</v>
      </c>
      <c r="D1131" s="51" t="s">
        <v>2049</v>
      </c>
      <c r="E1131" s="51" t="s">
        <v>2255</v>
      </c>
      <c r="F1131" s="51" t="s">
        <v>5266</v>
      </c>
      <c r="G1131" s="51"/>
      <c r="H1131" s="81">
        <v>243803.15</v>
      </c>
      <c r="I1131" s="51"/>
    </row>
    <row r="1132" spans="1:9">
      <c r="A1132" s="920"/>
      <c r="B1132" s="920"/>
      <c r="C1132" s="51" t="s">
        <v>2217</v>
      </c>
      <c r="D1132" s="51" t="s">
        <v>2049</v>
      </c>
      <c r="E1132" s="51" t="s">
        <v>2218</v>
      </c>
      <c r="F1132" s="51" t="s">
        <v>5267</v>
      </c>
      <c r="G1132" s="51"/>
      <c r="H1132" s="81">
        <v>242618.32</v>
      </c>
      <c r="I1132" s="51"/>
    </row>
    <row r="1133" spans="1:9">
      <c r="A1133" s="920"/>
      <c r="B1133" s="920"/>
      <c r="C1133" s="51" t="s">
        <v>2245</v>
      </c>
      <c r="D1133" s="51" t="s">
        <v>2049</v>
      </c>
      <c r="E1133" s="51" t="s">
        <v>2246</v>
      </c>
      <c r="F1133" s="51" t="s">
        <v>5268</v>
      </c>
      <c r="G1133" s="51"/>
      <c r="H1133" s="81">
        <v>234590.52000000002</v>
      </c>
      <c r="I1133" s="51"/>
    </row>
    <row r="1134" spans="1:9">
      <c r="A1134" s="920"/>
      <c r="B1134" s="920"/>
      <c r="C1134" s="51" t="s">
        <v>2201</v>
      </c>
      <c r="D1134" s="51" t="s">
        <v>2049</v>
      </c>
      <c r="E1134" s="51" t="s">
        <v>2202</v>
      </c>
      <c r="F1134" s="51" t="s">
        <v>5269</v>
      </c>
      <c r="G1134" s="51"/>
      <c r="H1134" s="81">
        <v>233793.90000000005</v>
      </c>
      <c r="I1134" s="51"/>
    </row>
    <row r="1135" spans="1:9">
      <c r="A1135" s="920"/>
      <c r="B1135" s="920"/>
      <c r="C1135" s="51" t="s">
        <v>5270</v>
      </c>
      <c r="D1135" s="51" t="s">
        <v>2049</v>
      </c>
      <c r="E1135" s="51" t="s">
        <v>5271</v>
      </c>
      <c r="F1135" s="51" t="s">
        <v>5272</v>
      </c>
      <c r="G1135" s="51"/>
      <c r="H1135" s="81">
        <v>223553.57000000007</v>
      </c>
      <c r="I1135" s="51"/>
    </row>
    <row r="1136" spans="1:9">
      <c r="A1136" s="920"/>
      <c r="B1136" s="920"/>
      <c r="C1136" s="51" t="s">
        <v>2234</v>
      </c>
      <c r="D1136" s="51" t="s">
        <v>2049</v>
      </c>
      <c r="E1136" s="51" t="s">
        <v>2235</v>
      </c>
      <c r="F1136" s="51" t="s">
        <v>5273</v>
      </c>
      <c r="G1136" s="51"/>
      <c r="H1136" s="81">
        <v>220364.50999999998</v>
      </c>
      <c r="I1136" s="51"/>
    </row>
    <row r="1137" spans="1:9">
      <c r="A1137" s="920"/>
      <c r="B1137" s="920"/>
      <c r="C1137" s="51" t="s">
        <v>5274</v>
      </c>
      <c r="D1137" s="51" t="s">
        <v>2049</v>
      </c>
      <c r="E1137" s="51" t="s">
        <v>5275</v>
      </c>
      <c r="F1137" s="51" t="s">
        <v>5276</v>
      </c>
      <c r="G1137" s="51"/>
      <c r="H1137" s="81">
        <v>220123.64</v>
      </c>
      <c r="I1137" s="51"/>
    </row>
    <row r="1138" spans="1:9">
      <c r="A1138" s="920"/>
      <c r="B1138" s="920"/>
      <c r="C1138" s="51" t="s">
        <v>5277</v>
      </c>
      <c r="D1138" s="51" t="s">
        <v>2049</v>
      </c>
      <c r="E1138" s="51" t="s">
        <v>5278</v>
      </c>
      <c r="F1138" s="51" t="s">
        <v>5279</v>
      </c>
      <c r="G1138" s="51"/>
      <c r="H1138" s="81">
        <v>202034.8</v>
      </c>
      <c r="I1138" s="51"/>
    </row>
    <row r="1139" spans="1:9">
      <c r="A1139" s="920"/>
      <c r="B1139" s="920"/>
      <c r="C1139" s="51" t="s">
        <v>2225</v>
      </c>
      <c r="D1139" s="51" t="s">
        <v>2049</v>
      </c>
      <c r="E1139" s="51" t="s">
        <v>2226</v>
      </c>
      <c r="F1139" s="51" t="s">
        <v>5280</v>
      </c>
      <c r="G1139" s="51"/>
      <c r="H1139" s="81">
        <v>194655.94999999998</v>
      </c>
      <c r="I1139" s="51"/>
    </row>
    <row r="1140" spans="1:9">
      <c r="A1140" s="920"/>
      <c r="B1140" s="920"/>
      <c r="C1140" s="51" t="s">
        <v>5281</v>
      </c>
      <c r="D1140" s="51" t="s">
        <v>2049</v>
      </c>
      <c r="E1140" s="51" t="s">
        <v>5282</v>
      </c>
      <c r="F1140" s="51" t="s">
        <v>5283</v>
      </c>
      <c r="G1140" s="51"/>
      <c r="H1140" s="81">
        <v>182264.89</v>
      </c>
      <c r="I1140" s="51"/>
    </row>
    <row r="1141" spans="1:9">
      <c r="A1141" s="920"/>
      <c r="B1141" s="920"/>
      <c r="C1141" s="51" t="s">
        <v>2211</v>
      </c>
      <c r="D1141" s="51" t="s">
        <v>2049</v>
      </c>
      <c r="E1141" s="51" t="s">
        <v>2212</v>
      </c>
      <c r="F1141" s="51" t="s">
        <v>5284</v>
      </c>
      <c r="G1141" s="51"/>
      <c r="H1141" s="81">
        <v>180972.62999999998</v>
      </c>
      <c r="I1141" s="51"/>
    </row>
    <row r="1142" spans="1:9">
      <c r="A1142" s="920"/>
      <c r="B1142" s="920"/>
      <c r="C1142" s="51" t="s">
        <v>2247</v>
      </c>
      <c r="D1142" s="51" t="s">
        <v>2049</v>
      </c>
      <c r="E1142" s="51" t="s">
        <v>2248</v>
      </c>
      <c r="F1142" s="51" t="s">
        <v>5285</v>
      </c>
      <c r="G1142" s="51"/>
      <c r="H1142" s="81">
        <v>180855.93</v>
      </c>
      <c r="I1142" s="51"/>
    </row>
    <row r="1143" spans="1:9">
      <c r="A1143" s="920"/>
      <c r="B1143" s="920"/>
      <c r="C1143" s="51" t="s">
        <v>5286</v>
      </c>
      <c r="D1143" s="51" t="s">
        <v>2049</v>
      </c>
      <c r="E1143" s="51" t="s">
        <v>5287</v>
      </c>
      <c r="F1143" s="51" t="s">
        <v>5288</v>
      </c>
      <c r="G1143" s="51"/>
      <c r="H1143" s="81">
        <v>166008.72</v>
      </c>
      <c r="I1143" s="51"/>
    </row>
    <row r="1144" spans="1:9">
      <c r="A1144" s="920"/>
      <c r="B1144" s="920"/>
      <c r="C1144" s="51" t="s">
        <v>2264</v>
      </c>
      <c r="D1144" s="51" t="s">
        <v>2049</v>
      </c>
      <c r="E1144" s="51" t="s">
        <v>2265</v>
      </c>
      <c r="F1144" s="51" t="s">
        <v>5289</v>
      </c>
      <c r="G1144" s="51"/>
      <c r="H1144" s="81">
        <v>165634.23000000004</v>
      </c>
      <c r="I1144" s="51"/>
    </row>
    <row r="1145" spans="1:9">
      <c r="A1145" s="920"/>
      <c r="B1145" s="920"/>
      <c r="C1145" s="51" t="s">
        <v>2229</v>
      </c>
      <c r="D1145" s="51" t="s">
        <v>2049</v>
      </c>
      <c r="E1145" s="51" t="s">
        <v>2230</v>
      </c>
      <c r="F1145" s="51" t="s">
        <v>5290</v>
      </c>
      <c r="G1145" s="51"/>
      <c r="H1145" s="81">
        <v>165025</v>
      </c>
      <c r="I1145" s="51"/>
    </row>
    <row r="1146" spans="1:9">
      <c r="A1146" s="920"/>
      <c r="B1146" s="920"/>
      <c r="C1146" s="51" t="s">
        <v>2422</v>
      </c>
      <c r="D1146" s="51" t="s">
        <v>2049</v>
      </c>
      <c r="E1146" s="51" t="s">
        <v>2423</v>
      </c>
      <c r="F1146" s="51" t="s">
        <v>5291</v>
      </c>
      <c r="G1146" s="51"/>
      <c r="H1146" s="81">
        <v>161738.35999999999</v>
      </c>
      <c r="I1146" s="51"/>
    </row>
    <row r="1147" spans="1:9">
      <c r="A1147" s="920"/>
      <c r="B1147" s="920"/>
      <c r="C1147" s="51" t="s">
        <v>2219</v>
      </c>
      <c r="D1147" s="51" t="s">
        <v>2049</v>
      </c>
      <c r="E1147" s="51" t="s">
        <v>5292</v>
      </c>
      <c r="F1147" s="51" t="s">
        <v>5293</v>
      </c>
      <c r="G1147" s="51"/>
      <c r="H1147" s="81">
        <v>155829.73000000001</v>
      </c>
      <c r="I1147" s="51"/>
    </row>
    <row r="1148" spans="1:9">
      <c r="A1148" s="920"/>
      <c r="B1148" s="920"/>
      <c r="C1148" s="51" t="s">
        <v>2026</v>
      </c>
      <c r="D1148" s="51" t="s">
        <v>2049</v>
      </c>
      <c r="E1148" s="51" t="s">
        <v>2231</v>
      </c>
      <c r="F1148" s="51" t="s">
        <v>5294</v>
      </c>
      <c r="G1148" s="51"/>
      <c r="H1148" s="81">
        <v>152716.94</v>
      </c>
      <c r="I1148" s="51"/>
    </row>
    <row r="1149" spans="1:9">
      <c r="A1149" s="920"/>
      <c r="B1149" s="920"/>
      <c r="C1149" s="51" t="s">
        <v>5295</v>
      </c>
      <c r="D1149" s="51" t="s">
        <v>2049</v>
      </c>
      <c r="E1149" s="51" t="s">
        <v>5296</v>
      </c>
      <c r="F1149" s="51" t="s">
        <v>5297</v>
      </c>
      <c r="G1149" s="51"/>
      <c r="H1149" s="81">
        <v>149668.41999999998</v>
      </c>
      <c r="I1149" s="51"/>
    </row>
    <row r="1150" spans="1:9">
      <c r="A1150" s="920"/>
      <c r="B1150" s="920"/>
      <c r="C1150" s="51" t="s">
        <v>5298</v>
      </c>
      <c r="D1150" s="51" t="s">
        <v>2049</v>
      </c>
      <c r="E1150" s="51" t="s">
        <v>5299</v>
      </c>
      <c r="F1150" s="51" t="s">
        <v>5300</v>
      </c>
      <c r="G1150" s="51"/>
      <c r="H1150" s="81">
        <v>116096</v>
      </c>
      <c r="I1150" s="51"/>
    </row>
    <row r="1151" spans="1:9">
      <c r="A1151" s="920"/>
      <c r="B1151" s="920"/>
      <c r="C1151" s="51" t="s">
        <v>2236</v>
      </c>
      <c r="D1151" s="51" t="s">
        <v>2049</v>
      </c>
      <c r="E1151" s="51" t="s">
        <v>2237</v>
      </c>
      <c r="F1151" s="51" t="s">
        <v>5301</v>
      </c>
      <c r="G1151" s="51"/>
      <c r="H1151" s="81">
        <v>114551.91</v>
      </c>
      <c r="I1151" s="51"/>
    </row>
    <row r="1152" spans="1:9">
      <c r="A1152" s="920"/>
      <c r="B1152" s="920"/>
      <c r="C1152" s="51" t="s">
        <v>5302</v>
      </c>
      <c r="D1152" s="51" t="s">
        <v>2049</v>
      </c>
      <c r="E1152" s="51" t="s">
        <v>5303</v>
      </c>
      <c r="F1152" s="51" t="s">
        <v>5304</v>
      </c>
      <c r="G1152" s="51"/>
      <c r="H1152" s="81">
        <v>104648.24</v>
      </c>
      <c r="I1152" s="51"/>
    </row>
    <row r="1153" spans="1:9">
      <c r="A1153" s="920"/>
      <c r="B1153" s="920"/>
      <c r="C1153" s="51" t="s">
        <v>2241</v>
      </c>
      <c r="D1153" s="51" t="s">
        <v>2049</v>
      </c>
      <c r="E1153" s="51" t="s">
        <v>2242</v>
      </c>
      <c r="F1153" s="51" t="s">
        <v>5305</v>
      </c>
      <c r="G1153" s="51"/>
      <c r="H1153" s="81">
        <v>102026.9</v>
      </c>
      <c r="I1153" s="51"/>
    </row>
    <row r="1154" spans="1:9">
      <c r="A1154" s="920"/>
      <c r="B1154" s="920"/>
      <c r="C1154" s="51" t="s">
        <v>2205</v>
      </c>
      <c r="D1154" s="51" t="s">
        <v>2049</v>
      </c>
      <c r="E1154" s="51" t="s">
        <v>2206</v>
      </c>
      <c r="F1154" s="51" t="s">
        <v>5306</v>
      </c>
      <c r="G1154" s="51"/>
      <c r="H1154" s="81">
        <v>94154.14</v>
      </c>
      <c r="I1154" s="51"/>
    </row>
    <row r="1155" spans="1:9">
      <c r="A1155" s="920"/>
      <c r="B1155" s="920"/>
      <c r="C1155" s="51" t="s">
        <v>2203</v>
      </c>
      <c r="D1155" s="51" t="s">
        <v>2049</v>
      </c>
      <c r="E1155" s="51" t="s">
        <v>2204</v>
      </c>
      <c r="F1155" s="51" t="s">
        <v>5307</v>
      </c>
      <c r="G1155" s="51"/>
      <c r="H1155" s="81">
        <v>85160.290000000008</v>
      </c>
      <c r="I1155" s="51"/>
    </row>
    <row r="1156" spans="1:9">
      <c r="A1156" s="920"/>
      <c r="B1156" s="920"/>
      <c r="C1156" s="51" t="s">
        <v>2104</v>
      </c>
      <c r="D1156" s="51" t="s">
        <v>2049</v>
      </c>
      <c r="E1156" s="51" t="s">
        <v>2105</v>
      </c>
      <c r="F1156" s="51" t="s">
        <v>5308</v>
      </c>
      <c r="G1156" s="51"/>
      <c r="H1156" s="81">
        <v>81140.639999999999</v>
      </c>
      <c r="I1156" s="51"/>
    </row>
    <row r="1157" spans="1:9">
      <c r="A1157" s="920"/>
      <c r="B1157" s="920"/>
      <c r="C1157" s="51" t="s">
        <v>5309</v>
      </c>
      <c r="D1157" s="51" t="s">
        <v>2049</v>
      </c>
      <c r="E1157" s="51" t="s">
        <v>5310</v>
      </c>
      <c r="F1157" s="51" t="s">
        <v>5311</v>
      </c>
      <c r="G1157" s="51"/>
      <c r="H1157" s="81">
        <v>71185.959999999992</v>
      </c>
      <c r="I1157" s="51"/>
    </row>
    <row r="1158" spans="1:9">
      <c r="A1158" s="920"/>
      <c r="B1158" s="920"/>
      <c r="C1158" s="51" t="s">
        <v>5312</v>
      </c>
      <c r="D1158" s="51" t="s">
        <v>2049</v>
      </c>
      <c r="E1158" s="51" t="s">
        <v>5313</v>
      </c>
      <c r="F1158" s="51" t="s">
        <v>5314</v>
      </c>
      <c r="G1158" s="51"/>
      <c r="H1158" s="81">
        <v>36335.05999999999</v>
      </c>
      <c r="I1158" s="51"/>
    </row>
    <row r="1159" spans="1:9">
      <c r="A1159" s="920"/>
      <c r="B1159" s="920"/>
      <c r="C1159" s="51" t="s">
        <v>2238</v>
      </c>
      <c r="D1159" s="51" t="s">
        <v>2049</v>
      </c>
      <c r="E1159" s="51" t="s">
        <v>5315</v>
      </c>
      <c r="F1159" s="51" t="s">
        <v>5316</v>
      </c>
      <c r="G1159" s="51"/>
      <c r="H1159" s="81">
        <v>33508.51</v>
      </c>
      <c r="I1159" s="51"/>
    </row>
    <row r="1160" spans="1:9">
      <c r="A1160" s="920"/>
      <c r="B1160" s="920"/>
      <c r="C1160" s="51" t="s">
        <v>2251</v>
      </c>
      <c r="D1160" s="51" t="s">
        <v>2049</v>
      </c>
      <c r="E1160" s="51" t="s">
        <v>2252</v>
      </c>
      <c r="F1160" s="51" t="s">
        <v>5317</v>
      </c>
      <c r="G1160" s="51"/>
      <c r="H1160" s="81">
        <v>29938.120000000003</v>
      </c>
      <c r="I1160" s="51"/>
    </row>
    <row r="1161" spans="1:9">
      <c r="A1161" s="920"/>
      <c r="B1161" s="920"/>
      <c r="C1161" s="51" t="s">
        <v>2199</v>
      </c>
      <c r="D1161" s="51" t="s">
        <v>2049</v>
      </c>
      <c r="E1161" s="51" t="s">
        <v>2200</v>
      </c>
      <c r="F1161" s="51" t="s">
        <v>5318</v>
      </c>
      <c r="G1161" s="51"/>
      <c r="H1161" s="81">
        <v>28680.41</v>
      </c>
      <c r="I1161" s="51"/>
    </row>
    <row r="1162" spans="1:9">
      <c r="A1162" s="920"/>
      <c r="B1162" s="920"/>
      <c r="C1162" s="51" t="s">
        <v>5319</v>
      </c>
      <c r="D1162" s="51" t="s">
        <v>2049</v>
      </c>
      <c r="E1162" s="51" t="s">
        <v>5320</v>
      </c>
      <c r="F1162" s="51" t="s">
        <v>5321</v>
      </c>
      <c r="G1162" s="51"/>
      <c r="H1162" s="81">
        <v>26415.599999999999</v>
      </c>
      <c r="I1162" s="51"/>
    </row>
    <row r="1163" spans="1:9">
      <c r="A1163" s="920"/>
      <c r="B1163" s="920"/>
      <c r="C1163" s="51" t="s">
        <v>2207</v>
      </c>
      <c r="D1163" s="51" t="s">
        <v>2049</v>
      </c>
      <c r="E1163" s="51" t="s">
        <v>2208</v>
      </c>
      <c r="F1163" s="51" t="s">
        <v>5322</v>
      </c>
      <c r="G1163" s="51"/>
      <c r="H1163" s="81">
        <v>26335.29</v>
      </c>
      <c r="I1163" s="51"/>
    </row>
    <row r="1164" spans="1:9">
      <c r="A1164" s="920"/>
      <c r="B1164" s="920"/>
      <c r="C1164" s="51" t="s">
        <v>2232</v>
      </c>
      <c r="D1164" s="51" t="s">
        <v>2049</v>
      </c>
      <c r="E1164" s="51" t="s">
        <v>2233</v>
      </c>
      <c r="F1164" s="51" t="s">
        <v>5323</v>
      </c>
      <c r="G1164" s="51"/>
      <c r="H1164" s="81">
        <v>25135.39</v>
      </c>
      <c r="I1164" s="51"/>
    </row>
    <row r="1165" spans="1:9">
      <c r="A1165" s="920"/>
      <c r="B1165" s="920"/>
      <c r="C1165" s="51" t="s">
        <v>5324</v>
      </c>
      <c r="D1165" s="51" t="s">
        <v>2049</v>
      </c>
      <c r="E1165" s="51" t="s">
        <v>1323</v>
      </c>
      <c r="F1165" s="51" t="s">
        <v>5325</v>
      </c>
      <c r="G1165" s="51"/>
      <c r="H1165" s="81">
        <v>12300.82</v>
      </c>
      <c r="I1165" s="51"/>
    </row>
    <row r="1166" spans="1:9">
      <c r="A1166" s="920"/>
      <c r="B1166" s="920"/>
      <c r="C1166" s="51" t="s">
        <v>5326</v>
      </c>
      <c r="D1166" s="51" t="s">
        <v>2049</v>
      </c>
      <c r="E1166" s="51" t="s">
        <v>5327</v>
      </c>
      <c r="F1166" s="51" t="s">
        <v>5328</v>
      </c>
      <c r="G1166" s="51"/>
      <c r="H1166" s="81">
        <v>9872.7999999999993</v>
      </c>
      <c r="I1166" s="51"/>
    </row>
    <row r="1167" spans="1:9">
      <c r="A1167" s="920"/>
      <c r="B1167" s="920"/>
      <c r="C1167" s="51" t="s">
        <v>5329</v>
      </c>
      <c r="D1167" s="51" t="s">
        <v>2049</v>
      </c>
      <c r="E1167" s="51" t="s">
        <v>5330</v>
      </c>
      <c r="F1167" s="51" t="s">
        <v>5331</v>
      </c>
      <c r="G1167" s="51"/>
      <c r="H1167" s="81">
        <v>5169.6000000000004</v>
      </c>
      <c r="I1167" s="51"/>
    </row>
    <row r="1168" spans="1:9">
      <c r="A1168" s="920"/>
      <c r="B1168" s="920"/>
      <c r="C1168" s="51" t="s">
        <v>2215</v>
      </c>
      <c r="D1168" s="51" t="s">
        <v>2049</v>
      </c>
      <c r="E1168" s="51" t="s">
        <v>2216</v>
      </c>
      <c r="F1168" s="51" t="s">
        <v>5332</v>
      </c>
      <c r="G1168" s="51"/>
      <c r="H1168" s="81">
        <v>4924.92</v>
      </c>
      <c r="I1168" s="51"/>
    </row>
    <row r="1169" spans="1:10">
      <c r="A1169" s="920"/>
      <c r="B1169" s="920"/>
      <c r="C1169" s="51" t="s">
        <v>5333</v>
      </c>
      <c r="D1169" s="51" t="s">
        <v>2049</v>
      </c>
      <c r="E1169" s="51" t="s">
        <v>5334</v>
      </c>
      <c r="F1169" s="51" t="s">
        <v>5335</v>
      </c>
      <c r="G1169" s="51"/>
      <c r="H1169" s="81">
        <v>1470</v>
      </c>
      <c r="I1169" s="51"/>
    </row>
    <row r="1170" spans="1:10">
      <c r="A1170" s="892">
        <v>13</v>
      </c>
      <c r="B1170" s="892" t="s">
        <v>68</v>
      </c>
      <c r="C1170" s="221" t="s">
        <v>2301</v>
      </c>
      <c r="D1170" s="221" t="s">
        <v>2049</v>
      </c>
      <c r="E1170" s="221" t="s">
        <v>2303</v>
      </c>
      <c r="F1170" s="221" t="s">
        <v>2304</v>
      </c>
      <c r="G1170" s="221">
        <v>1</v>
      </c>
      <c r="H1170" s="251">
        <v>3129530</v>
      </c>
      <c r="I1170" s="221"/>
      <c r="J1170" s="136" t="s">
        <v>5336</v>
      </c>
    </row>
    <row r="1171" spans="1:10">
      <c r="A1171" s="896"/>
      <c r="B1171" s="896"/>
      <c r="C1171" s="221" t="s">
        <v>2305</v>
      </c>
      <c r="D1171" s="221" t="s">
        <v>2047</v>
      </c>
      <c r="E1171" s="221"/>
      <c r="F1171" s="221"/>
      <c r="G1171" s="221">
        <v>1</v>
      </c>
      <c r="H1171" s="251">
        <v>750000</v>
      </c>
      <c r="I1171" s="221" t="s">
        <v>2306</v>
      </c>
    </row>
    <row r="1172" spans="1:10">
      <c r="A1172" s="893"/>
      <c r="B1172" s="893"/>
      <c r="C1172" s="221" t="s">
        <v>556</v>
      </c>
      <c r="D1172" s="221" t="s">
        <v>2049</v>
      </c>
      <c r="E1172" s="221" t="s">
        <v>571</v>
      </c>
      <c r="F1172" s="221" t="s">
        <v>2307</v>
      </c>
      <c r="G1172" s="221">
        <v>1</v>
      </c>
      <c r="H1172" s="251">
        <v>750000</v>
      </c>
      <c r="I1172" s="221" t="s">
        <v>669</v>
      </c>
    </row>
    <row r="1173" spans="1:10">
      <c r="A1173" s="889">
        <v>14</v>
      </c>
      <c r="B1173" s="889" t="s">
        <v>599</v>
      </c>
      <c r="C1173" s="51" t="s">
        <v>5337</v>
      </c>
      <c r="D1173" s="51" t="s">
        <v>2049</v>
      </c>
      <c r="E1173" s="51" t="s">
        <v>5338</v>
      </c>
      <c r="F1173" s="51"/>
      <c r="G1173" s="51"/>
      <c r="H1173" s="81">
        <v>67000</v>
      </c>
      <c r="I1173" s="51"/>
    </row>
    <row r="1174" spans="1:10">
      <c r="A1174" s="890"/>
      <c r="B1174" s="890"/>
      <c r="C1174" s="51" t="s">
        <v>2316</v>
      </c>
      <c r="D1174" s="51" t="s">
        <v>2049</v>
      </c>
      <c r="E1174" s="51"/>
      <c r="F1174" s="51"/>
      <c r="G1174" s="51"/>
      <c r="H1174" s="81">
        <v>66780.56</v>
      </c>
      <c r="I1174" s="51"/>
    </row>
    <row r="1175" spans="1:10">
      <c r="A1175" s="890"/>
      <c r="B1175" s="890"/>
      <c r="C1175" s="51" t="s">
        <v>2314</v>
      </c>
      <c r="D1175" s="51" t="s">
        <v>2049</v>
      </c>
      <c r="E1175" s="51" t="s">
        <v>2315</v>
      </c>
      <c r="F1175" s="51"/>
      <c r="G1175" s="51"/>
      <c r="H1175" s="81">
        <v>528372.68999999994</v>
      </c>
      <c r="I1175" s="51"/>
    </row>
    <row r="1176" spans="1:10">
      <c r="A1176" s="890"/>
      <c r="B1176" s="890"/>
      <c r="C1176" s="51" t="s">
        <v>2312</v>
      </c>
      <c r="D1176" s="51" t="s">
        <v>2049</v>
      </c>
      <c r="E1176" s="51" t="s">
        <v>2313</v>
      </c>
      <c r="F1176" s="51"/>
      <c r="G1176" s="51"/>
      <c r="H1176" s="81">
        <v>367200</v>
      </c>
      <c r="I1176" s="51"/>
    </row>
    <row r="1177" spans="1:10">
      <c r="A1177" s="890"/>
      <c r="B1177" s="890"/>
      <c r="C1177" s="51" t="s">
        <v>2319</v>
      </c>
      <c r="D1177" s="51" t="s">
        <v>2049</v>
      </c>
      <c r="E1177" s="51" t="s">
        <v>2320</v>
      </c>
      <c r="F1177" s="51"/>
      <c r="G1177" s="51"/>
      <c r="H1177" s="81">
        <v>173700</v>
      </c>
      <c r="I1177" s="51"/>
    </row>
    <row r="1178" spans="1:10">
      <c r="A1178" s="890"/>
      <c r="B1178" s="890"/>
      <c r="C1178" s="51" t="s">
        <v>2339</v>
      </c>
      <c r="D1178" s="51" t="s">
        <v>2049</v>
      </c>
      <c r="E1178" s="51" t="s">
        <v>2340</v>
      </c>
      <c r="F1178" s="51"/>
      <c r="G1178" s="51"/>
      <c r="H1178" s="81">
        <v>67929.682499999995</v>
      </c>
      <c r="I1178" s="51"/>
    </row>
    <row r="1179" spans="1:10">
      <c r="A1179" s="890"/>
      <c r="B1179" s="890"/>
      <c r="C1179" s="51" t="s">
        <v>5339</v>
      </c>
      <c r="D1179" s="51" t="s">
        <v>2049</v>
      </c>
      <c r="E1179" s="51" t="s">
        <v>5340</v>
      </c>
      <c r="F1179" s="51"/>
      <c r="G1179" s="51"/>
      <c r="H1179" s="81">
        <v>14191510.93</v>
      </c>
      <c r="I1179" s="51"/>
    </row>
    <row r="1180" spans="1:10">
      <c r="A1180" s="890"/>
      <c r="B1180" s="890"/>
      <c r="C1180" s="51" t="s">
        <v>2310</v>
      </c>
      <c r="D1180" s="51" t="s">
        <v>2049</v>
      </c>
      <c r="E1180" s="51" t="s">
        <v>2311</v>
      </c>
      <c r="F1180" s="51"/>
      <c r="G1180" s="51"/>
      <c r="H1180" s="81">
        <v>998227.7</v>
      </c>
      <c r="I1180" s="51"/>
    </row>
    <row r="1181" spans="1:10">
      <c r="A1181" s="890"/>
      <c r="B1181" s="890"/>
      <c r="C1181" s="51" t="s">
        <v>5341</v>
      </c>
      <c r="D1181" s="51" t="s">
        <v>2049</v>
      </c>
      <c r="E1181" s="51" t="s">
        <v>5342</v>
      </c>
      <c r="F1181" s="51"/>
      <c r="G1181" s="51"/>
      <c r="H1181" s="81">
        <v>9480</v>
      </c>
      <c r="I1181" s="51"/>
    </row>
    <row r="1182" spans="1:10">
      <c r="A1182" s="890"/>
      <c r="B1182" s="890"/>
      <c r="C1182" s="51" t="s">
        <v>5343</v>
      </c>
      <c r="D1182" s="51" t="s">
        <v>2049</v>
      </c>
      <c r="E1182" s="51" t="s">
        <v>2341</v>
      </c>
      <c r="F1182" s="51"/>
      <c r="G1182" s="51"/>
      <c r="H1182" s="81">
        <v>68000</v>
      </c>
      <c r="I1182" s="51"/>
    </row>
    <row r="1183" spans="1:10">
      <c r="A1183" s="890"/>
      <c r="B1183" s="890"/>
      <c r="C1183" s="51" t="s">
        <v>5344</v>
      </c>
      <c r="D1183" s="51" t="s">
        <v>2049</v>
      </c>
      <c r="E1183" s="51" t="s">
        <v>5345</v>
      </c>
      <c r="F1183" s="51"/>
      <c r="G1183" s="51"/>
      <c r="H1183" s="81">
        <v>66766.2</v>
      </c>
      <c r="I1183" s="51"/>
    </row>
    <row r="1184" spans="1:10">
      <c r="A1184" s="890"/>
      <c r="B1184" s="890"/>
      <c r="C1184" s="51" t="s">
        <v>5346</v>
      </c>
      <c r="D1184" s="51" t="s">
        <v>2049</v>
      </c>
      <c r="E1184" s="51" t="s">
        <v>2298</v>
      </c>
      <c r="F1184" s="51"/>
      <c r="G1184" s="51"/>
      <c r="H1184" s="81">
        <v>14625</v>
      </c>
      <c r="I1184" s="51"/>
    </row>
    <row r="1185" spans="1:9">
      <c r="A1185" s="890"/>
      <c r="B1185" s="890"/>
      <c r="C1185" s="51" t="s">
        <v>5347</v>
      </c>
      <c r="D1185" s="51" t="s">
        <v>2049</v>
      </c>
      <c r="E1185" s="51" t="s">
        <v>5348</v>
      </c>
      <c r="F1185" s="51"/>
      <c r="G1185" s="51"/>
      <c r="H1185" s="81">
        <v>127584</v>
      </c>
      <c r="I1185" s="51"/>
    </row>
    <row r="1186" spans="1:9">
      <c r="A1186" s="890"/>
      <c r="B1186" s="890"/>
      <c r="C1186" s="51" t="s">
        <v>5349</v>
      </c>
      <c r="D1186" s="51" t="s">
        <v>2049</v>
      </c>
      <c r="E1186" s="51" t="s">
        <v>5350</v>
      </c>
      <c r="F1186" s="51"/>
      <c r="G1186" s="51"/>
      <c r="H1186" s="81">
        <v>230749</v>
      </c>
      <c r="I1186" s="51"/>
    </row>
    <row r="1187" spans="1:9">
      <c r="A1187" s="890"/>
      <c r="B1187" s="890"/>
      <c r="C1187" s="51" t="s">
        <v>5351</v>
      </c>
      <c r="D1187" s="51" t="s">
        <v>2049</v>
      </c>
      <c r="E1187" s="51" t="s">
        <v>5352</v>
      </c>
      <c r="F1187" s="51"/>
      <c r="G1187" s="51"/>
      <c r="H1187" s="81">
        <v>780994</v>
      </c>
      <c r="I1187" s="51"/>
    </row>
    <row r="1188" spans="1:9">
      <c r="A1188" s="890"/>
      <c r="B1188" s="890"/>
      <c r="C1188" s="51" t="s">
        <v>2317</v>
      </c>
      <c r="D1188" s="51" t="s">
        <v>2049</v>
      </c>
      <c r="E1188" s="51" t="s">
        <v>2318</v>
      </c>
      <c r="F1188" s="51"/>
      <c r="G1188" s="51"/>
      <c r="H1188" s="81">
        <v>267400</v>
      </c>
      <c r="I1188" s="51"/>
    </row>
    <row r="1189" spans="1:9">
      <c r="A1189" s="890"/>
      <c r="B1189" s="890"/>
      <c r="C1189" s="51" t="s">
        <v>2308</v>
      </c>
      <c r="D1189" s="51" t="s">
        <v>2049</v>
      </c>
      <c r="E1189" s="51" t="s">
        <v>2309</v>
      </c>
      <c r="F1189" s="51"/>
      <c r="G1189" s="51"/>
      <c r="H1189" s="81">
        <v>1657025.93</v>
      </c>
      <c r="I1189" s="51"/>
    </row>
    <row r="1190" spans="1:9">
      <c r="A1190" s="890"/>
      <c r="B1190" s="890"/>
      <c r="C1190" s="51" t="s">
        <v>5353</v>
      </c>
      <c r="D1190" s="51" t="s">
        <v>2049</v>
      </c>
      <c r="E1190" s="51" t="s">
        <v>5354</v>
      </c>
      <c r="F1190" s="51"/>
      <c r="G1190" s="51"/>
      <c r="H1190" s="81">
        <v>36000</v>
      </c>
      <c r="I1190" s="51"/>
    </row>
    <row r="1191" spans="1:9">
      <c r="A1191" s="890"/>
      <c r="B1191" s="890"/>
      <c r="C1191" s="51" t="s">
        <v>5355</v>
      </c>
      <c r="D1191" s="51" t="s">
        <v>2049</v>
      </c>
      <c r="E1191" s="51" t="s">
        <v>5356</v>
      </c>
      <c r="F1191" s="51"/>
      <c r="G1191" s="51"/>
      <c r="H1191" s="81">
        <v>30364.37</v>
      </c>
      <c r="I1191" s="51"/>
    </row>
    <row r="1192" spans="1:9">
      <c r="A1192" s="890"/>
      <c r="B1192" s="890"/>
      <c r="C1192" s="51" t="s">
        <v>5357</v>
      </c>
      <c r="D1192" s="51" t="s">
        <v>2049</v>
      </c>
      <c r="E1192" s="51" t="s">
        <v>5358</v>
      </c>
      <c r="F1192" s="51"/>
      <c r="G1192" s="51"/>
      <c r="H1192" s="81">
        <v>5505.79</v>
      </c>
      <c r="I1192" s="51"/>
    </row>
    <row r="1193" spans="1:9">
      <c r="A1193" s="890"/>
      <c r="B1193" s="890"/>
      <c r="C1193" s="51" t="s">
        <v>5359</v>
      </c>
      <c r="D1193" s="51" t="s">
        <v>2049</v>
      </c>
      <c r="E1193" s="51" t="s">
        <v>5360</v>
      </c>
      <c r="F1193" s="51"/>
      <c r="G1193" s="51"/>
      <c r="H1193" s="81">
        <v>443277.56</v>
      </c>
      <c r="I1193" s="51"/>
    </row>
    <row r="1194" spans="1:9">
      <c r="A1194" s="890"/>
      <c r="B1194" s="890"/>
      <c r="C1194" s="51" t="s">
        <v>5361</v>
      </c>
      <c r="D1194" s="51" t="s">
        <v>2049</v>
      </c>
      <c r="E1194" s="51" t="s">
        <v>5362</v>
      </c>
      <c r="F1194" s="51"/>
      <c r="G1194" s="51"/>
      <c r="H1194" s="81">
        <v>41570</v>
      </c>
      <c r="I1194" s="51"/>
    </row>
    <row r="1195" spans="1:9">
      <c r="A1195" s="890"/>
      <c r="B1195" s="890"/>
      <c r="C1195" s="51" t="s">
        <v>5363</v>
      </c>
      <c r="D1195" s="51" t="s">
        <v>2049</v>
      </c>
      <c r="E1195" s="51" t="s">
        <v>5364</v>
      </c>
      <c r="F1195" s="51"/>
      <c r="G1195" s="51"/>
      <c r="H1195" s="81">
        <v>61110</v>
      </c>
      <c r="I1195" s="51"/>
    </row>
    <row r="1196" spans="1:9">
      <c r="A1196" s="890"/>
      <c r="B1196" s="890"/>
      <c r="C1196" s="51" t="s">
        <v>5365</v>
      </c>
      <c r="D1196" s="51" t="s">
        <v>2049</v>
      </c>
      <c r="E1196" s="51" t="s">
        <v>5366</v>
      </c>
      <c r="F1196" s="51"/>
      <c r="G1196" s="51"/>
      <c r="H1196" s="81">
        <v>96354.8</v>
      </c>
      <c r="I1196" s="51"/>
    </row>
    <row r="1197" spans="1:9">
      <c r="A1197" s="892">
        <v>15</v>
      </c>
      <c r="B1197" s="892" t="s">
        <v>607</v>
      </c>
      <c r="C1197" s="221" t="s">
        <v>5367</v>
      </c>
      <c r="D1197" s="221" t="s">
        <v>2049</v>
      </c>
      <c r="E1197" s="221" t="s">
        <v>5368</v>
      </c>
      <c r="F1197" s="221"/>
      <c r="G1197" s="221"/>
      <c r="H1197" s="251" t="s">
        <v>1247</v>
      </c>
      <c r="I1197" s="221"/>
    </row>
    <row r="1198" spans="1:9">
      <c r="A1198" s="896"/>
      <c r="B1198" s="896"/>
      <c r="C1198" s="221" t="s">
        <v>5369</v>
      </c>
      <c r="D1198" s="221" t="s">
        <v>2049</v>
      </c>
      <c r="E1198" s="221" t="s">
        <v>5370</v>
      </c>
      <c r="F1198" s="221"/>
      <c r="G1198" s="221"/>
      <c r="H1198" s="251" t="s">
        <v>1247</v>
      </c>
      <c r="I1198" s="221"/>
    </row>
    <row r="1199" spans="1:9">
      <c r="A1199" s="896"/>
      <c r="B1199" s="896"/>
      <c r="C1199" s="221" t="s">
        <v>5371</v>
      </c>
      <c r="D1199" s="221" t="s">
        <v>2049</v>
      </c>
      <c r="E1199" s="221"/>
      <c r="F1199" s="221"/>
      <c r="G1199" s="221"/>
      <c r="H1199" s="251" t="s">
        <v>1247</v>
      </c>
      <c r="I1199" s="221"/>
    </row>
    <row r="1200" spans="1:9">
      <c r="A1200" s="889">
        <v>16</v>
      </c>
      <c r="B1200" s="889" t="s">
        <v>74</v>
      </c>
      <c r="C1200" s="51" t="s">
        <v>5372</v>
      </c>
      <c r="D1200" s="51" t="s">
        <v>2049</v>
      </c>
      <c r="E1200" s="51" t="s">
        <v>2465</v>
      </c>
      <c r="F1200" s="51" t="s">
        <v>5373</v>
      </c>
      <c r="G1200" s="51">
        <v>1</v>
      </c>
      <c r="H1200" s="81">
        <v>1382967.34</v>
      </c>
      <c r="I1200" s="51"/>
    </row>
    <row r="1201" spans="1:9">
      <c r="A1201" s="890"/>
      <c r="B1201" s="890"/>
      <c r="C1201" s="51" t="s">
        <v>5374</v>
      </c>
      <c r="D1201" s="51" t="s">
        <v>2049</v>
      </c>
      <c r="E1201" s="51" t="s">
        <v>2169</v>
      </c>
      <c r="F1201" s="51" t="s">
        <v>5375</v>
      </c>
      <c r="G1201" s="51">
        <v>1</v>
      </c>
      <c r="H1201" s="81">
        <v>1578658.89</v>
      </c>
      <c r="I1201" s="51"/>
    </row>
    <row r="1202" spans="1:9">
      <c r="A1202" s="890"/>
      <c r="B1202" s="890"/>
      <c r="C1202" s="51" t="s">
        <v>2322</v>
      </c>
      <c r="D1202" s="51" t="s">
        <v>2047</v>
      </c>
      <c r="E1202" s="51"/>
      <c r="F1202" s="51" t="s">
        <v>5376</v>
      </c>
      <c r="G1202" s="51">
        <v>1</v>
      </c>
      <c r="H1202" s="81">
        <v>952706.99</v>
      </c>
      <c r="I1202" s="51"/>
    </row>
    <row r="1203" spans="1:9">
      <c r="A1203" s="890"/>
      <c r="B1203" s="890"/>
      <c r="C1203" s="51" t="s">
        <v>5377</v>
      </c>
      <c r="D1203" s="51" t="s">
        <v>2049</v>
      </c>
      <c r="E1203" s="51" t="s">
        <v>5378</v>
      </c>
      <c r="F1203" s="51" t="s">
        <v>5379</v>
      </c>
      <c r="G1203" s="51">
        <v>1</v>
      </c>
      <c r="H1203" s="81">
        <v>904286.7</v>
      </c>
      <c r="I1203" s="51"/>
    </row>
    <row r="1204" spans="1:9">
      <c r="A1204" s="890"/>
      <c r="B1204" s="890"/>
      <c r="C1204" s="51" t="s">
        <v>5380</v>
      </c>
      <c r="D1204" s="51" t="s">
        <v>2049</v>
      </c>
      <c r="E1204" s="51" t="s">
        <v>2323</v>
      </c>
      <c r="F1204" s="51" t="s">
        <v>5381</v>
      </c>
      <c r="G1204" s="51">
        <v>1</v>
      </c>
      <c r="H1204" s="81">
        <v>594066.65</v>
      </c>
      <c r="I1204" s="51"/>
    </row>
    <row r="1205" spans="1:9">
      <c r="A1205" s="890"/>
      <c r="B1205" s="890"/>
      <c r="C1205" s="51" t="s">
        <v>5382</v>
      </c>
      <c r="D1205" s="51" t="s">
        <v>2049</v>
      </c>
      <c r="E1205" s="51" t="s">
        <v>5383</v>
      </c>
      <c r="F1205" s="51" t="s">
        <v>5384</v>
      </c>
      <c r="G1205" s="51">
        <v>1</v>
      </c>
      <c r="H1205" s="81">
        <v>952834.37</v>
      </c>
      <c r="I1205" s="51"/>
    </row>
    <row r="1206" spans="1:9">
      <c r="A1206" s="890"/>
      <c r="B1206" s="890"/>
      <c r="C1206" s="51" t="s">
        <v>5385</v>
      </c>
      <c r="D1206" s="51" t="s">
        <v>2049</v>
      </c>
      <c r="E1206" s="51" t="s">
        <v>5386</v>
      </c>
      <c r="F1206" s="51" t="s">
        <v>5387</v>
      </c>
      <c r="G1206" s="51">
        <v>1</v>
      </c>
      <c r="H1206" s="81">
        <v>2803626.88</v>
      </c>
      <c r="I1206" s="51"/>
    </row>
    <row r="1207" spans="1:9">
      <c r="A1207" s="891"/>
      <c r="B1207" s="891"/>
      <c r="C1207" s="51" t="s">
        <v>5388</v>
      </c>
      <c r="D1207" s="51" t="s">
        <v>2049</v>
      </c>
      <c r="E1207" s="51" t="s">
        <v>2343</v>
      </c>
      <c r="F1207" s="51" t="s">
        <v>5389</v>
      </c>
      <c r="G1207" s="51">
        <v>1</v>
      </c>
      <c r="H1207" s="81">
        <v>258300</v>
      </c>
      <c r="I1207" s="51"/>
    </row>
    <row r="1208" spans="1:9">
      <c r="A1208" s="892">
        <v>17</v>
      </c>
      <c r="B1208" s="892" t="s">
        <v>5390</v>
      </c>
      <c r="C1208" s="221" t="s">
        <v>5391</v>
      </c>
      <c r="D1208" s="221" t="s">
        <v>2049</v>
      </c>
      <c r="E1208" s="221" t="s">
        <v>5392</v>
      </c>
      <c r="F1208" s="221"/>
      <c r="G1208" s="251">
        <v>1</v>
      </c>
      <c r="H1208" s="251">
        <v>498162.40666666668</v>
      </c>
      <c r="I1208" s="251"/>
    </row>
    <row r="1209" spans="1:9">
      <c r="A1209" s="896"/>
      <c r="B1209" s="896"/>
      <c r="C1209" s="221" t="s">
        <v>5393</v>
      </c>
      <c r="D1209" s="221" t="s">
        <v>2049</v>
      </c>
      <c r="E1209" s="221" t="s">
        <v>5394</v>
      </c>
      <c r="F1209" s="221"/>
      <c r="G1209" s="251">
        <v>1</v>
      </c>
      <c r="H1209" s="251">
        <v>467987.28</v>
      </c>
      <c r="I1209" s="251"/>
    </row>
    <row r="1210" spans="1:9">
      <c r="A1210" s="896"/>
      <c r="B1210" s="896"/>
      <c r="C1210" s="221" t="s">
        <v>5395</v>
      </c>
      <c r="D1210" s="221" t="s">
        <v>2049</v>
      </c>
      <c r="E1210" s="221" t="s">
        <v>2082</v>
      </c>
      <c r="F1210" s="221"/>
      <c r="G1210" s="251">
        <v>1</v>
      </c>
      <c r="H1210" s="251">
        <v>2714723.2870000005</v>
      </c>
      <c r="I1210" s="251"/>
    </row>
    <row r="1211" spans="1:9">
      <c r="A1211" s="896"/>
      <c r="B1211" s="896"/>
      <c r="C1211" s="221" t="s">
        <v>2039</v>
      </c>
      <c r="D1211" s="221" t="s">
        <v>2049</v>
      </c>
      <c r="E1211" s="221" t="s">
        <v>2293</v>
      </c>
      <c r="F1211" s="221"/>
      <c r="G1211" s="251">
        <v>1</v>
      </c>
      <c r="H1211" s="251">
        <v>3046037.74</v>
      </c>
      <c r="I1211" s="251"/>
    </row>
    <row r="1212" spans="1:9">
      <c r="A1212" s="896"/>
      <c r="B1212" s="896"/>
      <c r="C1212" s="221" t="s">
        <v>5396</v>
      </c>
      <c r="D1212" s="221" t="s">
        <v>2049</v>
      </c>
      <c r="E1212" s="221" t="s">
        <v>5397</v>
      </c>
      <c r="F1212" s="221"/>
      <c r="G1212" s="251">
        <v>1</v>
      </c>
      <c r="H1212" s="251">
        <v>106194.99999999999</v>
      </c>
      <c r="I1212" s="251"/>
    </row>
    <row r="1213" spans="1:9">
      <c r="A1213" s="896"/>
      <c r="B1213" s="896"/>
      <c r="C1213" s="221" t="s">
        <v>5398</v>
      </c>
      <c r="D1213" s="221" t="s">
        <v>2049</v>
      </c>
      <c r="E1213" s="221" t="s">
        <v>5399</v>
      </c>
      <c r="F1213" s="221"/>
      <c r="G1213" s="251">
        <v>1</v>
      </c>
      <c r="H1213" s="251">
        <v>1224935.7533333332</v>
      </c>
      <c r="I1213" s="251"/>
    </row>
    <row r="1214" spans="1:9">
      <c r="A1214" s="896"/>
      <c r="B1214" s="896"/>
      <c r="C1214" s="221" t="s">
        <v>5400</v>
      </c>
      <c r="D1214" s="221" t="s">
        <v>2049</v>
      </c>
      <c r="E1214" s="221" t="s">
        <v>5401</v>
      </c>
      <c r="F1214" s="221"/>
      <c r="G1214" s="251">
        <v>1</v>
      </c>
      <c r="H1214" s="251">
        <v>85600.000000000015</v>
      </c>
      <c r="I1214" s="251"/>
    </row>
    <row r="1215" spans="1:9">
      <c r="A1215" s="896"/>
      <c r="B1215" s="896"/>
      <c r="C1215" s="221" t="s">
        <v>5402</v>
      </c>
      <c r="D1215" s="221" t="s">
        <v>2049</v>
      </c>
      <c r="E1215" s="221" t="s">
        <v>2059</v>
      </c>
      <c r="F1215" s="221"/>
      <c r="G1215" s="251">
        <v>1</v>
      </c>
      <c r="H1215" s="251">
        <v>11812779.123333333</v>
      </c>
      <c r="I1215" s="251"/>
    </row>
    <row r="1216" spans="1:9">
      <c r="A1216" s="896"/>
      <c r="B1216" s="896"/>
      <c r="C1216" s="221" t="s">
        <v>5403</v>
      </c>
      <c r="D1216" s="221" t="s">
        <v>2049</v>
      </c>
      <c r="E1216" s="221" t="s">
        <v>5404</v>
      </c>
      <c r="F1216" s="221"/>
      <c r="G1216" s="251">
        <v>1</v>
      </c>
      <c r="H1216" s="251">
        <v>154873.33000000002</v>
      </c>
      <c r="I1216" s="251"/>
    </row>
    <row r="1217" spans="1:9">
      <c r="A1217" s="896"/>
      <c r="B1217" s="896"/>
      <c r="C1217" s="221" t="s">
        <v>5405</v>
      </c>
      <c r="D1217" s="221" t="s">
        <v>2049</v>
      </c>
      <c r="E1217" s="221" t="s">
        <v>5406</v>
      </c>
      <c r="F1217" s="221"/>
      <c r="G1217" s="251">
        <v>1</v>
      </c>
      <c r="H1217" s="251">
        <v>160654.16999999998</v>
      </c>
      <c r="I1217" s="251"/>
    </row>
    <row r="1218" spans="1:9">
      <c r="A1218" s="896"/>
      <c r="B1218" s="896"/>
      <c r="C1218" s="221" t="s">
        <v>2060</v>
      </c>
      <c r="D1218" s="221" t="s">
        <v>2049</v>
      </c>
      <c r="E1218" s="221" t="s">
        <v>4374</v>
      </c>
      <c r="F1218" s="221"/>
      <c r="G1218" s="251">
        <v>1</v>
      </c>
      <c r="H1218" s="251">
        <v>1095232.4933333332</v>
      </c>
      <c r="I1218" s="251"/>
    </row>
    <row r="1219" spans="1:9">
      <c r="A1219" s="896"/>
      <c r="B1219" s="896"/>
      <c r="C1219" s="221" t="s">
        <v>5407</v>
      </c>
      <c r="D1219" s="221" t="s">
        <v>2049</v>
      </c>
      <c r="E1219" s="221" t="s">
        <v>5408</v>
      </c>
      <c r="F1219" s="221"/>
      <c r="G1219" s="251">
        <v>1</v>
      </c>
      <c r="H1219" s="251">
        <v>1784874.6233333331</v>
      </c>
      <c r="I1219" s="251"/>
    </row>
    <row r="1220" spans="1:9">
      <c r="A1220" s="893"/>
      <c r="B1220" s="896"/>
      <c r="C1220" s="221" t="s">
        <v>5409</v>
      </c>
      <c r="D1220" s="221" t="s">
        <v>2049</v>
      </c>
      <c r="E1220" s="221" t="s">
        <v>5410</v>
      </c>
      <c r="F1220" s="221"/>
      <c r="G1220" s="251">
        <v>1</v>
      </c>
      <c r="H1220" s="251">
        <v>8395532.4866666663</v>
      </c>
      <c r="I1220" s="251"/>
    </row>
    <row r="1221" spans="1:9">
      <c r="A1221" s="904">
        <v>18</v>
      </c>
      <c r="B1221" s="889" t="s">
        <v>5411</v>
      </c>
      <c r="C1221" s="51" t="s">
        <v>5412</v>
      </c>
      <c r="D1221" s="51" t="s">
        <v>2049</v>
      </c>
      <c r="E1221" s="51" t="s">
        <v>5413</v>
      </c>
      <c r="F1221" s="51"/>
      <c r="G1221" s="51"/>
      <c r="H1221" s="81" t="s">
        <v>1247</v>
      </c>
      <c r="I1221" s="51"/>
    </row>
    <row r="1222" spans="1:9">
      <c r="A1222" s="905"/>
      <c r="B1222" s="890"/>
      <c r="C1222" s="51" t="s">
        <v>5414</v>
      </c>
      <c r="D1222" s="51" t="s">
        <v>2047</v>
      </c>
      <c r="E1222" s="51"/>
      <c r="F1222" s="51"/>
      <c r="G1222" s="51"/>
      <c r="H1222" s="81" t="s">
        <v>1247</v>
      </c>
      <c r="I1222" s="51"/>
    </row>
    <row r="1223" spans="1:9">
      <c r="A1223" s="905"/>
      <c r="B1223" s="890"/>
      <c r="C1223" s="51" t="s">
        <v>5415</v>
      </c>
      <c r="D1223" s="51" t="s">
        <v>2049</v>
      </c>
      <c r="E1223" s="51"/>
      <c r="F1223" s="51"/>
      <c r="G1223" s="51"/>
      <c r="H1223" s="81" t="s">
        <v>1247</v>
      </c>
      <c r="I1223" s="51"/>
    </row>
    <row r="1224" spans="1:9">
      <c r="A1224" s="905"/>
      <c r="B1224" s="890"/>
      <c r="C1224" s="51" t="s">
        <v>5416</v>
      </c>
      <c r="D1224" s="51" t="s">
        <v>2049</v>
      </c>
      <c r="E1224" s="51"/>
      <c r="F1224" s="51"/>
      <c r="G1224" s="51"/>
      <c r="H1224" s="81" t="s">
        <v>1247</v>
      </c>
      <c r="I1224" s="51"/>
    </row>
    <row r="1225" spans="1:9">
      <c r="A1225" s="905"/>
      <c r="B1225" s="890"/>
      <c r="C1225" s="51" t="s">
        <v>2319</v>
      </c>
      <c r="D1225" s="51" t="s">
        <v>2049</v>
      </c>
      <c r="E1225" s="51" t="s">
        <v>5417</v>
      </c>
      <c r="F1225" s="51"/>
      <c r="G1225" s="51"/>
      <c r="H1225" s="81" t="s">
        <v>1247</v>
      </c>
      <c r="I1225" s="51"/>
    </row>
    <row r="1226" spans="1:9">
      <c r="A1226" s="905"/>
      <c r="B1226" s="890"/>
      <c r="C1226" s="51" t="s">
        <v>5418</v>
      </c>
      <c r="D1226" s="51" t="s">
        <v>2049</v>
      </c>
      <c r="E1226" s="51" t="s">
        <v>4792</v>
      </c>
      <c r="F1226" s="51"/>
      <c r="G1226" s="51"/>
      <c r="H1226" s="81" t="s">
        <v>1247</v>
      </c>
      <c r="I1226" s="51"/>
    </row>
    <row r="1227" spans="1:9">
      <c r="A1227" s="906"/>
      <c r="B1227" s="891"/>
      <c r="C1227" s="51" t="s">
        <v>2316</v>
      </c>
      <c r="D1227" s="51" t="s">
        <v>2047</v>
      </c>
      <c r="E1227" s="51"/>
      <c r="F1227" s="51"/>
      <c r="G1227" s="51"/>
      <c r="H1227" s="81" t="s">
        <v>1247</v>
      </c>
      <c r="I1227" s="51"/>
    </row>
    <row r="1228" spans="1:9">
      <c r="A1228" s="892">
        <v>19</v>
      </c>
      <c r="B1228" s="892" t="s">
        <v>618</v>
      </c>
      <c r="C1228" s="221" t="s">
        <v>2324</v>
      </c>
      <c r="D1228" s="221" t="s">
        <v>2049</v>
      </c>
      <c r="E1228" s="221" t="s">
        <v>1944</v>
      </c>
      <c r="F1228" s="221" t="s">
        <v>2058</v>
      </c>
      <c r="G1228" s="221">
        <v>1</v>
      </c>
      <c r="H1228" s="251">
        <v>25045953.800000001</v>
      </c>
      <c r="I1228" s="221"/>
    </row>
    <row r="1229" spans="1:9">
      <c r="A1229" s="896"/>
      <c r="B1229" s="896"/>
      <c r="C1229" s="221" t="s">
        <v>2325</v>
      </c>
      <c r="D1229" s="221" t="s">
        <v>2049</v>
      </c>
      <c r="E1229" s="221" t="s">
        <v>2326</v>
      </c>
      <c r="F1229" s="221" t="s">
        <v>2058</v>
      </c>
      <c r="G1229" s="221">
        <v>1</v>
      </c>
      <c r="H1229" s="251">
        <v>262387.09999999998</v>
      </c>
      <c r="I1229" s="221"/>
    </row>
    <row r="1230" spans="1:9">
      <c r="A1230" s="896"/>
      <c r="B1230" s="896"/>
      <c r="C1230" s="221" t="s">
        <v>1956</v>
      </c>
      <c r="D1230" s="221" t="s">
        <v>2049</v>
      </c>
      <c r="E1230" s="221" t="s">
        <v>1320</v>
      </c>
      <c r="F1230" s="221" t="s">
        <v>2058</v>
      </c>
      <c r="G1230" s="221">
        <v>1</v>
      </c>
      <c r="H1230" s="251">
        <v>13143447.039999999</v>
      </c>
      <c r="I1230" s="221"/>
    </row>
    <row r="1231" spans="1:9">
      <c r="A1231" s="896"/>
      <c r="B1231" s="896"/>
      <c r="C1231" s="221" t="s">
        <v>2327</v>
      </c>
      <c r="D1231" s="221" t="s">
        <v>2049</v>
      </c>
      <c r="E1231" s="221" t="s">
        <v>2328</v>
      </c>
      <c r="F1231" s="221" t="s">
        <v>2058</v>
      </c>
      <c r="G1231" s="221">
        <v>1</v>
      </c>
      <c r="H1231" s="251">
        <v>2797190.48</v>
      </c>
      <c r="I1231" s="221"/>
    </row>
    <row r="1232" spans="1:9">
      <c r="A1232" s="896"/>
      <c r="B1232" s="896"/>
      <c r="C1232" s="221" t="s">
        <v>2329</v>
      </c>
      <c r="D1232" s="221" t="s">
        <v>2049</v>
      </c>
      <c r="E1232" s="221" t="s">
        <v>2330</v>
      </c>
      <c r="F1232" s="221" t="s">
        <v>2058</v>
      </c>
      <c r="G1232" s="221">
        <v>1</v>
      </c>
      <c r="H1232" s="251">
        <v>1914505.43</v>
      </c>
      <c r="I1232" s="221"/>
    </row>
    <row r="1233" spans="1:9">
      <c r="A1233" s="896"/>
      <c r="B1233" s="896"/>
      <c r="C1233" s="221" t="s">
        <v>2331</v>
      </c>
      <c r="D1233" s="221" t="s">
        <v>2049</v>
      </c>
      <c r="E1233" s="221" t="s">
        <v>2332</v>
      </c>
      <c r="F1233" s="221" t="s">
        <v>2058</v>
      </c>
      <c r="G1233" s="221">
        <v>1</v>
      </c>
      <c r="H1233" s="251">
        <v>499186.28</v>
      </c>
      <c r="I1233" s="221"/>
    </row>
    <row r="1234" spans="1:9">
      <c r="A1234" s="896"/>
      <c r="B1234" s="896"/>
      <c r="C1234" s="221" t="s">
        <v>2333</v>
      </c>
      <c r="D1234" s="221" t="s">
        <v>2049</v>
      </c>
      <c r="E1234" s="221" t="s">
        <v>2334</v>
      </c>
      <c r="F1234" s="221" t="s">
        <v>2058</v>
      </c>
      <c r="G1234" s="221">
        <v>1</v>
      </c>
      <c r="H1234" s="251">
        <v>5099125.18</v>
      </c>
      <c r="I1234" s="221"/>
    </row>
    <row r="1235" spans="1:9">
      <c r="A1235" s="893"/>
      <c r="B1235" s="893"/>
      <c r="C1235" s="221" t="s">
        <v>2335</v>
      </c>
      <c r="D1235" s="221" t="s">
        <v>2049</v>
      </c>
      <c r="E1235" s="221" t="s">
        <v>2336</v>
      </c>
      <c r="F1235" s="221" t="s">
        <v>2058</v>
      </c>
      <c r="G1235" s="221">
        <v>1</v>
      </c>
      <c r="H1235" s="251">
        <v>7100478.5700000003</v>
      </c>
      <c r="I1235" s="221"/>
    </row>
    <row r="1236" spans="1:9">
      <c r="A1236" s="904">
        <v>20</v>
      </c>
      <c r="B1236" s="889" t="s">
        <v>622</v>
      </c>
      <c r="C1236" s="51" t="s">
        <v>2463</v>
      </c>
      <c r="D1236" s="51" t="s">
        <v>2049</v>
      </c>
      <c r="E1236" s="51" t="s">
        <v>5419</v>
      </c>
      <c r="F1236" s="51" t="s">
        <v>5420</v>
      </c>
      <c r="G1236" s="51"/>
      <c r="H1236" s="81">
        <v>10619.62</v>
      </c>
      <c r="I1236" s="51" t="s">
        <v>2463</v>
      </c>
    </row>
    <row r="1237" spans="1:9">
      <c r="A1237" s="905"/>
      <c r="B1237" s="890"/>
      <c r="C1237" s="51" t="s">
        <v>5421</v>
      </c>
      <c r="D1237" s="51" t="s">
        <v>2049</v>
      </c>
      <c r="E1237" s="51" t="s">
        <v>5422</v>
      </c>
      <c r="F1237" s="51" t="s">
        <v>5423</v>
      </c>
      <c r="G1237" s="51"/>
      <c r="H1237" s="81">
        <v>7949.32</v>
      </c>
      <c r="I1237" s="51" t="s">
        <v>5421</v>
      </c>
    </row>
    <row r="1238" spans="1:9">
      <c r="A1238" s="905"/>
      <c r="B1238" s="890"/>
      <c r="C1238" s="51" t="s">
        <v>5424</v>
      </c>
      <c r="D1238" s="51" t="s">
        <v>2049</v>
      </c>
      <c r="E1238" s="51" t="s">
        <v>5425</v>
      </c>
      <c r="F1238" s="51" t="s">
        <v>5426</v>
      </c>
      <c r="G1238" s="51"/>
      <c r="H1238" s="81">
        <v>6201.06</v>
      </c>
      <c r="I1238" s="51" t="s">
        <v>5424</v>
      </c>
    </row>
    <row r="1239" spans="1:9">
      <c r="A1239" s="905"/>
      <c r="B1239" s="890"/>
      <c r="C1239" s="51" t="s">
        <v>5427</v>
      </c>
      <c r="D1239" s="51" t="s">
        <v>2049</v>
      </c>
      <c r="E1239" s="51" t="s">
        <v>5428</v>
      </c>
      <c r="F1239" s="51" t="s">
        <v>5429</v>
      </c>
      <c r="G1239" s="51"/>
      <c r="H1239" s="81">
        <v>3967.63</v>
      </c>
      <c r="I1239" s="51" t="s">
        <v>5427</v>
      </c>
    </row>
    <row r="1240" spans="1:9">
      <c r="A1240" s="905"/>
      <c r="B1240" s="890"/>
      <c r="C1240" s="51" t="s">
        <v>2283</v>
      </c>
      <c r="D1240" s="51" t="s">
        <v>2049</v>
      </c>
      <c r="E1240" s="51" t="s">
        <v>5430</v>
      </c>
      <c r="F1240" s="51" t="s">
        <v>5431</v>
      </c>
      <c r="G1240" s="51"/>
      <c r="H1240" s="81">
        <v>2831.31</v>
      </c>
      <c r="I1240" s="51" t="s">
        <v>2283</v>
      </c>
    </row>
    <row r="1241" spans="1:9">
      <c r="A1241" s="905"/>
      <c r="B1241" s="890"/>
      <c r="C1241" s="51" t="s">
        <v>5432</v>
      </c>
      <c r="D1241" s="51" t="s">
        <v>2049</v>
      </c>
      <c r="E1241" s="51" t="s">
        <v>5433</v>
      </c>
      <c r="F1241" s="51" t="s">
        <v>5434</v>
      </c>
      <c r="G1241" s="51"/>
      <c r="H1241" s="81">
        <v>2262.86</v>
      </c>
      <c r="I1241" s="51" t="s">
        <v>5432</v>
      </c>
    </row>
    <row r="1242" spans="1:9">
      <c r="A1242" s="905"/>
      <c r="B1242" s="890"/>
      <c r="C1242" s="51" t="s">
        <v>5435</v>
      </c>
      <c r="D1242" s="51" t="s">
        <v>2049</v>
      </c>
      <c r="E1242" s="51" t="s">
        <v>5436</v>
      </c>
      <c r="F1242" s="51" t="s">
        <v>5437</v>
      </c>
      <c r="G1242" s="51"/>
      <c r="H1242" s="81">
        <v>1116</v>
      </c>
      <c r="I1242" s="51" t="s">
        <v>5435</v>
      </c>
    </row>
    <row r="1243" spans="1:9">
      <c r="A1243" s="905"/>
      <c r="B1243" s="890"/>
      <c r="C1243" s="51" t="s">
        <v>3854</v>
      </c>
      <c r="D1243" s="51" t="s">
        <v>2049</v>
      </c>
      <c r="E1243" s="51" t="s">
        <v>5438</v>
      </c>
      <c r="F1243" s="51" t="s">
        <v>5439</v>
      </c>
      <c r="G1243" s="51"/>
      <c r="H1243" s="81">
        <v>914.02</v>
      </c>
      <c r="I1243" s="51" t="s">
        <v>3854</v>
      </c>
    </row>
    <row r="1244" spans="1:9">
      <c r="A1244" s="905"/>
      <c r="B1244" s="890"/>
      <c r="C1244" s="51" t="s">
        <v>5440</v>
      </c>
      <c r="D1244" s="51" t="s">
        <v>2049</v>
      </c>
      <c r="E1244" s="51" t="s">
        <v>5441</v>
      </c>
      <c r="F1244" s="51" t="s">
        <v>5442</v>
      </c>
      <c r="G1244" s="51"/>
      <c r="H1244" s="81">
        <v>900.32</v>
      </c>
      <c r="I1244" s="51" t="s">
        <v>5440</v>
      </c>
    </row>
    <row r="1245" spans="1:9">
      <c r="A1245" s="905"/>
      <c r="B1245" s="890"/>
      <c r="C1245" s="51" t="s">
        <v>5443</v>
      </c>
      <c r="D1245" s="51" t="s">
        <v>2049</v>
      </c>
      <c r="E1245" s="51" t="s">
        <v>5444</v>
      </c>
      <c r="F1245" s="51" t="s">
        <v>5445</v>
      </c>
      <c r="G1245" s="51"/>
      <c r="H1245" s="81">
        <v>756</v>
      </c>
      <c r="I1245" s="51" t="s">
        <v>5443</v>
      </c>
    </row>
    <row r="1246" spans="1:9">
      <c r="A1246" s="905"/>
      <c r="B1246" s="890"/>
      <c r="C1246" s="51" t="s">
        <v>5446</v>
      </c>
      <c r="D1246" s="51" t="s">
        <v>2049</v>
      </c>
      <c r="E1246" s="51" t="s">
        <v>5447</v>
      </c>
      <c r="F1246" s="51" t="s">
        <v>5448</v>
      </c>
      <c r="G1246" s="51"/>
      <c r="H1246" s="81">
        <v>467.58</v>
      </c>
      <c r="I1246" s="51" t="s">
        <v>5446</v>
      </c>
    </row>
    <row r="1247" spans="1:9">
      <c r="A1247" s="905"/>
      <c r="B1247" s="890"/>
      <c r="C1247" s="51" t="s">
        <v>5449</v>
      </c>
      <c r="D1247" s="51" t="s">
        <v>2049</v>
      </c>
      <c r="E1247" s="51" t="s">
        <v>5450</v>
      </c>
      <c r="F1247" s="51" t="s">
        <v>5451</v>
      </c>
      <c r="G1247" s="51"/>
      <c r="H1247" s="81">
        <v>374.4</v>
      </c>
      <c r="I1247" s="51" t="s">
        <v>5449</v>
      </c>
    </row>
    <row r="1248" spans="1:9">
      <c r="A1248" s="905"/>
      <c r="B1248" s="890"/>
      <c r="C1248" s="51" t="s">
        <v>3852</v>
      </c>
      <c r="D1248" s="51" t="s">
        <v>2049</v>
      </c>
      <c r="E1248" s="51" t="s">
        <v>5452</v>
      </c>
      <c r="F1248" s="51" t="s">
        <v>5453</v>
      </c>
      <c r="G1248" s="51"/>
      <c r="H1248" s="81">
        <v>340.43</v>
      </c>
      <c r="I1248" s="51" t="s">
        <v>3852</v>
      </c>
    </row>
    <row r="1249" spans="1:9">
      <c r="A1249" s="905"/>
      <c r="B1249" s="890"/>
      <c r="C1249" s="51" t="s">
        <v>5454</v>
      </c>
      <c r="D1249" s="51" t="s">
        <v>2049</v>
      </c>
      <c r="E1249" s="51" t="s">
        <v>5455</v>
      </c>
      <c r="F1249" s="51" t="s">
        <v>5456</v>
      </c>
      <c r="G1249" s="51"/>
      <c r="H1249" s="81">
        <v>197.25</v>
      </c>
      <c r="I1249" s="51" t="s">
        <v>5454</v>
      </c>
    </row>
    <row r="1250" spans="1:9">
      <c r="A1250" s="905"/>
      <c r="B1250" s="890"/>
      <c r="C1250" s="51" t="s">
        <v>5343</v>
      </c>
      <c r="D1250" s="51" t="s">
        <v>2049</v>
      </c>
      <c r="E1250" s="51" t="s">
        <v>5457</v>
      </c>
      <c r="F1250" s="51" t="s">
        <v>5458</v>
      </c>
      <c r="G1250" s="51"/>
      <c r="H1250" s="81">
        <v>156</v>
      </c>
      <c r="I1250" s="51" t="s">
        <v>5343</v>
      </c>
    </row>
    <row r="1251" spans="1:9">
      <c r="A1251" s="906"/>
      <c r="B1251" s="890"/>
      <c r="C1251" s="51" t="s">
        <v>5459</v>
      </c>
      <c r="D1251" s="51" t="s">
        <v>2049</v>
      </c>
      <c r="E1251" s="51" t="s">
        <v>5460</v>
      </c>
      <c r="F1251" s="51" t="s">
        <v>5461</v>
      </c>
      <c r="G1251" s="51"/>
      <c r="H1251" s="81">
        <v>153</v>
      </c>
      <c r="I1251" s="51" t="s">
        <v>5459</v>
      </c>
    </row>
    <row r="1252" spans="1:9">
      <c r="A1252" s="892">
        <v>21</v>
      </c>
      <c r="B1252" s="892" t="s">
        <v>130</v>
      </c>
      <c r="C1252" s="221" t="s">
        <v>2314</v>
      </c>
      <c r="D1252" s="221" t="s">
        <v>2049</v>
      </c>
      <c r="E1252" s="221" t="s">
        <v>2315</v>
      </c>
      <c r="F1252" s="221"/>
      <c r="G1252" s="221"/>
      <c r="H1252" s="251">
        <v>231974.6</v>
      </c>
      <c r="I1252" s="221"/>
    </row>
    <row r="1253" spans="1:9">
      <c r="A1253" s="896"/>
      <c r="B1253" s="896"/>
      <c r="C1253" s="221" t="s">
        <v>3802</v>
      </c>
      <c r="D1253" s="221" t="s">
        <v>2049</v>
      </c>
      <c r="E1253" s="221" t="s">
        <v>3803</v>
      </c>
      <c r="F1253" s="221"/>
      <c r="G1253" s="221"/>
      <c r="H1253" s="251">
        <v>241576</v>
      </c>
      <c r="I1253" s="221"/>
    </row>
    <row r="1254" spans="1:9">
      <c r="A1254" s="896"/>
      <c r="B1254" s="896"/>
      <c r="C1254" s="221" t="s">
        <v>2312</v>
      </c>
      <c r="D1254" s="221" t="s">
        <v>2049</v>
      </c>
      <c r="E1254" s="221" t="s">
        <v>2313</v>
      </c>
      <c r="F1254" s="221"/>
      <c r="G1254" s="221"/>
      <c r="H1254" s="251">
        <v>13650</v>
      </c>
      <c r="I1254" s="221"/>
    </row>
    <row r="1255" spans="1:9">
      <c r="A1255" s="896"/>
      <c r="B1255" s="896"/>
      <c r="C1255" s="221" t="s">
        <v>2039</v>
      </c>
      <c r="D1255" s="221" t="s">
        <v>2049</v>
      </c>
      <c r="E1255" s="221" t="s">
        <v>2293</v>
      </c>
      <c r="F1255" s="221"/>
      <c r="G1255" s="221"/>
      <c r="H1255" s="251">
        <v>46200</v>
      </c>
      <c r="I1255" s="221"/>
    </row>
    <row r="1256" spans="1:9">
      <c r="A1256" s="896"/>
      <c r="B1256" s="896"/>
      <c r="C1256" s="221" t="s">
        <v>2319</v>
      </c>
      <c r="D1256" s="221" t="s">
        <v>2049</v>
      </c>
      <c r="E1256" s="221" t="s">
        <v>2320</v>
      </c>
      <c r="F1256" s="221"/>
      <c r="G1256" s="221"/>
      <c r="H1256" s="251">
        <v>208050</v>
      </c>
      <c r="I1256" s="221"/>
    </row>
    <row r="1257" spans="1:9">
      <c r="A1257" s="896"/>
      <c r="B1257" s="896"/>
      <c r="C1257" s="221" t="s">
        <v>2337</v>
      </c>
      <c r="D1257" s="221" t="s">
        <v>2049</v>
      </c>
      <c r="E1257" s="221" t="s">
        <v>2338</v>
      </c>
      <c r="F1257" s="221"/>
      <c r="G1257" s="221"/>
      <c r="H1257" s="251">
        <v>476027.066666667</v>
      </c>
      <c r="I1257" s="221"/>
    </row>
    <row r="1258" spans="1:9">
      <c r="A1258" s="896"/>
      <c r="B1258" s="896"/>
      <c r="C1258" s="221" t="s">
        <v>2339</v>
      </c>
      <c r="D1258" s="221" t="s">
        <v>2049</v>
      </c>
      <c r="E1258" s="221" t="s">
        <v>2340</v>
      </c>
      <c r="F1258" s="221"/>
      <c r="G1258" s="221"/>
      <c r="H1258" s="251">
        <v>107652.4825</v>
      </c>
      <c r="I1258" s="221"/>
    </row>
    <row r="1259" spans="1:9">
      <c r="A1259" s="896"/>
      <c r="B1259" s="896"/>
      <c r="C1259" s="221" t="s">
        <v>5462</v>
      </c>
      <c r="D1259" s="221" t="s">
        <v>2049</v>
      </c>
      <c r="E1259" s="221" t="s">
        <v>5463</v>
      </c>
      <c r="F1259" s="221"/>
      <c r="G1259" s="221"/>
      <c r="H1259" s="251">
        <v>169354.54</v>
      </c>
      <c r="I1259" s="221"/>
    </row>
    <row r="1260" spans="1:9">
      <c r="A1260" s="896"/>
      <c r="B1260" s="896"/>
      <c r="C1260" s="221" t="s">
        <v>5343</v>
      </c>
      <c r="D1260" s="221" t="s">
        <v>2049</v>
      </c>
      <c r="E1260" s="221" t="s">
        <v>2341</v>
      </c>
      <c r="F1260" s="221"/>
      <c r="G1260" s="221"/>
      <c r="H1260" s="251">
        <v>21000</v>
      </c>
      <c r="I1260" s="221"/>
    </row>
    <row r="1261" spans="1:9">
      <c r="A1261" s="896"/>
      <c r="B1261" s="896"/>
      <c r="C1261" s="221" t="s">
        <v>5464</v>
      </c>
      <c r="D1261" s="221" t="s">
        <v>2049</v>
      </c>
      <c r="E1261" s="221" t="s">
        <v>5465</v>
      </c>
      <c r="F1261" s="221"/>
      <c r="G1261" s="221"/>
      <c r="H1261" s="251">
        <v>255584</v>
      </c>
      <c r="I1261" s="221"/>
    </row>
    <row r="1262" spans="1:9">
      <c r="A1262" s="896"/>
      <c r="B1262" s="896"/>
      <c r="C1262" s="221" t="s">
        <v>5466</v>
      </c>
      <c r="D1262" s="221" t="s">
        <v>2049</v>
      </c>
      <c r="E1262" s="221" t="s">
        <v>5467</v>
      </c>
      <c r="F1262" s="221"/>
      <c r="G1262" s="221"/>
      <c r="H1262" s="251">
        <v>20994.6</v>
      </c>
      <c r="I1262" s="221"/>
    </row>
    <row r="1263" spans="1:9">
      <c r="A1263" s="893"/>
      <c r="B1263" s="893"/>
      <c r="C1263" s="221" t="s">
        <v>5468</v>
      </c>
      <c r="D1263" s="221" t="s">
        <v>2049</v>
      </c>
      <c r="E1263" s="221" t="s">
        <v>5360</v>
      </c>
      <c r="F1263" s="221"/>
      <c r="G1263" s="221"/>
      <c r="H1263" s="251">
        <v>316868.34000000003</v>
      </c>
      <c r="I1263" s="221"/>
    </row>
    <row r="1264" spans="1:9">
      <c r="A1264" s="889">
        <v>22</v>
      </c>
      <c r="B1264" s="889" t="s">
        <v>630</v>
      </c>
      <c r="C1264" s="51" t="s">
        <v>2342</v>
      </c>
      <c r="D1264" s="51" t="s">
        <v>2049</v>
      </c>
      <c r="E1264" s="51" t="s">
        <v>2293</v>
      </c>
      <c r="F1264" s="51" t="s">
        <v>5469</v>
      </c>
      <c r="G1264" s="51">
        <v>1</v>
      </c>
      <c r="H1264" s="81">
        <v>20999005.039999999</v>
      </c>
      <c r="I1264" s="51"/>
    </row>
    <row r="1265" spans="1:9">
      <c r="A1265" s="890"/>
      <c r="B1265" s="890"/>
      <c r="C1265" s="51" t="s">
        <v>2350</v>
      </c>
      <c r="D1265" s="51" t="s">
        <v>2049</v>
      </c>
      <c r="E1265" s="51" t="s">
        <v>2351</v>
      </c>
      <c r="F1265" s="51" t="s">
        <v>5470</v>
      </c>
      <c r="G1265" s="51">
        <v>1</v>
      </c>
      <c r="H1265" s="81">
        <v>16146237.830000002</v>
      </c>
      <c r="I1265" s="51"/>
    </row>
    <row r="1266" spans="1:9">
      <c r="A1266" s="890"/>
      <c r="B1266" s="890"/>
      <c r="C1266" s="51" t="s">
        <v>5471</v>
      </c>
      <c r="D1266" s="51" t="s">
        <v>2049</v>
      </c>
      <c r="E1266" s="51" t="s">
        <v>5472</v>
      </c>
      <c r="F1266" s="51" t="s">
        <v>5473</v>
      </c>
      <c r="G1266" s="51">
        <v>1</v>
      </c>
      <c r="H1266" s="81">
        <v>10439786.689999999</v>
      </c>
      <c r="I1266" s="51"/>
    </row>
    <row r="1267" spans="1:9">
      <c r="A1267" s="890"/>
      <c r="B1267" s="890"/>
      <c r="C1267" s="51" t="s">
        <v>2344</v>
      </c>
      <c r="D1267" s="51" t="s">
        <v>2049</v>
      </c>
      <c r="E1267" s="51" t="s">
        <v>2345</v>
      </c>
      <c r="F1267" s="51" t="s">
        <v>5474</v>
      </c>
      <c r="G1267" s="51">
        <v>1</v>
      </c>
      <c r="H1267" s="81">
        <v>5011585.9800000004</v>
      </c>
      <c r="I1267" s="51"/>
    </row>
    <row r="1268" spans="1:9">
      <c r="A1268" s="890"/>
      <c r="B1268" s="890"/>
      <c r="C1268" s="51" t="s">
        <v>2348</v>
      </c>
      <c r="D1268" s="51" t="s">
        <v>2049</v>
      </c>
      <c r="E1268" s="51" t="s">
        <v>2349</v>
      </c>
      <c r="F1268" s="51" t="s">
        <v>5475</v>
      </c>
      <c r="G1268" s="51">
        <v>1</v>
      </c>
      <c r="H1268" s="81">
        <v>3066126.2399999993</v>
      </c>
      <c r="I1268" s="51"/>
    </row>
    <row r="1269" spans="1:9">
      <c r="A1269" s="890"/>
      <c r="B1269" s="890"/>
      <c r="C1269" s="51" t="s">
        <v>2346</v>
      </c>
      <c r="D1269" s="51" t="s">
        <v>2049</v>
      </c>
      <c r="E1269" s="51" t="s">
        <v>2347</v>
      </c>
      <c r="F1269" s="51" t="s">
        <v>5476</v>
      </c>
      <c r="G1269" s="51">
        <v>1</v>
      </c>
      <c r="H1269" s="81">
        <v>3024877.64</v>
      </c>
      <c r="I1269" s="51"/>
    </row>
    <row r="1270" spans="1:9">
      <c r="A1270" s="890"/>
      <c r="B1270" s="890"/>
      <c r="C1270" s="51" t="s">
        <v>2283</v>
      </c>
      <c r="D1270" s="51" t="s">
        <v>2049</v>
      </c>
      <c r="E1270" s="51" t="s">
        <v>2284</v>
      </c>
      <c r="F1270" s="51" t="s">
        <v>5477</v>
      </c>
      <c r="G1270" s="51">
        <v>1</v>
      </c>
      <c r="H1270" s="81">
        <v>1460700.9100000001</v>
      </c>
      <c r="I1270" s="51"/>
    </row>
    <row r="1271" spans="1:9">
      <c r="A1271" s="890"/>
      <c r="B1271" s="890"/>
      <c r="C1271" s="51" t="s">
        <v>5478</v>
      </c>
      <c r="D1271" s="51" t="s">
        <v>2049</v>
      </c>
      <c r="E1271" s="51" t="s">
        <v>2169</v>
      </c>
      <c r="F1271" s="51" t="s">
        <v>5479</v>
      </c>
      <c r="G1271" s="51">
        <v>1</v>
      </c>
      <c r="H1271" s="81">
        <v>1266360.3900000001</v>
      </c>
      <c r="I1271" s="51"/>
    </row>
    <row r="1272" spans="1:9">
      <c r="A1272" s="891"/>
      <c r="B1272" s="891"/>
      <c r="C1272" s="51" t="s">
        <v>5480</v>
      </c>
      <c r="D1272" s="51" t="s">
        <v>2049</v>
      </c>
      <c r="E1272" s="51" t="s">
        <v>5481</v>
      </c>
      <c r="F1272" s="51" t="s">
        <v>5482</v>
      </c>
      <c r="G1272" s="51">
        <v>1</v>
      </c>
      <c r="H1272" s="81">
        <v>597024.80000000005</v>
      </c>
      <c r="I1272" s="51"/>
    </row>
    <row r="1273" spans="1:9" ht="24">
      <c r="A1273" s="892">
        <v>23</v>
      </c>
      <c r="B1273" s="892" t="s">
        <v>651</v>
      </c>
      <c r="C1273" s="224" t="s">
        <v>2368</v>
      </c>
      <c r="D1273" s="224" t="s">
        <v>2049</v>
      </c>
      <c r="E1273" s="224" t="s">
        <v>2330</v>
      </c>
      <c r="F1273" s="224" t="s">
        <v>2369</v>
      </c>
      <c r="G1273" s="224"/>
      <c r="H1273" s="449">
        <v>1440700</v>
      </c>
      <c r="I1273" s="221"/>
    </row>
    <row r="1274" spans="1:9" ht="24">
      <c r="A1274" s="896"/>
      <c r="B1274" s="896"/>
      <c r="C1274" s="224" t="s">
        <v>2411</v>
      </c>
      <c r="D1274" s="224" t="s">
        <v>2049</v>
      </c>
      <c r="E1274" s="224" t="s">
        <v>2412</v>
      </c>
      <c r="F1274" s="224" t="s">
        <v>2413</v>
      </c>
      <c r="G1274" s="224"/>
      <c r="H1274" s="449">
        <v>30700</v>
      </c>
      <c r="I1274" s="221"/>
    </row>
    <row r="1275" spans="1:9" ht="24">
      <c r="A1275" s="896"/>
      <c r="B1275" s="896"/>
      <c r="C1275" s="224" t="s">
        <v>2382</v>
      </c>
      <c r="D1275" s="224" t="s">
        <v>2049</v>
      </c>
      <c r="E1275" s="224" t="s">
        <v>2172</v>
      </c>
      <c r="F1275" s="224" t="s">
        <v>2383</v>
      </c>
      <c r="G1275" s="224"/>
      <c r="H1275" s="449">
        <v>213064.4</v>
      </c>
      <c r="I1275" s="221"/>
    </row>
    <row r="1276" spans="1:9" ht="24">
      <c r="A1276" s="896"/>
      <c r="B1276" s="896"/>
      <c r="C1276" s="224" t="s">
        <v>2391</v>
      </c>
      <c r="D1276" s="224" t="s">
        <v>2049</v>
      </c>
      <c r="E1276" s="224" t="s">
        <v>2067</v>
      </c>
      <c r="F1276" s="224" t="s">
        <v>2392</v>
      </c>
      <c r="G1276" s="224"/>
      <c r="H1276" s="449">
        <v>8583.2099999999991</v>
      </c>
      <c r="I1276" s="221"/>
    </row>
    <row r="1277" spans="1:9" ht="24">
      <c r="A1277" s="896"/>
      <c r="B1277" s="896"/>
      <c r="C1277" s="224" t="s">
        <v>2376</v>
      </c>
      <c r="D1277" s="224" t="s">
        <v>2049</v>
      </c>
      <c r="E1277" s="224" t="s">
        <v>2377</v>
      </c>
      <c r="F1277" s="224" t="s">
        <v>2378</v>
      </c>
      <c r="G1277" s="224"/>
      <c r="H1277" s="449">
        <v>819300</v>
      </c>
      <c r="I1277" s="221"/>
    </row>
    <row r="1278" spans="1:9" ht="24">
      <c r="A1278" s="896"/>
      <c r="B1278" s="896"/>
      <c r="C1278" s="224" t="s">
        <v>2386</v>
      </c>
      <c r="D1278" s="224" t="s">
        <v>2049</v>
      </c>
      <c r="E1278" s="224"/>
      <c r="F1278" s="224" t="s">
        <v>2387</v>
      </c>
      <c r="G1278" s="224"/>
      <c r="H1278" s="449">
        <v>1593427.02</v>
      </c>
      <c r="I1278" s="221"/>
    </row>
    <row r="1279" spans="1:9">
      <c r="A1279" s="896"/>
      <c r="B1279" s="896"/>
      <c r="C1279" s="224" t="s">
        <v>5483</v>
      </c>
      <c r="D1279" s="224" t="s">
        <v>2049</v>
      </c>
      <c r="E1279" s="224" t="s">
        <v>5484</v>
      </c>
      <c r="F1279" s="224" t="s">
        <v>5485</v>
      </c>
      <c r="G1279" s="224"/>
      <c r="H1279" s="449">
        <v>136141.35</v>
      </c>
      <c r="I1279" s="221"/>
    </row>
    <row r="1280" spans="1:9" ht="24">
      <c r="A1280" s="896"/>
      <c r="B1280" s="896"/>
      <c r="C1280" s="224" t="s">
        <v>5486</v>
      </c>
      <c r="D1280" s="224" t="s">
        <v>2049</v>
      </c>
      <c r="E1280" s="224" t="s">
        <v>5487</v>
      </c>
      <c r="F1280" s="224" t="s">
        <v>5488</v>
      </c>
      <c r="G1280" s="224"/>
      <c r="H1280" s="449">
        <v>36319.360000000001</v>
      </c>
      <c r="I1280" s="221"/>
    </row>
    <row r="1281" spans="1:9" ht="24">
      <c r="A1281" s="896"/>
      <c r="B1281" s="896"/>
      <c r="C1281" s="224" t="s">
        <v>5489</v>
      </c>
      <c r="D1281" s="224" t="s">
        <v>2049</v>
      </c>
      <c r="E1281" s="224" t="s">
        <v>5490</v>
      </c>
      <c r="F1281" s="224" t="s">
        <v>5491</v>
      </c>
      <c r="G1281" s="224"/>
      <c r="H1281" s="449">
        <v>181228.17</v>
      </c>
      <c r="I1281" s="221"/>
    </row>
    <row r="1282" spans="1:9" ht="24">
      <c r="A1282" s="896"/>
      <c r="B1282" s="896"/>
      <c r="C1282" s="224" t="s">
        <v>2436</v>
      </c>
      <c r="D1282" s="224" t="s">
        <v>2049</v>
      </c>
      <c r="E1282" s="224" t="s">
        <v>2437</v>
      </c>
      <c r="F1282" s="224" t="s">
        <v>2438</v>
      </c>
      <c r="G1282" s="224"/>
      <c r="H1282" s="449">
        <v>40650</v>
      </c>
      <c r="I1282" s="221"/>
    </row>
    <row r="1283" spans="1:9" ht="24">
      <c r="A1283" s="896"/>
      <c r="B1283" s="896"/>
      <c r="C1283" s="224" t="s">
        <v>2370</v>
      </c>
      <c r="D1283" s="224" t="s">
        <v>2049</v>
      </c>
      <c r="E1283" s="224" t="s">
        <v>2371</v>
      </c>
      <c r="F1283" s="224" t="s">
        <v>2372</v>
      </c>
      <c r="G1283" s="224"/>
      <c r="H1283" s="449">
        <v>2614202.5</v>
      </c>
      <c r="I1283" s="221"/>
    </row>
    <row r="1284" spans="1:9" ht="24">
      <c r="A1284" s="896"/>
      <c r="B1284" s="896"/>
      <c r="C1284" s="224" t="s">
        <v>2388</v>
      </c>
      <c r="D1284" s="224" t="s">
        <v>2049</v>
      </c>
      <c r="E1284" s="224" t="s">
        <v>2389</v>
      </c>
      <c r="F1284" s="224" t="s">
        <v>2390</v>
      </c>
      <c r="G1284" s="224"/>
      <c r="H1284" s="449">
        <v>748568.58</v>
      </c>
      <c r="I1284" s="221"/>
    </row>
    <row r="1285" spans="1:9" ht="24">
      <c r="A1285" s="896"/>
      <c r="B1285" s="896"/>
      <c r="C1285" s="224" t="s">
        <v>2379</v>
      </c>
      <c r="D1285" s="224" t="s">
        <v>2049</v>
      </c>
      <c r="E1285" s="224" t="s">
        <v>2380</v>
      </c>
      <c r="F1285" s="224" t="s">
        <v>2381</v>
      </c>
      <c r="G1285" s="224"/>
      <c r="H1285" s="449">
        <v>1546727.65</v>
      </c>
      <c r="I1285" s="221"/>
    </row>
    <row r="1286" spans="1:9" ht="24">
      <c r="A1286" s="896"/>
      <c r="B1286" s="896"/>
      <c r="C1286" s="224" t="s">
        <v>2399</v>
      </c>
      <c r="D1286" s="224" t="s">
        <v>2049</v>
      </c>
      <c r="E1286" s="224" t="s">
        <v>2400</v>
      </c>
      <c r="F1286" s="224" t="s">
        <v>2401</v>
      </c>
      <c r="G1286" s="224"/>
      <c r="H1286" s="449">
        <v>219427.4</v>
      </c>
      <c r="I1286" s="221"/>
    </row>
    <row r="1287" spans="1:9" ht="24">
      <c r="A1287" s="896"/>
      <c r="B1287" s="896"/>
      <c r="C1287" s="224" t="s">
        <v>2442</v>
      </c>
      <c r="D1287" s="224" t="s">
        <v>2049</v>
      </c>
      <c r="E1287" s="224" t="s">
        <v>2443</v>
      </c>
      <c r="F1287" s="224" t="s">
        <v>2444</v>
      </c>
      <c r="G1287" s="224"/>
      <c r="H1287" s="449">
        <v>93170.2</v>
      </c>
      <c r="I1287" s="221"/>
    </row>
    <row r="1288" spans="1:9" ht="24">
      <c r="A1288" s="896"/>
      <c r="B1288" s="896"/>
      <c r="C1288" s="224" t="s">
        <v>5492</v>
      </c>
      <c r="D1288" s="224" t="s">
        <v>2049</v>
      </c>
      <c r="E1288" s="224" t="s">
        <v>5493</v>
      </c>
      <c r="F1288" s="224" t="s">
        <v>5494</v>
      </c>
      <c r="G1288" s="224"/>
      <c r="H1288" s="449">
        <v>3039832.8</v>
      </c>
      <c r="I1288" s="221"/>
    </row>
    <row r="1289" spans="1:9" ht="24">
      <c r="A1289" s="896"/>
      <c r="B1289" s="896"/>
      <c r="C1289" s="224" t="s">
        <v>2425</v>
      </c>
      <c r="D1289" s="224" t="s">
        <v>2049</v>
      </c>
      <c r="E1289" s="224" t="s">
        <v>1323</v>
      </c>
      <c r="F1289" s="224" t="s">
        <v>2426</v>
      </c>
      <c r="G1289" s="224"/>
      <c r="H1289" s="449">
        <v>2297562.0299999998</v>
      </c>
      <c r="I1289" s="221"/>
    </row>
    <row r="1290" spans="1:9" ht="24">
      <c r="A1290" s="896"/>
      <c r="B1290" s="896"/>
      <c r="C1290" s="224" t="s">
        <v>5495</v>
      </c>
      <c r="D1290" s="224" t="s">
        <v>2049</v>
      </c>
      <c r="E1290" s="224" t="s">
        <v>5496</v>
      </c>
      <c r="F1290" s="224" t="s">
        <v>5497</v>
      </c>
      <c r="G1290" s="224"/>
      <c r="H1290" s="449">
        <v>9259121.9399999995</v>
      </c>
      <c r="I1290" s="221"/>
    </row>
    <row r="1291" spans="1:9" ht="24">
      <c r="A1291" s="896"/>
      <c r="B1291" s="896"/>
      <c r="C1291" s="224" t="s">
        <v>2361</v>
      </c>
      <c r="D1291" s="224" t="s">
        <v>2049</v>
      </c>
      <c r="E1291" s="224" t="s">
        <v>2362</v>
      </c>
      <c r="F1291" s="224" t="s">
        <v>2363</v>
      </c>
      <c r="G1291" s="224"/>
      <c r="H1291" s="449">
        <v>26772426.010000002</v>
      </c>
      <c r="I1291" s="221"/>
    </row>
    <row r="1292" spans="1:9">
      <c r="A1292" s="896"/>
      <c r="B1292" s="896"/>
      <c r="C1292" s="224" t="s">
        <v>5498</v>
      </c>
      <c r="D1292" s="224" t="s">
        <v>2049</v>
      </c>
      <c r="E1292" s="224" t="s">
        <v>1249</v>
      </c>
      <c r="F1292" s="224" t="s">
        <v>5499</v>
      </c>
      <c r="G1292" s="224"/>
      <c r="H1292" s="449">
        <v>17004538.780000001</v>
      </c>
      <c r="I1292" s="221"/>
    </row>
    <row r="1293" spans="1:9" ht="24">
      <c r="A1293" s="896"/>
      <c r="B1293" s="896"/>
      <c r="C1293" s="224" t="s">
        <v>2364</v>
      </c>
      <c r="D1293" s="224" t="s">
        <v>2049</v>
      </c>
      <c r="E1293" s="224" t="s">
        <v>1402</v>
      </c>
      <c r="F1293" s="224" t="s">
        <v>2365</v>
      </c>
      <c r="G1293" s="224"/>
      <c r="H1293" s="449">
        <v>23971463.190000001</v>
      </c>
      <c r="I1293" s="221"/>
    </row>
    <row r="1294" spans="1:9" ht="24">
      <c r="A1294" s="896"/>
      <c r="B1294" s="896"/>
      <c r="C1294" s="224" t="s">
        <v>2366</v>
      </c>
      <c r="D1294" s="224" t="s">
        <v>2049</v>
      </c>
      <c r="E1294" s="224" t="s">
        <v>1308</v>
      </c>
      <c r="F1294" s="224" t="s">
        <v>2367</v>
      </c>
      <c r="G1294" s="224"/>
      <c r="H1294" s="449">
        <v>4337095.7699999996</v>
      </c>
      <c r="I1294" s="221"/>
    </row>
    <row r="1295" spans="1:9" ht="24">
      <c r="A1295" s="896"/>
      <c r="B1295" s="896"/>
      <c r="C1295" s="224" t="s">
        <v>2430</v>
      </c>
      <c r="D1295" s="224" t="s">
        <v>2049</v>
      </c>
      <c r="E1295" s="224" t="s">
        <v>2431</v>
      </c>
      <c r="F1295" s="224" t="s">
        <v>2432</v>
      </c>
      <c r="G1295" s="224"/>
      <c r="H1295" s="449">
        <v>19904</v>
      </c>
      <c r="I1295" s="221"/>
    </row>
    <row r="1296" spans="1:9" ht="24">
      <c r="A1296" s="896"/>
      <c r="B1296" s="896"/>
      <c r="C1296" s="224" t="s">
        <v>5500</v>
      </c>
      <c r="D1296" s="224" t="s">
        <v>2049</v>
      </c>
      <c r="E1296" s="224" t="s">
        <v>2253</v>
      </c>
      <c r="F1296" s="224" t="s">
        <v>5501</v>
      </c>
      <c r="G1296" s="224"/>
      <c r="H1296" s="449">
        <v>7040016.1600000001</v>
      </c>
      <c r="I1296" s="221"/>
    </row>
    <row r="1297" spans="1:9">
      <c r="A1297" s="896"/>
      <c r="B1297" s="896"/>
      <c r="C1297" s="224" t="s">
        <v>2422</v>
      </c>
      <c r="D1297" s="224" t="s">
        <v>2049</v>
      </c>
      <c r="E1297" s="224" t="s">
        <v>2423</v>
      </c>
      <c r="F1297" s="224" t="s">
        <v>2424</v>
      </c>
      <c r="G1297" s="224"/>
      <c r="H1297" s="449">
        <v>170281.71</v>
      </c>
      <c r="I1297" s="221"/>
    </row>
    <row r="1298" spans="1:9" ht="24">
      <c r="A1298" s="896"/>
      <c r="B1298" s="896"/>
      <c r="C1298" s="224" t="s">
        <v>2419</v>
      </c>
      <c r="D1298" s="224" t="s">
        <v>2049</v>
      </c>
      <c r="E1298" s="224" t="s">
        <v>2420</v>
      </c>
      <c r="F1298" s="224" t="s">
        <v>2421</v>
      </c>
      <c r="G1298" s="224"/>
      <c r="H1298" s="449">
        <v>80046.11</v>
      </c>
      <c r="I1298" s="221"/>
    </row>
    <row r="1299" spans="1:9">
      <c r="A1299" s="896"/>
      <c r="B1299" s="896"/>
      <c r="C1299" s="224" t="s">
        <v>2402</v>
      </c>
      <c r="D1299" s="224" t="s">
        <v>2049</v>
      </c>
      <c r="E1299" s="224" t="s">
        <v>2403</v>
      </c>
      <c r="F1299" s="224" t="s">
        <v>2404</v>
      </c>
      <c r="G1299" s="224"/>
      <c r="H1299" s="449">
        <v>367958.05</v>
      </c>
      <c r="I1299" s="221"/>
    </row>
    <row r="1300" spans="1:9" ht="24">
      <c r="A1300" s="896"/>
      <c r="B1300" s="896"/>
      <c r="C1300" s="224" t="s">
        <v>2427</v>
      </c>
      <c r="D1300" s="224" t="s">
        <v>2049</v>
      </c>
      <c r="E1300" s="224" t="s">
        <v>2428</v>
      </c>
      <c r="F1300" s="224" t="s">
        <v>2429</v>
      </c>
      <c r="G1300" s="224"/>
      <c r="H1300" s="449">
        <v>115655.4</v>
      </c>
      <c r="I1300" s="221"/>
    </row>
    <row r="1301" spans="1:9" ht="24">
      <c r="A1301" s="896"/>
      <c r="B1301" s="896"/>
      <c r="C1301" s="224" t="s">
        <v>2439</v>
      </c>
      <c r="D1301" s="224" t="s">
        <v>2049</v>
      </c>
      <c r="E1301" s="224" t="s">
        <v>2440</v>
      </c>
      <c r="F1301" s="224" t="s">
        <v>2441</v>
      </c>
      <c r="G1301" s="224"/>
      <c r="H1301" s="449">
        <v>102598.44</v>
      </c>
      <c r="I1301" s="221"/>
    </row>
    <row r="1302" spans="1:9" ht="24">
      <c r="A1302" s="896"/>
      <c r="B1302" s="896"/>
      <c r="C1302" s="224" t="s">
        <v>2414</v>
      </c>
      <c r="D1302" s="224" t="s">
        <v>2049</v>
      </c>
      <c r="E1302" s="224" t="s">
        <v>2415</v>
      </c>
      <c r="F1302" s="224" t="s">
        <v>2416</v>
      </c>
      <c r="G1302" s="224"/>
      <c r="H1302" s="449">
        <v>103602.1</v>
      </c>
      <c r="I1302" s="221"/>
    </row>
    <row r="1303" spans="1:9" ht="24">
      <c r="A1303" s="896"/>
      <c r="B1303" s="896"/>
      <c r="C1303" s="224" t="s">
        <v>5502</v>
      </c>
      <c r="D1303" s="224" t="s">
        <v>2049</v>
      </c>
      <c r="E1303" s="224" t="s">
        <v>2384</v>
      </c>
      <c r="F1303" s="224" t="s">
        <v>2385</v>
      </c>
      <c r="G1303" s="224"/>
      <c r="H1303" s="449">
        <v>95875</v>
      </c>
      <c r="I1303" s="221"/>
    </row>
    <row r="1304" spans="1:9">
      <c r="A1304" s="896"/>
      <c r="B1304" s="896"/>
      <c r="C1304" s="224" t="s">
        <v>2417</v>
      </c>
      <c r="D1304" s="224" t="s">
        <v>2049</v>
      </c>
      <c r="E1304" s="224" t="s">
        <v>2418</v>
      </c>
      <c r="F1304" s="224" t="s">
        <v>5503</v>
      </c>
      <c r="G1304" s="224"/>
      <c r="H1304" s="449">
        <v>95875</v>
      </c>
      <c r="I1304" s="221"/>
    </row>
    <row r="1305" spans="1:9" ht="24">
      <c r="A1305" s="896"/>
      <c r="B1305" s="896"/>
      <c r="C1305" s="224" t="s">
        <v>5504</v>
      </c>
      <c r="D1305" s="224" t="s">
        <v>2049</v>
      </c>
      <c r="E1305" s="224" t="s">
        <v>5505</v>
      </c>
      <c r="F1305" s="224" t="s">
        <v>5506</v>
      </c>
      <c r="G1305" s="224"/>
      <c r="H1305" s="449">
        <v>92971.89</v>
      </c>
      <c r="I1305" s="221"/>
    </row>
    <row r="1306" spans="1:9" ht="24">
      <c r="A1306" s="896"/>
      <c r="B1306" s="896"/>
      <c r="C1306" s="224" t="s">
        <v>5507</v>
      </c>
      <c r="D1306" s="224" t="s">
        <v>2049</v>
      </c>
      <c r="E1306" s="224" t="s">
        <v>2090</v>
      </c>
      <c r="F1306" s="224" t="s">
        <v>5508</v>
      </c>
      <c r="G1306" s="224"/>
      <c r="H1306" s="449">
        <v>264518.92</v>
      </c>
      <c r="I1306" s="221"/>
    </row>
    <row r="1307" spans="1:9" ht="24">
      <c r="A1307" s="896"/>
      <c r="B1307" s="896"/>
      <c r="C1307" s="224" t="s">
        <v>5509</v>
      </c>
      <c r="D1307" s="224" t="s">
        <v>2049</v>
      </c>
      <c r="E1307" s="224" t="s">
        <v>5510</v>
      </c>
      <c r="F1307" s="224" t="s">
        <v>5511</v>
      </c>
      <c r="G1307" s="224"/>
      <c r="H1307" s="449">
        <v>95875</v>
      </c>
      <c r="I1307" s="221"/>
    </row>
    <row r="1308" spans="1:9">
      <c r="A1308" s="896"/>
      <c r="B1308" s="896"/>
      <c r="C1308" s="224" t="s">
        <v>2358</v>
      </c>
      <c r="D1308" s="224" t="s">
        <v>2049</v>
      </c>
      <c r="E1308" s="224" t="s">
        <v>2359</v>
      </c>
      <c r="F1308" s="224" t="s">
        <v>2360</v>
      </c>
      <c r="G1308" s="224"/>
      <c r="H1308" s="449">
        <v>31711401.25</v>
      </c>
      <c r="I1308" s="221"/>
    </row>
    <row r="1309" spans="1:9" ht="24">
      <c r="A1309" s="896"/>
      <c r="B1309" s="896"/>
      <c r="C1309" s="224" t="s">
        <v>2393</v>
      </c>
      <c r="D1309" s="224" t="s">
        <v>2049</v>
      </c>
      <c r="E1309" s="224" t="s">
        <v>2394</v>
      </c>
      <c r="F1309" s="224" t="s">
        <v>2395</v>
      </c>
      <c r="G1309" s="224"/>
      <c r="H1309" s="449">
        <v>1086526.6299999999</v>
      </c>
      <c r="I1309" s="221"/>
    </row>
    <row r="1310" spans="1:9" ht="24">
      <c r="A1310" s="896"/>
      <c r="B1310" s="896"/>
      <c r="C1310" s="224" t="s">
        <v>2433</v>
      </c>
      <c r="D1310" s="224" t="s">
        <v>2049</v>
      </c>
      <c r="E1310" s="224" t="s">
        <v>2434</v>
      </c>
      <c r="F1310" s="224" t="s">
        <v>2435</v>
      </c>
      <c r="G1310" s="224"/>
      <c r="H1310" s="449">
        <v>249561.27</v>
      </c>
      <c r="I1310" s="221"/>
    </row>
    <row r="1311" spans="1:9" ht="24">
      <c r="A1311" s="896"/>
      <c r="B1311" s="896"/>
      <c r="C1311" s="224" t="s">
        <v>2373</v>
      </c>
      <c r="D1311" s="224" t="s">
        <v>2049</v>
      </c>
      <c r="E1311" s="224" t="s">
        <v>2374</v>
      </c>
      <c r="F1311" s="224" t="s">
        <v>2375</v>
      </c>
      <c r="G1311" s="224"/>
      <c r="H1311" s="449">
        <v>2698874.64</v>
      </c>
      <c r="I1311" s="221"/>
    </row>
    <row r="1312" spans="1:9">
      <c r="A1312" s="896"/>
      <c r="B1312" s="896"/>
      <c r="C1312" s="224" t="s">
        <v>2408</v>
      </c>
      <c r="D1312" s="224" t="s">
        <v>2049</v>
      </c>
      <c r="E1312" s="224" t="s">
        <v>2409</v>
      </c>
      <c r="F1312" s="224" t="s">
        <v>2410</v>
      </c>
      <c r="G1312" s="224"/>
      <c r="H1312" s="449">
        <v>194000</v>
      </c>
      <c r="I1312" s="221"/>
    </row>
    <row r="1313" spans="1:9" ht="24">
      <c r="A1313" s="896"/>
      <c r="B1313" s="896"/>
      <c r="C1313" s="224" t="s">
        <v>2405</v>
      </c>
      <c r="D1313" s="224" t="s">
        <v>2049</v>
      </c>
      <c r="E1313" s="224" t="s">
        <v>2406</v>
      </c>
      <c r="F1313" s="224" t="s">
        <v>2407</v>
      </c>
      <c r="G1313" s="224"/>
      <c r="H1313" s="449">
        <v>116351.02</v>
      </c>
      <c r="I1313" s="221"/>
    </row>
    <row r="1314" spans="1:9" ht="24">
      <c r="A1314" s="896"/>
      <c r="B1314" s="896"/>
      <c r="C1314" s="224" t="s">
        <v>2396</v>
      </c>
      <c r="D1314" s="224" t="s">
        <v>2049</v>
      </c>
      <c r="E1314" s="224" t="s">
        <v>2397</v>
      </c>
      <c r="F1314" s="224" t="s">
        <v>2398</v>
      </c>
      <c r="G1314" s="224"/>
      <c r="H1314" s="449">
        <v>328676</v>
      </c>
      <c r="I1314" s="221"/>
    </row>
    <row r="1315" spans="1:9" ht="24">
      <c r="A1315" s="896"/>
      <c r="B1315" s="896"/>
      <c r="C1315" s="224" t="s">
        <v>2355</v>
      </c>
      <c r="D1315" s="224" t="s">
        <v>2049</v>
      </c>
      <c r="E1315" s="224" t="s">
        <v>2356</v>
      </c>
      <c r="F1315" s="224" t="s">
        <v>2357</v>
      </c>
      <c r="G1315" s="224"/>
      <c r="H1315" s="449">
        <v>104288852</v>
      </c>
      <c r="I1315" s="221"/>
    </row>
    <row r="1316" spans="1:9">
      <c r="A1316" s="896"/>
      <c r="B1316" s="896"/>
      <c r="C1316" s="224" t="s">
        <v>2352</v>
      </c>
      <c r="D1316" s="224" t="s">
        <v>2049</v>
      </c>
      <c r="E1316" s="224" t="s">
        <v>2353</v>
      </c>
      <c r="F1316" s="224" t="s">
        <v>2354</v>
      </c>
      <c r="G1316" s="224"/>
      <c r="H1316" s="449">
        <v>208910870.75999999</v>
      </c>
      <c r="I1316" s="221"/>
    </row>
    <row r="1317" spans="1:9" ht="24">
      <c r="A1317" s="896"/>
      <c r="B1317" s="896"/>
      <c r="C1317" s="224" t="s">
        <v>5512</v>
      </c>
      <c r="D1317" s="224" t="s">
        <v>2049</v>
      </c>
      <c r="E1317" s="224" t="s">
        <v>5513</v>
      </c>
      <c r="F1317" s="224" t="s">
        <v>5514</v>
      </c>
      <c r="G1317" s="224"/>
      <c r="H1317" s="449">
        <v>14904310</v>
      </c>
      <c r="I1317" s="221"/>
    </row>
    <row r="1318" spans="1:9" ht="24">
      <c r="A1318" s="896"/>
      <c r="B1318" s="896"/>
      <c r="C1318" s="224" t="s">
        <v>5515</v>
      </c>
      <c r="D1318" s="224" t="s">
        <v>2049</v>
      </c>
      <c r="E1318" s="224" t="s">
        <v>5516</v>
      </c>
      <c r="F1318" s="224" t="s">
        <v>5517</v>
      </c>
      <c r="G1318" s="224"/>
      <c r="H1318" s="449">
        <v>615588</v>
      </c>
      <c r="I1318" s="221"/>
    </row>
    <row r="1319" spans="1:9" ht="24">
      <c r="A1319" s="896"/>
      <c r="B1319" s="896"/>
      <c r="C1319" s="224" t="s">
        <v>5518</v>
      </c>
      <c r="D1319" s="224" t="s">
        <v>2049</v>
      </c>
      <c r="E1319" s="224" t="s">
        <v>5519</v>
      </c>
      <c r="F1319" s="224" t="s">
        <v>5520</v>
      </c>
      <c r="G1319" s="224"/>
      <c r="H1319" s="449">
        <v>582539.25</v>
      </c>
      <c r="I1319" s="221"/>
    </row>
    <row r="1320" spans="1:9">
      <c r="A1320" s="896"/>
      <c r="B1320" s="896"/>
      <c r="C1320" s="224" t="s">
        <v>5521</v>
      </c>
      <c r="D1320" s="224" t="s">
        <v>2049</v>
      </c>
      <c r="E1320" s="224" t="s">
        <v>2459</v>
      </c>
      <c r="F1320" s="224" t="s">
        <v>5522</v>
      </c>
      <c r="G1320" s="224"/>
      <c r="H1320" s="449">
        <v>222060</v>
      </c>
      <c r="I1320" s="221"/>
    </row>
    <row r="1321" spans="1:9" ht="24">
      <c r="A1321" s="896"/>
      <c r="B1321" s="896"/>
      <c r="C1321" s="224" t="s">
        <v>5523</v>
      </c>
      <c r="D1321" s="224" t="s">
        <v>2049</v>
      </c>
      <c r="E1321" s="224" t="s">
        <v>5524</v>
      </c>
      <c r="F1321" s="224" t="s">
        <v>5525</v>
      </c>
      <c r="G1321" s="224"/>
      <c r="H1321" s="449">
        <v>104949.97</v>
      </c>
      <c r="I1321" s="221"/>
    </row>
    <row r="1322" spans="1:9" ht="24">
      <c r="A1322" s="896"/>
      <c r="B1322" s="896"/>
      <c r="C1322" s="224" t="s">
        <v>5526</v>
      </c>
      <c r="D1322" s="224" t="s">
        <v>2049</v>
      </c>
      <c r="E1322" s="224" t="s">
        <v>1950</v>
      </c>
      <c r="F1322" s="224" t="s">
        <v>5527</v>
      </c>
      <c r="G1322" s="224"/>
      <c r="H1322" s="449">
        <v>364320</v>
      </c>
      <c r="I1322" s="221"/>
    </row>
    <row r="1323" spans="1:9">
      <c r="A1323" s="889">
        <v>24</v>
      </c>
      <c r="B1323" s="889" t="s">
        <v>1847</v>
      </c>
      <c r="C1323" s="51" t="s">
        <v>5528</v>
      </c>
      <c r="D1323" s="51" t="s">
        <v>2049</v>
      </c>
      <c r="E1323" s="51" t="s">
        <v>4683</v>
      </c>
      <c r="F1323" s="51" t="s">
        <v>5529</v>
      </c>
      <c r="G1323" s="51">
        <v>1</v>
      </c>
      <c r="H1323" s="81">
        <v>566389.14</v>
      </c>
      <c r="I1323" s="51"/>
    </row>
    <row r="1324" spans="1:9">
      <c r="A1324" s="890"/>
      <c r="B1324" s="890"/>
      <c r="C1324" s="51" t="s">
        <v>5464</v>
      </c>
      <c r="D1324" s="51" t="s">
        <v>2049</v>
      </c>
      <c r="E1324" s="51" t="s">
        <v>5465</v>
      </c>
      <c r="F1324" s="51" t="s">
        <v>5530</v>
      </c>
      <c r="G1324" s="51">
        <v>1</v>
      </c>
      <c r="H1324" s="81">
        <v>95871.78</v>
      </c>
      <c r="I1324" s="51"/>
    </row>
    <row r="1325" spans="1:9">
      <c r="A1325" s="890"/>
      <c r="B1325" s="890"/>
      <c r="C1325" s="51" t="s">
        <v>3854</v>
      </c>
      <c r="D1325" s="51" t="s">
        <v>2049</v>
      </c>
      <c r="E1325" s="51" t="s">
        <v>3855</v>
      </c>
      <c r="F1325" s="51" t="s">
        <v>5531</v>
      </c>
      <c r="G1325" s="51">
        <v>1</v>
      </c>
      <c r="H1325" s="81">
        <v>55440</v>
      </c>
      <c r="I1325" s="51"/>
    </row>
    <row r="1326" spans="1:9">
      <c r="A1326" s="890"/>
      <c r="B1326" s="890"/>
      <c r="C1326" s="51" t="s">
        <v>2314</v>
      </c>
      <c r="D1326" s="51" t="s">
        <v>2049</v>
      </c>
      <c r="E1326" s="51" t="s">
        <v>2315</v>
      </c>
      <c r="F1326" s="51" t="s">
        <v>5532</v>
      </c>
      <c r="G1326" s="51">
        <v>1</v>
      </c>
      <c r="H1326" s="81">
        <v>40800</v>
      </c>
      <c r="I1326" s="51"/>
    </row>
    <row r="1327" spans="1:9">
      <c r="A1327" s="890"/>
      <c r="B1327" s="890"/>
      <c r="C1327" s="51" t="s">
        <v>5533</v>
      </c>
      <c r="D1327" s="51" t="s">
        <v>2049</v>
      </c>
      <c r="E1327" s="51" t="s">
        <v>5534</v>
      </c>
      <c r="F1327" s="51" t="s">
        <v>5535</v>
      </c>
      <c r="G1327" s="51">
        <v>1</v>
      </c>
      <c r="H1327" s="81">
        <v>19182.21</v>
      </c>
      <c r="I1327" s="51"/>
    </row>
    <row r="1328" spans="1:9">
      <c r="A1328" s="890"/>
      <c r="B1328" s="890"/>
      <c r="C1328" s="51" t="s">
        <v>5302</v>
      </c>
      <c r="D1328" s="51" t="s">
        <v>2049</v>
      </c>
      <c r="E1328" s="51" t="s">
        <v>5303</v>
      </c>
      <c r="F1328" s="51" t="s">
        <v>5536</v>
      </c>
      <c r="G1328" s="51">
        <v>1</v>
      </c>
      <c r="H1328" s="81">
        <v>11625.4</v>
      </c>
      <c r="I1328" s="51"/>
    </row>
    <row r="1329" spans="1:9">
      <c r="A1329" s="890"/>
      <c r="B1329" s="890"/>
      <c r="C1329" s="51" t="s">
        <v>5537</v>
      </c>
      <c r="D1329" s="51" t="s">
        <v>2049</v>
      </c>
      <c r="E1329" s="51" t="s">
        <v>5538</v>
      </c>
      <c r="F1329" s="51" t="s">
        <v>5539</v>
      </c>
      <c r="G1329" s="51">
        <v>1</v>
      </c>
      <c r="H1329" s="81">
        <v>8770</v>
      </c>
      <c r="I1329" s="51"/>
    </row>
    <row r="1330" spans="1:9">
      <c r="A1330" s="891"/>
      <c r="B1330" s="890"/>
      <c r="C1330" s="51" t="s">
        <v>3815</v>
      </c>
      <c r="D1330" s="51" t="s">
        <v>2049</v>
      </c>
      <c r="E1330" s="51" t="s">
        <v>5540</v>
      </c>
      <c r="F1330" s="51" t="s">
        <v>5541</v>
      </c>
      <c r="G1330" s="51">
        <v>1</v>
      </c>
      <c r="H1330" s="81">
        <v>4045.08</v>
      </c>
      <c r="I1330" s="51"/>
    </row>
    <row r="1331" spans="1:9">
      <c r="A1331" s="892">
        <v>25</v>
      </c>
      <c r="B1331" s="927" t="s">
        <v>666</v>
      </c>
      <c r="C1331" s="221" t="s">
        <v>1936</v>
      </c>
      <c r="D1331" s="221" t="s">
        <v>2049</v>
      </c>
      <c r="E1331" s="221" t="s">
        <v>1937</v>
      </c>
      <c r="F1331" s="221" t="s">
        <v>2446</v>
      </c>
      <c r="G1331" s="221">
        <v>9</v>
      </c>
      <c r="H1331" s="251">
        <v>40414497.380000003</v>
      </c>
      <c r="I1331" s="221"/>
    </row>
    <row r="1332" spans="1:9">
      <c r="A1332" s="896"/>
      <c r="B1332" s="928"/>
      <c r="C1332" s="221" t="s">
        <v>1939</v>
      </c>
      <c r="D1332" s="221" t="s">
        <v>2049</v>
      </c>
      <c r="E1332" s="221" t="s">
        <v>1940</v>
      </c>
      <c r="F1332" s="221" t="s">
        <v>2445</v>
      </c>
      <c r="G1332" s="221">
        <v>9</v>
      </c>
      <c r="H1332" s="251">
        <v>29909467.399999999</v>
      </c>
      <c r="I1332" s="221"/>
    </row>
    <row r="1333" spans="1:9">
      <c r="A1333" s="896"/>
      <c r="B1333" s="928"/>
      <c r="C1333" s="221" t="s">
        <v>3802</v>
      </c>
      <c r="D1333" s="221" t="s">
        <v>2049</v>
      </c>
      <c r="E1333" s="221" t="s">
        <v>3803</v>
      </c>
      <c r="F1333" s="221" t="s">
        <v>5542</v>
      </c>
      <c r="G1333" s="221">
        <v>1</v>
      </c>
      <c r="H1333" s="251">
        <v>9485598.8800000008</v>
      </c>
      <c r="I1333" s="221"/>
    </row>
    <row r="1334" spans="1:9">
      <c r="A1334" s="896"/>
      <c r="B1334" s="928"/>
      <c r="C1334" s="221" t="s">
        <v>2449</v>
      </c>
      <c r="D1334" s="221" t="s">
        <v>2049</v>
      </c>
      <c r="E1334" s="221" t="s">
        <v>2450</v>
      </c>
      <c r="F1334" s="221" t="s">
        <v>2451</v>
      </c>
      <c r="G1334" s="221">
        <v>1</v>
      </c>
      <c r="H1334" s="251">
        <v>7633174.6900000004</v>
      </c>
      <c r="I1334" s="221"/>
    </row>
    <row r="1335" spans="1:9">
      <c r="A1335" s="896"/>
      <c r="B1335" s="928"/>
      <c r="C1335" s="221" t="s">
        <v>1963</v>
      </c>
      <c r="D1335" s="221" t="s">
        <v>2049</v>
      </c>
      <c r="E1335" s="221" t="s">
        <v>2461</v>
      </c>
      <c r="F1335" s="221" t="s">
        <v>2462</v>
      </c>
      <c r="G1335" s="221">
        <v>1</v>
      </c>
      <c r="H1335" s="251">
        <v>4677757.16</v>
      </c>
      <c r="I1335" s="221"/>
    </row>
    <row r="1336" spans="1:9">
      <c r="A1336" s="896"/>
      <c r="B1336" s="928"/>
      <c r="C1336" s="221" t="s">
        <v>5543</v>
      </c>
      <c r="D1336" s="221" t="s">
        <v>2049</v>
      </c>
      <c r="E1336" s="221" t="s">
        <v>2374</v>
      </c>
      <c r="F1336" s="221" t="s">
        <v>2455</v>
      </c>
      <c r="G1336" s="221">
        <v>1</v>
      </c>
      <c r="H1336" s="251">
        <v>4020373.6</v>
      </c>
      <c r="I1336" s="221"/>
    </row>
    <row r="1337" spans="1:9">
      <c r="A1337" s="896"/>
      <c r="B1337" s="928"/>
      <c r="C1337" s="221" t="s">
        <v>5544</v>
      </c>
      <c r="D1337" s="221" t="s">
        <v>2049</v>
      </c>
      <c r="E1337" s="221" t="s">
        <v>2447</v>
      </c>
      <c r="F1337" s="221" t="s">
        <v>2448</v>
      </c>
      <c r="G1337" s="221">
        <v>7</v>
      </c>
      <c r="H1337" s="251">
        <v>3751945.38</v>
      </c>
      <c r="I1337" s="221"/>
    </row>
    <row r="1338" spans="1:9">
      <c r="A1338" s="896"/>
      <c r="B1338" s="928"/>
      <c r="C1338" s="221" t="s">
        <v>2456</v>
      </c>
      <c r="D1338" s="221" t="s">
        <v>2049</v>
      </c>
      <c r="E1338" s="221" t="s">
        <v>2457</v>
      </c>
      <c r="F1338" s="221" t="s">
        <v>2458</v>
      </c>
      <c r="G1338" s="221">
        <v>4</v>
      </c>
      <c r="H1338" s="251">
        <v>3459699.28</v>
      </c>
      <c r="I1338" s="221"/>
    </row>
    <row r="1339" spans="1:9">
      <c r="A1339" s="896"/>
      <c r="B1339" s="928"/>
      <c r="C1339" s="221" t="s">
        <v>5545</v>
      </c>
      <c r="D1339" s="221" t="s">
        <v>2049</v>
      </c>
      <c r="E1339" s="221" t="s">
        <v>2459</v>
      </c>
      <c r="F1339" s="221" t="s">
        <v>2460</v>
      </c>
      <c r="G1339" s="221">
        <v>1</v>
      </c>
      <c r="H1339" s="251">
        <v>1810814.34</v>
      </c>
      <c r="I1339" s="221"/>
    </row>
    <row r="1340" spans="1:9">
      <c r="A1340" s="896"/>
      <c r="B1340" s="928"/>
      <c r="C1340" s="221" t="s">
        <v>5546</v>
      </c>
      <c r="D1340" s="221" t="s">
        <v>2049</v>
      </c>
      <c r="E1340" s="221" t="s">
        <v>5547</v>
      </c>
      <c r="F1340" s="221" t="s">
        <v>5548</v>
      </c>
      <c r="G1340" s="221">
        <v>1</v>
      </c>
      <c r="H1340" s="251">
        <v>1255625</v>
      </c>
      <c r="I1340" s="221"/>
    </row>
    <row r="1341" spans="1:9">
      <c r="A1341" s="896"/>
      <c r="B1341" s="928"/>
      <c r="C1341" s="221" t="s">
        <v>1943</v>
      </c>
      <c r="D1341" s="221" t="s">
        <v>2049</v>
      </c>
      <c r="E1341" s="221" t="s">
        <v>1944</v>
      </c>
      <c r="F1341" s="221" t="s">
        <v>5549</v>
      </c>
      <c r="G1341" s="221">
        <v>2</v>
      </c>
      <c r="H1341" s="251">
        <v>1213465.93</v>
      </c>
      <c r="I1341" s="221"/>
    </row>
    <row r="1342" spans="1:9">
      <c r="A1342" s="896"/>
      <c r="B1342" s="928"/>
      <c r="C1342" s="221" t="s">
        <v>5550</v>
      </c>
      <c r="D1342" s="221" t="s">
        <v>2049</v>
      </c>
      <c r="E1342" s="221" t="s">
        <v>5551</v>
      </c>
      <c r="F1342" s="221" t="s">
        <v>5552</v>
      </c>
      <c r="G1342" s="221">
        <v>1</v>
      </c>
      <c r="H1342" s="251">
        <v>1060308.44</v>
      </c>
      <c r="I1342" s="221"/>
    </row>
    <row r="1343" spans="1:9">
      <c r="A1343" s="896"/>
      <c r="B1343" s="928"/>
      <c r="C1343" s="221" t="s">
        <v>5553</v>
      </c>
      <c r="D1343" s="221" t="s">
        <v>2049</v>
      </c>
      <c r="E1343" s="221" t="s">
        <v>5554</v>
      </c>
      <c r="F1343" s="221" t="s">
        <v>5555</v>
      </c>
      <c r="G1343" s="221">
        <v>5</v>
      </c>
      <c r="H1343" s="251">
        <v>937409.03</v>
      </c>
      <c r="I1343" s="221"/>
    </row>
    <row r="1344" spans="1:9">
      <c r="A1344" s="896"/>
      <c r="B1344" s="928"/>
      <c r="C1344" s="221" t="s">
        <v>5556</v>
      </c>
      <c r="D1344" s="221" t="s">
        <v>2049</v>
      </c>
      <c r="E1344" s="221" t="s">
        <v>2453</v>
      </c>
      <c r="F1344" s="221" t="s">
        <v>2454</v>
      </c>
      <c r="G1344" s="221">
        <v>5</v>
      </c>
      <c r="H1344" s="251">
        <v>825309.93</v>
      </c>
      <c r="I1344" s="221"/>
    </row>
    <row r="1345" spans="1:9">
      <c r="A1345" s="896"/>
      <c r="B1345" s="928"/>
      <c r="C1345" s="221" t="s">
        <v>3840</v>
      </c>
      <c r="D1345" s="221" t="s">
        <v>2049</v>
      </c>
      <c r="E1345" s="221" t="s">
        <v>1942</v>
      </c>
      <c r="F1345" s="221" t="s">
        <v>5557</v>
      </c>
      <c r="G1345" s="221">
        <v>6</v>
      </c>
      <c r="H1345" s="251">
        <v>736558.85</v>
      </c>
      <c r="I1345" s="221"/>
    </row>
    <row r="1346" spans="1:9">
      <c r="A1346" s="896"/>
      <c r="B1346" s="928"/>
      <c r="C1346" s="221" t="s">
        <v>5558</v>
      </c>
      <c r="D1346" s="221" t="s">
        <v>2049</v>
      </c>
      <c r="E1346" s="221" t="s">
        <v>5559</v>
      </c>
      <c r="F1346" s="221" t="s">
        <v>5560</v>
      </c>
      <c r="G1346" s="221">
        <v>1</v>
      </c>
      <c r="H1346" s="251">
        <v>607917.24</v>
      </c>
      <c r="I1346" s="221"/>
    </row>
    <row r="1347" spans="1:9">
      <c r="A1347" s="896"/>
      <c r="B1347" s="928"/>
      <c r="C1347" s="221" t="s">
        <v>5446</v>
      </c>
      <c r="D1347" s="221" t="s">
        <v>2049</v>
      </c>
      <c r="E1347" s="221" t="s">
        <v>5561</v>
      </c>
      <c r="F1347" s="221" t="s">
        <v>5562</v>
      </c>
      <c r="G1347" s="221">
        <v>1</v>
      </c>
      <c r="H1347" s="251">
        <v>286516.28999999998</v>
      </c>
      <c r="I1347" s="221"/>
    </row>
    <row r="1348" spans="1:9">
      <c r="A1348" s="896"/>
      <c r="B1348" s="928"/>
      <c r="C1348" s="221" t="s">
        <v>3805</v>
      </c>
      <c r="D1348" s="221" t="s">
        <v>2049</v>
      </c>
      <c r="E1348" s="221" t="s">
        <v>3806</v>
      </c>
      <c r="F1348" s="221" t="s">
        <v>5563</v>
      </c>
      <c r="G1348" s="221">
        <v>4</v>
      </c>
      <c r="H1348" s="251">
        <v>269221.44</v>
      </c>
      <c r="I1348" s="221"/>
    </row>
    <row r="1349" spans="1:9">
      <c r="A1349" s="896"/>
      <c r="B1349" s="928"/>
      <c r="C1349" s="221" t="s">
        <v>5564</v>
      </c>
      <c r="D1349" s="221" t="s">
        <v>2049</v>
      </c>
      <c r="E1349" s="221" t="s">
        <v>5565</v>
      </c>
      <c r="F1349" s="221" t="s">
        <v>5566</v>
      </c>
      <c r="G1349" s="221">
        <v>1</v>
      </c>
      <c r="H1349" s="251">
        <v>251258.95</v>
      </c>
      <c r="I1349" s="221"/>
    </row>
    <row r="1350" spans="1:9">
      <c r="A1350" s="896"/>
      <c r="B1350" s="928"/>
      <c r="C1350" s="221" t="s">
        <v>5567</v>
      </c>
      <c r="D1350" s="221" t="s">
        <v>2049</v>
      </c>
      <c r="E1350" s="221" t="s">
        <v>5568</v>
      </c>
      <c r="F1350" s="221" t="s">
        <v>5569</v>
      </c>
      <c r="G1350" s="221">
        <v>2</v>
      </c>
      <c r="H1350" s="251">
        <v>68945.639999999898</v>
      </c>
      <c r="I1350" s="221"/>
    </row>
    <row r="1351" spans="1:9">
      <c r="A1351" s="904">
        <v>26</v>
      </c>
      <c r="B1351" s="889" t="s">
        <v>646</v>
      </c>
      <c r="C1351" s="51" t="s">
        <v>5343</v>
      </c>
      <c r="D1351" s="51" t="s">
        <v>2049</v>
      </c>
      <c r="E1351" s="51" t="s">
        <v>2341</v>
      </c>
      <c r="F1351" s="51"/>
      <c r="G1351" s="51">
        <v>1</v>
      </c>
      <c r="H1351" s="81">
        <v>13000</v>
      </c>
      <c r="I1351" s="51"/>
    </row>
    <row r="1352" spans="1:9">
      <c r="A1352" s="905"/>
      <c r="B1352" s="890"/>
      <c r="C1352" s="51" t="s">
        <v>3852</v>
      </c>
      <c r="D1352" s="51" t="s">
        <v>2049</v>
      </c>
      <c r="E1352" s="51" t="s">
        <v>3853</v>
      </c>
      <c r="F1352" s="51"/>
      <c r="G1352" s="51">
        <v>1</v>
      </c>
      <c r="H1352" s="81">
        <v>42171.79</v>
      </c>
      <c r="I1352" s="51"/>
    </row>
    <row r="1353" spans="1:9">
      <c r="A1353" s="905"/>
      <c r="B1353" s="890"/>
      <c r="C1353" s="51" t="s">
        <v>5440</v>
      </c>
      <c r="D1353" s="51" t="s">
        <v>2049</v>
      </c>
      <c r="E1353" s="51" t="s">
        <v>5534</v>
      </c>
      <c r="F1353" s="51"/>
      <c r="G1353" s="51">
        <v>1</v>
      </c>
      <c r="H1353" s="81">
        <v>48246.96</v>
      </c>
      <c r="I1353" s="51"/>
    </row>
    <row r="1354" spans="1:9">
      <c r="A1354" s="905"/>
      <c r="B1354" s="890"/>
      <c r="C1354" s="51" t="s">
        <v>5570</v>
      </c>
      <c r="D1354" s="51" t="s">
        <v>2049</v>
      </c>
      <c r="E1354" s="51" t="s">
        <v>5571</v>
      </c>
      <c r="F1354" s="51"/>
      <c r="G1354" s="51">
        <v>1</v>
      </c>
      <c r="H1354" s="81">
        <v>108000</v>
      </c>
      <c r="I1354" s="51"/>
    </row>
    <row r="1355" spans="1:9">
      <c r="A1355" s="905"/>
      <c r="B1355" s="890"/>
      <c r="C1355" s="51" t="s">
        <v>5572</v>
      </c>
      <c r="D1355" s="51" t="s">
        <v>2049</v>
      </c>
      <c r="E1355" s="51" t="s">
        <v>5573</v>
      </c>
      <c r="F1355" s="51"/>
      <c r="G1355" s="51">
        <v>1</v>
      </c>
      <c r="H1355" s="81">
        <v>133831.03</v>
      </c>
      <c r="I1355" s="51"/>
    </row>
    <row r="1356" spans="1:9">
      <c r="A1356" s="905"/>
      <c r="B1356" s="890"/>
      <c r="C1356" s="51" t="s">
        <v>1796</v>
      </c>
      <c r="D1356" s="51" t="s">
        <v>2049</v>
      </c>
      <c r="E1356" s="51" t="s">
        <v>5574</v>
      </c>
      <c r="F1356" s="51"/>
      <c r="G1356" s="51">
        <v>1</v>
      </c>
      <c r="H1356" s="81">
        <v>155366.98000000001</v>
      </c>
      <c r="I1356" s="51"/>
    </row>
    <row r="1357" spans="1:9">
      <c r="A1357" s="905"/>
      <c r="B1357" s="890"/>
      <c r="C1357" s="51" t="s">
        <v>3854</v>
      </c>
      <c r="D1357" s="51" t="s">
        <v>2049</v>
      </c>
      <c r="E1357" s="51" t="s">
        <v>3855</v>
      </c>
      <c r="F1357" s="51"/>
      <c r="G1357" s="51">
        <v>1</v>
      </c>
      <c r="H1357" s="81">
        <v>217295.9</v>
      </c>
      <c r="I1357" s="51"/>
    </row>
    <row r="1358" spans="1:9">
      <c r="A1358" s="905"/>
      <c r="B1358" s="890"/>
      <c r="C1358" s="51" t="s">
        <v>5424</v>
      </c>
      <c r="D1358" s="51" t="s">
        <v>2049</v>
      </c>
      <c r="E1358" s="51" t="s">
        <v>5575</v>
      </c>
      <c r="F1358" s="51"/>
      <c r="G1358" s="51">
        <v>1</v>
      </c>
      <c r="H1358" s="81">
        <v>256048.9</v>
      </c>
      <c r="I1358" s="51"/>
    </row>
    <row r="1359" spans="1:9">
      <c r="A1359" s="905"/>
      <c r="B1359" s="890"/>
      <c r="C1359" s="51" t="s">
        <v>5427</v>
      </c>
      <c r="D1359" s="51" t="s">
        <v>2049</v>
      </c>
      <c r="E1359" s="51" t="s">
        <v>5576</v>
      </c>
      <c r="F1359" s="51"/>
      <c r="G1359" s="51">
        <v>1</v>
      </c>
      <c r="H1359" s="81">
        <v>318558.56</v>
      </c>
      <c r="I1359" s="51"/>
    </row>
    <row r="1360" spans="1:9">
      <c r="A1360" s="905"/>
      <c r="B1360" s="890"/>
      <c r="C1360" s="51" t="s">
        <v>5577</v>
      </c>
      <c r="D1360" s="51" t="s">
        <v>2049</v>
      </c>
      <c r="E1360" s="51" t="s">
        <v>5578</v>
      </c>
      <c r="F1360" s="51"/>
      <c r="G1360" s="51">
        <v>1</v>
      </c>
      <c r="H1360" s="81">
        <v>380760</v>
      </c>
      <c r="I1360" s="51"/>
    </row>
    <row r="1361" spans="1:9">
      <c r="A1361" s="905"/>
      <c r="B1361" s="890"/>
      <c r="C1361" s="51" t="s">
        <v>5464</v>
      </c>
      <c r="D1361" s="51" t="s">
        <v>2049</v>
      </c>
      <c r="E1361" s="51" t="s">
        <v>5465</v>
      </c>
      <c r="F1361" s="51"/>
      <c r="G1361" s="51">
        <v>1</v>
      </c>
      <c r="H1361" s="81">
        <v>564783.9</v>
      </c>
      <c r="I1361" s="51"/>
    </row>
    <row r="1362" spans="1:9">
      <c r="A1362" s="905"/>
      <c r="B1362" s="890"/>
      <c r="C1362" s="51" t="s">
        <v>2463</v>
      </c>
      <c r="D1362" s="51" t="s">
        <v>2049</v>
      </c>
      <c r="E1362" s="51" t="s">
        <v>1947</v>
      </c>
      <c r="F1362" s="51"/>
      <c r="G1362" s="51">
        <v>1</v>
      </c>
      <c r="H1362" s="81">
        <v>718468.79666666104</v>
      </c>
      <c r="I1362" s="51"/>
    </row>
    <row r="1363" spans="1:9">
      <c r="A1363" s="905"/>
      <c r="B1363" s="890"/>
      <c r="C1363" s="51" t="s">
        <v>5579</v>
      </c>
      <c r="D1363" s="51" t="s">
        <v>2049</v>
      </c>
      <c r="E1363" s="51" t="s">
        <v>5467</v>
      </c>
      <c r="F1363" s="51"/>
      <c r="G1363" s="51">
        <v>1</v>
      </c>
      <c r="H1363" s="81">
        <v>866137.5</v>
      </c>
      <c r="I1363" s="51"/>
    </row>
    <row r="1364" spans="1:9">
      <c r="A1364" s="905"/>
      <c r="B1364" s="890"/>
      <c r="C1364" s="51" t="s">
        <v>5580</v>
      </c>
      <c r="D1364" s="51" t="s">
        <v>2049</v>
      </c>
      <c r="E1364" s="51" t="s">
        <v>5581</v>
      </c>
      <c r="F1364" s="51"/>
      <c r="G1364" s="51">
        <v>1</v>
      </c>
      <c r="H1364" s="81">
        <v>932055.96</v>
      </c>
      <c r="I1364" s="51"/>
    </row>
    <row r="1365" spans="1:9">
      <c r="A1365" s="906"/>
      <c r="B1365" s="891"/>
      <c r="C1365" s="51" t="s">
        <v>5582</v>
      </c>
      <c r="D1365" s="51" t="s">
        <v>2049</v>
      </c>
      <c r="E1365" s="51" t="s">
        <v>5583</v>
      </c>
      <c r="F1365" s="51"/>
      <c r="G1365" s="51">
        <v>1</v>
      </c>
      <c r="H1365" s="81">
        <v>2142007.14</v>
      </c>
      <c r="I1365" s="51"/>
    </row>
    <row r="1366" spans="1:9">
      <c r="A1366" s="892">
        <v>27</v>
      </c>
      <c r="B1366" s="892" t="s">
        <v>188</v>
      </c>
      <c r="C1366" s="221" t="s">
        <v>5584</v>
      </c>
      <c r="D1366" s="221" t="s">
        <v>2049</v>
      </c>
      <c r="E1366" s="221"/>
      <c r="F1366" s="221"/>
      <c r="G1366" s="221">
        <v>1</v>
      </c>
      <c r="H1366" s="251">
        <v>154840</v>
      </c>
      <c r="I1366" s="221"/>
    </row>
    <row r="1367" spans="1:9">
      <c r="A1367" s="896"/>
      <c r="B1367" s="896"/>
      <c r="C1367" s="221" t="s">
        <v>5585</v>
      </c>
      <c r="D1367" s="221" t="s">
        <v>2049</v>
      </c>
      <c r="E1367" s="221"/>
      <c r="F1367" s="221"/>
      <c r="G1367" s="221">
        <v>1</v>
      </c>
      <c r="H1367" s="251">
        <v>53692.28</v>
      </c>
      <c r="I1367" s="221"/>
    </row>
    <row r="1368" spans="1:9">
      <c r="A1368" s="896"/>
      <c r="B1368" s="896"/>
      <c r="C1368" s="221" t="s">
        <v>5586</v>
      </c>
      <c r="D1368" s="221" t="s">
        <v>2049</v>
      </c>
      <c r="E1368" s="221"/>
      <c r="F1368" s="221"/>
      <c r="G1368" s="221">
        <v>1</v>
      </c>
      <c r="H1368" s="251">
        <v>2683999.9</v>
      </c>
      <c r="I1368" s="221"/>
    </row>
    <row r="1369" spans="1:9">
      <c r="A1369" s="896"/>
      <c r="B1369" s="896"/>
      <c r="C1369" s="221" t="s">
        <v>5587</v>
      </c>
      <c r="D1369" s="221" t="s">
        <v>2049</v>
      </c>
      <c r="E1369" s="221"/>
      <c r="F1369" s="221"/>
      <c r="G1369" s="221">
        <v>1</v>
      </c>
      <c r="H1369" s="251">
        <v>4408998.17</v>
      </c>
      <c r="I1369" s="221"/>
    </row>
    <row r="1370" spans="1:9">
      <c r="A1370" s="896"/>
      <c r="B1370" s="896"/>
      <c r="C1370" s="221" t="s">
        <v>5588</v>
      </c>
      <c r="D1370" s="221" t="s">
        <v>2049</v>
      </c>
      <c r="E1370" s="221"/>
      <c r="F1370" s="221"/>
      <c r="G1370" s="221">
        <v>1</v>
      </c>
      <c r="H1370" s="251">
        <v>550252.78</v>
      </c>
      <c r="I1370" s="221"/>
    </row>
    <row r="1371" spans="1:9">
      <c r="A1371" s="896"/>
      <c r="B1371" s="896"/>
      <c r="C1371" s="221" t="s">
        <v>5589</v>
      </c>
      <c r="D1371" s="221" t="s">
        <v>2049</v>
      </c>
      <c r="E1371" s="221"/>
      <c r="F1371" s="221"/>
      <c r="G1371" s="221">
        <v>1</v>
      </c>
      <c r="H1371" s="251">
        <v>252778.96</v>
      </c>
      <c r="I1371" s="221"/>
    </row>
    <row r="1372" spans="1:9">
      <c r="A1372" s="896"/>
      <c r="B1372" s="896"/>
      <c r="C1372" s="221" t="s">
        <v>5590</v>
      </c>
      <c r="D1372" s="221" t="s">
        <v>2049</v>
      </c>
      <c r="E1372" s="221"/>
      <c r="F1372" s="221"/>
      <c r="G1372" s="221">
        <v>1</v>
      </c>
      <c r="H1372" s="251">
        <v>6691086.3499999996</v>
      </c>
      <c r="I1372" s="221"/>
    </row>
    <row r="1373" spans="1:9">
      <c r="A1373" s="896"/>
      <c r="B1373" s="896"/>
      <c r="C1373" s="221" t="s">
        <v>5591</v>
      </c>
      <c r="D1373" s="221" t="s">
        <v>2049</v>
      </c>
      <c r="E1373" s="221"/>
      <c r="F1373" s="221"/>
      <c r="G1373" s="221">
        <v>1</v>
      </c>
      <c r="H1373" s="251">
        <v>9527605.6199999992</v>
      </c>
      <c r="I1373" s="221"/>
    </row>
    <row r="1374" spans="1:9">
      <c r="A1374" s="896"/>
      <c r="B1374" s="896"/>
      <c r="C1374" s="221" t="s">
        <v>5592</v>
      </c>
      <c r="D1374" s="221" t="s">
        <v>2049</v>
      </c>
      <c r="E1374" s="221"/>
      <c r="F1374" s="221"/>
      <c r="G1374" s="221">
        <v>1</v>
      </c>
      <c r="H1374" s="251">
        <v>2624717.19</v>
      </c>
      <c r="I1374" s="221"/>
    </row>
    <row r="1375" spans="1:9">
      <c r="A1375" s="896"/>
      <c r="B1375" s="896"/>
      <c r="C1375" s="221" t="s">
        <v>5593</v>
      </c>
      <c r="D1375" s="221" t="s">
        <v>2049</v>
      </c>
      <c r="E1375" s="221"/>
      <c r="F1375" s="221"/>
      <c r="G1375" s="221">
        <v>1</v>
      </c>
      <c r="H1375" s="251">
        <v>546000</v>
      </c>
      <c r="I1375" s="221"/>
    </row>
    <row r="1376" spans="1:9">
      <c r="A1376" s="896"/>
      <c r="B1376" s="896"/>
      <c r="C1376" s="221" t="s">
        <v>5594</v>
      </c>
      <c r="D1376" s="221" t="s">
        <v>2049</v>
      </c>
      <c r="E1376" s="221"/>
      <c r="F1376" s="221"/>
      <c r="G1376" s="221">
        <v>1</v>
      </c>
      <c r="H1376" s="251">
        <v>223283.23</v>
      </c>
      <c r="I1376" s="221"/>
    </row>
    <row r="1377" spans="1:9">
      <c r="A1377" s="896"/>
      <c r="B1377" s="896"/>
      <c r="C1377" s="221" t="s">
        <v>5595</v>
      </c>
      <c r="D1377" s="221" t="s">
        <v>2049</v>
      </c>
      <c r="E1377" s="221"/>
      <c r="F1377" s="221"/>
      <c r="G1377" s="221">
        <v>1</v>
      </c>
      <c r="H1377" s="251">
        <v>12000</v>
      </c>
      <c r="I1377" s="221"/>
    </row>
    <row r="1378" spans="1:9">
      <c r="A1378" s="896"/>
      <c r="B1378" s="896"/>
      <c r="C1378" s="221" t="s">
        <v>5596</v>
      </c>
      <c r="D1378" s="221" t="s">
        <v>2049</v>
      </c>
      <c r="E1378" s="221"/>
      <c r="F1378" s="221"/>
      <c r="G1378" s="221">
        <v>1</v>
      </c>
      <c r="H1378" s="251">
        <v>13909.56</v>
      </c>
      <c r="I1378" s="221"/>
    </row>
    <row r="1379" spans="1:9">
      <c r="A1379" s="896"/>
      <c r="B1379" s="896"/>
      <c r="C1379" s="221" t="s">
        <v>5597</v>
      </c>
      <c r="D1379" s="221" t="s">
        <v>2049</v>
      </c>
      <c r="E1379" s="221"/>
      <c r="F1379" s="221"/>
      <c r="G1379" s="221">
        <v>1</v>
      </c>
      <c r="H1379" s="251">
        <v>51411.199999999997</v>
      </c>
      <c r="I1379" s="221"/>
    </row>
    <row r="1380" spans="1:9">
      <c r="A1380" s="896"/>
      <c r="B1380" s="896"/>
      <c r="C1380" s="221" t="s">
        <v>5598</v>
      </c>
      <c r="D1380" s="221" t="s">
        <v>2049</v>
      </c>
      <c r="E1380" s="221"/>
      <c r="F1380" s="221"/>
      <c r="G1380" s="221">
        <v>1</v>
      </c>
      <c r="H1380" s="251">
        <v>4342116.83</v>
      </c>
      <c r="I1380" s="221"/>
    </row>
    <row r="1381" spans="1:9">
      <c r="A1381" s="896"/>
      <c r="B1381" s="896"/>
      <c r="C1381" s="221" t="s">
        <v>5599</v>
      </c>
      <c r="D1381" s="221" t="s">
        <v>2049</v>
      </c>
      <c r="E1381" s="221"/>
      <c r="F1381" s="221"/>
      <c r="G1381" s="221">
        <v>1</v>
      </c>
      <c r="H1381" s="251">
        <v>14170480.800000001</v>
      </c>
      <c r="I1381" s="221"/>
    </row>
    <row r="1382" spans="1:9">
      <c r="A1382" s="896"/>
      <c r="B1382" s="896"/>
      <c r="C1382" s="221" t="s">
        <v>5600</v>
      </c>
      <c r="D1382" s="221" t="s">
        <v>2049</v>
      </c>
      <c r="E1382" s="221"/>
      <c r="F1382" s="221"/>
      <c r="G1382" s="221">
        <v>1</v>
      </c>
      <c r="H1382" s="251">
        <v>8344502.2599999998</v>
      </c>
      <c r="I1382" s="221"/>
    </row>
    <row r="1383" spans="1:9">
      <c r="A1383" s="896"/>
      <c r="B1383" s="896"/>
      <c r="C1383" s="221" t="s">
        <v>5601</v>
      </c>
      <c r="D1383" s="221" t="s">
        <v>2049</v>
      </c>
      <c r="E1383" s="221"/>
      <c r="F1383" s="221"/>
      <c r="G1383" s="221">
        <v>1</v>
      </c>
      <c r="H1383" s="251">
        <v>1510768.94</v>
      </c>
      <c r="I1383" s="221"/>
    </row>
    <row r="1384" spans="1:9">
      <c r="A1384" s="896"/>
      <c r="B1384" s="896"/>
      <c r="C1384" s="221" t="s">
        <v>5602</v>
      </c>
      <c r="D1384" s="221" t="s">
        <v>2049</v>
      </c>
      <c r="E1384" s="221"/>
      <c r="F1384" s="221"/>
      <c r="G1384" s="221">
        <v>1</v>
      </c>
      <c r="H1384" s="251">
        <v>29035.05</v>
      </c>
      <c r="I1384" s="221"/>
    </row>
    <row r="1385" spans="1:9">
      <c r="A1385" s="896"/>
      <c r="B1385" s="896"/>
      <c r="C1385" s="221" t="s">
        <v>5603</v>
      </c>
      <c r="D1385" s="221" t="s">
        <v>2049</v>
      </c>
      <c r="E1385" s="221"/>
      <c r="F1385" s="221"/>
      <c r="G1385" s="221">
        <v>1</v>
      </c>
      <c r="H1385" s="251">
        <v>2474173.06</v>
      </c>
      <c r="I1385" s="221"/>
    </row>
    <row r="1386" spans="1:9">
      <c r="A1386" s="896"/>
      <c r="B1386" s="896"/>
      <c r="C1386" s="221" t="s">
        <v>5604</v>
      </c>
      <c r="D1386" s="221" t="s">
        <v>2049</v>
      </c>
      <c r="E1386" s="221"/>
      <c r="F1386" s="221"/>
      <c r="G1386" s="221">
        <v>1</v>
      </c>
      <c r="H1386" s="251">
        <v>18937.02</v>
      </c>
      <c r="I1386" s="221"/>
    </row>
    <row r="1387" spans="1:9">
      <c r="A1387" s="896"/>
      <c r="B1387" s="896"/>
      <c r="C1387" s="221" t="s">
        <v>5605</v>
      </c>
      <c r="D1387" s="221" t="s">
        <v>2049</v>
      </c>
      <c r="E1387" s="221"/>
      <c r="F1387" s="221"/>
      <c r="G1387" s="221">
        <v>1</v>
      </c>
      <c r="H1387" s="251">
        <v>124105.85</v>
      </c>
      <c r="I1387" s="221"/>
    </row>
    <row r="1388" spans="1:9">
      <c r="A1388" s="896"/>
      <c r="B1388" s="896"/>
      <c r="C1388" s="221" t="s">
        <v>5606</v>
      </c>
      <c r="D1388" s="221" t="s">
        <v>2049</v>
      </c>
      <c r="E1388" s="221"/>
      <c r="F1388" s="221"/>
      <c r="G1388" s="221">
        <v>1</v>
      </c>
      <c r="H1388" s="251">
        <v>1779245.36</v>
      </c>
      <c r="I1388" s="221"/>
    </row>
    <row r="1389" spans="1:9">
      <c r="A1389" s="896"/>
      <c r="B1389" s="896"/>
      <c r="C1389" s="221" t="s">
        <v>5607</v>
      </c>
      <c r="D1389" s="221" t="s">
        <v>2049</v>
      </c>
      <c r="E1389" s="221"/>
      <c r="F1389" s="221"/>
      <c r="G1389" s="221">
        <v>1</v>
      </c>
      <c r="H1389" s="251">
        <v>3115838.58</v>
      </c>
      <c r="I1389" s="221"/>
    </row>
    <row r="1390" spans="1:9">
      <c r="A1390" s="896"/>
      <c r="B1390" s="896"/>
      <c r="C1390" s="221" t="s">
        <v>5608</v>
      </c>
      <c r="D1390" s="221" t="s">
        <v>2049</v>
      </c>
      <c r="E1390" s="221"/>
      <c r="F1390" s="221"/>
      <c r="G1390" s="221">
        <v>1</v>
      </c>
      <c r="H1390" s="251">
        <v>175.27</v>
      </c>
      <c r="I1390" s="221"/>
    </row>
    <row r="1391" spans="1:9">
      <c r="A1391" s="896"/>
      <c r="B1391" s="896"/>
      <c r="C1391" s="221" t="s">
        <v>5609</v>
      </c>
      <c r="D1391" s="221" t="s">
        <v>2049</v>
      </c>
      <c r="E1391" s="221"/>
      <c r="F1391" s="221"/>
      <c r="G1391" s="221">
        <v>1</v>
      </c>
      <c r="H1391" s="251">
        <v>15236442.939999999</v>
      </c>
      <c r="I1391" s="221"/>
    </row>
    <row r="1392" spans="1:9">
      <c r="A1392" s="896"/>
      <c r="B1392" s="896"/>
      <c r="C1392" s="221" t="s">
        <v>5610</v>
      </c>
      <c r="D1392" s="221" t="s">
        <v>2049</v>
      </c>
      <c r="E1392" s="221"/>
      <c r="F1392" s="221"/>
      <c r="G1392" s="221">
        <v>1</v>
      </c>
      <c r="H1392" s="251">
        <v>211460.53</v>
      </c>
      <c r="I1392" s="221"/>
    </row>
    <row r="1393" spans="1:9">
      <c r="A1393" s="896"/>
      <c r="B1393" s="896"/>
      <c r="C1393" s="221" t="s">
        <v>5611</v>
      </c>
      <c r="D1393" s="221" t="s">
        <v>2049</v>
      </c>
      <c r="E1393" s="221"/>
      <c r="F1393" s="221"/>
      <c r="G1393" s="221">
        <v>1</v>
      </c>
      <c r="H1393" s="251">
        <v>3578553.6</v>
      </c>
      <c r="I1393" s="221"/>
    </row>
    <row r="1394" spans="1:9">
      <c r="A1394" s="896"/>
      <c r="B1394" s="896"/>
      <c r="C1394" s="221" t="s">
        <v>5612</v>
      </c>
      <c r="D1394" s="221" t="s">
        <v>2049</v>
      </c>
      <c r="E1394" s="221"/>
      <c r="F1394" s="221"/>
      <c r="G1394" s="221">
        <v>1</v>
      </c>
      <c r="H1394" s="251">
        <v>52339.199999999997</v>
      </c>
      <c r="I1394" s="221"/>
    </row>
    <row r="1395" spans="1:9">
      <c r="A1395" s="896"/>
      <c r="B1395" s="896"/>
      <c r="C1395" s="221" t="s">
        <v>5613</v>
      </c>
      <c r="D1395" s="221" t="s">
        <v>2049</v>
      </c>
      <c r="E1395" s="221"/>
      <c r="F1395" s="221"/>
      <c r="G1395" s="221">
        <v>1</v>
      </c>
      <c r="H1395" s="251">
        <v>542562.74</v>
      </c>
      <c r="I1395" s="221"/>
    </row>
    <row r="1396" spans="1:9">
      <c r="A1396" s="896"/>
      <c r="B1396" s="896"/>
      <c r="C1396" s="221" t="s">
        <v>5614</v>
      </c>
      <c r="D1396" s="221" t="s">
        <v>2049</v>
      </c>
      <c r="E1396" s="221"/>
      <c r="F1396" s="221"/>
      <c r="G1396" s="221">
        <v>1</v>
      </c>
      <c r="H1396" s="251">
        <v>319690.61</v>
      </c>
      <c r="I1396" s="221"/>
    </row>
    <row r="1397" spans="1:9">
      <c r="A1397" s="896"/>
      <c r="B1397" s="896"/>
      <c r="C1397" s="221" t="s">
        <v>5615</v>
      </c>
      <c r="D1397" s="221" t="s">
        <v>2049</v>
      </c>
      <c r="E1397" s="221"/>
      <c r="F1397" s="221"/>
      <c r="G1397" s="221">
        <v>1</v>
      </c>
      <c r="H1397" s="251">
        <v>1261137.8400000001</v>
      </c>
      <c r="I1397" s="221"/>
    </row>
    <row r="1398" spans="1:9">
      <c r="A1398" s="904">
        <v>28</v>
      </c>
      <c r="B1398" s="889" t="s">
        <v>974</v>
      </c>
      <c r="C1398" s="51" t="s">
        <v>5533</v>
      </c>
      <c r="D1398" s="51" t="s">
        <v>2049</v>
      </c>
      <c r="E1398" s="51" t="s">
        <v>5534</v>
      </c>
      <c r="F1398" s="51" t="s">
        <v>5616</v>
      </c>
      <c r="G1398" s="51">
        <v>141</v>
      </c>
      <c r="H1398" s="81">
        <v>13968.72</v>
      </c>
      <c r="I1398" s="51"/>
    </row>
    <row r="1399" spans="1:9">
      <c r="A1399" s="905"/>
      <c r="B1399" s="890"/>
      <c r="C1399" s="51" t="s">
        <v>5617</v>
      </c>
      <c r="D1399" s="51" t="s">
        <v>2049</v>
      </c>
      <c r="E1399" s="51" t="s">
        <v>5618</v>
      </c>
      <c r="F1399" s="51" t="s">
        <v>5619</v>
      </c>
      <c r="G1399" s="51">
        <v>21211</v>
      </c>
      <c r="H1399" s="81">
        <v>38179.800000000003</v>
      </c>
      <c r="I1399" s="51"/>
    </row>
    <row r="1400" spans="1:9">
      <c r="A1400" s="905"/>
      <c r="B1400" s="890"/>
      <c r="C1400" s="51" t="s">
        <v>2314</v>
      </c>
      <c r="D1400" s="51" t="s">
        <v>2049</v>
      </c>
      <c r="E1400" s="51" t="s">
        <v>2315</v>
      </c>
      <c r="F1400" s="51" t="s">
        <v>5620</v>
      </c>
      <c r="G1400" s="51">
        <v>117</v>
      </c>
      <c r="H1400" s="81">
        <v>39510</v>
      </c>
      <c r="I1400" s="51"/>
    </row>
    <row r="1401" spans="1:9">
      <c r="A1401" s="905"/>
      <c r="B1401" s="890"/>
      <c r="C1401" s="51" t="s">
        <v>5464</v>
      </c>
      <c r="D1401" s="51" t="s">
        <v>2049</v>
      </c>
      <c r="E1401" s="51" t="s">
        <v>5621</v>
      </c>
      <c r="F1401" s="51" t="s">
        <v>5622</v>
      </c>
      <c r="G1401" s="51">
        <v>249254</v>
      </c>
      <c r="H1401" s="81">
        <v>97285.31</v>
      </c>
      <c r="I1401" s="51"/>
    </row>
    <row r="1402" spans="1:9">
      <c r="A1402" s="906"/>
      <c r="B1402" s="891"/>
      <c r="C1402" s="51" t="s">
        <v>5464</v>
      </c>
      <c r="D1402" s="51" t="s">
        <v>2049</v>
      </c>
      <c r="E1402" s="51" t="s">
        <v>5621</v>
      </c>
      <c r="F1402" s="51" t="s">
        <v>5622</v>
      </c>
      <c r="G1402" s="51">
        <v>77080</v>
      </c>
      <c r="H1402" s="81">
        <v>10618.54</v>
      </c>
      <c r="I1402" s="51"/>
    </row>
    <row r="1403" spans="1:9">
      <c r="A1403" s="1017">
        <v>29</v>
      </c>
      <c r="B1403" s="915" t="s">
        <v>607</v>
      </c>
      <c r="C1403" s="53" t="s">
        <v>5367</v>
      </c>
      <c r="D1403" s="53" t="s">
        <v>2049</v>
      </c>
      <c r="E1403" s="53" t="s">
        <v>5368</v>
      </c>
      <c r="F1403" s="53"/>
      <c r="G1403" s="53"/>
      <c r="H1403" s="82" t="s">
        <v>1247</v>
      </c>
      <c r="I1403" s="53"/>
    </row>
    <row r="1404" spans="1:9">
      <c r="A1404" s="1018"/>
      <c r="B1404" s="930"/>
      <c r="C1404" s="53" t="s">
        <v>5369</v>
      </c>
      <c r="D1404" s="53" t="s">
        <v>2049</v>
      </c>
      <c r="E1404" s="53" t="s">
        <v>5370</v>
      </c>
      <c r="F1404" s="53"/>
      <c r="G1404" s="53"/>
      <c r="H1404" s="82" t="s">
        <v>1247</v>
      </c>
      <c r="I1404" s="53"/>
    </row>
    <row r="1405" spans="1:9">
      <c r="A1405" s="1019"/>
      <c r="B1405" s="916"/>
      <c r="C1405" s="53" t="s">
        <v>5371</v>
      </c>
      <c r="D1405" s="53" t="s">
        <v>2049</v>
      </c>
      <c r="E1405" s="53"/>
      <c r="F1405" s="53"/>
      <c r="G1405" s="53"/>
      <c r="H1405" s="82" t="s">
        <v>1247</v>
      </c>
      <c r="I1405" s="53"/>
    </row>
    <row r="1406" spans="1:9">
      <c r="A1406" s="904">
        <v>30</v>
      </c>
      <c r="B1406" s="889" t="s">
        <v>676</v>
      </c>
      <c r="C1406" s="51" t="s">
        <v>8396</v>
      </c>
      <c r="D1406" s="51" t="s">
        <v>2049</v>
      </c>
      <c r="E1406" s="51"/>
      <c r="F1406" s="51"/>
      <c r="G1406" s="51"/>
      <c r="H1406" s="81">
        <v>1312251.3</v>
      </c>
      <c r="I1406" s="51"/>
    </row>
    <row r="1407" spans="1:9">
      <c r="A1407" s="905"/>
      <c r="B1407" s="890"/>
      <c r="C1407" s="51" t="s">
        <v>8397</v>
      </c>
      <c r="D1407" s="51" t="s">
        <v>2049</v>
      </c>
      <c r="E1407" s="51"/>
      <c r="F1407" s="51"/>
      <c r="G1407" s="51"/>
      <c r="H1407" s="81">
        <v>54799.75</v>
      </c>
      <c r="I1407" s="51"/>
    </row>
    <row r="1408" spans="1:9">
      <c r="A1408" s="905"/>
      <c r="B1408" s="890"/>
      <c r="C1408" s="51" t="s">
        <v>8398</v>
      </c>
      <c r="D1408" s="51" t="s">
        <v>2049</v>
      </c>
      <c r="E1408" s="51"/>
      <c r="F1408" s="51"/>
      <c r="G1408" s="51"/>
      <c r="H1408" s="81">
        <v>4277.3999999999996</v>
      </c>
      <c r="I1408" s="51"/>
    </row>
    <row r="1409" spans="1:9">
      <c r="A1409" s="905"/>
      <c r="B1409" s="890"/>
      <c r="C1409" s="51" t="s">
        <v>8399</v>
      </c>
      <c r="D1409" s="51" t="s">
        <v>2049</v>
      </c>
      <c r="E1409" s="51"/>
      <c r="F1409" s="51"/>
      <c r="G1409" s="51"/>
      <c r="H1409" s="81">
        <v>6000</v>
      </c>
      <c r="I1409" s="51"/>
    </row>
    <row r="1410" spans="1:9">
      <c r="A1410" s="905"/>
      <c r="B1410" s="890"/>
      <c r="C1410" s="51" t="s">
        <v>8400</v>
      </c>
      <c r="D1410" s="51" t="s">
        <v>2049</v>
      </c>
      <c r="E1410" s="51"/>
      <c r="F1410" s="51"/>
      <c r="G1410" s="51"/>
      <c r="H1410" s="81">
        <v>20000</v>
      </c>
      <c r="I1410" s="51"/>
    </row>
    <row r="1411" spans="1:9">
      <c r="A1411" s="905"/>
      <c r="B1411" s="890"/>
      <c r="C1411" s="51" t="s">
        <v>8401</v>
      </c>
      <c r="D1411" s="51" t="s">
        <v>2049</v>
      </c>
      <c r="E1411" s="51"/>
      <c r="F1411" s="51"/>
      <c r="G1411" s="51"/>
      <c r="H1411" s="81">
        <v>4225860.76</v>
      </c>
      <c r="I1411" s="51"/>
    </row>
    <row r="1412" spans="1:9">
      <c r="A1412" s="905"/>
      <c r="B1412" s="890"/>
      <c r="C1412" s="51" t="s">
        <v>8402</v>
      </c>
      <c r="D1412" s="51" t="s">
        <v>2049</v>
      </c>
      <c r="E1412" s="51"/>
      <c r="F1412" s="51"/>
      <c r="G1412" s="51"/>
      <c r="H1412" s="81">
        <v>232372</v>
      </c>
      <c r="I1412" s="51"/>
    </row>
    <row r="1413" spans="1:9">
      <c r="A1413" s="905"/>
      <c r="B1413" s="890"/>
      <c r="C1413" s="51" t="s">
        <v>8403</v>
      </c>
      <c r="D1413" s="51" t="s">
        <v>2049</v>
      </c>
      <c r="E1413" s="51"/>
      <c r="F1413" s="51"/>
      <c r="G1413" s="51"/>
      <c r="H1413" s="81">
        <v>709331.62</v>
      </c>
      <c r="I1413" s="51"/>
    </row>
    <row r="1414" spans="1:9">
      <c r="A1414" s="905"/>
      <c r="B1414" s="890"/>
      <c r="C1414" s="51" t="s">
        <v>8404</v>
      </c>
      <c r="D1414" s="51" t="s">
        <v>2049</v>
      </c>
      <c r="E1414" s="51"/>
      <c r="F1414" s="51"/>
      <c r="G1414" s="51"/>
      <c r="H1414" s="81">
        <v>13421.2</v>
      </c>
      <c r="I1414" s="51"/>
    </row>
    <row r="1415" spans="1:9">
      <c r="A1415" s="905"/>
      <c r="B1415" s="890"/>
      <c r="C1415" s="51" t="s">
        <v>8405</v>
      </c>
      <c r="D1415" s="51" t="s">
        <v>2049</v>
      </c>
      <c r="E1415" s="51"/>
      <c r="F1415" s="51"/>
      <c r="G1415" s="51"/>
      <c r="H1415" s="81">
        <v>3757221.67</v>
      </c>
      <c r="I1415" s="51"/>
    </row>
    <row r="1416" spans="1:9">
      <c r="A1416" s="905"/>
      <c r="B1416" s="890"/>
      <c r="C1416" s="51" t="s">
        <v>8406</v>
      </c>
      <c r="D1416" s="51" t="s">
        <v>2049</v>
      </c>
      <c r="E1416" s="51"/>
      <c r="F1416" s="51"/>
      <c r="G1416" s="51"/>
      <c r="H1416" s="81">
        <v>7901.6</v>
      </c>
      <c r="I1416" s="51"/>
    </row>
    <row r="1417" spans="1:9">
      <c r="A1417" s="905"/>
      <c r="B1417" s="890"/>
      <c r="C1417" s="51" t="s">
        <v>8407</v>
      </c>
      <c r="D1417" s="51" t="s">
        <v>2049</v>
      </c>
      <c r="E1417" s="51"/>
      <c r="F1417" s="51"/>
      <c r="G1417" s="51"/>
      <c r="H1417" s="81">
        <v>3060</v>
      </c>
      <c r="I1417" s="51"/>
    </row>
    <row r="1418" spans="1:9">
      <c r="A1418" s="905"/>
      <c r="B1418" s="890"/>
      <c r="C1418" s="51" t="s">
        <v>8408</v>
      </c>
      <c r="D1418" s="51" t="s">
        <v>2049</v>
      </c>
      <c r="E1418" s="51"/>
      <c r="F1418" s="51"/>
      <c r="G1418" s="51"/>
      <c r="H1418" s="81">
        <v>2628728.66</v>
      </c>
      <c r="I1418" s="51"/>
    </row>
    <row r="1419" spans="1:9">
      <c r="A1419" s="905"/>
      <c r="B1419" s="890"/>
      <c r="C1419" s="51" t="s">
        <v>2333</v>
      </c>
      <c r="D1419" s="51" t="s">
        <v>2049</v>
      </c>
      <c r="E1419" s="51"/>
      <c r="F1419" s="51"/>
      <c r="G1419" s="51"/>
      <c r="H1419" s="81">
        <v>2121174.04</v>
      </c>
      <c r="I1419" s="51"/>
    </row>
    <row r="1420" spans="1:9">
      <c r="A1420" s="905"/>
      <c r="B1420" s="890"/>
      <c r="C1420" s="51" t="s">
        <v>8064</v>
      </c>
      <c r="D1420" s="51" t="s">
        <v>2049</v>
      </c>
      <c r="E1420" s="51"/>
      <c r="F1420" s="51"/>
      <c r="G1420" s="51"/>
      <c r="H1420" s="81">
        <v>134421.03</v>
      </c>
      <c r="I1420" s="51"/>
    </row>
    <row r="1421" spans="1:9">
      <c r="A1421" s="905"/>
      <c r="B1421" s="890"/>
      <c r="C1421" s="51" t="s">
        <v>8409</v>
      </c>
      <c r="D1421" s="51" t="s">
        <v>2049</v>
      </c>
      <c r="E1421" s="51"/>
      <c r="F1421" s="51"/>
      <c r="G1421" s="51"/>
      <c r="H1421" s="81">
        <v>51253.48</v>
      </c>
      <c r="I1421" s="51"/>
    </row>
    <row r="1422" spans="1:9">
      <c r="A1422" s="905"/>
      <c r="B1422" s="890"/>
      <c r="C1422" s="51" t="s">
        <v>8410</v>
      </c>
      <c r="D1422" s="51" t="s">
        <v>2049</v>
      </c>
      <c r="E1422" s="51"/>
      <c r="F1422" s="51"/>
      <c r="G1422" s="51"/>
      <c r="H1422" s="81">
        <v>60000</v>
      </c>
      <c r="I1422" s="51"/>
    </row>
    <row r="1423" spans="1:9">
      <c r="A1423" s="905"/>
      <c r="B1423" s="890"/>
      <c r="C1423" s="51" t="s">
        <v>8411</v>
      </c>
      <c r="D1423" s="51" t="s">
        <v>2049</v>
      </c>
      <c r="E1423" s="51"/>
      <c r="F1423" s="51"/>
      <c r="G1423" s="51"/>
      <c r="H1423" s="81">
        <v>130663.82</v>
      </c>
      <c r="I1423" s="51"/>
    </row>
    <row r="1424" spans="1:9">
      <c r="A1424" s="905"/>
      <c r="B1424" s="890"/>
      <c r="C1424" s="51" t="s">
        <v>8412</v>
      </c>
      <c r="D1424" s="51" t="s">
        <v>2049</v>
      </c>
      <c r="E1424" s="51"/>
      <c r="F1424" s="51"/>
      <c r="G1424" s="51"/>
      <c r="H1424" s="81">
        <v>156847.18</v>
      </c>
      <c r="I1424" s="51"/>
    </row>
    <row r="1425" spans="1:9">
      <c r="A1425" s="905"/>
      <c r="B1425" s="890"/>
      <c r="C1425" s="51" t="s">
        <v>8413</v>
      </c>
      <c r="D1425" s="51" t="s">
        <v>2049</v>
      </c>
      <c r="E1425" s="51"/>
      <c r="F1425" s="51"/>
      <c r="G1425" s="51"/>
      <c r="H1425" s="81">
        <v>73972.800000000003</v>
      </c>
      <c r="I1425" s="51"/>
    </row>
    <row r="1426" spans="1:9">
      <c r="A1426" s="905"/>
      <c r="B1426" s="890"/>
      <c r="C1426" s="51" t="s">
        <v>8414</v>
      </c>
      <c r="D1426" s="51" t="s">
        <v>2049</v>
      </c>
      <c r="E1426" s="51"/>
      <c r="F1426" s="51"/>
      <c r="G1426" s="51"/>
      <c r="H1426" s="81">
        <v>49348.6</v>
      </c>
      <c r="I1426" s="51"/>
    </row>
    <row r="1427" spans="1:9">
      <c r="A1427" s="905"/>
      <c r="B1427" s="890"/>
      <c r="C1427" s="51" t="s">
        <v>8415</v>
      </c>
      <c r="D1427" s="51" t="s">
        <v>2049</v>
      </c>
      <c r="E1427" s="51"/>
      <c r="F1427" s="51"/>
      <c r="G1427" s="51"/>
      <c r="H1427" s="81">
        <v>22830</v>
      </c>
      <c r="I1427" s="51"/>
    </row>
    <row r="1428" spans="1:9">
      <c r="A1428" s="905"/>
      <c r="B1428" s="890"/>
      <c r="C1428" s="51" t="s">
        <v>8416</v>
      </c>
      <c r="D1428" s="51" t="s">
        <v>2049</v>
      </c>
      <c r="E1428" s="51"/>
      <c r="F1428" s="51"/>
      <c r="G1428" s="51"/>
      <c r="H1428" s="81">
        <v>371756.29</v>
      </c>
      <c r="I1428" s="51"/>
    </row>
    <row r="1429" spans="1:9">
      <c r="A1429" s="905"/>
      <c r="B1429" s="890"/>
      <c r="C1429" s="51" t="s">
        <v>8417</v>
      </c>
      <c r="D1429" s="51" t="s">
        <v>2049</v>
      </c>
      <c r="E1429" s="51"/>
      <c r="F1429" s="51"/>
      <c r="G1429" s="51"/>
      <c r="H1429" s="81">
        <v>3500</v>
      </c>
      <c r="I1429" s="51"/>
    </row>
    <row r="1430" spans="1:9">
      <c r="A1430" s="905"/>
      <c r="B1430" s="890"/>
      <c r="C1430" s="51" t="s">
        <v>8418</v>
      </c>
      <c r="D1430" s="51" t="s">
        <v>2049</v>
      </c>
      <c r="E1430" s="51"/>
      <c r="F1430" s="51"/>
      <c r="G1430" s="51"/>
      <c r="H1430" s="81">
        <v>365914.44</v>
      </c>
      <c r="I1430" s="51"/>
    </row>
    <row r="1431" spans="1:9">
      <c r="A1431" s="905"/>
      <c r="B1431" s="890"/>
      <c r="C1431" s="51" t="s">
        <v>8419</v>
      </c>
      <c r="D1431" s="51" t="s">
        <v>2049</v>
      </c>
      <c r="E1431" s="51"/>
      <c r="F1431" s="51"/>
      <c r="G1431" s="51"/>
      <c r="H1431" s="81">
        <v>413461.06</v>
      </c>
      <c r="I1431" s="51"/>
    </row>
    <row r="1432" spans="1:9">
      <c r="A1432" s="905"/>
      <c r="B1432" s="890"/>
      <c r="C1432" s="51" t="s">
        <v>8420</v>
      </c>
      <c r="D1432" s="51" t="s">
        <v>2049</v>
      </c>
      <c r="E1432" s="51"/>
      <c r="F1432" s="51"/>
      <c r="G1432" s="51"/>
      <c r="H1432" s="81">
        <v>489223.86</v>
      </c>
      <c r="I1432" s="51"/>
    </row>
    <row r="1433" spans="1:9">
      <c r="A1433" s="905"/>
      <c r="B1433" s="890"/>
      <c r="C1433" s="51" t="s">
        <v>8421</v>
      </c>
      <c r="D1433" s="51" t="s">
        <v>2049</v>
      </c>
      <c r="E1433" s="51"/>
      <c r="F1433" s="51"/>
      <c r="G1433" s="51"/>
      <c r="H1433" s="81">
        <v>235403.59</v>
      </c>
      <c r="I1433" s="51"/>
    </row>
    <row r="1434" spans="1:9">
      <c r="A1434" s="905"/>
      <c r="B1434" s="890"/>
      <c r="C1434" s="51" t="s">
        <v>8422</v>
      </c>
      <c r="D1434" s="51" t="s">
        <v>2049</v>
      </c>
      <c r="E1434" s="51"/>
      <c r="F1434" s="51"/>
      <c r="G1434" s="51"/>
      <c r="H1434" s="81">
        <v>211766.41</v>
      </c>
      <c r="I1434" s="51"/>
    </row>
    <row r="1435" spans="1:9">
      <c r="A1435" s="905"/>
      <c r="B1435" s="890"/>
      <c r="C1435" s="51" t="s">
        <v>8423</v>
      </c>
      <c r="D1435" s="51" t="s">
        <v>2049</v>
      </c>
      <c r="E1435" s="51"/>
      <c r="F1435" s="51"/>
      <c r="G1435" s="51"/>
      <c r="H1435" s="81">
        <v>29363.08</v>
      </c>
      <c r="I1435" s="51"/>
    </row>
    <row r="1436" spans="1:9">
      <c r="A1436" s="905"/>
      <c r="B1436" s="890"/>
      <c r="C1436" s="51" t="s">
        <v>8424</v>
      </c>
      <c r="D1436" s="51" t="s">
        <v>2049</v>
      </c>
      <c r="E1436" s="51"/>
      <c r="F1436" s="51"/>
      <c r="G1436" s="51"/>
      <c r="H1436" s="81">
        <v>313510.46000000002</v>
      </c>
      <c r="I1436" s="51"/>
    </row>
    <row r="1437" spans="1:9">
      <c r="A1437" s="905"/>
      <c r="B1437" s="890"/>
      <c r="C1437" s="51" t="s">
        <v>8425</v>
      </c>
      <c r="D1437" s="51" t="s">
        <v>2049</v>
      </c>
      <c r="E1437" s="51"/>
      <c r="F1437" s="51"/>
      <c r="G1437" s="51"/>
      <c r="H1437" s="81">
        <v>108660</v>
      </c>
      <c r="I1437" s="51"/>
    </row>
    <row r="1438" spans="1:9">
      <c r="A1438" s="905"/>
      <c r="B1438" s="890"/>
      <c r="C1438" s="51" t="s">
        <v>8426</v>
      </c>
      <c r="D1438" s="51" t="s">
        <v>2049</v>
      </c>
      <c r="E1438" s="51"/>
      <c r="F1438" s="51"/>
      <c r="G1438" s="51"/>
      <c r="H1438" s="81">
        <v>34906.22</v>
      </c>
      <c r="I1438" s="51"/>
    </row>
    <row r="1439" spans="1:9">
      <c r="A1439" s="905"/>
      <c r="B1439" s="890"/>
      <c r="C1439" s="51" t="s">
        <v>8427</v>
      </c>
      <c r="D1439" s="51" t="s">
        <v>2049</v>
      </c>
      <c r="E1439" s="51"/>
      <c r="F1439" s="51"/>
      <c r="G1439" s="51"/>
      <c r="H1439" s="81">
        <v>227442</v>
      </c>
      <c r="I1439" s="51"/>
    </row>
    <row r="1440" spans="1:9">
      <c r="A1440" s="905"/>
      <c r="B1440" s="890"/>
      <c r="C1440" s="51" t="s">
        <v>8428</v>
      </c>
      <c r="D1440" s="51" t="s">
        <v>2049</v>
      </c>
      <c r="E1440" s="51"/>
      <c r="F1440" s="51"/>
      <c r="G1440" s="51"/>
      <c r="H1440" s="81">
        <v>17597.72</v>
      </c>
      <c r="I1440" s="51"/>
    </row>
    <row r="1441" spans="1:9">
      <c r="A1441" s="905"/>
      <c r="B1441" s="890"/>
      <c r="C1441" s="51" t="s">
        <v>8429</v>
      </c>
      <c r="D1441" s="51" t="s">
        <v>2049</v>
      </c>
      <c r="E1441" s="51"/>
      <c r="F1441" s="51"/>
      <c r="G1441" s="51"/>
      <c r="H1441" s="81">
        <v>53540</v>
      </c>
      <c r="I1441" s="51"/>
    </row>
    <row r="1442" spans="1:9">
      <c r="A1442" s="905"/>
      <c r="B1442" s="890"/>
      <c r="C1442" s="51" t="s">
        <v>1630</v>
      </c>
      <c r="D1442" s="51" t="s">
        <v>2049</v>
      </c>
      <c r="E1442" s="51"/>
      <c r="F1442" s="51"/>
      <c r="G1442" s="51"/>
      <c r="H1442" s="81">
        <v>20713.61</v>
      </c>
      <c r="I1442" s="51"/>
    </row>
    <row r="1443" spans="1:9">
      <c r="A1443" s="905"/>
      <c r="B1443" s="890"/>
      <c r="C1443" s="51" t="s">
        <v>8430</v>
      </c>
      <c r="D1443" s="51" t="s">
        <v>2049</v>
      </c>
      <c r="E1443" s="51"/>
      <c r="F1443" s="51"/>
      <c r="G1443" s="51"/>
      <c r="H1443" s="81">
        <v>2174.08</v>
      </c>
      <c r="I1443" s="51"/>
    </row>
    <row r="1444" spans="1:9">
      <c r="A1444" s="905"/>
      <c r="B1444" s="890"/>
      <c r="C1444" s="51" t="s">
        <v>8431</v>
      </c>
      <c r="D1444" s="51" t="s">
        <v>2049</v>
      </c>
      <c r="E1444" s="51"/>
      <c r="F1444" s="51"/>
      <c r="G1444" s="51"/>
      <c r="H1444" s="81">
        <v>275925.57</v>
      </c>
      <c r="I1444" s="51"/>
    </row>
    <row r="1445" spans="1:9">
      <c r="A1445" s="905"/>
      <c r="B1445" s="890"/>
      <c r="C1445" s="51" t="s">
        <v>8432</v>
      </c>
      <c r="D1445" s="51" t="s">
        <v>2049</v>
      </c>
      <c r="E1445" s="51"/>
      <c r="F1445" s="51"/>
      <c r="G1445" s="51"/>
      <c r="H1445" s="81">
        <v>295892.02</v>
      </c>
      <c r="I1445" s="51"/>
    </row>
    <row r="1446" spans="1:9">
      <c r="A1446" s="905"/>
      <c r="B1446" s="890"/>
      <c r="C1446" s="51" t="s">
        <v>8433</v>
      </c>
      <c r="D1446" s="51" t="s">
        <v>2049</v>
      </c>
      <c r="E1446" s="51"/>
      <c r="F1446" s="51"/>
      <c r="G1446" s="51"/>
      <c r="H1446" s="81">
        <v>9677.81</v>
      </c>
      <c r="I1446" s="51"/>
    </row>
    <row r="1447" spans="1:9">
      <c r="A1447" s="905"/>
      <c r="B1447" s="890"/>
      <c r="C1447" s="51" t="s">
        <v>8434</v>
      </c>
      <c r="D1447" s="51" t="s">
        <v>2049</v>
      </c>
      <c r="E1447" s="51"/>
      <c r="F1447" s="51"/>
      <c r="G1447" s="51"/>
      <c r="H1447" s="81">
        <v>19535.900000000001</v>
      </c>
      <c r="I1447" s="51"/>
    </row>
    <row r="1448" spans="1:9">
      <c r="A1448" s="905"/>
      <c r="B1448" s="890"/>
      <c r="C1448" s="51" t="s">
        <v>8435</v>
      </c>
      <c r="D1448" s="51" t="s">
        <v>2049</v>
      </c>
      <c r="E1448" s="51"/>
      <c r="F1448" s="51"/>
      <c r="G1448" s="51"/>
      <c r="H1448" s="81">
        <v>14445.6</v>
      </c>
      <c r="I1448" s="51"/>
    </row>
    <row r="1449" spans="1:9">
      <c r="A1449" s="905"/>
      <c r="B1449" s="890"/>
      <c r="C1449" s="51" t="s">
        <v>8436</v>
      </c>
      <c r="D1449" s="51" t="s">
        <v>2049</v>
      </c>
      <c r="E1449" s="51"/>
      <c r="F1449" s="51"/>
      <c r="G1449" s="51"/>
      <c r="H1449" s="81">
        <v>246106.04</v>
      </c>
      <c r="I1449" s="51"/>
    </row>
    <row r="1450" spans="1:9">
      <c r="A1450" s="905"/>
      <c r="B1450" s="890"/>
      <c r="C1450" s="51" t="s">
        <v>8437</v>
      </c>
      <c r="D1450" s="51" t="s">
        <v>2049</v>
      </c>
      <c r="E1450" s="51"/>
      <c r="F1450" s="51"/>
      <c r="G1450" s="51"/>
      <c r="H1450" s="81">
        <v>10500</v>
      </c>
      <c r="I1450" s="51"/>
    </row>
    <row r="1451" spans="1:9">
      <c r="A1451" s="905"/>
      <c r="B1451" s="890"/>
      <c r="C1451" s="51" t="s">
        <v>8438</v>
      </c>
      <c r="D1451" s="51" t="s">
        <v>2049</v>
      </c>
      <c r="E1451" s="51"/>
      <c r="F1451" s="51"/>
      <c r="G1451" s="51"/>
      <c r="H1451" s="81">
        <v>241000</v>
      </c>
      <c r="I1451" s="51"/>
    </row>
    <row r="1452" spans="1:9">
      <c r="A1452" s="905"/>
      <c r="B1452" s="890"/>
      <c r="C1452" s="51" t="s">
        <v>8439</v>
      </c>
      <c r="D1452" s="51" t="s">
        <v>2049</v>
      </c>
      <c r="E1452" s="51"/>
      <c r="F1452" s="51"/>
      <c r="G1452" s="51"/>
      <c r="H1452" s="81">
        <v>23651</v>
      </c>
      <c r="I1452" s="51"/>
    </row>
    <row r="1453" spans="1:9">
      <c r="A1453" s="905"/>
      <c r="B1453" s="890"/>
      <c r="C1453" s="51" t="s">
        <v>8440</v>
      </c>
      <c r="D1453" s="51" t="s">
        <v>2049</v>
      </c>
      <c r="E1453" s="51"/>
      <c r="F1453" s="51"/>
      <c r="G1453" s="51"/>
      <c r="H1453" s="81">
        <v>97746.94</v>
      </c>
      <c r="I1453" s="51"/>
    </row>
    <row r="1454" spans="1:9">
      <c r="A1454" s="905"/>
      <c r="B1454" s="890"/>
      <c r="C1454" s="51" t="s">
        <v>8441</v>
      </c>
      <c r="D1454" s="51" t="s">
        <v>2049</v>
      </c>
      <c r="E1454" s="51"/>
      <c r="F1454" s="51"/>
      <c r="G1454" s="51"/>
      <c r="H1454" s="81">
        <v>1500</v>
      </c>
      <c r="I1454" s="51"/>
    </row>
    <row r="1455" spans="1:9">
      <c r="A1455" s="905"/>
      <c r="B1455" s="890"/>
      <c r="C1455" s="51" t="s">
        <v>8442</v>
      </c>
      <c r="D1455" s="51" t="s">
        <v>2049</v>
      </c>
      <c r="E1455" s="51"/>
      <c r="F1455" s="51"/>
      <c r="G1455" s="51"/>
      <c r="H1455" s="81">
        <v>45000</v>
      </c>
      <c r="I1455" s="51"/>
    </row>
    <row r="1456" spans="1:9">
      <c r="A1456" s="905"/>
      <c r="B1456" s="890"/>
      <c r="C1456" s="51" t="s">
        <v>8443</v>
      </c>
      <c r="D1456" s="51" t="s">
        <v>2049</v>
      </c>
      <c r="E1456" s="51"/>
      <c r="F1456" s="51"/>
      <c r="G1456" s="51"/>
      <c r="H1456" s="81">
        <v>475355.78</v>
      </c>
      <c r="I1456" s="51"/>
    </row>
    <row r="1457" spans="1:9">
      <c r="A1457" s="905"/>
      <c r="B1457" s="890"/>
      <c r="C1457" s="51" t="s">
        <v>8444</v>
      </c>
      <c r="D1457" s="51" t="s">
        <v>2049</v>
      </c>
      <c r="E1457" s="51"/>
      <c r="F1457" s="51"/>
      <c r="G1457" s="51"/>
      <c r="H1457" s="81">
        <v>48063</v>
      </c>
      <c r="I1457" s="51"/>
    </row>
    <row r="1458" spans="1:9">
      <c r="A1458" s="905"/>
      <c r="B1458" s="890"/>
      <c r="C1458" s="51" t="s">
        <v>8445</v>
      </c>
      <c r="D1458" s="51" t="s">
        <v>2049</v>
      </c>
      <c r="E1458" s="51"/>
      <c r="F1458" s="51"/>
      <c r="G1458" s="51"/>
      <c r="H1458" s="81">
        <v>1272995.32</v>
      </c>
      <c r="I1458" s="51"/>
    </row>
    <row r="1459" spans="1:9">
      <c r="A1459" s="905"/>
      <c r="B1459" s="890"/>
      <c r="C1459" s="51" t="s">
        <v>8446</v>
      </c>
      <c r="D1459" s="51" t="s">
        <v>2049</v>
      </c>
      <c r="E1459" s="51"/>
      <c r="F1459" s="51"/>
      <c r="G1459" s="51"/>
      <c r="H1459" s="81">
        <v>23339.200000000001</v>
      </c>
      <c r="I1459" s="51"/>
    </row>
    <row r="1460" spans="1:9">
      <c r="A1460" s="905"/>
      <c r="B1460" s="890"/>
      <c r="C1460" s="51" t="s">
        <v>8447</v>
      </c>
      <c r="D1460" s="51" t="s">
        <v>2049</v>
      </c>
      <c r="E1460" s="51"/>
      <c r="F1460" s="51"/>
      <c r="G1460" s="51"/>
      <c r="H1460" s="81">
        <v>89455.5</v>
      </c>
      <c r="I1460" s="51"/>
    </row>
    <row r="1461" spans="1:9">
      <c r="A1461" s="905"/>
      <c r="B1461" s="890"/>
      <c r="C1461" s="51" t="s">
        <v>8447</v>
      </c>
      <c r="D1461" s="51" t="s">
        <v>2049</v>
      </c>
      <c r="E1461" s="51"/>
      <c r="F1461" s="51"/>
      <c r="G1461" s="51"/>
      <c r="H1461" s="81">
        <v>1402.34</v>
      </c>
      <c r="I1461" s="51"/>
    </row>
    <row r="1462" spans="1:9">
      <c r="A1462" s="905"/>
      <c r="B1462" s="890"/>
      <c r="C1462" s="51" t="s">
        <v>8448</v>
      </c>
      <c r="D1462" s="51" t="s">
        <v>2049</v>
      </c>
      <c r="E1462" s="51"/>
      <c r="F1462" s="51"/>
      <c r="G1462" s="51"/>
      <c r="H1462" s="81">
        <v>1402.34</v>
      </c>
      <c r="I1462" s="51"/>
    </row>
    <row r="1463" spans="1:9">
      <c r="A1463" s="905"/>
      <c r="B1463" s="890"/>
      <c r="C1463" s="51" t="s">
        <v>8449</v>
      </c>
      <c r="D1463" s="51" t="s">
        <v>2049</v>
      </c>
      <c r="E1463" s="51"/>
      <c r="F1463" s="51"/>
      <c r="G1463" s="51"/>
      <c r="H1463" s="81">
        <v>1065375.3999999999</v>
      </c>
      <c r="I1463" s="51"/>
    </row>
    <row r="1464" spans="1:9">
      <c r="A1464" s="905"/>
      <c r="B1464" s="890"/>
      <c r="C1464" s="51" t="s">
        <v>8450</v>
      </c>
      <c r="D1464" s="51" t="s">
        <v>2049</v>
      </c>
      <c r="E1464" s="51"/>
      <c r="F1464" s="51"/>
      <c r="G1464" s="51"/>
      <c r="H1464" s="81">
        <v>842719</v>
      </c>
      <c r="I1464" s="51"/>
    </row>
    <row r="1465" spans="1:9">
      <c r="A1465" s="905"/>
      <c r="B1465" s="890"/>
      <c r="C1465" s="51" t="s">
        <v>8451</v>
      </c>
      <c r="D1465" s="51" t="s">
        <v>2049</v>
      </c>
      <c r="E1465" s="51"/>
      <c r="F1465" s="51"/>
      <c r="G1465" s="51"/>
      <c r="H1465" s="81">
        <v>192474.86</v>
      </c>
      <c r="I1465" s="51"/>
    </row>
    <row r="1466" spans="1:9">
      <c r="A1466" s="905"/>
      <c r="B1466" s="890"/>
      <c r="C1466" s="51" t="s">
        <v>8452</v>
      </c>
      <c r="D1466" s="51" t="s">
        <v>2049</v>
      </c>
      <c r="E1466" s="51"/>
      <c r="F1466" s="51"/>
      <c r="G1466" s="51"/>
      <c r="H1466" s="81">
        <v>83560</v>
      </c>
      <c r="I1466" s="51"/>
    </row>
    <row r="1467" spans="1:9">
      <c r="A1467" s="905"/>
      <c r="B1467" s="890"/>
      <c r="C1467" s="51" t="s">
        <v>8453</v>
      </c>
      <c r="D1467" s="51" t="s">
        <v>2049</v>
      </c>
      <c r="E1467" s="51"/>
      <c r="F1467" s="51"/>
      <c r="G1467" s="51"/>
      <c r="H1467" s="81">
        <v>29711.200000000001</v>
      </c>
      <c r="I1467" s="51"/>
    </row>
    <row r="1468" spans="1:9">
      <c r="A1468" s="905"/>
      <c r="B1468" s="890"/>
      <c r="C1468" s="51" t="s">
        <v>8454</v>
      </c>
      <c r="D1468" s="51" t="s">
        <v>2049</v>
      </c>
      <c r="E1468" s="51"/>
      <c r="F1468" s="51"/>
      <c r="G1468" s="51"/>
      <c r="H1468" s="81">
        <v>1206331.94</v>
      </c>
      <c r="I1468" s="51"/>
    </row>
    <row r="1469" spans="1:9">
      <c r="A1469" s="1017">
        <v>31</v>
      </c>
      <c r="B1469" s="915" t="s">
        <v>570</v>
      </c>
      <c r="C1469" s="53" t="s">
        <v>10579</v>
      </c>
      <c r="D1469" s="53" t="s">
        <v>2049</v>
      </c>
      <c r="E1469" s="53"/>
      <c r="F1469" s="53"/>
      <c r="G1469" s="53"/>
      <c r="H1469" s="82">
        <v>84620.95</v>
      </c>
      <c r="I1469" s="53"/>
    </row>
    <row r="1470" spans="1:9">
      <c r="A1470" s="1018"/>
      <c r="B1470" s="930"/>
      <c r="C1470" s="53" t="s">
        <v>10574</v>
      </c>
      <c r="D1470" s="53" t="s">
        <v>2049</v>
      </c>
      <c r="E1470" s="53"/>
      <c r="F1470" s="53"/>
      <c r="G1470" s="53"/>
      <c r="H1470" s="82">
        <v>2691936.52</v>
      </c>
      <c r="I1470" s="53"/>
    </row>
    <row r="1471" spans="1:9">
      <c r="A1471" s="1018"/>
      <c r="B1471" s="930"/>
      <c r="C1471" s="53" t="s">
        <v>10575</v>
      </c>
      <c r="D1471" s="53" t="s">
        <v>2049</v>
      </c>
      <c r="E1471" s="53"/>
      <c r="F1471" s="53"/>
      <c r="G1471" s="53"/>
      <c r="H1471" s="82">
        <v>102211.84</v>
      </c>
      <c r="I1471" s="53"/>
    </row>
    <row r="1472" spans="1:9">
      <c r="A1472" s="1018"/>
      <c r="B1472" s="930"/>
      <c r="C1472" s="53" t="s">
        <v>10580</v>
      </c>
      <c r="D1472" s="53" t="s">
        <v>2049</v>
      </c>
      <c r="E1472" s="53"/>
      <c r="F1472" s="53"/>
      <c r="G1472" s="53"/>
      <c r="H1472" s="82">
        <v>58857.599999999999</v>
      </c>
      <c r="I1472" s="53"/>
    </row>
    <row r="1473" spans="1:9">
      <c r="A1473" s="1018"/>
      <c r="B1473" s="930"/>
      <c r="C1473" s="53" t="s">
        <v>10581</v>
      </c>
      <c r="D1473" s="53" t="s">
        <v>2049</v>
      </c>
      <c r="E1473" s="53"/>
      <c r="F1473" s="53"/>
      <c r="G1473" s="53"/>
      <c r="H1473" s="82">
        <v>278981.23</v>
      </c>
      <c r="I1473" s="53"/>
    </row>
    <row r="1474" spans="1:9">
      <c r="A1474" s="1018"/>
      <c r="B1474" s="930"/>
      <c r="C1474" s="53" t="s">
        <v>10576</v>
      </c>
      <c r="D1474" s="53" t="s">
        <v>2049</v>
      </c>
      <c r="E1474" s="53"/>
      <c r="F1474" s="53"/>
      <c r="G1474" s="53"/>
      <c r="H1474" s="82">
        <v>21196</v>
      </c>
      <c r="I1474" s="53"/>
    </row>
    <row r="1475" spans="1:9">
      <c r="A1475" s="1018"/>
      <c r="B1475" s="930"/>
      <c r="C1475" s="53" t="s">
        <v>10577</v>
      </c>
      <c r="D1475" s="53" t="s">
        <v>2049</v>
      </c>
      <c r="E1475" s="53"/>
      <c r="F1475" s="53"/>
      <c r="G1475" s="53"/>
      <c r="H1475" s="82">
        <v>29579</v>
      </c>
      <c r="I1475" s="53"/>
    </row>
    <row r="1476" spans="1:9">
      <c r="A1476" s="1018"/>
      <c r="B1476" s="930"/>
      <c r="C1476" s="53" t="s">
        <v>10582</v>
      </c>
      <c r="D1476" s="53" t="s">
        <v>2049</v>
      </c>
      <c r="E1476" s="53"/>
      <c r="F1476" s="53"/>
      <c r="G1476" s="53"/>
      <c r="H1476" s="82">
        <v>89704</v>
      </c>
      <c r="I1476" s="53"/>
    </row>
    <row r="1477" spans="1:9">
      <c r="A1477" s="1018"/>
      <c r="B1477" s="930"/>
      <c r="C1477" s="53" t="s">
        <v>10578</v>
      </c>
      <c r="D1477" s="53" t="s">
        <v>2049</v>
      </c>
      <c r="E1477" s="53"/>
      <c r="F1477" s="53"/>
      <c r="G1477" s="53"/>
      <c r="H1477" s="82">
        <v>28740.39</v>
      </c>
      <c r="I1477" s="53"/>
    </row>
    <row r="1478" spans="1:9">
      <c r="A1478" s="1018"/>
      <c r="B1478" s="930"/>
      <c r="C1478" s="53" t="s">
        <v>10583</v>
      </c>
      <c r="D1478" s="53" t="s">
        <v>2049</v>
      </c>
      <c r="E1478" s="53"/>
      <c r="F1478" s="53"/>
      <c r="G1478" s="53"/>
      <c r="H1478" s="82">
        <v>32654.639999999999</v>
      </c>
      <c r="I1478" s="53"/>
    </row>
    <row r="1479" spans="1:9">
      <c r="A1479" s="1018"/>
      <c r="B1479" s="930"/>
      <c r="C1479" s="53" t="s">
        <v>10584</v>
      </c>
      <c r="D1479" s="53" t="s">
        <v>2049</v>
      </c>
      <c r="E1479" s="53"/>
      <c r="F1479" s="53"/>
      <c r="G1479" s="53"/>
      <c r="H1479" s="82">
        <v>51891.55</v>
      </c>
      <c r="I1479" s="53"/>
    </row>
    <row r="1480" spans="1:9">
      <c r="A1480" s="1018"/>
      <c r="B1480" s="930"/>
      <c r="C1480" s="53" t="s">
        <v>10585</v>
      </c>
      <c r="D1480" s="53" t="s">
        <v>2049</v>
      </c>
      <c r="E1480" s="53"/>
      <c r="F1480" s="53"/>
      <c r="G1480" s="53"/>
      <c r="H1480" s="82">
        <v>202513</v>
      </c>
      <c r="I1480" s="53"/>
    </row>
    <row r="1481" spans="1:9">
      <c r="A1481" s="1018"/>
      <c r="B1481" s="930"/>
      <c r="C1481" s="53" t="s">
        <v>10586</v>
      </c>
      <c r="D1481" s="53" t="s">
        <v>2049</v>
      </c>
      <c r="E1481" s="53"/>
      <c r="F1481" s="53"/>
      <c r="G1481" s="53"/>
      <c r="H1481" s="82">
        <v>553178.16</v>
      </c>
      <c r="I1481" s="53"/>
    </row>
    <row r="1482" spans="1:9">
      <c r="A1482" s="1018"/>
      <c r="B1482" s="930"/>
      <c r="C1482" s="53" t="s">
        <v>10587</v>
      </c>
      <c r="D1482" s="53" t="s">
        <v>2049</v>
      </c>
      <c r="E1482" s="53"/>
      <c r="F1482" s="53"/>
      <c r="G1482" s="53"/>
      <c r="H1482" s="82">
        <v>104600.39</v>
      </c>
      <c r="I1482" s="53"/>
    </row>
    <row r="1483" spans="1:9">
      <c r="A1483" s="1018"/>
      <c r="B1483" s="930"/>
      <c r="C1483" s="53" t="s">
        <v>10588</v>
      </c>
      <c r="D1483" s="53" t="s">
        <v>2049</v>
      </c>
      <c r="E1483" s="53"/>
      <c r="F1483" s="53"/>
      <c r="G1483" s="53"/>
      <c r="H1483" s="82">
        <v>5827127.6399999997</v>
      </c>
      <c r="I1483" s="53"/>
    </row>
    <row r="1484" spans="1:9">
      <c r="A1484" s="1018"/>
      <c r="B1484" s="930"/>
      <c r="C1484" s="53" t="s">
        <v>10589</v>
      </c>
      <c r="D1484" s="53" t="s">
        <v>2049</v>
      </c>
      <c r="E1484" s="53"/>
      <c r="F1484" s="53"/>
      <c r="G1484" s="53"/>
      <c r="H1484" s="82">
        <v>120292</v>
      </c>
      <c r="I1484" s="53"/>
    </row>
    <row r="1485" spans="1:9">
      <c r="A1485" s="1018"/>
      <c r="B1485" s="930"/>
      <c r="C1485" s="53" t="s">
        <v>10590</v>
      </c>
      <c r="D1485" s="53" t="s">
        <v>2049</v>
      </c>
      <c r="E1485" s="53"/>
      <c r="F1485" s="53"/>
      <c r="G1485" s="53"/>
      <c r="H1485" s="82">
        <v>240941.93</v>
      </c>
      <c r="I1485" s="53"/>
    </row>
    <row r="1486" spans="1:9">
      <c r="A1486" s="1018"/>
      <c r="B1486" s="930"/>
      <c r="C1486" s="53" t="s">
        <v>10591</v>
      </c>
      <c r="D1486" s="53" t="s">
        <v>2049</v>
      </c>
      <c r="E1486" s="53"/>
      <c r="F1486" s="53"/>
      <c r="G1486" s="53"/>
      <c r="H1486" s="82">
        <v>39145.26</v>
      </c>
      <c r="I1486" s="53"/>
    </row>
    <row r="1487" spans="1:9">
      <c r="A1487" s="1018"/>
      <c r="B1487" s="930"/>
      <c r="C1487" s="53" t="s">
        <v>10592</v>
      </c>
      <c r="D1487" s="53" t="s">
        <v>2049</v>
      </c>
      <c r="E1487" s="53"/>
      <c r="F1487" s="53"/>
      <c r="G1487" s="53"/>
      <c r="H1487" s="82">
        <v>354538.64</v>
      </c>
      <c r="I1487" s="53"/>
    </row>
    <row r="1488" spans="1:9">
      <c r="A1488" s="1018"/>
      <c r="B1488" s="930"/>
      <c r="C1488" s="53" t="s">
        <v>10607</v>
      </c>
      <c r="D1488" s="53" t="s">
        <v>2049</v>
      </c>
      <c r="E1488" s="53"/>
      <c r="F1488" s="53"/>
      <c r="G1488" s="53"/>
      <c r="H1488" s="82">
        <v>99060</v>
      </c>
      <c r="I1488" s="53"/>
    </row>
    <row r="1489" spans="1:9">
      <c r="A1489" s="1018"/>
      <c r="B1489" s="930"/>
      <c r="C1489" s="53" t="s">
        <v>10593</v>
      </c>
      <c r="D1489" s="53" t="s">
        <v>2049</v>
      </c>
      <c r="E1489" s="53"/>
      <c r="F1489" s="53"/>
      <c r="G1489" s="53"/>
      <c r="H1489" s="82">
        <v>307022.65999999997</v>
      </c>
      <c r="I1489" s="53"/>
    </row>
    <row r="1490" spans="1:9">
      <c r="A1490" s="1018"/>
      <c r="B1490" s="930"/>
      <c r="C1490" s="53" t="s">
        <v>10594</v>
      </c>
      <c r="D1490" s="53" t="s">
        <v>2049</v>
      </c>
      <c r="E1490" s="53"/>
      <c r="F1490" s="53"/>
      <c r="G1490" s="53"/>
      <c r="H1490" s="82">
        <v>612138.69999999995</v>
      </c>
      <c r="I1490" s="53"/>
    </row>
    <row r="1491" spans="1:9">
      <c r="A1491" s="1018"/>
      <c r="B1491" s="930"/>
      <c r="C1491" s="53" t="s">
        <v>10595</v>
      </c>
      <c r="D1491" s="53" t="s">
        <v>2049</v>
      </c>
      <c r="E1491" s="53"/>
      <c r="F1491" s="53"/>
      <c r="G1491" s="53"/>
      <c r="H1491" s="82">
        <v>181870.77</v>
      </c>
      <c r="I1491" s="53"/>
    </row>
    <row r="1492" spans="1:9">
      <c r="A1492" s="1018"/>
      <c r="B1492" s="930"/>
      <c r="C1492" s="53" t="s">
        <v>10596</v>
      </c>
      <c r="D1492" s="53" t="s">
        <v>2049</v>
      </c>
      <c r="E1492" s="53"/>
      <c r="F1492" s="53"/>
      <c r="G1492" s="53"/>
      <c r="H1492" s="82">
        <v>11205660.08</v>
      </c>
      <c r="I1492" s="53"/>
    </row>
    <row r="1493" spans="1:9">
      <c r="A1493" s="1018"/>
      <c r="B1493" s="930"/>
      <c r="C1493" s="53" t="s">
        <v>10597</v>
      </c>
      <c r="D1493" s="53" t="s">
        <v>2049</v>
      </c>
      <c r="E1493" s="53"/>
      <c r="F1493" s="53"/>
      <c r="G1493" s="53"/>
      <c r="H1493" s="82">
        <v>1116762.3400000001</v>
      </c>
      <c r="I1493" s="53"/>
    </row>
    <row r="1494" spans="1:9">
      <c r="A1494" s="1018"/>
      <c r="B1494" s="930"/>
      <c r="C1494" s="758" t="s">
        <v>10599</v>
      </c>
      <c r="D1494" s="53" t="s">
        <v>2049</v>
      </c>
      <c r="E1494" s="53"/>
      <c r="F1494" s="53"/>
      <c r="G1494" s="53"/>
      <c r="H1494" s="82">
        <v>12518.25</v>
      </c>
      <c r="I1494" s="53"/>
    </row>
    <row r="1495" spans="1:9">
      <c r="A1495" s="1018"/>
      <c r="B1495" s="930"/>
      <c r="C1495" s="759" t="s">
        <v>10600</v>
      </c>
      <c r="D1495" s="53" t="s">
        <v>2049</v>
      </c>
      <c r="E1495" s="53"/>
      <c r="F1495" s="53"/>
      <c r="G1495" s="53"/>
      <c r="H1495" s="82">
        <v>62079.8</v>
      </c>
      <c r="I1495" s="53"/>
    </row>
    <row r="1496" spans="1:9">
      <c r="A1496" s="1018"/>
      <c r="B1496" s="930"/>
      <c r="C1496" s="758" t="s">
        <v>10601</v>
      </c>
      <c r="D1496" s="53" t="s">
        <v>2049</v>
      </c>
      <c r="E1496" s="53"/>
      <c r="F1496" s="53"/>
      <c r="G1496" s="53"/>
      <c r="H1496" s="82">
        <v>272493.34000000003</v>
      </c>
      <c r="I1496" s="53"/>
    </row>
    <row r="1497" spans="1:9">
      <c r="A1497" s="1018"/>
      <c r="B1497" s="930"/>
      <c r="C1497" s="758" t="s">
        <v>10602</v>
      </c>
      <c r="D1497" s="53" t="s">
        <v>2049</v>
      </c>
      <c r="E1497" s="53"/>
      <c r="F1497" s="53"/>
      <c r="G1497" s="53"/>
      <c r="H1497" s="82">
        <v>2624879.4700000002</v>
      </c>
      <c r="I1497" s="53"/>
    </row>
    <row r="1498" spans="1:9">
      <c r="A1498" s="1018"/>
      <c r="B1498" s="930"/>
      <c r="C1498" s="758" t="s">
        <v>10603</v>
      </c>
      <c r="D1498" s="53" t="s">
        <v>2049</v>
      </c>
      <c r="E1498" s="53"/>
      <c r="F1498" s="53"/>
      <c r="G1498" s="53"/>
      <c r="H1498" s="82">
        <v>77576.399999999994</v>
      </c>
      <c r="I1498" s="53"/>
    </row>
    <row r="1499" spans="1:9">
      <c r="A1499" s="1018"/>
      <c r="B1499" s="930"/>
      <c r="C1499" s="760" t="s">
        <v>10604</v>
      </c>
      <c r="D1499" s="53" t="s">
        <v>2049</v>
      </c>
      <c r="E1499" s="53"/>
      <c r="F1499" s="53"/>
      <c r="G1499" s="53"/>
      <c r="H1499" s="82">
        <v>3052604.62</v>
      </c>
      <c r="I1499" s="53"/>
    </row>
    <row r="1500" spans="1:9">
      <c r="A1500" s="1018"/>
      <c r="B1500" s="930"/>
      <c r="C1500" s="758" t="s">
        <v>10605</v>
      </c>
      <c r="D1500" s="53" t="s">
        <v>2049</v>
      </c>
      <c r="E1500" s="53"/>
      <c r="F1500" s="53"/>
      <c r="G1500" s="53"/>
      <c r="H1500" s="82">
        <v>8371961.6200000001</v>
      </c>
      <c r="I1500" s="53"/>
    </row>
    <row r="1501" spans="1:9">
      <c r="A1501" s="1018"/>
      <c r="B1501" s="930"/>
      <c r="C1501" s="758" t="s">
        <v>10606</v>
      </c>
      <c r="D1501" s="53" t="s">
        <v>2049</v>
      </c>
      <c r="E1501" s="53"/>
      <c r="F1501" s="53"/>
      <c r="G1501" s="53"/>
      <c r="H1501" s="82">
        <v>28800.48</v>
      </c>
      <c r="I1501" s="53"/>
    </row>
    <row r="1502" spans="1:9">
      <c r="A1502" s="1018"/>
      <c r="B1502" s="930"/>
      <c r="C1502" s="53" t="s">
        <v>10598</v>
      </c>
      <c r="D1502" s="53" t="s">
        <v>2049</v>
      </c>
      <c r="E1502" s="53"/>
      <c r="F1502" s="53"/>
      <c r="G1502" s="53"/>
      <c r="H1502" s="82">
        <v>110126.98</v>
      </c>
      <c r="I1502" s="53"/>
    </row>
  </sheetData>
  <autoFilter ref="A7:I1402" xr:uid="{605794CE-A97C-451E-B953-E5B50C35FF5D}"/>
  <mergeCells count="62">
    <mergeCell ref="A8:A15"/>
    <mergeCell ref="B8:B15"/>
    <mergeCell ref="A16:A21"/>
    <mergeCell ref="B16:B21"/>
    <mergeCell ref="A22:A35"/>
    <mergeCell ref="B22:B35"/>
    <mergeCell ref="A36:A50"/>
    <mergeCell ref="B36:B50"/>
    <mergeCell ref="A51:A58"/>
    <mergeCell ref="B51:B58"/>
    <mergeCell ref="A59:A95"/>
    <mergeCell ref="B59:B95"/>
    <mergeCell ref="A96:A227"/>
    <mergeCell ref="B96:B227"/>
    <mergeCell ref="A228:A728"/>
    <mergeCell ref="B228:B728"/>
    <mergeCell ref="A729:A1061"/>
    <mergeCell ref="B729:B1061"/>
    <mergeCell ref="A1062:A1069"/>
    <mergeCell ref="B1062:B1069"/>
    <mergeCell ref="A1070:A1074"/>
    <mergeCell ref="B1070:B1074"/>
    <mergeCell ref="A1075:A1169"/>
    <mergeCell ref="B1075:B1169"/>
    <mergeCell ref="A1170:A1172"/>
    <mergeCell ref="B1170:B1172"/>
    <mergeCell ref="A1173:A1196"/>
    <mergeCell ref="B1173:B1196"/>
    <mergeCell ref="A1197:A1199"/>
    <mergeCell ref="B1197:B1199"/>
    <mergeCell ref="A1200:A1207"/>
    <mergeCell ref="B1200:B1207"/>
    <mergeCell ref="A1208:A1220"/>
    <mergeCell ref="B1208:B1220"/>
    <mergeCell ref="A1221:A1227"/>
    <mergeCell ref="B1221:B1227"/>
    <mergeCell ref="A1228:A1235"/>
    <mergeCell ref="B1228:B1235"/>
    <mergeCell ref="A1236:A1251"/>
    <mergeCell ref="B1236:B1251"/>
    <mergeCell ref="A1252:A1263"/>
    <mergeCell ref="B1252:B1263"/>
    <mergeCell ref="A1264:A1272"/>
    <mergeCell ref="B1264:B1272"/>
    <mergeCell ref="A1273:A1322"/>
    <mergeCell ref="B1273:B1322"/>
    <mergeCell ref="A1323:A1330"/>
    <mergeCell ref="B1323:B1330"/>
    <mergeCell ref="A1331:A1350"/>
    <mergeCell ref="B1331:B1350"/>
    <mergeCell ref="A1351:A1365"/>
    <mergeCell ref="B1351:B1365"/>
    <mergeCell ref="A1366:A1397"/>
    <mergeCell ref="B1366:B1397"/>
    <mergeCell ref="A1469:A1502"/>
    <mergeCell ref="B1469:B1502"/>
    <mergeCell ref="A1398:A1402"/>
    <mergeCell ref="B1398:B1402"/>
    <mergeCell ref="A1403:A1405"/>
    <mergeCell ref="B1403:B1405"/>
    <mergeCell ref="A1406:A1468"/>
    <mergeCell ref="B1406:B1468"/>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93079-3918-48B4-9F7C-21790DAEE9AC}">
  <sheetPr>
    <tabColor rgb="FF92D050"/>
  </sheetPr>
  <dimension ref="A2:J62"/>
  <sheetViews>
    <sheetView showGridLines="0" zoomScale="98" zoomScaleNormal="80" workbookViewId="0">
      <pane ySplit="11" topLeftCell="A12" activePane="bottomLeft" state="frozen"/>
      <selection activeCell="A2" sqref="A2"/>
      <selection pane="bottomLeft" activeCell="J6" sqref="J6"/>
    </sheetView>
  </sheetViews>
  <sheetFormatPr baseColWidth="10" defaultColWidth="11.5" defaultRowHeight="13.5"/>
  <cols>
    <col min="1" max="1" width="11.5" style="653"/>
    <col min="2" max="2" width="57.5" style="531" bestFit="1" customWidth="1"/>
    <col min="3" max="3" width="15.75" style="531" bestFit="1" customWidth="1"/>
    <col min="4" max="4" width="8.5" style="531" bestFit="1" customWidth="1"/>
    <col min="5" max="5" width="3" style="531" customWidth="1"/>
    <col min="6" max="6" width="15.75" style="531" bestFit="1" customWidth="1"/>
    <col min="7" max="7" width="8.5" style="531" bestFit="1" customWidth="1"/>
    <col min="8" max="8" width="3" style="531" customWidth="1"/>
    <col min="9" max="9" width="15.75" style="531" bestFit="1" customWidth="1"/>
    <col min="10" max="10" width="8.5" style="531" bestFit="1" customWidth="1"/>
    <col min="11" max="11" width="2.5" style="531" customWidth="1"/>
    <col min="12" max="16384" width="11.5" style="531"/>
  </cols>
  <sheetData>
    <row r="2" spans="1:10">
      <c r="A2" s="535" t="s">
        <v>7248</v>
      </c>
    </row>
    <row r="3" spans="1:10">
      <c r="C3" s="1026" t="s">
        <v>948</v>
      </c>
      <c r="D3" s="1026"/>
      <c r="F3" s="1026" t="s">
        <v>949</v>
      </c>
      <c r="G3" s="1026"/>
      <c r="I3" s="1026" t="s">
        <v>950</v>
      </c>
      <c r="J3" s="1026"/>
    </row>
    <row r="4" spans="1:10">
      <c r="C4" s="535" t="s">
        <v>516</v>
      </c>
      <c r="D4" s="535">
        <v>49</v>
      </c>
      <c r="F4" s="535" t="s">
        <v>516</v>
      </c>
      <c r="G4" s="535">
        <v>49</v>
      </c>
      <c r="I4" s="535" t="s">
        <v>516</v>
      </c>
      <c r="J4" s="535">
        <v>49</v>
      </c>
    </row>
    <row r="5" spans="1:10">
      <c r="C5" s="661" t="s">
        <v>517</v>
      </c>
      <c r="D5" s="661">
        <f>+SUM(D6:D7)</f>
        <v>36</v>
      </c>
      <c r="F5" s="661" t="s">
        <v>517</v>
      </c>
      <c r="G5" s="661">
        <f>+SUM(G6:G7)</f>
        <v>36</v>
      </c>
      <c r="I5" s="661" t="s">
        <v>517</v>
      </c>
      <c r="J5" s="661">
        <f>+SUM(J6:J7)</f>
        <v>34</v>
      </c>
    </row>
    <row r="6" spans="1:10">
      <c r="C6" s="531" t="s">
        <v>3782</v>
      </c>
      <c r="D6" s="531">
        <f>+COUNTIF(C12:C60,"oui")</f>
        <v>28</v>
      </c>
      <c r="F6" s="531" t="s">
        <v>3782</v>
      </c>
      <c r="G6" s="531">
        <f>+COUNTIF(F12:F60,"oui")</f>
        <v>31</v>
      </c>
      <c r="I6" s="531" t="s">
        <v>3782</v>
      </c>
      <c r="J6" s="531">
        <f>+COUNTIF(I12:I60,"oui")</f>
        <v>25</v>
      </c>
    </row>
    <row r="7" spans="1:10">
      <c r="C7" s="533" t="s">
        <v>3783</v>
      </c>
      <c r="D7" s="533">
        <f>+COUNTIF(D12:D60,"non")</f>
        <v>8</v>
      </c>
      <c r="F7" s="533" t="s">
        <v>3783</v>
      </c>
      <c r="G7" s="533">
        <f>+COUNTIF(G12:G60,"non")</f>
        <v>5</v>
      </c>
      <c r="I7" s="533" t="s">
        <v>3783</v>
      </c>
      <c r="J7" s="533">
        <f>+COUNTIF(J12:J60,"non")</f>
        <v>9</v>
      </c>
    </row>
    <row r="8" spans="1:10">
      <c r="C8" s="662" t="s">
        <v>3781</v>
      </c>
      <c r="D8" s="662">
        <f>+COUNTIF(C12:C60,"N/R")</f>
        <v>13</v>
      </c>
      <c r="F8" s="662" t="s">
        <v>3781</v>
      </c>
      <c r="G8" s="662">
        <f>+COUNTIF(F12:F60,"N/R")</f>
        <v>13</v>
      </c>
      <c r="I8" s="662" t="s">
        <v>3781</v>
      </c>
      <c r="J8" s="662">
        <f>+COUNTIF(I12:I60,"N/R")</f>
        <v>15</v>
      </c>
    </row>
    <row r="10" spans="1:10">
      <c r="C10" s="1027" t="s">
        <v>948</v>
      </c>
      <c r="D10" s="1027"/>
      <c r="F10" s="1027" t="s">
        <v>949</v>
      </c>
      <c r="G10" s="1027"/>
      <c r="I10" s="1027" t="s">
        <v>950</v>
      </c>
      <c r="J10" s="1027"/>
    </row>
    <row r="11" spans="1:10" ht="14" thickBot="1">
      <c r="A11" s="652" t="s">
        <v>3</v>
      </c>
      <c r="B11" s="652" t="s">
        <v>797</v>
      </c>
      <c r="C11" s="652" t="s">
        <v>798</v>
      </c>
      <c r="D11" s="652" t="s">
        <v>791</v>
      </c>
      <c r="F11" s="652" t="s">
        <v>798</v>
      </c>
      <c r="G11" s="652" t="s">
        <v>791</v>
      </c>
      <c r="I11" s="652" t="s">
        <v>798</v>
      </c>
      <c r="J11" s="652" t="s">
        <v>791</v>
      </c>
    </row>
    <row r="12" spans="1:10" ht="14" thickTop="1">
      <c r="A12" s="13">
        <v>1</v>
      </c>
      <c r="B12" s="72" t="s">
        <v>69</v>
      </c>
      <c r="C12" s="13" t="s">
        <v>798</v>
      </c>
      <c r="D12" s="13"/>
      <c r="F12" s="13" t="s">
        <v>798</v>
      </c>
      <c r="G12" s="13"/>
      <c r="I12" s="13" t="s">
        <v>799</v>
      </c>
      <c r="J12" s="13"/>
    </row>
    <row r="13" spans="1:10">
      <c r="A13" s="11">
        <v>2</v>
      </c>
      <c r="B13" s="73" t="s">
        <v>534</v>
      </c>
      <c r="C13" s="11" t="s">
        <v>798</v>
      </c>
      <c r="D13" s="11"/>
      <c r="F13" s="11" t="s">
        <v>798</v>
      </c>
      <c r="G13" s="11"/>
      <c r="I13" s="11" t="s">
        <v>798</v>
      </c>
      <c r="J13" s="11"/>
    </row>
    <row r="14" spans="1:10">
      <c r="A14" s="13">
        <v>3</v>
      </c>
      <c r="B14" s="72" t="s">
        <v>539</v>
      </c>
      <c r="C14" s="13" t="s">
        <v>798</v>
      </c>
      <c r="D14" s="13"/>
      <c r="F14" s="13" t="s">
        <v>798</v>
      </c>
      <c r="G14" s="13"/>
      <c r="I14" s="13" t="s">
        <v>798</v>
      </c>
      <c r="J14" s="13"/>
    </row>
    <row r="15" spans="1:10">
      <c r="A15" s="11">
        <v>4</v>
      </c>
      <c r="B15" s="73" t="s">
        <v>544</v>
      </c>
      <c r="C15" s="11" t="s">
        <v>798</v>
      </c>
      <c r="D15" s="11"/>
      <c r="F15" s="11" t="s">
        <v>798</v>
      </c>
      <c r="G15" s="11"/>
      <c r="I15" s="11" t="s">
        <v>798</v>
      </c>
      <c r="J15" s="11"/>
    </row>
    <row r="16" spans="1:10">
      <c r="A16" s="13">
        <v>5</v>
      </c>
      <c r="B16" s="72" t="s">
        <v>553</v>
      </c>
      <c r="C16" s="13" t="s">
        <v>798</v>
      </c>
      <c r="D16" s="13"/>
      <c r="F16" s="13" t="s">
        <v>798</v>
      </c>
      <c r="G16" s="13"/>
      <c r="I16" s="13" t="s">
        <v>798</v>
      </c>
      <c r="J16" s="13"/>
    </row>
    <row r="17" spans="1:10">
      <c r="A17" s="11">
        <v>6</v>
      </c>
      <c r="B17" s="73" t="s">
        <v>2586</v>
      </c>
      <c r="C17" s="11" t="s">
        <v>798</v>
      </c>
      <c r="D17" s="11"/>
      <c r="F17" s="11" t="s">
        <v>798</v>
      </c>
      <c r="G17" s="11"/>
      <c r="I17" s="11" t="s">
        <v>798</v>
      </c>
      <c r="J17" s="11"/>
    </row>
    <row r="18" spans="1:10">
      <c r="A18" s="13">
        <v>7</v>
      </c>
      <c r="B18" s="72" t="s">
        <v>558</v>
      </c>
      <c r="C18" s="13" t="s">
        <v>798</v>
      </c>
      <c r="D18" s="13"/>
      <c r="F18" s="13" t="s">
        <v>798</v>
      </c>
      <c r="G18" s="13"/>
      <c r="I18" s="13" t="s">
        <v>798</v>
      </c>
      <c r="J18" s="13"/>
    </row>
    <row r="19" spans="1:10">
      <c r="A19" s="11">
        <v>8</v>
      </c>
      <c r="B19" s="73" t="s">
        <v>562</v>
      </c>
      <c r="C19" s="11" t="s">
        <v>798</v>
      </c>
      <c r="D19" s="11"/>
      <c r="F19" s="11" t="s">
        <v>798</v>
      </c>
      <c r="G19" s="11"/>
      <c r="I19" s="11" t="s">
        <v>798</v>
      </c>
      <c r="J19" s="11"/>
    </row>
    <row r="20" spans="1:10">
      <c r="A20" s="13">
        <v>9</v>
      </c>
      <c r="B20" s="72" t="s">
        <v>564</v>
      </c>
      <c r="C20" s="13" t="s">
        <v>798</v>
      </c>
      <c r="D20" s="13"/>
      <c r="F20" s="13" t="s">
        <v>798</v>
      </c>
      <c r="G20" s="13"/>
      <c r="I20" s="13" t="s">
        <v>798</v>
      </c>
      <c r="J20" s="13"/>
    </row>
    <row r="21" spans="1:10">
      <c r="A21" s="11">
        <v>10</v>
      </c>
      <c r="B21" s="73" t="s">
        <v>2587</v>
      </c>
      <c r="C21" s="11" t="s">
        <v>798</v>
      </c>
      <c r="D21" s="11"/>
      <c r="F21" s="11" t="s">
        <v>798</v>
      </c>
      <c r="G21" s="11"/>
      <c r="I21" s="11" t="s">
        <v>798</v>
      </c>
      <c r="J21" s="11"/>
    </row>
    <row r="22" spans="1:10">
      <c r="A22" s="13">
        <v>11</v>
      </c>
      <c r="B22" s="72" t="s">
        <v>574</v>
      </c>
      <c r="C22" s="13" t="s">
        <v>798</v>
      </c>
      <c r="D22" s="13"/>
      <c r="F22" s="13" t="s">
        <v>798</v>
      </c>
      <c r="G22" s="13"/>
      <c r="I22" s="13" t="s">
        <v>798</v>
      </c>
      <c r="J22" s="13"/>
    </row>
    <row r="23" spans="1:10">
      <c r="A23" s="11">
        <v>12</v>
      </c>
      <c r="B23" s="73" t="s">
        <v>578</v>
      </c>
      <c r="C23" s="11" t="s">
        <v>798</v>
      </c>
      <c r="D23" s="11"/>
      <c r="F23" s="11" t="s">
        <v>798</v>
      </c>
      <c r="G23" s="11"/>
      <c r="I23" s="11" t="s">
        <v>798</v>
      </c>
      <c r="J23" s="11"/>
    </row>
    <row r="24" spans="1:10">
      <c r="A24" s="13">
        <v>13</v>
      </c>
      <c r="B24" s="72" t="s">
        <v>582</v>
      </c>
      <c r="C24" s="13" t="s">
        <v>798</v>
      </c>
      <c r="D24" s="13"/>
      <c r="F24" s="13" t="s">
        <v>798</v>
      </c>
      <c r="G24" s="13"/>
      <c r="I24" s="13" t="s">
        <v>798</v>
      </c>
      <c r="J24" s="13"/>
    </row>
    <row r="25" spans="1:10">
      <c r="A25" s="11">
        <v>14</v>
      </c>
      <c r="B25" s="73" t="s">
        <v>590</v>
      </c>
      <c r="C25" s="11" t="s">
        <v>798</v>
      </c>
      <c r="D25" s="11"/>
      <c r="F25" s="11" t="s">
        <v>798</v>
      </c>
      <c r="G25" s="11"/>
      <c r="I25" s="11" t="s">
        <v>798</v>
      </c>
      <c r="J25" s="11"/>
    </row>
    <row r="26" spans="1:10">
      <c r="A26" s="13">
        <v>15</v>
      </c>
      <c r="B26" s="72" t="s">
        <v>68</v>
      </c>
      <c r="C26" s="13" t="s">
        <v>798</v>
      </c>
      <c r="D26" s="13"/>
      <c r="F26" s="13" t="s">
        <v>798</v>
      </c>
      <c r="G26" s="13"/>
      <c r="I26" s="13"/>
      <c r="J26" s="13" t="s">
        <v>791</v>
      </c>
    </row>
    <row r="27" spans="1:10">
      <c r="A27" s="11">
        <v>16</v>
      </c>
      <c r="B27" s="73" t="s">
        <v>599</v>
      </c>
      <c r="C27" s="11" t="s">
        <v>799</v>
      </c>
      <c r="D27" s="11"/>
      <c r="F27" s="11" t="s">
        <v>799</v>
      </c>
      <c r="G27" s="11"/>
      <c r="I27" s="11" t="s">
        <v>799</v>
      </c>
      <c r="J27" s="11"/>
    </row>
    <row r="28" spans="1:10">
      <c r="A28" s="13">
        <v>17</v>
      </c>
      <c r="B28" s="72" t="s">
        <v>607</v>
      </c>
      <c r="C28" s="13" t="s">
        <v>798</v>
      </c>
      <c r="D28" s="13"/>
      <c r="F28" s="13" t="s">
        <v>798</v>
      </c>
      <c r="G28" s="13"/>
      <c r="I28" s="13" t="s">
        <v>798</v>
      </c>
      <c r="J28" s="13"/>
    </row>
    <row r="29" spans="1:10">
      <c r="A29" s="11">
        <v>18</v>
      </c>
      <c r="B29" s="73" t="s">
        <v>74</v>
      </c>
      <c r="C29" s="11" t="s">
        <v>798</v>
      </c>
      <c r="D29" s="11"/>
      <c r="F29" s="11" t="s">
        <v>798</v>
      </c>
      <c r="G29" s="11"/>
      <c r="I29" s="11" t="s">
        <v>798</v>
      </c>
      <c r="J29" s="11"/>
    </row>
    <row r="30" spans="1:10">
      <c r="A30" s="13">
        <v>19</v>
      </c>
      <c r="B30" s="72" t="s">
        <v>17</v>
      </c>
      <c r="C30" s="13" t="s">
        <v>798</v>
      </c>
      <c r="D30" s="13"/>
      <c r="F30" s="13" t="s">
        <v>798</v>
      </c>
      <c r="G30" s="13"/>
      <c r="I30" s="13" t="s">
        <v>799</v>
      </c>
      <c r="J30" s="13"/>
    </row>
    <row r="31" spans="1:10">
      <c r="A31" s="11">
        <v>20</v>
      </c>
      <c r="B31" s="73" t="s">
        <v>190</v>
      </c>
      <c r="C31" s="11"/>
      <c r="D31" s="11" t="s">
        <v>791</v>
      </c>
      <c r="F31" s="11"/>
      <c r="G31" s="11" t="s">
        <v>791</v>
      </c>
      <c r="I31" s="11"/>
      <c r="J31" s="11" t="s">
        <v>791</v>
      </c>
    </row>
    <row r="32" spans="1:10">
      <c r="A32" s="13">
        <v>21</v>
      </c>
      <c r="B32" s="72" t="s">
        <v>615</v>
      </c>
      <c r="C32" s="13" t="s">
        <v>799</v>
      </c>
      <c r="D32" s="13"/>
      <c r="F32" s="13" t="s">
        <v>799</v>
      </c>
      <c r="G32" s="13"/>
      <c r="I32" s="13" t="s">
        <v>799</v>
      </c>
      <c r="J32" s="13"/>
    </row>
    <row r="33" spans="1:10">
      <c r="A33" s="11">
        <v>22</v>
      </c>
      <c r="B33" s="73" t="s">
        <v>618</v>
      </c>
      <c r="C33" s="11"/>
      <c r="D33" s="11" t="s">
        <v>791</v>
      </c>
      <c r="F33" s="11" t="s">
        <v>798</v>
      </c>
      <c r="G33" s="11"/>
      <c r="I33" s="11"/>
      <c r="J33" s="11" t="s">
        <v>850</v>
      </c>
    </row>
    <row r="34" spans="1:10">
      <c r="A34" s="13">
        <v>23</v>
      </c>
      <c r="B34" s="72" t="s">
        <v>622</v>
      </c>
      <c r="C34" s="13" t="s">
        <v>799</v>
      </c>
      <c r="D34" s="13"/>
      <c r="F34" s="13" t="s">
        <v>799</v>
      </c>
      <c r="G34" s="13"/>
      <c r="I34" s="13" t="s">
        <v>799</v>
      </c>
      <c r="J34" s="13"/>
    </row>
    <row r="35" spans="1:10">
      <c r="A35" s="11">
        <v>24</v>
      </c>
      <c r="B35" s="73" t="s">
        <v>130</v>
      </c>
      <c r="C35" s="11" t="s">
        <v>799</v>
      </c>
      <c r="D35" s="11"/>
      <c r="F35" s="11" t="s">
        <v>799</v>
      </c>
      <c r="G35" s="11"/>
      <c r="I35" s="11" t="s">
        <v>799</v>
      </c>
      <c r="J35" s="11"/>
    </row>
    <row r="36" spans="1:10">
      <c r="A36" s="13">
        <v>25</v>
      </c>
      <c r="B36" s="72" t="s">
        <v>630</v>
      </c>
      <c r="C36" s="13" t="s">
        <v>798</v>
      </c>
      <c r="D36" s="13"/>
      <c r="F36" s="13"/>
      <c r="G36" s="13" t="s">
        <v>791</v>
      </c>
      <c r="I36" s="13" t="s">
        <v>798</v>
      </c>
      <c r="J36" s="13"/>
    </row>
    <row r="37" spans="1:10">
      <c r="A37" s="11">
        <v>26</v>
      </c>
      <c r="B37" s="73" t="s">
        <v>99</v>
      </c>
      <c r="C37" s="11" t="s">
        <v>799</v>
      </c>
      <c r="D37" s="11"/>
      <c r="F37" s="11" t="s">
        <v>799</v>
      </c>
      <c r="G37" s="11"/>
      <c r="I37" s="11" t="s">
        <v>799</v>
      </c>
      <c r="J37" s="11"/>
    </row>
    <row r="38" spans="1:10">
      <c r="A38" s="13">
        <v>27</v>
      </c>
      <c r="B38" s="72" t="s">
        <v>87</v>
      </c>
      <c r="C38" s="13" t="s">
        <v>799</v>
      </c>
      <c r="D38" s="13"/>
      <c r="F38" s="13" t="s">
        <v>799</v>
      </c>
      <c r="G38" s="13"/>
      <c r="I38" s="13" t="s">
        <v>799</v>
      </c>
      <c r="J38" s="13"/>
    </row>
    <row r="39" spans="1:10">
      <c r="A39" s="11">
        <v>28</v>
      </c>
      <c r="B39" s="73" t="s">
        <v>646</v>
      </c>
      <c r="C39" s="11"/>
      <c r="D39" s="11" t="s">
        <v>791</v>
      </c>
      <c r="F39" s="11" t="s">
        <v>798</v>
      </c>
      <c r="G39" s="11"/>
      <c r="I39" s="11"/>
      <c r="J39" s="11" t="s">
        <v>791</v>
      </c>
    </row>
    <row r="40" spans="1:10">
      <c r="A40" s="13">
        <v>29</v>
      </c>
      <c r="B40" s="72" t="s">
        <v>651</v>
      </c>
      <c r="C40" s="13" t="s">
        <v>799</v>
      </c>
      <c r="D40" s="13"/>
      <c r="F40" s="13" t="s">
        <v>799</v>
      </c>
      <c r="G40" s="13"/>
      <c r="I40" s="13" t="s">
        <v>799</v>
      </c>
      <c r="J40" s="13"/>
    </row>
    <row r="41" spans="1:10">
      <c r="A41" s="11">
        <v>30</v>
      </c>
      <c r="B41" s="73" t="s">
        <v>102</v>
      </c>
      <c r="C41" s="11" t="s">
        <v>798</v>
      </c>
      <c r="D41" s="11"/>
      <c r="F41" s="11" t="s">
        <v>798</v>
      </c>
      <c r="G41" s="11"/>
      <c r="I41" s="11" t="s">
        <v>798</v>
      </c>
      <c r="J41" s="11"/>
    </row>
    <row r="42" spans="1:10">
      <c r="A42" s="13">
        <v>31</v>
      </c>
      <c r="B42" s="72" t="s">
        <v>659</v>
      </c>
      <c r="C42" s="13" t="s">
        <v>799</v>
      </c>
      <c r="D42" s="13"/>
      <c r="F42" s="13" t="s">
        <v>799</v>
      </c>
      <c r="G42" s="13"/>
      <c r="I42" s="13" t="s">
        <v>799</v>
      </c>
      <c r="J42" s="13"/>
    </row>
    <row r="43" spans="1:10">
      <c r="A43" s="11">
        <v>32</v>
      </c>
      <c r="B43" s="73" t="s">
        <v>662</v>
      </c>
      <c r="C43" s="11" t="s">
        <v>798</v>
      </c>
      <c r="D43" s="11"/>
      <c r="F43" s="11" t="s">
        <v>798</v>
      </c>
      <c r="G43" s="11"/>
      <c r="I43" s="11" t="s">
        <v>798</v>
      </c>
      <c r="J43" s="11"/>
    </row>
    <row r="44" spans="1:10">
      <c r="A44" s="13">
        <v>33</v>
      </c>
      <c r="B44" s="72" t="s">
        <v>666</v>
      </c>
      <c r="C44" s="13" t="s">
        <v>798</v>
      </c>
      <c r="D44" s="13"/>
      <c r="F44" s="13" t="s">
        <v>798</v>
      </c>
      <c r="G44" s="13"/>
      <c r="I44" s="13" t="s">
        <v>798</v>
      </c>
      <c r="J44" s="13"/>
    </row>
    <row r="45" spans="1:10">
      <c r="A45" s="11">
        <v>34</v>
      </c>
      <c r="B45" s="73" t="s">
        <v>673</v>
      </c>
      <c r="C45" s="11"/>
      <c r="D45" s="11" t="s">
        <v>791</v>
      </c>
      <c r="F45" s="11" t="s">
        <v>798</v>
      </c>
      <c r="G45" s="11"/>
      <c r="I45" s="11" t="s">
        <v>798</v>
      </c>
      <c r="J45" s="11"/>
    </row>
    <row r="46" spans="1:10">
      <c r="A46" s="13">
        <v>35</v>
      </c>
      <c r="B46" s="72" t="s">
        <v>676</v>
      </c>
      <c r="C46" s="13" t="s">
        <v>798</v>
      </c>
      <c r="D46" s="13"/>
      <c r="F46" s="13" t="s">
        <v>798</v>
      </c>
      <c r="G46" s="13"/>
      <c r="I46" s="13" t="s">
        <v>798</v>
      </c>
      <c r="J46" s="13"/>
    </row>
    <row r="47" spans="1:10">
      <c r="A47" s="11">
        <v>36</v>
      </c>
      <c r="B47" s="73" t="s">
        <v>681</v>
      </c>
      <c r="C47" s="11" t="s">
        <v>798</v>
      </c>
      <c r="D47" s="11"/>
      <c r="F47" s="11" t="s">
        <v>798</v>
      </c>
      <c r="G47" s="11"/>
      <c r="I47" s="11" t="s">
        <v>798</v>
      </c>
      <c r="J47" s="11"/>
    </row>
    <row r="48" spans="1:10">
      <c r="A48" s="13">
        <v>37</v>
      </c>
      <c r="B48" s="72" t="s">
        <v>462</v>
      </c>
      <c r="C48" s="13" t="s">
        <v>799</v>
      </c>
      <c r="D48" s="13"/>
      <c r="F48" s="13" t="s">
        <v>799</v>
      </c>
      <c r="G48" s="13"/>
      <c r="I48" s="13" t="s">
        <v>799</v>
      </c>
      <c r="J48" s="13"/>
    </row>
    <row r="49" spans="1:10">
      <c r="A49" s="11">
        <v>38</v>
      </c>
      <c r="B49" s="73" t="s">
        <v>1248</v>
      </c>
      <c r="C49" s="11" t="s">
        <v>799</v>
      </c>
      <c r="D49" s="11"/>
      <c r="F49" s="11" t="s">
        <v>799</v>
      </c>
      <c r="G49" s="11"/>
      <c r="I49" s="11" t="s">
        <v>798</v>
      </c>
      <c r="J49" s="11"/>
    </row>
    <row r="50" spans="1:10">
      <c r="A50" s="13">
        <v>39</v>
      </c>
      <c r="B50" s="72" t="s">
        <v>188</v>
      </c>
      <c r="C50" s="13" t="s">
        <v>798</v>
      </c>
      <c r="D50" s="13"/>
      <c r="F50" s="13" t="s">
        <v>798</v>
      </c>
      <c r="G50" s="13"/>
      <c r="I50" s="13"/>
      <c r="J50" s="13" t="s">
        <v>791</v>
      </c>
    </row>
    <row r="51" spans="1:10">
      <c r="A51" s="11">
        <v>40</v>
      </c>
      <c r="B51" s="73" t="s">
        <v>974</v>
      </c>
      <c r="C51" s="11" t="s">
        <v>798</v>
      </c>
      <c r="D51" s="11"/>
      <c r="F51" s="11" t="s">
        <v>798</v>
      </c>
      <c r="G51" s="11"/>
      <c r="I51" s="11" t="s">
        <v>798</v>
      </c>
      <c r="J51" s="11"/>
    </row>
    <row r="52" spans="1:10">
      <c r="A52" s="13">
        <v>41</v>
      </c>
      <c r="B52" s="72" t="s">
        <v>141</v>
      </c>
      <c r="C52" s="13" t="s">
        <v>799</v>
      </c>
      <c r="D52" s="13"/>
      <c r="F52" s="13" t="s">
        <v>799</v>
      </c>
      <c r="G52" s="13"/>
      <c r="I52" s="13" t="s">
        <v>799</v>
      </c>
      <c r="J52" s="13"/>
    </row>
    <row r="53" spans="1:10">
      <c r="A53" s="11">
        <v>42</v>
      </c>
      <c r="B53" s="73" t="s">
        <v>692</v>
      </c>
      <c r="C53" s="11"/>
      <c r="D53" s="11" t="s">
        <v>791</v>
      </c>
      <c r="F53" s="11"/>
      <c r="G53" s="11" t="s">
        <v>791</v>
      </c>
      <c r="I53" s="11" t="s">
        <v>799</v>
      </c>
      <c r="J53" s="11"/>
    </row>
    <row r="54" spans="1:10">
      <c r="A54" s="13">
        <v>43</v>
      </c>
      <c r="B54" s="72" t="s">
        <v>140</v>
      </c>
      <c r="C54" s="13"/>
      <c r="D54" s="13" t="s">
        <v>791</v>
      </c>
      <c r="F54" s="13" t="s">
        <v>798</v>
      </c>
      <c r="G54" s="13"/>
      <c r="I54" s="13"/>
      <c r="J54" s="13" t="s">
        <v>791</v>
      </c>
    </row>
    <row r="55" spans="1:10">
      <c r="A55" s="11">
        <v>44</v>
      </c>
      <c r="B55" s="73" t="s">
        <v>709</v>
      </c>
      <c r="C55" s="11" t="s">
        <v>798</v>
      </c>
      <c r="D55" s="11"/>
      <c r="F55" s="11" t="s">
        <v>798</v>
      </c>
      <c r="G55" s="11"/>
      <c r="I55" s="11"/>
      <c r="J55" s="11" t="s">
        <v>791</v>
      </c>
    </row>
    <row r="56" spans="1:10">
      <c r="A56" s="13">
        <v>45</v>
      </c>
      <c r="B56" s="72" t="s">
        <v>714</v>
      </c>
      <c r="C56" s="13" t="s">
        <v>798</v>
      </c>
      <c r="D56" s="13"/>
      <c r="F56" s="13" t="s">
        <v>798</v>
      </c>
      <c r="G56" s="13"/>
      <c r="I56" s="13"/>
      <c r="J56" s="13" t="s">
        <v>850</v>
      </c>
    </row>
    <row r="57" spans="1:10">
      <c r="A57" s="11">
        <v>46</v>
      </c>
      <c r="B57" s="73" t="s">
        <v>54</v>
      </c>
      <c r="C57" s="11"/>
      <c r="D57" s="11" t="s">
        <v>791</v>
      </c>
      <c r="F57" s="11"/>
      <c r="G57" s="11" t="s">
        <v>791</v>
      </c>
      <c r="I57" s="11"/>
      <c r="J57" s="11" t="s">
        <v>791</v>
      </c>
    </row>
    <row r="58" spans="1:10">
      <c r="A58" s="13">
        <v>47</v>
      </c>
      <c r="B58" s="72" t="s">
        <v>46</v>
      </c>
      <c r="C58" s="13" t="s">
        <v>799</v>
      </c>
      <c r="D58" s="13"/>
      <c r="F58" s="13" t="s">
        <v>799</v>
      </c>
      <c r="G58" s="13"/>
      <c r="I58" s="13" t="s">
        <v>799</v>
      </c>
      <c r="J58" s="13"/>
    </row>
    <row r="59" spans="1:10">
      <c r="A59" s="11">
        <v>48</v>
      </c>
      <c r="B59" s="73" t="s">
        <v>64</v>
      </c>
      <c r="C59" s="11" t="s">
        <v>799</v>
      </c>
      <c r="D59" s="11"/>
      <c r="F59" s="11" t="s">
        <v>799</v>
      </c>
      <c r="G59" s="11"/>
      <c r="I59" s="11" t="s">
        <v>799</v>
      </c>
      <c r="J59" s="11"/>
    </row>
    <row r="60" spans="1:10">
      <c r="A60" s="13">
        <v>49</v>
      </c>
      <c r="B60" s="72" t="s">
        <v>2588</v>
      </c>
      <c r="C60" s="13"/>
      <c r="D60" s="13" t="s">
        <v>791</v>
      </c>
      <c r="F60" s="13"/>
      <c r="G60" s="13" t="s">
        <v>791</v>
      </c>
      <c r="I60" s="13" t="s">
        <v>798</v>
      </c>
      <c r="J60" s="13"/>
    </row>
    <row r="62" spans="1:10">
      <c r="A62" s="666" t="s">
        <v>8628</v>
      </c>
      <c r="B62" s="662" t="s">
        <v>8605</v>
      </c>
    </row>
  </sheetData>
  <autoFilter ref="A11:J60" xr:uid="{0C4E2531-A468-4265-BC1C-A53497BFB71C}"/>
  <mergeCells count="6">
    <mergeCell ref="C3:D3"/>
    <mergeCell ref="F3:G3"/>
    <mergeCell ref="I3:J3"/>
    <mergeCell ref="C10:D10"/>
    <mergeCell ref="F10:G10"/>
    <mergeCell ref="I10:J10"/>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B8154-00F3-4610-80BD-C70C0A0592A2}">
  <sheetPr codeName="Feuil40">
    <tabColor rgb="FF92D050"/>
  </sheetPr>
  <dimension ref="A2:J21"/>
  <sheetViews>
    <sheetView showGridLines="0" zoomScaleNormal="100" workbookViewId="0">
      <selection activeCell="K32" sqref="K32"/>
    </sheetView>
  </sheetViews>
  <sheetFormatPr baseColWidth="10" defaultColWidth="11.5" defaultRowHeight="13.5"/>
  <cols>
    <col min="1" max="1" width="11.5" style="531"/>
    <col min="2" max="2" width="46.75" style="531" bestFit="1" customWidth="1"/>
    <col min="3" max="3" width="16" style="531" bestFit="1" customWidth="1"/>
    <col min="4" max="4" width="11.5" style="531"/>
    <col min="5" max="5" width="2.25" style="531" customWidth="1"/>
    <col min="6" max="6" width="16" style="531" bestFit="1" customWidth="1"/>
    <col min="7" max="7" width="11.5" style="531"/>
    <col min="8" max="8" width="2.25" style="531" customWidth="1"/>
    <col min="9" max="9" width="16" style="531" bestFit="1" customWidth="1"/>
    <col min="10" max="16384" width="11.5" style="531"/>
  </cols>
  <sheetData>
    <row r="2" spans="1:10">
      <c r="A2" s="535" t="s">
        <v>7247</v>
      </c>
    </row>
    <row r="4" spans="1:10">
      <c r="C4" s="1026" t="s">
        <v>948</v>
      </c>
      <c r="D4" s="1026"/>
      <c r="F4" s="1026" t="s">
        <v>949</v>
      </c>
      <c r="G4" s="1026"/>
      <c r="I4" s="1026" t="s">
        <v>950</v>
      </c>
      <c r="J4" s="1026"/>
    </row>
    <row r="5" spans="1:10">
      <c r="C5" s="535" t="s">
        <v>516</v>
      </c>
      <c r="D5" s="535">
        <v>7</v>
      </c>
      <c r="F5" s="535" t="s">
        <v>516</v>
      </c>
      <c r="G5" s="535">
        <v>7</v>
      </c>
      <c r="I5" s="535" t="s">
        <v>516</v>
      </c>
      <c r="J5" s="535">
        <v>7</v>
      </c>
    </row>
    <row r="6" spans="1:10">
      <c r="C6" s="661" t="s">
        <v>517</v>
      </c>
      <c r="D6" s="661">
        <f>+SUM(D7:D8)</f>
        <v>6</v>
      </c>
      <c r="F6" s="661" t="s">
        <v>517</v>
      </c>
      <c r="G6" s="661">
        <f>+SUM(G7:G8)</f>
        <v>6</v>
      </c>
      <c r="I6" s="661" t="s">
        <v>517</v>
      </c>
      <c r="J6" s="661">
        <f>+SUM(J7:J8)</f>
        <v>6</v>
      </c>
    </row>
    <row r="7" spans="1:10">
      <c r="C7" s="531" t="s">
        <v>3782</v>
      </c>
      <c r="D7" s="531">
        <f>+COUNTIF(C13:C61,"oui")</f>
        <v>0</v>
      </c>
      <c r="F7" s="531" t="s">
        <v>3782</v>
      </c>
      <c r="G7" s="531">
        <f>+COUNTIF(F13:F61,"oui")</f>
        <v>6</v>
      </c>
      <c r="I7" s="531" t="s">
        <v>3782</v>
      </c>
      <c r="J7" s="531">
        <f>+COUNTIF(I13:I61,"oui")</f>
        <v>0</v>
      </c>
    </row>
    <row r="8" spans="1:10">
      <c r="C8" s="533" t="s">
        <v>3783</v>
      </c>
      <c r="D8" s="533">
        <f>+COUNTIF(D13:D61,"non")</f>
        <v>6</v>
      </c>
      <c r="F8" s="533" t="s">
        <v>3783</v>
      </c>
      <c r="G8" s="533">
        <f>+COUNTIF(G13:G61,"non")</f>
        <v>0</v>
      </c>
      <c r="I8" s="533" t="s">
        <v>3783</v>
      </c>
      <c r="J8" s="533">
        <f>+COUNTIF(J13:J61,"non")</f>
        <v>6</v>
      </c>
    </row>
    <row r="9" spans="1:10">
      <c r="C9" s="662" t="s">
        <v>3781</v>
      </c>
      <c r="D9" s="662">
        <f>+COUNTIF(C13:C61,"N/R")</f>
        <v>1</v>
      </c>
      <c r="F9" s="662" t="s">
        <v>3781</v>
      </c>
      <c r="G9" s="662">
        <f>+COUNTIF(F13:F61,"N/R")</f>
        <v>1</v>
      </c>
      <c r="I9" s="662" t="s">
        <v>3781</v>
      </c>
      <c r="J9" s="662">
        <f>+COUNTIF(I13:I61,"N/R")</f>
        <v>1</v>
      </c>
    </row>
    <row r="11" spans="1:10">
      <c r="A11" s="653"/>
      <c r="C11" s="1027" t="s">
        <v>948</v>
      </c>
      <c r="D11" s="1027"/>
      <c r="F11" s="1027" t="s">
        <v>949</v>
      </c>
      <c r="G11" s="1027"/>
      <c r="I11" s="1027" t="s">
        <v>950</v>
      </c>
      <c r="J11" s="1027"/>
    </row>
    <row r="12" spans="1:10" ht="14" thickBot="1">
      <c r="A12" s="652" t="s">
        <v>3</v>
      </c>
      <c r="B12" s="652" t="s">
        <v>797</v>
      </c>
      <c r="C12" s="652" t="s">
        <v>798</v>
      </c>
      <c r="D12" s="652" t="s">
        <v>791</v>
      </c>
      <c r="F12" s="652" t="s">
        <v>798</v>
      </c>
      <c r="G12" s="652" t="s">
        <v>791</v>
      </c>
      <c r="I12" s="652" t="s">
        <v>798</v>
      </c>
      <c r="J12" s="652" t="s">
        <v>791</v>
      </c>
    </row>
    <row r="13" spans="1:10" ht="14" thickTop="1">
      <c r="A13" s="13">
        <v>1</v>
      </c>
      <c r="B13" s="72" t="s">
        <v>755</v>
      </c>
      <c r="C13" s="13"/>
      <c r="D13" s="13" t="s">
        <v>791</v>
      </c>
      <c r="F13" s="13" t="s">
        <v>798</v>
      </c>
      <c r="G13" s="13"/>
      <c r="I13" s="13"/>
      <c r="J13" s="13" t="s">
        <v>791</v>
      </c>
    </row>
    <row r="14" spans="1:10">
      <c r="A14" s="11">
        <v>2</v>
      </c>
      <c r="B14" s="73" t="s">
        <v>759</v>
      </c>
      <c r="C14" s="11"/>
      <c r="D14" s="11" t="s">
        <v>791</v>
      </c>
      <c r="F14" s="11" t="s">
        <v>798</v>
      </c>
      <c r="G14" s="11"/>
      <c r="I14" s="11"/>
      <c r="J14" s="11" t="s">
        <v>791</v>
      </c>
    </row>
    <row r="15" spans="1:10">
      <c r="A15" s="13">
        <v>3</v>
      </c>
      <c r="B15" s="72" t="s">
        <v>761</v>
      </c>
      <c r="C15" s="13"/>
      <c r="D15" s="13" t="s">
        <v>791</v>
      </c>
      <c r="F15" s="13" t="s">
        <v>798</v>
      </c>
      <c r="G15" s="13"/>
      <c r="I15" s="13"/>
      <c r="J15" s="13" t="s">
        <v>791</v>
      </c>
    </row>
    <row r="16" spans="1:10">
      <c r="A16" s="11">
        <v>4</v>
      </c>
      <c r="B16" s="73" t="s">
        <v>763</v>
      </c>
      <c r="C16" s="11"/>
      <c r="D16" s="11" t="s">
        <v>791</v>
      </c>
      <c r="F16" s="11" t="s">
        <v>798</v>
      </c>
      <c r="G16" s="11"/>
      <c r="I16" s="11"/>
      <c r="J16" s="11" t="s">
        <v>791</v>
      </c>
    </row>
    <row r="17" spans="1:10">
      <c r="A17" s="13">
        <v>5</v>
      </c>
      <c r="B17" s="72" t="s">
        <v>765</v>
      </c>
      <c r="C17" s="13"/>
      <c r="D17" s="13" t="s">
        <v>791</v>
      </c>
      <c r="F17" s="13" t="s">
        <v>798</v>
      </c>
      <c r="G17" s="13"/>
      <c r="I17" s="13"/>
      <c r="J17" s="13" t="s">
        <v>791</v>
      </c>
    </row>
    <row r="18" spans="1:10">
      <c r="A18" s="11">
        <v>6</v>
      </c>
      <c r="B18" s="663" t="s">
        <v>767</v>
      </c>
      <c r="C18" s="664" t="s">
        <v>799</v>
      </c>
      <c r="D18" s="664"/>
      <c r="E18" s="665"/>
      <c r="F18" s="664" t="s">
        <v>799</v>
      </c>
      <c r="G18" s="664"/>
      <c r="H18" s="665"/>
      <c r="I18" s="664" t="s">
        <v>799</v>
      </c>
      <c r="J18" s="193"/>
    </row>
    <row r="19" spans="1:10">
      <c r="A19" s="13">
        <v>7</v>
      </c>
      <c r="B19" s="72" t="s">
        <v>769</v>
      </c>
      <c r="C19" s="13"/>
      <c r="D19" s="13" t="s">
        <v>791</v>
      </c>
      <c r="F19" s="13" t="s">
        <v>798</v>
      </c>
      <c r="G19" s="13"/>
      <c r="I19" s="13"/>
      <c r="J19" s="13" t="s">
        <v>791</v>
      </c>
    </row>
    <row r="21" spans="1:10">
      <c r="A21" s="666" t="s">
        <v>8628</v>
      </c>
      <c r="B21" s="662" t="s">
        <v>8605</v>
      </c>
    </row>
  </sheetData>
  <mergeCells count="6">
    <mergeCell ref="C11:D11"/>
    <mergeCell ref="F11:G11"/>
    <mergeCell ref="I11:J11"/>
    <mergeCell ref="C4:D4"/>
    <mergeCell ref="F4:G4"/>
    <mergeCell ref="I4:J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BD5A1-C710-4CE6-8E37-FD903EEC83C2}">
  <sheetPr>
    <tabColor rgb="FF92D050"/>
  </sheetPr>
  <dimension ref="A2:F87"/>
  <sheetViews>
    <sheetView showGridLines="0" workbookViewId="0">
      <selection activeCell="F1" sqref="F1:F1048576"/>
    </sheetView>
  </sheetViews>
  <sheetFormatPr baseColWidth="10" defaultColWidth="8.83203125" defaultRowHeight="12"/>
  <cols>
    <col min="1" max="1" width="2.75" style="148" bestFit="1" customWidth="1"/>
    <col min="2" max="2" width="47.25" style="148" bestFit="1" customWidth="1"/>
    <col min="3" max="3" width="31.25" style="149" bestFit="1" customWidth="1"/>
    <col min="4" max="4" width="15.25" style="148" bestFit="1" customWidth="1"/>
    <col min="5" max="5" width="19" style="148" bestFit="1" customWidth="1"/>
    <col min="6" max="6" width="14.83203125" style="148" bestFit="1" customWidth="1"/>
    <col min="7" max="16384" width="8.83203125" style="148"/>
  </cols>
  <sheetData>
    <row r="2" spans="1:6">
      <c r="A2" s="191" t="s">
        <v>7563</v>
      </c>
    </row>
    <row r="5" spans="1:6" ht="24.65" customHeight="1">
      <c r="A5" s="483" t="s">
        <v>3</v>
      </c>
      <c r="B5" s="483" t="s">
        <v>7249</v>
      </c>
      <c r="C5" s="483" t="s">
        <v>7250</v>
      </c>
      <c r="D5" s="483" t="s">
        <v>7251</v>
      </c>
      <c r="E5" s="483" t="s">
        <v>7252</v>
      </c>
      <c r="F5" s="483" t="s">
        <v>7253</v>
      </c>
    </row>
    <row r="6" spans="1:6">
      <c r="A6" s="484">
        <v>1</v>
      </c>
      <c r="B6" s="485" t="s">
        <v>7254</v>
      </c>
      <c r="C6" s="486" t="s">
        <v>7255</v>
      </c>
      <c r="D6" s="487" t="s">
        <v>1639</v>
      </c>
      <c r="E6" s="488" t="s">
        <v>7256</v>
      </c>
      <c r="F6" s="484" t="s">
        <v>7257</v>
      </c>
    </row>
    <row r="7" spans="1:6">
      <c r="A7" s="489">
        <v>2</v>
      </c>
      <c r="B7" s="490" t="s">
        <v>7258</v>
      </c>
      <c r="C7" s="491" t="s">
        <v>7259</v>
      </c>
      <c r="D7" s="489" t="s">
        <v>7260</v>
      </c>
      <c r="E7" s="492" t="s">
        <v>7261</v>
      </c>
      <c r="F7" s="489" t="s">
        <v>7262</v>
      </c>
    </row>
    <row r="8" spans="1:6">
      <c r="A8" s="484">
        <v>3</v>
      </c>
      <c r="B8" s="485" t="s">
        <v>7263</v>
      </c>
      <c r="C8" s="486" t="s">
        <v>7264</v>
      </c>
      <c r="D8" s="487" t="s">
        <v>2500</v>
      </c>
      <c r="E8" s="488" t="s">
        <v>7265</v>
      </c>
      <c r="F8" s="484"/>
    </row>
    <row r="9" spans="1:6">
      <c r="A9" s="489">
        <v>4</v>
      </c>
      <c r="B9" s="490" t="s">
        <v>7266</v>
      </c>
      <c r="C9" s="491" t="s">
        <v>7267</v>
      </c>
      <c r="D9" s="489" t="s">
        <v>7268</v>
      </c>
      <c r="E9" s="492" t="s">
        <v>7269</v>
      </c>
      <c r="F9" s="489" t="s">
        <v>7270</v>
      </c>
    </row>
    <row r="10" spans="1:6">
      <c r="A10" s="484">
        <v>5</v>
      </c>
      <c r="B10" s="485" t="s">
        <v>7271</v>
      </c>
      <c r="C10" s="486" t="s">
        <v>7272</v>
      </c>
      <c r="D10" s="487" t="s">
        <v>7273</v>
      </c>
      <c r="E10" s="488" t="s">
        <v>7274</v>
      </c>
      <c r="F10" s="484" t="s">
        <v>7270</v>
      </c>
    </row>
    <row r="11" spans="1:6">
      <c r="A11" s="489">
        <v>6</v>
      </c>
      <c r="B11" s="490" t="s">
        <v>1265</v>
      </c>
      <c r="C11" s="491" t="s">
        <v>7275</v>
      </c>
      <c r="D11" s="489" t="s">
        <v>846</v>
      </c>
      <c r="E11" s="492" t="s">
        <v>7276</v>
      </c>
      <c r="F11" s="489" t="s">
        <v>7257</v>
      </c>
    </row>
    <row r="12" spans="1:6">
      <c r="A12" s="484">
        <v>7</v>
      </c>
      <c r="B12" s="485" t="s">
        <v>7277</v>
      </c>
      <c r="C12" s="486" t="s">
        <v>7278</v>
      </c>
      <c r="D12" s="487" t="s">
        <v>846</v>
      </c>
      <c r="E12" s="488" t="s">
        <v>7279</v>
      </c>
      <c r="F12" s="484" t="s">
        <v>7257</v>
      </c>
    </row>
    <row r="13" spans="1:6">
      <c r="A13" s="489">
        <v>8</v>
      </c>
      <c r="B13" s="490" t="s">
        <v>7280</v>
      </c>
      <c r="C13" s="491" t="s">
        <v>7281</v>
      </c>
      <c r="D13" s="489" t="s">
        <v>7282</v>
      </c>
      <c r="E13" s="492" t="s">
        <v>7283</v>
      </c>
      <c r="F13" s="489" t="s">
        <v>7284</v>
      </c>
    </row>
    <row r="14" spans="1:6">
      <c r="A14" s="484">
        <v>9</v>
      </c>
      <c r="B14" s="485" t="s">
        <v>15</v>
      </c>
      <c r="C14" s="486" t="s">
        <v>7285</v>
      </c>
      <c r="D14" s="487" t="s">
        <v>2077</v>
      </c>
      <c r="E14" s="488" t="s">
        <v>7286</v>
      </c>
      <c r="F14" s="484" t="s">
        <v>7257</v>
      </c>
    </row>
    <row r="15" spans="1:6">
      <c r="A15" s="489">
        <v>10</v>
      </c>
      <c r="B15" s="490" t="s">
        <v>1021</v>
      </c>
      <c r="C15" s="491" t="s">
        <v>7287</v>
      </c>
      <c r="D15" s="489" t="s">
        <v>7288</v>
      </c>
      <c r="E15" s="492" t="s">
        <v>7289</v>
      </c>
      <c r="F15" s="489" t="s">
        <v>7262</v>
      </c>
    </row>
    <row r="16" spans="1:6">
      <c r="A16" s="484">
        <v>11</v>
      </c>
      <c r="B16" s="485" t="s">
        <v>1021</v>
      </c>
      <c r="C16" s="486" t="s">
        <v>7290</v>
      </c>
      <c r="D16" s="487" t="s">
        <v>7273</v>
      </c>
      <c r="E16" s="488" t="s">
        <v>7291</v>
      </c>
      <c r="F16" s="484" t="s">
        <v>7292</v>
      </c>
    </row>
    <row r="17" spans="1:6">
      <c r="A17" s="489">
        <v>12</v>
      </c>
      <c r="B17" s="490" t="s">
        <v>7293</v>
      </c>
      <c r="C17" s="491" t="s">
        <v>7294</v>
      </c>
      <c r="D17" s="489" t="s">
        <v>7295</v>
      </c>
      <c r="E17" s="492" t="s">
        <v>7296</v>
      </c>
      <c r="F17" s="489" t="s">
        <v>7262</v>
      </c>
    </row>
    <row r="18" spans="1:6">
      <c r="A18" s="484">
        <v>13</v>
      </c>
      <c r="B18" s="485" t="s">
        <v>7297</v>
      </c>
      <c r="C18" s="486" t="s">
        <v>7298</v>
      </c>
      <c r="D18" s="487" t="s">
        <v>7299</v>
      </c>
      <c r="E18" s="488" t="s">
        <v>7300</v>
      </c>
      <c r="F18" s="484" t="s">
        <v>7301</v>
      </c>
    </row>
    <row r="19" spans="1:6">
      <c r="A19" s="489">
        <v>14</v>
      </c>
      <c r="B19" s="490" t="s">
        <v>7302</v>
      </c>
      <c r="C19" s="491" t="s">
        <v>7303</v>
      </c>
      <c r="D19" s="489" t="s">
        <v>7304</v>
      </c>
      <c r="E19" s="492" t="s">
        <v>7305</v>
      </c>
      <c r="F19" s="489" t="s">
        <v>7306</v>
      </c>
    </row>
    <row r="20" spans="1:6">
      <c r="A20" s="484">
        <v>15</v>
      </c>
      <c r="B20" s="485" t="s">
        <v>7307</v>
      </c>
      <c r="C20" s="486" t="s">
        <v>7308</v>
      </c>
      <c r="D20" s="487" t="s">
        <v>7309</v>
      </c>
      <c r="E20" s="488" t="s">
        <v>7310</v>
      </c>
      <c r="F20" s="484" t="s">
        <v>7311</v>
      </c>
    </row>
    <row r="21" spans="1:6">
      <c r="A21" s="489">
        <v>16</v>
      </c>
      <c r="B21" s="490" t="s">
        <v>7312</v>
      </c>
      <c r="C21" s="491" t="s">
        <v>7313</v>
      </c>
      <c r="D21" s="489" t="s">
        <v>7314</v>
      </c>
      <c r="E21" s="492" t="s">
        <v>7315</v>
      </c>
      <c r="F21" s="489" t="s">
        <v>7306</v>
      </c>
    </row>
    <row r="22" spans="1:6">
      <c r="A22" s="484">
        <v>17</v>
      </c>
      <c r="B22" s="485" t="s">
        <v>7302</v>
      </c>
      <c r="C22" s="486" t="s">
        <v>7316</v>
      </c>
      <c r="D22" s="487" t="s">
        <v>7317</v>
      </c>
      <c r="E22" s="488" t="s">
        <v>7318</v>
      </c>
      <c r="F22" s="484" t="s">
        <v>7306</v>
      </c>
    </row>
    <row r="23" spans="1:6">
      <c r="A23" s="489">
        <v>18</v>
      </c>
      <c r="B23" s="490" t="s">
        <v>1771</v>
      </c>
      <c r="C23" s="491" t="s">
        <v>7319</v>
      </c>
      <c r="D23" s="489" t="s">
        <v>7320</v>
      </c>
      <c r="E23" s="492" t="s">
        <v>7321</v>
      </c>
      <c r="F23" s="489" t="s">
        <v>7322</v>
      </c>
    </row>
    <row r="24" spans="1:6">
      <c r="A24" s="484">
        <v>19</v>
      </c>
      <c r="B24" s="485" t="s">
        <v>7323</v>
      </c>
      <c r="C24" s="486" t="s">
        <v>7324</v>
      </c>
      <c r="D24" s="487" t="s">
        <v>7325</v>
      </c>
      <c r="E24" s="488" t="s">
        <v>7326</v>
      </c>
      <c r="F24" s="484" t="s">
        <v>7327</v>
      </c>
    </row>
    <row r="25" spans="1:6">
      <c r="A25" s="489">
        <v>20</v>
      </c>
      <c r="B25" s="490" t="s">
        <v>7328</v>
      </c>
      <c r="C25" s="491" t="s">
        <v>7329</v>
      </c>
      <c r="D25" s="489" t="s">
        <v>7330</v>
      </c>
      <c r="E25" s="492" t="s">
        <v>7331</v>
      </c>
      <c r="F25" s="489" t="s">
        <v>7332</v>
      </c>
    </row>
    <row r="26" spans="1:6">
      <c r="A26" s="484">
        <v>21</v>
      </c>
      <c r="B26" s="485" t="s">
        <v>240</v>
      </c>
      <c r="C26" s="486" t="s">
        <v>7333</v>
      </c>
      <c r="D26" s="487" t="s">
        <v>7330</v>
      </c>
      <c r="E26" s="488" t="s">
        <v>7334</v>
      </c>
      <c r="F26" s="484" t="s">
        <v>7335</v>
      </c>
    </row>
    <row r="27" spans="1:6">
      <c r="A27" s="489">
        <v>22</v>
      </c>
      <c r="B27" s="490" t="s">
        <v>7336</v>
      </c>
      <c r="C27" s="491" t="s">
        <v>7337</v>
      </c>
      <c r="D27" s="489" t="s">
        <v>7338</v>
      </c>
      <c r="E27" s="492" t="s">
        <v>7339</v>
      </c>
      <c r="F27" s="489" t="s">
        <v>7340</v>
      </c>
    </row>
    <row r="28" spans="1:6">
      <c r="A28" s="484">
        <v>23</v>
      </c>
      <c r="B28" s="485" t="s">
        <v>240</v>
      </c>
      <c r="C28" s="486" t="s">
        <v>7341</v>
      </c>
      <c r="D28" s="487" t="s">
        <v>7342</v>
      </c>
      <c r="E28" s="488" t="s">
        <v>7343</v>
      </c>
      <c r="F28" s="484" t="s">
        <v>7344</v>
      </c>
    </row>
    <row r="29" spans="1:6">
      <c r="A29" s="489">
        <v>24</v>
      </c>
      <c r="B29" s="490" t="s">
        <v>240</v>
      </c>
      <c r="C29" s="491" t="s">
        <v>7345</v>
      </c>
      <c r="D29" s="489" t="s">
        <v>7346</v>
      </c>
      <c r="E29" s="492" t="s">
        <v>7347</v>
      </c>
      <c r="F29" s="489" t="s">
        <v>7348</v>
      </c>
    </row>
    <row r="30" spans="1:6">
      <c r="A30" s="484">
        <v>25</v>
      </c>
      <c r="B30" s="485" t="s">
        <v>7349</v>
      </c>
      <c r="C30" s="486" t="s">
        <v>7350</v>
      </c>
      <c r="D30" s="487" t="s">
        <v>7351</v>
      </c>
      <c r="E30" s="488" t="s">
        <v>7352</v>
      </c>
      <c r="F30" s="484" t="s">
        <v>7353</v>
      </c>
    </row>
    <row r="31" spans="1:6" ht="36">
      <c r="A31" s="489">
        <v>26</v>
      </c>
      <c r="B31" s="490" t="s">
        <v>240</v>
      </c>
      <c r="C31" s="491" t="s">
        <v>7354</v>
      </c>
      <c r="D31" s="489" t="s">
        <v>7355</v>
      </c>
      <c r="E31" s="492" t="s">
        <v>7356</v>
      </c>
      <c r="F31" s="489" t="s">
        <v>7357</v>
      </c>
    </row>
    <row r="32" spans="1:6">
      <c r="A32" s="484">
        <v>27</v>
      </c>
      <c r="B32" s="485" t="s">
        <v>6995</v>
      </c>
      <c r="C32" s="486" t="s">
        <v>7358</v>
      </c>
      <c r="D32" s="487" t="s">
        <v>7359</v>
      </c>
      <c r="E32" s="488" t="s">
        <v>7360</v>
      </c>
      <c r="F32" s="484" t="s">
        <v>7361</v>
      </c>
    </row>
    <row r="33" spans="1:6">
      <c r="A33" s="489">
        <v>28</v>
      </c>
      <c r="B33" s="490" t="s">
        <v>240</v>
      </c>
      <c r="C33" s="491" t="s">
        <v>7362</v>
      </c>
      <c r="D33" s="489" t="s">
        <v>7363</v>
      </c>
      <c r="E33" s="492" t="s">
        <v>7364</v>
      </c>
      <c r="F33" s="489" t="s">
        <v>7365</v>
      </c>
    </row>
    <row r="34" spans="1:6">
      <c r="A34" s="484">
        <v>29</v>
      </c>
      <c r="B34" s="485" t="s">
        <v>240</v>
      </c>
      <c r="C34" s="486" t="s">
        <v>7366</v>
      </c>
      <c r="D34" s="487" t="s">
        <v>7367</v>
      </c>
      <c r="E34" s="488" t="s">
        <v>7368</v>
      </c>
      <c r="F34" s="484" t="s">
        <v>7369</v>
      </c>
    </row>
    <row r="35" spans="1:6">
      <c r="A35" s="489">
        <v>30</v>
      </c>
      <c r="B35" s="490" t="s">
        <v>7370</v>
      </c>
      <c r="C35" s="491" t="s">
        <v>7371</v>
      </c>
      <c r="D35" s="489" t="s">
        <v>7372</v>
      </c>
      <c r="E35" s="492" t="s">
        <v>7373</v>
      </c>
      <c r="F35" s="489" t="s">
        <v>7365</v>
      </c>
    </row>
    <row r="36" spans="1:6">
      <c r="A36" s="484">
        <v>31</v>
      </c>
      <c r="B36" s="485" t="s">
        <v>240</v>
      </c>
      <c r="C36" s="486" t="s">
        <v>7374</v>
      </c>
      <c r="D36" s="487" t="s">
        <v>7375</v>
      </c>
      <c r="E36" s="488" t="s">
        <v>7376</v>
      </c>
      <c r="F36" s="484" t="s">
        <v>7262</v>
      </c>
    </row>
    <row r="37" spans="1:6">
      <c r="A37" s="489">
        <v>32</v>
      </c>
      <c r="B37" s="490" t="s">
        <v>240</v>
      </c>
      <c r="C37" s="491" t="s">
        <v>7377</v>
      </c>
      <c r="D37" s="489" t="s">
        <v>7378</v>
      </c>
      <c r="E37" s="492" t="s">
        <v>7379</v>
      </c>
      <c r="F37" s="489" t="s">
        <v>7380</v>
      </c>
    </row>
    <row r="38" spans="1:6">
      <c r="A38" s="484">
        <v>33</v>
      </c>
      <c r="B38" s="485" t="s">
        <v>7381</v>
      </c>
      <c r="C38" s="486" t="s">
        <v>7382</v>
      </c>
      <c r="D38" s="487" t="s">
        <v>7383</v>
      </c>
      <c r="E38" s="488" t="s">
        <v>7384</v>
      </c>
      <c r="F38" s="484" t="s">
        <v>7385</v>
      </c>
    </row>
    <row r="39" spans="1:6">
      <c r="A39" s="489">
        <v>34</v>
      </c>
      <c r="B39" s="490" t="s">
        <v>7386</v>
      </c>
      <c r="C39" s="491" t="s">
        <v>7387</v>
      </c>
      <c r="D39" s="489" t="s">
        <v>7388</v>
      </c>
      <c r="E39" s="492" t="s">
        <v>7389</v>
      </c>
      <c r="F39" s="489" t="s">
        <v>7380</v>
      </c>
    </row>
    <row r="40" spans="1:6">
      <c r="A40" s="484">
        <v>35</v>
      </c>
      <c r="B40" s="485" t="s">
        <v>7390</v>
      </c>
      <c r="C40" s="486" t="s">
        <v>7391</v>
      </c>
      <c r="D40" s="487" t="s">
        <v>7355</v>
      </c>
      <c r="E40" s="488" t="s">
        <v>7392</v>
      </c>
      <c r="F40" s="484" t="s">
        <v>7369</v>
      </c>
    </row>
    <row r="41" spans="1:6">
      <c r="A41" s="489">
        <v>36</v>
      </c>
      <c r="B41" s="490" t="s">
        <v>1010</v>
      </c>
      <c r="C41" s="491" t="s">
        <v>7393</v>
      </c>
      <c r="D41" s="489" t="s">
        <v>7394</v>
      </c>
      <c r="E41" s="492" t="s">
        <v>7395</v>
      </c>
      <c r="F41" s="489" t="s">
        <v>7380</v>
      </c>
    </row>
    <row r="42" spans="1:6">
      <c r="A42" s="484">
        <v>37</v>
      </c>
      <c r="B42" s="485" t="s">
        <v>1010</v>
      </c>
      <c r="C42" s="486" t="s">
        <v>7396</v>
      </c>
      <c r="D42" s="487" t="s">
        <v>7397</v>
      </c>
      <c r="E42" s="488" t="s">
        <v>7398</v>
      </c>
      <c r="F42" s="484" t="s">
        <v>7292</v>
      </c>
    </row>
    <row r="43" spans="1:6">
      <c r="A43" s="489">
        <v>38</v>
      </c>
      <c r="B43" s="490" t="s">
        <v>1010</v>
      </c>
      <c r="C43" s="491" t="s">
        <v>7399</v>
      </c>
      <c r="D43" s="489" t="s">
        <v>7400</v>
      </c>
      <c r="E43" s="492" t="s">
        <v>7401</v>
      </c>
      <c r="F43" s="489" t="s">
        <v>7365</v>
      </c>
    </row>
    <row r="44" spans="1:6">
      <c r="A44" s="484">
        <v>39</v>
      </c>
      <c r="B44" s="485" t="s">
        <v>7402</v>
      </c>
      <c r="C44" s="486" t="s">
        <v>7403</v>
      </c>
      <c r="D44" s="487" t="s">
        <v>7273</v>
      </c>
      <c r="E44" s="488" t="s">
        <v>7404</v>
      </c>
      <c r="F44" s="484" t="s">
        <v>7405</v>
      </c>
    </row>
    <row r="45" spans="1:6" ht="23.5" customHeight="1">
      <c r="A45" s="489">
        <v>40</v>
      </c>
      <c r="B45" s="490" t="s">
        <v>7406</v>
      </c>
      <c r="C45" s="491" t="s">
        <v>7407</v>
      </c>
      <c r="D45" s="489" t="s">
        <v>7388</v>
      </c>
      <c r="E45" s="492" t="s">
        <v>7408</v>
      </c>
      <c r="F45" s="489" t="s">
        <v>7409</v>
      </c>
    </row>
    <row r="46" spans="1:6">
      <c r="A46" s="484">
        <v>41</v>
      </c>
      <c r="B46" s="485" t="s">
        <v>639</v>
      </c>
      <c r="C46" s="486" t="s">
        <v>7410</v>
      </c>
      <c r="D46" s="487" t="s">
        <v>7273</v>
      </c>
      <c r="E46" s="488" t="s">
        <v>7411</v>
      </c>
      <c r="F46" s="484" t="s">
        <v>7412</v>
      </c>
    </row>
    <row r="47" spans="1:6">
      <c r="A47" s="489">
        <v>42</v>
      </c>
      <c r="B47" s="490" t="s">
        <v>7413</v>
      </c>
      <c r="C47" s="491" t="s">
        <v>7414</v>
      </c>
      <c r="D47" s="489" t="s">
        <v>7273</v>
      </c>
      <c r="E47" s="492" t="s">
        <v>7415</v>
      </c>
      <c r="F47" s="489" t="s">
        <v>7405</v>
      </c>
    </row>
    <row r="48" spans="1:6">
      <c r="A48" s="484">
        <v>43</v>
      </c>
      <c r="B48" s="485" t="s">
        <v>639</v>
      </c>
      <c r="C48" s="486" t="s">
        <v>7416</v>
      </c>
      <c r="D48" s="487" t="s">
        <v>7273</v>
      </c>
      <c r="E48" s="488" t="s">
        <v>7417</v>
      </c>
      <c r="F48" s="484" t="s">
        <v>7418</v>
      </c>
    </row>
    <row r="49" spans="1:6">
      <c r="A49" s="489">
        <v>44</v>
      </c>
      <c r="B49" s="490" t="s">
        <v>84</v>
      </c>
      <c r="C49" s="491" t="s">
        <v>7419</v>
      </c>
      <c r="D49" s="489" t="s">
        <v>7420</v>
      </c>
      <c r="E49" s="492" t="s">
        <v>7421</v>
      </c>
      <c r="F49" s="489" t="s">
        <v>7422</v>
      </c>
    </row>
    <row r="50" spans="1:6">
      <c r="A50" s="484">
        <v>45</v>
      </c>
      <c r="B50" s="485" t="s">
        <v>7423</v>
      </c>
      <c r="C50" s="486" t="s">
        <v>7424</v>
      </c>
      <c r="D50" s="487" t="s">
        <v>846</v>
      </c>
      <c r="E50" s="488" t="s">
        <v>7425</v>
      </c>
      <c r="F50" s="484" t="s">
        <v>7422</v>
      </c>
    </row>
    <row r="51" spans="1:6">
      <c r="A51" s="489">
        <v>46</v>
      </c>
      <c r="B51" s="490" t="s">
        <v>84</v>
      </c>
      <c r="C51" s="491" t="s">
        <v>7426</v>
      </c>
      <c r="D51" s="489" t="s">
        <v>7427</v>
      </c>
      <c r="E51" s="492" t="s">
        <v>7428</v>
      </c>
      <c r="F51" s="489" t="s">
        <v>7262</v>
      </c>
    </row>
    <row r="52" spans="1:6">
      <c r="A52" s="484">
        <v>47</v>
      </c>
      <c r="B52" s="485" t="s">
        <v>7429</v>
      </c>
      <c r="C52" s="486" t="s">
        <v>1107</v>
      </c>
      <c r="D52" s="487" t="s">
        <v>7430</v>
      </c>
      <c r="E52" s="488" t="s">
        <v>7431</v>
      </c>
      <c r="F52" s="484" t="s">
        <v>7405</v>
      </c>
    </row>
    <row r="53" spans="1:6" ht="30.65" customHeight="1">
      <c r="A53" s="489">
        <v>48</v>
      </c>
      <c r="B53" s="490" t="s">
        <v>7432</v>
      </c>
      <c r="C53" s="491" t="s">
        <v>7433</v>
      </c>
      <c r="D53" s="489" t="s">
        <v>7273</v>
      </c>
      <c r="E53" s="492" t="s">
        <v>7434</v>
      </c>
      <c r="F53" s="489" t="s">
        <v>7292</v>
      </c>
    </row>
    <row r="54" spans="1:6">
      <c r="A54" s="484">
        <v>49</v>
      </c>
      <c r="B54" s="485" t="s">
        <v>7435</v>
      </c>
      <c r="C54" s="486" t="s">
        <v>7436</v>
      </c>
      <c r="D54" s="487" t="s">
        <v>7437</v>
      </c>
      <c r="E54" s="488" t="s">
        <v>7438</v>
      </c>
      <c r="F54" s="484" t="s">
        <v>7439</v>
      </c>
    </row>
    <row r="55" spans="1:6">
      <c r="A55" s="489">
        <v>50</v>
      </c>
      <c r="B55" s="490" t="s">
        <v>7440</v>
      </c>
      <c r="C55" s="491" t="s">
        <v>7441</v>
      </c>
      <c r="D55" s="489" t="s">
        <v>7442</v>
      </c>
      <c r="E55" s="492" t="s">
        <v>7443</v>
      </c>
      <c r="F55" s="489" t="s">
        <v>7444</v>
      </c>
    </row>
    <row r="56" spans="1:6">
      <c r="A56" s="484">
        <v>51</v>
      </c>
      <c r="B56" s="485" t="s">
        <v>7445</v>
      </c>
      <c r="C56" s="486" t="s">
        <v>7446</v>
      </c>
      <c r="D56" s="487" t="s">
        <v>7447</v>
      </c>
      <c r="E56" s="488" t="s">
        <v>7448</v>
      </c>
      <c r="F56" s="484" t="s">
        <v>7449</v>
      </c>
    </row>
    <row r="57" spans="1:6">
      <c r="A57" s="489">
        <v>52</v>
      </c>
      <c r="B57" s="490" t="s">
        <v>7450</v>
      </c>
      <c r="C57" s="491" t="s">
        <v>7451</v>
      </c>
      <c r="D57" s="489" t="s">
        <v>7452</v>
      </c>
      <c r="E57" s="492" t="s">
        <v>7453</v>
      </c>
      <c r="F57" s="489" t="s">
        <v>7454</v>
      </c>
    </row>
    <row r="58" spans="1:6">
      <c r="A58" s="484">
        <v>53</v>
      </c>
      <c r="B58" s="485" t="s">
        <v>7455</v>
      </c>
      <c r="C58" s="486" t="s">
        <v>7456</v>
      </c>
      <c r="D58" s="487" t="s">
        <v>7268</v>
      </c>
      <c r="E58" s="488" t="s">
        <v>7457</v>
      </c>
      <c r="F58" s="484" t="s">
        <v>7458</v>
      </c>
    </row>
    <row r="59" spans="1:6">
      <c r="A59" s="489">
        <v>54</v>
      </c>
      <c r="B59" s="490" t="s">
        <v>7459</v>
      </c>
      <c r="C59" s="491" t="s">
        <v>7460</v>
      </c>
      <c r="D59" s="489" t="s">
        <v>7461</v>
      </c>
      <c r="E59" s="492" t="s">
        <v>7462</v>
      </c>
      <c r="F59" s="489" t="s">
        <v>7463</v>
      </c>
    </row>
    <row r="60" spans="1:6">
      <c r="A60" s="484">
        <v>55</v>
      </c>
      <c r="B60" s="485" t="s">
        <v>7464</v>
      </c>
      <c r="C60" s="486" t="s">
        <v>7465</v>
      </c>
      <c r="D60" s="487" t="s">
        <v>7466</v>
      </c>
      <c r="E60" s="488" t="s">
        <v>7467</v>
      </c>
      <c r="F60" s="484" t="s">
        <v>7444</v>
      </c>
    </row>
    <row r="61" spans="1:6">
      <c r="A61" s="489">
        <v>56</v>
      </c>
      <c r="B61" s="490" t="s">
        <v>7468</v>
      </c>
      <c r="C61" s="491" t="s">
        <v>7469</v>
      </c>
      <c r="D61" s="489" t="s">
        <v>7470</v>
      </c>
      <c r="E61" s="492" t="s">
        <v>7471</v>
      </c>
      <c r="F61" s="489" t="s">
        <v>7472</v>
      </c>
    </row>
    <row r="62" spans="1:6">
      <c r="A62" s="484">
        <v>57</v>
      </c>
      <c r="B62" s="485" t="s">
        <v>7473</v>
      </c>
      <c r="C62" s="486" t="s">
        <v>7474</v>
      </c>
      <c r="D62" s="487" t="s">
        <v>7475</v>
      </c>
      <c r="E62" s="488" t="s">
        <v>7476</v>
      </c>
      <c r="F62" s="484" t="s">
        <v>7477</v>
      </c>
    </row>
    <row r="63" spans="1:6">
      <c r="A63" s="489">
        <v>58</v>
      </c>
      <c r="B63" s="490" t="s">
        <v>7478</v>
      </c>
      <c r="C63" s="491"/>
      <c r="D63" s="489" t="s">
        <v>2077</v>
      </c>
      <c r="E63" s="492" t="s">
        <v>7479</v>
      </c>
      <c r="F63" s="489" t="s">
        <v>7405</v>
      </c>
    </row>
    <row r="64" spans="1:6">
      <c r="A64" s="484">
        <v>59</v>
      </c>
      <c r="B64" s="485" t="s">
        <v>7480</v>
      </c>
      <c r="C64" s="486" t="s">
        <v>7481</v>
      </c>
      <c r="D64" s="487" t="s">
        <v>7482</v>
      </c>
      <c r="E64" s="488" t="s">
        <v>7483</v>
      </c>
      <c r="F64" s="484" t="s">
        <v>7262</v>
      </c>
    </row>
    <row r="65" spans="1:6">
      <c r="A65" s="489">
        <v>60</v>
      </c>
      <c r="B65" s="490" t="s">
        <v>7484</v>
      </c>
      <c r="C65" s="491" t="s">
        <v>7485</v>
      </c>
      <c r="D65" s="489" t="s">
        <v>7430</v>
      </c>
      <c r="E65" s="492" t="s">
        <v>7486</v>
      </c>
      <c r="F65" s="489" t="s">
        <v>7487</v>
      </c>
    </row>
    <row r="66" spans="1:6">
      <c r="A66" s="484">
        <v>61</v>
      </c>
      <c r="B66" s="485" t="s">
        <v>7488</v>
      </c>
      <c r="C66" s="486" t="s">
        <v>7489</v>
      </c>
      <c r="D66" s="487" t="s">
        <v>7490</v>
      </c>
      <c r="E66" s="488" t="s">
        <v>7491</v>
      </c>
      <c r="F66" s="484" t="s">
        <v>7262</v>
      </c>
    </row>
    <row r="67" spans="1:6">
      <c r="A67" s="489">
        <v>62</v>
      </c>
      <c r="B67" s="490" t="s">
        <v>7492</v>
      </c>
      <c r="C67" s="491" t="s">
        <v>7493</v>
      </c>
      <c r="D67" s="489" t="s">
        <v>7494</v>
      </c>
      <c r="E67" s="492" t="s">
        <v>7495</v>
      </c>
      <c r="F67" s="489" t="s">
        <v>7262</v>
      </c>
    </row>
    <row r="68" spans="1:6">
      <c r="A68" s="484">
        <v>63</v>
      </c>
      <c r="B68" s="485" t="s">
        <v>7496</v>
      </c>
      <c r="C68" s="486" t="s">
        <v>7497</v>
      </c>
      <c r="D68" s="487" t="s">
        <v>7355</v>
      </c>
      <c r="E68" s="488" t="s">
        <v>7498</v>
      </c>
      <c r="F68" s="484" t="s">
        <v>7257</v>
      </c>
    </row>
    <row r="69" spans="1:6">
      <c r="A69" s="489">
        <v>64</v>
      </c>
      <c r="B69" s="490" t="s">
        <v>7499</v>
      </c>
      <c r="C69" s="491" t="s">
        <v>7500</v>
      </c>
      <c r="D69" s="489" t="s">
        <v>7501</v>
      </c>
      <c r="E69" s="492" t="s">
        <v>7502</v>
      </c>
      <c r="F69" s="489" t="s">
        <v>7262</v>
      </c>
    </row>
    <row r="70" spans="1:6">
      <c r="A70" s="484">
        <v>65</v>
      </c>
      <c r="B70" s="485" t="s">
        <v>88</v>
      </c>
      <c r="C70" s="486" t="s">
        <v>7503</v>
      </c>
      <c r="D70" s="487" t="s">
        <v>7355</v>
      </c>
      <c r="E70" s="488" t="s">
        <v>7504</v>
      </c>
      <c r="F70" s="484" t="s">
        <v>7262</v>
      </c>
    </row>
    <row r="71" spans="1:6">
      <c r="A71" s="489">
        <v>66</v>
      </c>
      <c r="B71" s="490" t="s">
        <v>7505</v>
      </c>
      <c r="C71" s="491" t="s">
        <v>7506</v>
      </c>
      <c r="D71" s="489" t="s">
        <v>2500</v>
      </c>
      <c r="E71" s="492" t="s">
        <v>7507</v>
      </c>
      <c r="F71" s="489" t="s">
        <v>7292</v>
      </c>
    </row>
    <row r="72" spans="1:6">
      <c r="A72" s="484">
        <v>67</v>
      </c>
      <c r="B72" s="485" t="s">
        <v>7508</v>
      </c>
      <c r="C72" s="486" t="s">
        <v>7509</v>
      </c>
      <c r="D72" s="487" t="s">
        <v>7510</v>
      </c>
      <c r="E72" s="488" t="s">
        <v>7511</v>
      </c>
      <c r="F72" s="484" t="s">
        <v>7262</v>
      </c>
    </row>
    <row r="73" spans="1:6">
      <c r="A73" s="489">
        <v>68</v>
      </c>
      <c r="B73" s="490" t="s">
        <v>7512</v>
      </c>
      <c r="C73" s="491" t="s">
        <v>7513</v>
      </c>
      <c r="D73" s="489" t="s">
        <v>7355</v>
      </c>
      <c r="E73" s="492" t="s">
        <v>7514</v>
      </c>
      <c r="F73" s="489" t="s">
        <v>7515</v>
      </c>
    </row>
    <row r="74" spans="1:6">
      <c r="A74" s="484">
        <v>69</v>
      </c>
      <c r="B74" s="485" t="s">
        <v>7516</v>
      </c>
      <c r="C74" s="486" t="s">
        <v>7517</v>
      </c>
      <c r="D74" s="487" t="s">
        <v>7282</v>
      </c>
      <c r="E74" s="488" t="s">
        <v>7518</v>
      </c>
      <c r="F74" s="484" t="s">
        <v>7257</v>
      </c>
    </row>
    <row r="75" spans="1:6">
      <c r="A75" s="489">
        <v>70</v>
      </c>
      <c r="B75" s="490" t="s">
        <v>7519</v>
      </c>
      <c r="C75" s="491" t="s">
        <v>7520</v>
      </c>
      <c r="D75" s="489" t="s">
        <v>7521</v>
      </c>
      <c r="E75" s="492" t="s">
        <v>7522</v>
      </c>
      <c r="F75" s="489"/>
    </row>
    <row r="76" spans="1:6">
      <c r="A76" s="484">
        <v>71</v>
      </c>
      <c r="B76" s="485" t="s">
        <v>7523</v>
      </c>
      <c r="C76" s="486" t="s">
        <v>7524</v>
      </c>
      <c r="D76" s="487" t="s">
        <v>7525</v>
      </c>
      <c r="E76" s="488" t="s">
        <v>7526</v>
      </c>
      <c r="F76" s="484" t="s">
        <v>7405</v>
      </c>
    </row>
    <row r="77" spans="1:6">
      <c r="A77" s="489">
        <v>72</v>
      </c>
      <c r="B77" s="490" t="s">
        <v>260</v>
      </c>
      <c r="C77" s="491" t="s">
        <v>7527</v>
      </c>
      <c r="D77" s="489" t="s">
        <v>7273</v>
      </c>
      <c r="E77" s="492" t="s">
        <v>7528</v>
      </c>
      <c r="F77" s="489" t="s">
        <v>7262</v>
      </c>
    </row>
    <row r="78" spans="1:6">
      <c r="A78" s="484">
        <v>73</v>
      </c>
      <c r="B78" s="485" t="s">
        <v>376</v>
      </c>
      <c r="C78" s="486" t="s">
        <v>7529</v>
      </c>
      <c r="D78" s="487" t="s">
        <v>7530</v>
      </c>
      <c r="E78" s="488" t="s">
        <v>7531</v>
      </c>
      <c r="F78" s="484" t="s">
        <v>7262</v>
      </c>
    </row>
    <row r="79" spans="1:6">
      <c r="A79" s="489">
        <v>74</v>
      </c>
      <c r="B79" s="490" t="s">
        <v>7532</v>
      </c>
      <c r="C79" s="491" t="s">
        <v>7533</v>
      </c>
      <c r="D79" s="489" t="s">
        <v>7534</v>
      </c>
      <c r="E79" s="492" t="s">
        <v>7535</v>
      </c>
      <c r="F79" s="489" t="s">
        <v>7262</v>
      </c>
    </row>
    <row r="80" spans="1:6">
      <c r="A80" s="484">
        <v>75</v>
      </c>
      <c r="B80" s="485" t="s">
        <v>7536</v>
      </c>
      <c r="C80" s="486" t="s">
        <v>7537</v>
      </c>
      <c r="D80" s="487" t="s">
        <v>7538</v>
      </c>
      <c r="E80" s="488" t="s">
        <v>7539</v>
      </c>
      <c r="F80" s="484" t="s">
        <v>7262</v>
      </c>
    </row>
    <row r="81" spans="1:6">
      <c r="A81" s="489">
        <v>76</v>
      </c>
      <c r="B81" s="490" t="s">
        <v>7540</v>
      </c>
      <c r="C81" s="491" t="s">
        <v>7541</v>
      </c>
      <c r="D81" s="489" t="s">
        <v>7355</v>
      </c>
      <c r="E81" s="492" t="s">
        <v>7542</v>
      </c>
      <c r="F81" s="489" t="s">
        <v>7262</v>
      </c>
    </row>
    <row r="82" spans="1:6">
      <c r="A82" s="484">
        <v>77</v>
      </c>
      <c r="B82" s="485" t="s">
        <v>380</v>
      </c>
      <c r="C82" s="486" t="s">
        <v>7543</v>
      </c>
      <c r="D82" s="487" t="s">
        <v>7273</v>
      </c>
      <c r="E82" s="488" t="s">
        <v>7544</v>
      </c>
      <c r="F82" s="484" t="s">
        <v>7262</v>
      </c>
    </row>
    <row r="83" spans="1:6">
      <c r="A83" s="489">
        <v>78</v>
      </c>
      <c r="B83" s="490" t="s">
        <v>7545</v>
      </c>
      <c r="C83" s="491"/>
      <c r="D83" s="489" t="s">
        <v>846</v>
      </c>
      <c r="E83" s="492" t="s">
        <v>7546</v>
      </c>
      <c r="F83" s="489" t="s">
        <v>7547</v>
      </c>
    </row>
    <row r="84" spans="1:6">
      <c r="A84" s="484">
        <v>79</v>
      </c>
      <c r="B84" s="485" t="s">
        <v>7548</v>
      </c>
      <c r="C84" s="486" t="s">
        <v>7549</v>
      </c>
      <c r="D84" s="487" t="s">
        <v>7550</v>
      </c>
      <c r="E84" s="488" t="s">
        <v>7551</v>
      </c>
      <c r="F84" s="484" t="s">
        <v>7262</v>
      </c>
    </row>
    <row r="85" spans="1:6">
      <c r="A85" s="489">
        <v>80</v>
      </c>
      <c r="B85" s="490" t="s">
        <v>7552</v>
      </c>
      <c r="C85" s="491" t="s">
        <v>7553</v>
      </c>
      <c r="D85" s="489" t="s">
        <v>7355</v>
      </c>
      <c r="E85" s="492" t="s">
        <v>7554</v>
      </c>
      <c r="F85" s="489" t="s">
        <v>7555</v>
      </c>
    </row>
    <row r="86" spans="1:6" ht="36">
      <c r="A86" s="484">
        <v>81</v>
      </c>
      <c r="B86" s="485" t="s">
        <v>7556</v>
      </c>
      <c r="C86" s="486" t="s">
        <v>7557</v>
      </c>
      <c r="D86" s="487" t="s">
        <v>7558</v>
      </c>
      <c r="E86" s="488" t="s">
        <v>7559</v>
      </c>
      <c r="F86" s="484" t="s">
        <v>7405</v>
      </c>
    </row>
    <row r="87" spans="1:6">
      <c r="A87" s="489">
        <v>82</v>
      </c>
      <c r="B87" s="490" t="s">
        <v>7556</v>
      </c>
      <c r="C87" s="491" t="s">
        <v>7560</v>
      </c>
      <c r="D87" s="489" t="s">
        <v>846</v>
      </c>
      <c r="E87" s="492" t="s">
        <v>7561</v>
      </c>
      <c r="F87" s="489" t="s">
        <v>7562</v>
      </c>
    </row>
  </sheetData>
  <autoFilter ref="A5:F5" xr:uid="{8F0D6294-1801-4F10-8679-6EF46A416F48}"/>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362EC-B4FD-4CF0-99A2-88D02A56CEA4}">
  <sheetPr>
    <tabColor rgb="FF92D050"/>
  </sheetPr>
  <dimension ref="A2:E88"/>
  <sheetViews>
    <sheetView showGridLines="0" topLeftCell="A68" workbookViewId="0">
      <selection activeCell="C17" sqref="C17"/>
    </sheetView>
  </sheetViews>
  <sheetFormatPr baseColWidth="10" defaultColWidth="8.83203125" defaultRowHeight="12"/>
  <cols>
    <col min="1" max="1" width="4.25" style="148" customWidth="1"/>
    <col min="2" max="2" width="37" style="148" bestFit="1" customWidth="1"/>
    <col min="3" max="3" width="22.5" style="148" bestFit="1" customWidth="1"/>
    <col min="4" max="4" width="20.75" style="161" bestFit="1" customWidth="1"/>
    <col min="5" max="5" width="20.4140625" style="148" bestFit="1" customWidth="1"/>
    <col min="6" max="16384" width="8.83203125" style="148"/>
  </cols>
  <sheetData>
    <row r="2" spans="1:5">
      <c r="A2" s="191" t="s">
        <v>7842</v>
      </c>
      <c r="B2" s="191"/>
    </row>
    <row r="5" spans="1:5">
      <c r="A5" s="483" t="s">
        <v>7564</v>
      </c>
      <c r="B5" s="483" t="s">
        <v>7565</v>
      </c>
      <c r="C5" s="483" t="s">
        <v>7566</v>
      </c>
      <c r="D5" s="483" t="s">
        <v>7567</v>
      </c>
      <c r="E5" s="483" t="s">
        <v>7568</v>
      </c>
    </row>
    <row r="6" spans="1:5">
      <c r="A6" s="484">
        <v>1</v>
      </c>
      <c r="B6" s="485" t="s">
        <v>7569</v>
      </c>
      <c r="C6" s="486" t="s">
        <v>7570</v>
      </c>
      <c r="D6" s="487" t="s">
        <v>7571</v>
      </c>
      <c r="E6" s="488" t="s">
        <v>7572</v>
      </c>
    </row>
    <row r="7" spans="1:5">
      <c r="A7" s="489">
        <v>2</v>
      </c>
      <c r="B7" s="490" t="s">
        <v>7573</v>
      </c>
      <c r="C7" s="491" t="s">
        <v>7574</v>
      </c>
      <c r="D7" s="489" t="s">
        <v>7575</v>
      </c>
      <c r="E7" s="492" t="s">
        <v>7576</v>
      </c>
    </row>
    <row r="8" spans="1:5">
      <c r="A8" s="484">
        <v>3</v>
      </c>
      <c r="B8" s="485" t="s">
        <v>7577</v>
      </c>
      <c r="C8" s="486" t="s">
        <v>7578</v>
      </c>
      <c r="D8" s="487" t="s">
        <v>7579</v>
      </c>
      <c r="E8" s="488" t="s">
        <v>7580</v>
      </c>
    </row>
    <row r="9" spans="1:5">
      <c r="A9" s="489">
        <v>4</v>
      </c>
      <c r="B9" s="490" t="s">
        <v>7581</v>
      </c>
      <c r="C9" s="491" t="s">
        <v>7582</v>
      </c>
      <c r="D9" s="489" t="s">
        <v>7583</v>
      </c>
      <c r="E9" s="492" t="s">
        <v>7584</v>
      </c>
    </row>
    <row r="10" spans="1:5">
      <c r="A10" s="484">
        <v>5</v>
      </c>
      <c r="B10" s="485" t="s">
        <v>7585</v>
      </c>
      <c r="C10" s="486" t="s">
        <v>7586</v>
      </c>
      <c r="D10" s="487" t="s">
        <v>7587</v>
      </c>
      <c r="E10" s="488" t="s">
        <v>7588</v>
      </c>
    </row>
    <row r="11" spans="1:5">
      <c r="A11" s="489">
        <v>6</v>
      </c>
      <c r="B11" s="490" t="s">
        <v>7589</v>
      </c>
      <c r="C11" s="491" t="s">
        <v>7590</v>
      </c>
      <c r="D11" s="489" t="s">
        <v>7591</v>
      </c>
      <c r="E11" s="492" t="s">
        <v>7592</v>
      </c>
    </row>
    <row r="12" spans="1:5">
      <c r="A12" s="484">
        <v>7</v>
      </c>
      <c r="B12" s="485" t="s">
        <v>380</v>
      </c>
      <c r="C12" s="486" t="s">
        <v>7543</v>
      </c>
      <c r="D12" s="487" t="s">
        <v>7593</v>
      </c>
      <c r="E12" s="488" t="s">
        <v>7594</v>
      </c>
    </row>
    <row r="13" spans="1:5">
      <c r="A13" s="489">
        <v>8</v>
      </c>
      <c r="B13" s="490" t="s">
        <v>7595</v>
      </c>
      <c r="C13" s="491" t="s">
        <v>7596</v>
      </c>
      <c r="D13" s="489" t="s">
        <v>3010</v>
      </c>
      <c r="E13" s="492" t="s">
        <v>7597</v>
      </c>
    </row>
    <row r="14" spans="1:5">
      <c r="A14" s="484">
        <v>9</v>
      </c>
      <c r="B14" s="485" t="s">
        <v>7598</v>
      </c>
      <c r="C14" s="486" t="s">
        <v>7599</v>
      </c>
      <c r="D14" s="487" t="s">
        <v>7600</v>
      </c>
      <c r="E14" s="488" t="s">
        <v>7601</v>
      </c>
    </row>
    <row r="15" spans="1:5">
      <c r="A15" s="489">
        <v>10</v>
      </c>
      <c r="B15" s="490" t="s">
        <v>7602</v>
      </c>
      <c r="C15" s="491" t="s">
        <v>7603</v>
      </c>
      <c r="D15" s="489" t="s">
        <v>7604</v>
      </c>
      <c r="E15" s="492" t="s">
        <v>7605</v>
      </c>
    </row>
    <row r="16" spans="1:5">
      <c r="A16" s="484">
        <v>11</v>
      </c>
      <c r="B16" s="485" t="s">
        <v>7606</v>
      </c>
      <c r="C16" s="486" t="s">
        <v>7607</v>
      </c>
      <c r="D16" s="487" t="s">
        <v>7604</v>
      </c>
      <c r="E16" s="488" t="s">
        <v>7608</v>
      </c>
    </row>
    <row r="17" spans="1:5">
      <c r="A17" s="489">
        <v>12</v>
      </c>
      <c r="B17" s="490" t="s">
        <v>7609</v>
      </c>
      <c r="C17" s="491" t="s">
        <v>7610</v>
      </c>
      <c r="D17" s="489" t="s">
        <v>7611</v>
      </c>
      <c r="E17" s="492" t="s">
        <v>7612</v>
      </c>
    </row>
    <row r="18" spans="1:5">
      <c r="A18" s="484">
        <v>13</v>
      </c>
      <c r="B18" s="485" t="s">
        <v>7613</v>
      </c>
      <c r="C18" s="486" t="s">
        <v>7614</v>
      </c>
      <c r="D18" s="487" t="s">
        <v>7611</v>
      </c>
      <c r="E18" s="488" t="s">
        <v>7615</v>
      </c>
    </row>
    <row r="19" spans="1:5">
      <c r="A19" s="489">
        <v>14</v>
      </c>
      <c r="B19" s="490" t="s">
        <v>7616</v>
      </c>
      <c r="C19" s="491" t="s">
        <v>7617</v>
      </c>
      <c r="D19" s="489" t="s">
        <v>7618</v>
      </c>
      <c r="E19" s="492" t="s">
        <v>7619</v>
      </c>
    </row>
    <row r="20" spans="1:5">
      <c r="A20" s="484">
        <v>15</v>
      </c>
      <c r="B20" s="485" t="s">
        <v>381</v>
      </c>
      <c r="C20" s="486" t="s">
        <v>7620</v>
      </c>
      <c r="D20" s="487" t="s">
        <v>7621</v>
      </c>
      <c r="E20" s="488" t="s">
        <v>7622</v>
      </c>
    </row>
    <row r="21" spans="1:5">
      <c r="A21" s="489">
        <v>16</v>
      </c>
      <c r="B21" s="490" t="s">
        <v>7623</v>
      </c>
      <c r="C21" s="491" t="s">
        <v>7624</v>
      </c>
      <c r="D21" s="489" t="s">
        <v>7625</v>
      </c>
      <c r="E21" s="492" t="s">
        <v>7626</v>
      </c>
    </row>
    <row r="22" spans="1:5">
      <c r="A22" s="484">
        <v>17</v>
      </c>
      <c r="B22" s="485" t="s">
        <v>376</v>
      </c>
      <c r="C22" s="486" t="s">
        <v>7627</v>
      </c>
      <c r="D22" s="487" t="s">
        <v>846</v>
      </c>
      <c r="E22" s="488" t="s">
        <v>7628</v>
      </c>
    </row>
    <row r="23" spans="1:5">
      <c r="A23" s="489">
        <v>18</v>
      </c>
      <c r="B23" s="490" t="s">
        <v>376</v>
      </c>
      <c r="C23" s="491" t="s">
        <v>7629</v>
      </c>
      <c r="D23" s="489" t="s">
        <v>7630</v>
      </c>
      <c r="E23" s="492" t="s">
        <v>7631</v>
      </c>
    </row>
    <row r="24" spans="1:5">
      <c r="A24" s="484">
        <v>19</v>
      </c>
      <c r="B24" s="485" t="s">
        <v>161</v>
      </c>
      <c r="C24" s="486" t="s">
        <v>7632</v>
      </c>
      <c r="D24" s="487" t="s">
        <v>7625</v>
      </c>
      <c r="E24" s="488" t="s">
        <v>7633</v>
      </c>
    </row>
    <row r="25" spans="1:5">
      <c r="A25" s="489">
        <v>20</v>
      </c>
      <c r="B25" s="490" t="s">
        <v>7634</v>
      </c>
      <c r="C25" s="491" t="s">
        <v>7635</v>
      </c>
      <c r="D25" s="489" t="s">
        <v>7636</v>
      </c>
      <c r="E25" s="492" t="s">
        <v>7637</v>
      </c>
    </row>
    <row r="26" spans="1:5">
      <c r="A26" s="484">
        <v>21</v>
      </c>
      <c r="B26" s="485" t="s">
        <v>371</v>
      </c>
      <c r="C26" s="486" t="s">
        <v>7638</v>
      </c>
      <c r="D26" s="487" t="s">
        <v>7355</v>
      </c>
      <c r="E26" s="488" t="s">
        <v>7639</v>
      </c>
    </row>
    <row r="27" spans="1:5">
      <c r="A27" s="489">
        <v>22</v>
      </c>
      <c r="B27" s="490" t="s">
        <v>7613</v>
      </c>
      <c r="C27" s="491" t="s">
        <v>7640</v>
      </c>
      <c r="D27" s="489" t="s">
        <v>7611</v>
      </c>
      <c r="E27" s="492" t="s">
        <v>7641</v>
      </c>
    </row>
    <row r="28" spans="1:5">
      <c r="A28" s="484">
        <v>23</v>
      </c>
      <c r="B28" s="485" t="s">
        <v>7642</v>
      </c>
      <c r="C28" s="486" t="s">
        <v>7643</v>
      </c>
      <c r="D28" s="487" t="s">
        <v>7618</v>
      </c>
      <c r="E28" s="488" t="s">
        <v>7644</v>
      </c>
    </row>
    <row r="29" spans="1:5">
      <c r="A29" s="489">
        <v>24</v>
      </c>
      <c r="B29" s="490" t="s">
        <v>7645</v>
      </c>
      <c r="C29" s="491" t="s">
        <v>7646</v>
      </c>
      <c r="D29" s="489" t="s">
        <v>7611</v>
      </c>
      <c r="E29" s="492" t="s">
        <v>7647</v>
      </c>
    </row>
    <row r="30" spans="1:5">
      <c r="A30" s="484">
        <v>25</v>
      </c>
      <c r="B30" s="485" t="s">
        <v>7648</v>
      </c>
      <c r="C30" s="486" t="s">
        <v>7649</v>
      </c>
      <c r="D30" s="487" t="s">
        <v>7355</v>
      </c>
      <c r="E30" s="488" t="s">
        <v>7650</v>
      </c>
    </row>
    <row r="31" spans="1:5">
      <c r="A31" s="489">
        <v>26</v>
      </c>
      <c r="B31" s="490" t="s">
        <v>5738</v>
      </c>
      <c r="C31" s="491" t="s">
        <v>7651</v>
      </c>
      <c r="D31" s="489" t="s">
        <v>7611</v>
      </c>
      <c r="E31" s="492" t="s">
        <v>7652</v>
      </c>
    </row>
    <row r="32" spans="1:5">
      <c r="A32" s="484">
        <v>27</v>
      </c>
      <c r="B32" s="485" t="s">
        <v>7653</v>
      </c>
      <c r="C32" s="486" t="s">
        <v>7654</v>
      </c>
      <c r="D32" s="487" t="s">
        <v>7611</v>
      </c>
      <c r="E32" s="488" t="s">
        <v>7655</v>
      </c>
    </row>
    <row r="33" spans="1:5">
      <c r="A33" s="489">
        <v>28</v>
      </c>
      <c r="B33" s="490" t="s">
        <v>7656</v>
      </c>
      <c r="C33" s="491" t="s">
        <v>7657</v>
      </c>
      <c r="D33" s="489" t="s">
        <v>846</v>
      </c>
      <c r="E33" s="492" t="s">
        <v>7658</v>
      </c>
    </row>
    <row r="34" spans="1:5">
      <c r="A34" s="484">
        <v>29</v>
      </c>
      <c r="B34" s="485" t="s">
        <v>7659</v>
      </c>
      <c r="C34" s="486" t="s">
        <v>7660</v>
      </c>
      <c r="D34" s="487" t="s">
        <v>7661</v>
      </c>
      <c r="E34" s="488" t="s">
        <v>7662</v>
      </c>
    </row>
    <row r="35" spans="1:5">
      <c r="A35" s="489">
        <v>30</v>
      </c>
      <c r="B35" s="490" t="s">
        <v>5708</v>
      </c>
      <c r="C35" s="491" t="s">
        <v>7663</v>
      </c>
      <c r="D35" s="489" t="s">
        <v>7611</v>
      </c>
      <c r="E35" s="492" t="s">
        <v>7664</v>
      </c>
    </row>
    <row r="36" spans="1:5">
      <c r="A36" s="484">
        <v>31</v>
      </c>
      <c r="B36" s="485" t="s">
        <v>375</v>
      </c>
      <c r="C36" s="486" t="s">
        <v>7665</v>
      </c>
      <c r="D36" s="487" t="s">
        <v>7346</v>
      </c>
      <c r="E36" s="488" t="s">
        <v>7666</v>
      </c>
    </row>
    <row r="37" spans="1:5">
      <c r="A37" s="489">
        <v>32</v>
      </c>
      <c r="B37" s="490" t="s">
        <v>7667</v>
      </c>
      <c r="C37" s="491" t="s">
        <v>7668</v>
      </c>
      <c r="D37" s="489" t="s">
        <v>7618</v>
      </c>
      <c r="E37" s="492" t="s">
        <v>7669</v>
      </c>
    </row>
    <row r="38" spans="1:5">
      <c r="A38" s="484">
        <v>33</v>
      </c>
      <c r="B38" s="485" t="s">
        <v>7670</v>
      </c>
      <c r="C38" s="486" t="s">
        <v>7671</v>
      </c>
      <c r="D38" s="487" t="s">
        <v>7288</v>
      </c>
      <c r="E38" s="488" t="s">
        <v>7672</v>
      </c>
    </row>
    <row r="39" spans="1:5">
      <c r="A39" s="489">
        <v>34</v>
      </c>
      <c r="B39" s="490" t="s">
        <v>7673</v>
      </c>
      <c r="C39" s="491" t="s">
        <v>7674</v>
      </c>
      <c r="D39" s="489" t="s">
        <v>7288</v>
      </c>
      <c r="E39" s="492" t="s">
        <v>7675</v>
      </c>
    </row>
    <row r="40" spans="1:5">
      <c r="A40" s="484">
        <v>35</v>
      </c>
      <c r="B40" s="485" t="s">
        <v>7676</v>
      </c>
      <c r="C40" s="486" t="s">
        <v>7677</v>
      </c>
      <c r="D40" s="487" t="s">
        <v>7678</v>
      </c>
      <c r="E40" s="488" t="s">
        <v>7679</v>
      </c>
    </row>
    <row r="41" spans="1:5">
      <c r="A41" s="489">
        <v>36</v>
      </c>
      <c r="B41" s="490" t="s">
        <v>7676</v>
      </c>
      <c r="C41" s="491" t="s">
        <v>7680</v>
      </c>
      <c r="D41" s="489" t="s">
        <v>7681</v>
      </c>
      <c r="E41" s="492" t="s">
        <v>7682</v>
      </c>
    </row>
    <row r="42" spans="1:5">
      <c r="A42" s="484">
        <v>37</v>
      </c>
      <c r="B42" s="485" t="s">
        <v>7683</v>
      </c>
      <c r="C42" s="486" t="s">
        <v>7684</v>
      </c>
      <c r="D42" s="487" t="s">
        <v>7685</v>
      </c>
      <c r="E42" s="488" t="s">
        <v>7686</v>
      </c>
    </row>
    <row r="43" spans="1:5">
      <c r="A43" s="489">
        <v>38</v>
      </c>
      <c r="B43" s="490" t="s">
        <v>7687</v>
      </c>
      <c r="C43" s="491" t="s">
        <v>7688</v>
      </c>
      <c r="D43" s="489" t="s">
        <v>7681</v>
      </c>
      <c r="E43" s="492" t="s">
        <v>7689</v>
      </c>
    </row>
    <row r="44" spans="1:5">
      <c r="A44" s="484">
        <v>39</v>
      </c>
      <c r="B44" s="485" t="s">
        <v>7690</v>
      </c>
      <c r="C44" s="486" t="s">
        <v>7691</v>
      </c>
      <c r="D44" s="487" t="s">
        <v>7692</v>
      </c>
      <c r="E44" s="488" t="s">
        <v>7693</v>
      </c>
    </row>
    <row r="45" spans="1:5">
      <c r="A45" s="489">
        <v>40</v>
      </c>
      <c r="B45" s="490" t="s">
        <v>7694</v>
      </c>
      <c r="C45" s="491" t="s">
        <v>7695</v>
      </c>
      <c r="D45" s="489" t="s">
        <v>7692</v>
      </c>
      <c r="E45" s="492" t="s">
        <v>7696</v>
      </c>
    </row>
    <row r="46" spans="1:5">
      <c r="A46" s="484">
        <v>41</v>
      </c>
      <c r="B46" s="485" t="s">
        <v>7697</v>
      </c>
      <c r="C46" s="486" t="s">
        <v>7698</v>
      </c>
      <c r="D46" s="487" t="s">
        <v>7699</v>
      </c>
      <c r="E46" s="488" t="s">
        <v>7700</v>
      </c>
    </row>
    <row r="47" spans="1:5">
      <c r="A47" s="489">
        <v>42</v>
      </c>
      <c r="B47" s="490" t="s">
        <v>7701</v>
      </c>
      <c r="C47" s="491" t="s">
        <v>7702</v>
      </c>
      <c r="D47" s="489" t="s">
        <v>7703</v>
      </c>
      <c r="E47" s="492" t="s">
        <v>7704</v>
      </c>
    </row>
    <row r="48" spans="1:5">
      <c r="A48" s="484">
        <v>43</v>
      </c>
      <c r="B48" s="485" t="s">
        <v>7705</v>
      </c>
      <c r="C48" s="486" t="s">
        <v>7706</v>
      </c>
      <c r="D48" s="487" t="s">
        <v>7534</v>
      </c>
      <c r="E48" s="488" t="s">
        <v>7707</v>
      </c>
    </row>
    <row r="49" spans="1:5">
      <c r="A49" s="489">
        <v>44</v>
      </c>
      <c r="B49" s="490" t="s">
        <v>7708</v>
      </c>
      <c r="C49" s="491" t="s">
        <v>7709</v>
      </c>
      <c r="D49" s="489"/>
      <c r="E49" s="492" t="s">
        <v>7710</v>
      </c>
    </row>
    <row r="50" spans="1:5">
      <c r="A50" s="484">
        <v>45</v>
      </c>
      <c r="B50" s="485" t="s">
        <v>7711</v>
      </c>
      <c r="C50" s="486" t="s">
        <v>7712</v>
      </c>
      <c r="D50" s="487" t="s">
        <v>7713</v>
      </c>
      <c r="E50" s="488" t="s">
        <v>7714</v>
      </c>
    </row>
    <row r="51" spans="1:5">
      <c r="A51" s="489">
        <v>46</v>
      </c>
      <c r="B51" s="490" t="s">
        <v>7014</v>
      </c>
      <c r="C51" s="491" t="s">
        <v>7715</v>
      </c>
      <c r="D51" s="489" t="s">
        <v>7681</v>
      </c>
      <c r="E51" s="492" t="s">
        <v>7716</v>
      </c>
    </row>
    <row r="52" spans="1:5">
      <c r="A52" s="484">
        <v>47</v>
      </c>
      <c r="B52" s="485" t="s">
        <v>7717</v>
      </c>
      <c r="C52" s="486" t="s">
        <v>7718</v>
      </c>
      <c r="D52" s="487" t="s">
        <v>2505</v>
      </c>
      <c r="E52" s="488" t="s">
        <v>7719</v>
      </c>
    </row>
    <row r="53" spans="1:5">
      <c r="A53" s="489">
        <v>48</v>
      </c>
      <c r="B53" s="490" t="s">
        <v>7720</v>
      </c>
      <c r="C53" s="491" t="s">
        <v>7721</v>
      </c>
      <c r="D53" s="489" t="s">
        <v>7722</v>
      </c>
      <c r="E53" s="492" t="s">
        <v>7723</v>
      </c>
    </row>
    <row r="54" spans="1:5">
      <c r="A54" s="484">
        <v>49</v>
      </c>
      <c r="B54" s="485" t="s">
        <v>7724</v>
      </c>
      <c r="C54" s="486" t="s">
        <v>7725</v>
      </c>
      <c r="D54" s="487" t="s">
        <v>7611</v>
      </c>
      <c r="E54" s="488" t="s">
        <v>7726</v>
      </c>
    </row>
    <row r="55" spans="1:5">
      <c r="A55" s="489">
        <v>50</v>
      </c>
      <c r="B55" s="490" t="s">
        <v>7727</v>
      </c>
      <c r="C55" s="491" t="s">
        <v>7728</v>
      </c>
      <c r="D55" s="489" t="s">
        <v>7729</v>
      </c>
      <c r="E55" s="492" t="s">
        <v>7730</v>
      </c>
    </row>
    <row r="56" spans="1:5">
      <c r="A56" s="484">
        <v>51</v>
      </c>
      <c r="B56" s="485" t="s">
        <v>7731</v>
      </c>
      <c r="C56" s="486" t="s">
        <v>7732</v>
      </c>
      <c r="D56" s="487" t="s">
        <v>7733</v>
      </c>
      <c r="E56" s="488" t="s">
        <v>7734</v>
      </c>
    </row>
    <row r="57" spans="1:5">
      <c r="A57" s="489">
        <v>52</v>
      </c>
      <c r="B57" s="490" t="s">
        <v>7735</v>
      </c>
      <c r="C57" s="491" t="s">
        <v>7736</v>
      </c>
      <c r="D57" s="489" t="s">
        <v>846</v>
      </c>
      <c r="E57" s="492" t="s">
        <v>7737</v>
      </c>
    </row>
    <row r="58" spans="1:5">
      <c r="A58" s="484">
        <v>53</v>
      </c>
      <c r="B58" s="485" t="s">
        <v>121</v>
      </c>
      <c r="C58" s="486" t="s">
        <v>7738</v>
      </c>
      <c r="D58" s="487" t="s">
        <v>7722</v>
      </c>
      <c r="E58" s="488" t="s">
        <v>7739</v>
      </c>
    </row>
    <row r="59" spans="1:5">
      <c r="A59" s="489">
        <v>54</v>
      </c>
      <c r="B59" s="490" t="s">
        <v>7740</v>
      </c>
      <c r="C59" s="491" t="s">
        <v>7741</v>
      </c>
      <c r="D59" s="489" t="s">
        <v>7681</v>
      </c>
      <c r="E59" s="492" t="s">
        <v>7742</v>
      </c>
    </row>
    <row r="60" spans="1:5">
      <c r="A60" s="484">
        <v>55</v>
      </c>
      <c r="B60" s="485" t="s">
        <v>7743</v>
      </c>
      <c r="C60" s="486" t="s">
        <v>7744</v>
      </c>
      <c r="D60" s="487" t="s">
        <v>7288</v>
      </c>
      <c r="E60" s="488" t="s">
        <v>7745</v>
      </c>
    </row>
    <row r="61" spans="1:5">
      <c r="A61" s="489">
        <v>56</v>
      </c>
      <c r="B61" s="490" t="s">
        <v>7746</v>
      </c>
      <c r="C61" s="491" t="s">
        <v>7747</v>
      </c>
      <c r="D61" s="489" t="s">
        <v>7748</v>
      </c>
      <c r="E61" s="492" t="s">
        <v>7749</v>
      </c>
    </row>
    <row r="62" spans="1:5">
      <c r="A62" s="484">
        <v>57</v>
      </c>
      <c r="B62" s="485" t="s">
        <v>7750</v>
      </c>
      <c r="C62" s="486" t="s">
        <v>7751</v>
      </c>
      <c r="D62" s="487" t="s">
        <v>7611</v>
      </c>
      <c r="E62" s="488" t="s">
        <v>7752</v>
      </c>
    </row>
    <row r="63" spans="1:5">
      <c r="A63" s="489">
        <v>58</v>
      </c>
      <c r="B63" s="490" t="s">
        <v>7753</v>
      </c>
      <c r="C63" s="491" t="s">
        <v>7754</v>
      </c>
      <c r="D63" s="489" t="s">
        <v>7755</v>
      </c>
      <c r="E63" s="492" t="s">
        <v>7756</v>
      </c>
    </row>
    <row r="64" spans="1:5">
      <c r="A64" s="484">
        <v>59</v>
      </c>
      <c r="B64" s="485" t="s">
        <v>7757</v>
      </c>
      <c r="C64" s="486" t="s">
        <v>7758</v>
      </c>
      <c r="D64" s="487" t="s">
        <v>7611</v>
      </c>
      <c r="E64" s="488" t="s">
        <v>7759</v>
      </c>
    </row>
    <row r="65" spans="1:5">
      <c r="A65" s="489">
        <v>60</v>
      </c>
      <c r="B65" s="490" t="s">
        <v>7760</v>
      </c>
      <c r="C65" s="491" t="s">
        <v>7761</v>
      </c>
      <c r="D65" s="489" t="s">
        <v>7762</v>
      </c>
      <c r="E65" s="492" t="s">
        <v>7763</v>
      </c>
    </row>
    <row r="66" spans="1:5">
      <c r="A66" s="484">
        <v>61</v>
      </c>
      <c r="B66" s="485" t="s">
        <v>7764</v>
      </c>
      <c r="C66" s="486" t="s">
        <v>7765</v>
      </c>
      <c r="D66" s="487" t="s">
        <v>7766</v>
      </c>
      <c r="E66" s="488" t="s">
        <v>7767</v>
      </c>
    </row>
    <row r="67" spans="1:5">
      <c r="A67" s="489">
        <v>62</v>
      </c>
      <c r="B67" s="490" t="s">
        <v>7768</v>
      </c>
      <c r="C67" s="491" t="s">
        <v>7769</v>
      </c>
      <c r="D67" s="489" t="s">
        <v>7762</v>
      </c>
      <c r="E67" s="492" t="s">
        <v>7770</v>
      </c>
    </row>
    <row r="68" spans="1:5">
      <c r="A68" s="484">
        <v>63</v>
      </c>
      <c r="B68" s="485" t="s">
        <v>7771</v>
      </c>
      <c r="C68" s="486" t="s">
        <v>7772</v>
      </c>
      <c r="D68" s="487" t="s">
        <v>7773</v>
      </c>
      <c r="E68" s="488" t="s">
        <v>7774</v>
      </c>
    </row>
    <row r="69" spans="1:5">
      <c r="A69" s="489">
        <v>64</v>
      </c>
      <c r="B69" s="490" t="s">
        <v>7775</v>
      </c>
      <c r="C69" s="491" t="s">
        <v>7776</v>
      </c>
      <c r="D69" s="489" t="s">
        <v>7777</v>
      </c>
      <c r="E69" s="492" t="s">
        <v>7778</v>
      </c>
    </row>
    <row r="70" spans="1:5">
      <c r="A70" s="484">
        <v>65</v>
      </c>
      <c r="B70" s="485" t="s">
        <v>7779</v>
      </c>
      <c r="C70" s="486" t="s">
        <v>7780</v>
      </c>
      <c r="D70" s="487" t="s">
        <v>7781</v>
      </c>
      <c r="E70" s="488" t="s">
        <v>7782</v>
      </c>
    </row>
    <row r="71" spans="1:5">
      <c r="A71" s="489">
        <v>66</v>
      </c>
      <c r="B71" s="490" t="s">
        <v>7760</v>
      </c>
      <c r="C71" s="491" t="s">
        <v>7783</v>
      </c>
      <c r="D71" s="489" t="s">
        <v>7784</v>
      </c>
      <c r="E71" s="492" t="s">
        <v>7785</v>
      </c>
    </row>
    <row r="72" spans="1:5">
      <c r="A72" s="484">
        <v>67</v>
      </c>
      <c r="B72" s="485" t="s">
        <v>7786</v>
      </c>
      <c r="C72" s="486" t="s">
        <v>7787</v>
      </c>
      <c r="D72" s="487" t="s">
        <v>2505</v>
      </c>
      <c r="E72" s="488" t="s">
        <v>7788</v>
      </c>
    </row>
    <row r="73" spans="1:5">
      <c r="A73" s="489">
        <v>68</v>
      </c>
      <c r="B73" s="490" t="s">
        <v>7789</v>
      </c>
      <c r="C73" s="491" t="s">
        <v>7790</v>
      </c>
      <c r="D73" s="489" t="s">
        <v>7791</v>
      </c>
      <c r="E73" s="492" t="s">
        <v>7792</v>
      </c>
    </row>
    <row r="74" spans="1:5">
      <c r="A74" s="484">
        <v>69</v>
      </c>
      <c r="B74" s="485" t="s">
        <v>7793</v>
      </c>
      <c r="C74" s="486" t="s">
        <v>7794</v>
      </c>
      <c r="D74" s="487" t="s">
        <v>846</v>
      </c>
      <c r="E74" s="488" t="s">
        <v>7795</v>
      </c>
    </row>
    <row r="75" spans="1:5">
      <c r="A75" s="489">
        <v>70</v>
      </c>
      <c r="B75" s="490" t="s">
        <v>7796</v>
      </c>
      <c r="C75" s="491" t="s">
        <v>7797</v>
      </c>
      <c r="D75" s="489" t="s">
        <v>7798</v>
      </c>
      <c r="E75" s="492" t="s">
        <v>7799</v>
      </c>
    </row>
    <row r="76" spans="1:5">
      <c r="A76" s="484">
        <v>71</v>
      </c>
      <c r="B76" s="485" t="s">
        <v>7800</v>
      </c>
      <c r="C76" s="486" t="s">
        <v>7801</v>
      </c>
      <c r="D76" s="487" t="s">
        <v>7618</v>
      </c>
      <c r="E76" s="488" t="s">
        <v>7802</v>
      </c>
    </row>
    <row r="77" spans="1:5">
      <c r="A77" s="489">
        <v>72</v>
      </c>
      <c r="B77" s="490" t="s">
        <v>7803</v>
      </c>
      <c r="C77" s="491" t="s">
        <v>7804</v>
      </c>
      <c r="D77" s="489" t="s">
        <v>846</v>
      </c>
      <c r="E77" s="492" t="s">
        <v>7805</v>
      </c>
    </row>
    <row r="78" spans="1:5">
      <c r="A78" s="484">
        <v>73</v>
      </c>
      <c r="B78" s="485" t="s">
        <v>7806</v>
      </c>
      <c r="C78" s="486" t="s">
        <v>7807</v>
      </c>
      <c r="D78" s="487" t="s">
        <v>7661</v>
      </c>
      <c r="E78" s="488" t="s">
        <v>7808</v>
      </c>
    </row>
    <row r="79" spans="1:5">
      <c r="A79" s="489">
        <v>74</v>
      </c>
      <c r="B79" s="490" t="s">
        <v>7809</v>
      </c>
      <c r="C79" s="491" t="s">
        <v>7810</v>
      </c>
      <c r="D79" s="489" t="s">
        <v>7811</v>
      </c>
      <c r="E79" s="492" t="s">
        <v>7812</v>
      </c>
    </row>
    <row r="80" spans="1:5">
      <c r="A80" s="484">
        <v>75</v>
      </c>
      <c r="B80" s="485" t="s">
        <v>7806</v>
      </c>
      <c r="C80" s="486" t="s">
        <v>7813</v>
      </c>
      <c r="D80" s="487" t="s">
        <v>7814</v>
      </c>
      <c r="E80" s="488" t="s">
        <v>7815</v>
      </c>
    </row>
    <row r="81" spans="1:5">
      <c r="A81" s="489">
        <v>76</v>
      </c>
      <c r="B81" s="490" t="s">
        <v>7806</v>
      </c>
      <c r="C81" s="491" t="s">
        <v>7816</v>
      </c>
      <c r="D81" s="489" t="s">
        <v>7817</v>
      </c>
      <c r="E81" s="492" t="s">
        <v>7818</v>
      </c>
    </row>
    <row r="82" spans="1:5">
      <c r="A82" s="484">
        <v>77</v>
      </c>
      <c r="B82" s="485" t="s">
        <v>238</v>
      </c>
      <c r="C82" s="486" t="s">
        <v>7819</v>
      </c>
      <c r="D82" s="487" t="s">
        <v>7820</v>
      </c>
      <c r="E82" s="488" t="s">
        <v>7821</v>
      </c>
    </row>
    <row r="83" spans="1:5">
      <c r="A83" s="489">
        <v>78</v>
      </c>
      <c r="B83" s="490" t="s">
        <v>7822</v>
      </c>
      <c r="C83" s="491" t="s">
        <v>7823</v>
      </c>
      <c r="D83" s="489" t="s">
        <v>7824</v>
      </c>
      <c r="E83" s="492" t="s">
        <v>7825</v>
      </c>
    </row>
    <row r="84" spans="1:5">
      <c r="A84" s="484">
        <v>79</v>
      </c>
      <c r="B84" s="485" t="s">
        <v>7826</v>
      </c>
      <c r="C84" s="486" t="s">
        <v>7827</v>
      </c>
      <c r="D84" s="487" t="s">
        <v>7611</v>
      </c>
      <c r="E84" s="488" t="s">
        <v>7828</v>
      </c>
    </row>
    <row r="85" spans="1:5">
      <c r="A85" s="489">
        <v>80</v>
      </c>
      <c r="B85" s="490" t="s">
        <v>7829</v>
      </c>
      <c r="C85" s="491" t="s">
        <v>7830</v>
      </c>
      <c r="D85" s="489" t="s">
        <v>7831</v>
      </c>
      <c r="E85" s="492" t="s">
        <v>7832</v>
      </c>
    </row>
    <row r="86" spans="1:5">
      <c r="A86" s="484">
        <v>81</v>
      </c>
      <c r="B86" s="485" t="s">
        <v>7833</v>
      </c>
      <c r="C86" s="486" t="s">
        <v>7834</v>
      </c>
      <c r="D86" s="487" t="s">
        <v>3367</v>
      </c>
      <c r="E86" s="488" t="s">
        <v>7835</v>
      </c>
    </row>
    <row r="87" spans="1:5">
      <c r="A87" s="489">
        <v>82</v>
      </c>
      <c r="B87" s="490" t="s">
        <v>7836</v>
      </c>
      <c r="C87" s="491" t="s">
        <v>7837</v>
      </c>
      <c r="D87" s="489" t="s">
        <v>2505</v>
      </c>
      <c r="E87" s="492" t="s">
        <v>7838</v>
      </c>
    </row>
    <row r="88" spans="1:5">
      <c r="A88" s="484">
        <v>83</v>
      </c>
      <c r="B88" s="485" t="s">
        <v>7839</v>
      </c>
      <c r="C88" s="486" t="s">
        <v>7654</v>
      </c>
      <c r="D88" s="487" t="s">
        <v>7840</v>
      </c>
      <c r="E88" s="488" t="s">
        <v>7841</v>
      </c>
    </row>
  </sheetData>
  <autoFilter ref="A5:E5" xr:uid="{152A3728-D716-47E6-9222-8B1DD1AB8E8C}"/>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1A2AC-1FDB-448D-BAAB-AB6240A3CC5E}">
  <sheetPr>
    <tabColor rgb="FF92D050"/>
  </sheetPr>
  <dimension ref="A2:G21"/>
  <sheetViews>
    <sheetView showGridLines="0" workbookViewId="0">
      <selection activeCell="K5" sqref="K5"/>
    </sheetView>
  </sheetViews>
  <sheetFormatPr baseColWidth="10" defaultColWidth="8.83203125" defaultRowHeight="12"/>
  <cols>
    <col min="1" max="1" width="3.75" style="148" customWidth="1"/>
    <col min="2" max="2" width="31.25" style="148" bestFit="1" customWidth="1"/>
    <col min="3" max="3" width="17.83203125" style="148" bestFit="1" customWidth="1"/>
    <col min="4" max="4" width="19.25" style="148" bestFit="1" customWidth="1"/>
    <col min="5" max="5" width="17.25" style="148" bestFit="1" customWidth="1"/>
    <col min="6" max="6" width="10.75" style="148" bestFit="1" customWidth="1"/>
    <col min="7" max="7" width="11.5" style="148" bestFit="1" customWidth="1"/>
    <col min="8" max="16384" width="8.83203125" style="148"/>
  </cols>
  <sheetData>
    <row r="2" spans="1:7">
      <c r="A2" s="191" t="s">
        <v>10572</v>
      </c>
    </row>
    <row r="5" spans="1:7" ht="23">
      <c r="A5" s="483" t="s">
        <v>3</v>
      </c>
      <c r="B5" s="483" t="s">
        <v>7843</v>
      </c>
      <c r="C5" s="483" t="s">
        <v>7844</v>
      </c>
      <c r="D5" s="483" t="s">
        <v>7845</v>
      </c>
      <c r="E5" s="483" t="s">
        <v>8392</v>
      </c>
      <c r="F5" s="483" t="s">
        <v>7846</v>
      </c>
      <c r="G5" s="483" t="s">
        <v>7847</v>
      </c>
    </row>
    <row r="6" spans="1:7">
      <c r="A6" s="484">
        <v>1</v>
      </c>
      <c r="B6" s="485" t="s">
        <v>7848</v>
      </c>
      <c r="C6" s="486" t="s">
        <v>7849</v>
      </c>
      <c r="D6" s="493">
        <v>3806</v>
      </c>
      <c r="E6" s="488" t="s">
        <v>7850</v>
      </c>
      <c r="F6" s="484" t="s">
        <v>1227</v>
      </c>
      <c r="G6" s="484" t="s">
        <v>7851</v>
      </c>
    </row>
    <row r="7" spans="1:7">
      <c r="A7" s="489">
        <v>2</v>
      </c>
      <c r="B7" s="490" t="s">
        <v>7852</v>
      </c>
      <c r="C7" s="491" t="s">
        <v>7853</v>
      </c>
      <c r="D7" s="494">
        <v>1900</v>
      </c>
      <c r="E7" s="492" t="s">
        <v>7854</v>
      </c>
      <c r="F7" s="489" t="s">
        <v>1227</v>
      </c>
      <c r="G7" s="489" t="s">
        <v>7851</v>
      </c>
    </row>
    <row r="8" spans="1:7">
      <c r="A8" s="484">
        <v>3</v>
      </c>
      <c r="B8" s="485" t="s">
        <v>7855</v>
      </c>
      <c r="C8" s="486" t="s">
        <v>7856</v>
      </c>
      <c r="D8" s="493">
        <v>6341</v>
      </c>
      <c r="E8" s="488" t="s">
        <v>7857</v>
      </c>
      <c r="F8" s="484" t="s">
        <v>1227</v>
      </c>
      <c r="G8" s="484" t="s">
        <v>7851</v>
      </c>
    </row>
    <row r="9" spans="1:7">
      <c r="A9" s="489">
        <v>4</v>
      </c>
      <c r="B9" s="490" t="s">
        <v>7855</v>
      </c>
      <c r="C9" s="491" t="s">
        <v>7858</v>
      </c>
      <c r="D9" s="494">
        <v>6341</v>
      </c>
      <c r="E9" s="492" t="s">
        <v>7859</v>
      </c>
      <c r="F9" s="489" t="s">
        <v>1227</v>
      </c>
      <c r="G9" s="489" t="s">
        <v>7851</v>
      </c>
    </row>
    <row r="10" spans="1:7">
      <c r="A10" s="484">
        <v>5</v>
      </c>
      <c r="B10" s="485" t="s">
        <v>7860</v>
      </c>
      <c r="C10" s="486" t="s">
        <v>7861</v>
      </c>
      <c r="D10" s="493">
        <v>10000</v>
      </c>
      <c r="E10" s="488" t="s">
        <v>7862</v>
      </c>
      <c r="F10" s="484" t="s">
        <v>1227</v>
      </c>
      <c r="G10" s="484" t="s">
        <v>7851</v>
      </c>
    </row>
    <row r="11" spans="1:7">
      <c r="A11" s="489">
        <v>6</v>
      </c>
      <c r="B11" s="490" t="s">
        <v>7863</v>
      </c>
      <c r="C11" s="491" t="s">
        <v>7864</v>
      </c>
      <c r="D11" s="494">
        <v>19378500</v>
      </c>
      <c r="E11" s="492" t="s">
        <v>7865</v>
      </c>
      <c r="F11" s="489" t="s">
        <v>1227</v>
      </c>
      <c r="G11" s="489" t="s">
        <v>7851</v>
      </c>
    </row>
    <row r="12" spans="1:7">
      <c r="A12" s="484">
        <v>7</v>
      </c>
      <c r="B12" s="485" t="s">
        <v>68</v>
      </c>
      <c r="C12" s="486" t="s">
        <v>7866</v>
      </c>
      <c r="D12" s="493">
        <v>313854.75</v>
      </c>
      <c r="E12" s="488" t="s">
        <v>7867</v>
      </c>
      <c r="F12" s="484" t="s">
        <v>7868</v>
      </c>
      <c r="G12" s="484" t="s">
        <v>7851</v>
      </c>
    </row>
    <row r="13" spans="1:7">
      <c r="A13" s="489">
        <v>8</v>
      </c>
      <c r="B13" s="490" t="s">
        <v>7869</v>
      </c>
      <c r="C13" s="491" t="s">
        <v>7870</v>
      </c>
      <c r="D13" s="494">
        <v>130900</v>
      </c>
      <c r="E13" s="492" t="s">
        <v>7871</v>
      </c>
      <c r="F13" s="489" t="s">
        <v>7872</v>
      </c>
      <c r="G13" s="489" t="s">
        <v>7851</v>
      </c>
    </row>
    <row r="14" spans="1:7">
      <c r="A14" s="484">
        <v>9</v>
      </c>
      <c r="B14" s="485" t="s">
        <v>7873</v>
      </c>
      <c r="C14" s="486" t="s">
        <v>7874</v>
      </c>
      <c r="D14" s="493">
        <v>10000</v>
      </c>
      <c r="E14" s="488" t="s">
        <v>7875</v>
      </c>
      <c r="F14" s="484" t="s">
        <v>1227</v>
      </c>
      <c r="G14" s="484" t="s">
        <v>7851</v>
      </c>
    </row>
    <row r="15" spans="1:7" ht="36">
      <c r="A15" s="489">
        <v>10</v>
      </c>
      <c r="B15" s="490" t="s">
        <v>7876</v>
      </c>
      <c r="C15" s="491" t="s">
        <v>7877</v>
      </c>
      <c r="D15" s="494">
        <v>2389508.6</v>
      </c>
      <c r="E15" s="492" t="s">
        <v>7878</v>
      </c>
      <c r="F15" s="489" t="s">
        <v>1227</v>
      </c>
      <c r="G15" s="489" t="s">
        <v>7851</v>
      </c>
    </row>
    <row r="16" spans="1:7">
      <c r="A16" s="484">
        <v>11</v>
      </c>
      <c r="B16" s="485" t="s">
        <v>7879</v>
      </c>
      <c r="C16" s="486" t="s">
        <v>7880</v>
      </c>
      <c r="D16" s="493">
        <v>394734</v>
      </c>
      <c r="E16" s="488" t="s">
        <v>7881</v>
      </c>
      <c r="F16" s="484" t="s">
        <v>7882</v>
      </c>
      <c r="G16" s="484" t="s">
        <v>7851</v>
      </c>
    </row>
    <row r="17" spans="1:7">
      <c r="A17" s="489">
        <v>12</v>
      </c>
      <c r="B17" s="490" t="s">
        <v>7883</v>
      </c>
      <c r="C17" s="491" t="s">
        <v>7884</v>
      </c>
      <c r="D17" s="494">
        <v>5000</v>
      </c>
      <c r="E17" s="492" t="s">
        <v>7885</v>
      </c>
      <c r="F17" s="489" t="s">
        <v>1227</v>
      </c>
      <c r="G17" s="489" t="s">
        <v>7851</v>
      </c>
    </row>
    <row r="18" spans="1:7">
      <c r="A18" s="484">
        <v>13</v>
      </c>
      <c r="B18" s="485" t="s">
        <v>376</v>
      </c>
      <c r="C18" s="486" t="s">
        <v>7886</v>
      </c>
      <c r="D18" s="493">
        <v>4200</v>
      </c>
      <c r="E18" s="488" t="s">
        <v>7887</v>
      </c>
      <c r="F18" s="484" t="s">
        <v>1227</v>
      </c>
      <c r="G18" s="484" t="s">
        <v>7851</v>
      </c>
    </row>
    <row r="19" spans="1:7">
      <c r="A19" s="489">
        <v>14</v>
      </c>
      <c r="B19" s="490" t="s">
        <v>380</v>
      </c>
      <c r="C19" s="491" t="s">
        <v>7888</v>
      </c>
      <c r="D19" s="494">
        <v>35400</v>
      </c>
      <c r="E19" s="492" t="s">
        <v>7889</v>
      </c>
      <c r="F19" s="489" t="s">
        <v>1227</v>
      </c>
      <c r="G19" s="489" t="s">
        <v>7851</v>
      </c>
    </row>
    <row r="20" spans="1:7">
      <c r="A20" s="484">
        <v>15</v>
      </c>
      <c r="B20" s="485" t="s">
        <v>7890</v>
      </c>
      <c r="C20" s="486" t="s">
        <v>7891</v>
      </c>
      <c r="D20" s="493">
        <v>12640</v>
      </c>
      <c r="E20" s="488" t="s">
        <v>7892</v>
      </c>
      <c r="F20" s="484" t="s">
        <v>1227</v>
      </c>
      <c r="G20" s="484" t="s">
        <v>7851</v>
      </c>
    </row>
    <row r="21" spans="1:7">
      <c r="A21" s="489">
        <v>16</v>
      </c>
      <c r="B21" s="490" t="s">
        <v>7893</v>
      </c>
      <c r="C21" s="491" t="s">
        <v>7894</v>
      </c>
      <c r="D21" s="494">
        <v>395224.5</v>
      </c>
      <c r="E21" s="492" t="s">
        <v>7895</v>
      </c>
      <c r="F21" s="489" t="s">
        <v>7868</v>
      </c>
      <c r="G21" s="489" t="s">
        <v>7851</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1817E-14D5-40DA-8933-06B8712AA0DC}">
  <sheetPr>
    <tabColor rgb="FF92D050"/>
  </sheetPr>
  <dimension ref="A2:N100"/>
  <sheetViews>
    <sheetView topLeftCell="A72" zoomScale="80" zoomScaleNormal="80" workbookViewId="0">
      <selection activeCell="A2" sqref="A2"/>
    </sheetView>
  </sheetViews>
  <sheetFormatPr baseColWidth="10" defaultColWidth="11.4140625" defaultRowHeight="14"/>
  <cols>
    <col min="2" max="2" width="59.4140625" bestFit="1" customWidth="1"/>
    <col min="3" max="5" width="15.4140625" bestFit="1" customWidth="1"/>
    <col min="6" max="6" width="14.4140625" bestFit="1" customWidth="1"/>
    <col min="7" max="7" width="14.4140625" customWidth="1"/>
    <col min="8" max="8" width="15.4140625" bestFit="1" customWidth="1"/>
    <col min="9" max="9" width="4.5" customWidth="1"/>
  </cols>
  <sheetData>
    <row r="2" spans="1:14" ht="15.5">
      <c r="A2" s="757" t="s">
        <v>7915</v>
      </c>
      <c r="B2" s="5"/>
      <c r="C2" s="5"/>
      <c r="D2" s="5"/>
      <c r="E2" s="5"/>
      <c r="F2" s="5"/>
      <c r="G2" s="5"/>
      <c r="H2" s="5"/>
    </row>
    <row r="3" spans="1:14" ht="14.5">
      <c r="A3" s="5"/>
      <c r="B3" s="148"/>
      <c r="C3" s="1028" t="s">
        <v>8134</v>
      </c>
      <c r="D3" s="1028"/>
      <c r="E3" s="1028"/>
      <c r="F3" s="1028"/>
      <c r="G3" s="761"/>
      <c r="H3" s="148"/>
      <c r="J3" s="1028" t="s">
        <v>8135</v>
      </c>
      <c r="K3" s="1028"/>
      <c r="L3" s="1028"/>
      <c r="M3" s="1028"/>
      <c r="N3" s="1028"/>
    </row>
    <row r="4" spans="1:14" ht="14.5">
      <c r="A4" s="5"/>
      <c r="B4" s="540" t="s">
        <v>881</v>
      </c>
      <c r="C4" s="540" t="s">
        <v>1</v>
      </c>
      <c r="D4" s="540" t="s">
        <v>1208</v>
      </c>
      <c r="E4" s="540" t="s">
        <v>1234</v>
      </c>
      <c r="F4" s="540" t="s">
        <v>1232</v>
      </c>
      <c r="G4" s="540" t="s">
        <v>2834</v>
      </c>
      <c r="H4" s="540" t="s">
        <v>8062</v>
      </c>
      <c r="J4" s="540" t="s">
        <v>1</v>
      </c>
      <c r="K4" s="540" t="s">
        <v>1208</v>
      </c>
      <c r="L4" s="540" t="s">
        <v>1234</v>
      </c>
      <c r="M4" s="540" t="s">
        <v>1232</v>
      </c>
      <c r="N4" s="540" t="s">
        <v>2834</v>
      </c>
    </row>
    <row r="5" spans="1:14" ht="14.5">
      <c r="A5" s="5"/>
      <c r="B5" s="542" t="s">
        <v>534</v>
      </c>
      <c r="C5" s="542">
        <v>80850784</v>
      </c>
      <c r="D5" s="542">
        <v>42976173</v>
      </c>
      <c r="E5" s="542">
        <v>24637048</v>
      </c>
      <c r="F5" s="542">
        <v>13741207</v>
      </c>
      <c r="G5" s="542">
        <v>0</v>
      </c>
      <c r="H5" s="542">
        <f>SUM(C5:G5)</f>
        <v>162205212</v>
      </c>
      <c r="J5" s="544">
        <f>C5/$H5</f>
        <v>0.49844750981244673</v>
      </c>
      <c r="K5" s="544">
        <f>D5/$H5</f>
        <v>0.26494939632396031</v>
      </c>
      <c r="L5" s="544">
        <f>E5/$H5</f>
        <v>0.15188814031450482</v>
      </c>
      <c r="M5" s="544">
        <f>F5/$H5</f>
        <v>8.4714953549088173E-2</v>
      </c>
      <c r="N5" s="544">
        <f>G5/$H5</f>
        <v>0</v>
      </c>
    </row>
    <row r="6" spans="1:14" ht="14.5">
      <c r="A6" s="5"/>
      <c r="B6" s="530" t="s">
        <v>69</v>
      </c>
      <c r="C6" s="530">
        <v>54097887</v>
      </c>
      <c r="D6" s="530">
        <v>32353573</v>
      </c>
      <c r="E6" s="530">
        <v>19540453</v>
      </c>
      <c r="F6" s="530">
        <v>17776116</v>
      </c>
      <c r="G6" s="530">
        <v>0</v>
      </c>
      <c r="H6" s="530">
        <f t="shared" ref="H6:H69" si="0">SUM(C6:G6)</f>
        <v>123768029</v>
      </c>
      <c r="J6" s="541">
        <f t="shared" ref="J6:J69" si="1">C6/$H6</f>
        <v>0.43709096312748102</v>
      </c>
      <c r="K6" s="541">
        <f t="shared" ref="K6:K69" si="2">D6/$H6</f>
        <v>0.26140493034756174</v>
      </c>
      <c r="L6" s="541">
        <f t="shared" ref="L6:L69" si="3">E6/$H6</f>
        <v>0.15787964919438122</v>
      </c>
      <c r="M6" s="541">
        <f t="shared" ref="M6:M69" si="4">F6/$H6</f>
        <v>0.14362445733057605</v>
      </c>
      <c r="N6" s="541">
        <f t="shared" ref="N6:N69" si="5">G6/$H6</f>
        <v>0</v>
      </c>
    </row>
    <row r="7" spans="1:14" ht="14.5">
      <c r="A7" s="5"/>
      <c r="B7" s="542" t="s">
        <v>558</v>
      </c>
      <c r="C7" s="542">
        <v>32646985</v>
      </c>
      <c r="D7" s="542">
        <v>24182620</v>
      </c>
      <c r="E7" s="542">
        <v>10784518</v>
      </c>
      <c r="F7" s="542">
        <v>9929793</v>
      </c>
      <c r="G7" s="542">
        <v>0</v>
      </c>
      <c r="H7" s="542">
        <f t="shared" si="0"/>
        <v>77543916</v>
      </c>
      <c r="J7" s="544">
        <f t="shared" si="1"/>
        <v>0.4210128490286717</v>
      </c>
      <c r="K7" s="544">
        <f t="shared" si="2"/>
        <v>0.31185709011652185</v>
      </c>
      <c r="L7" s="544">
        <f t="shared" si="3"/>
        <v>0.13907626228213701</v>
      </c>
      <c r="M7" s="544">
        <f t="shared" si="4"/>
        <v>0.12805379857266946</v>
      </c>
      <c r="N7" s="544">
        <f t="shared" si="5"/>
        <v>0</v>
      </c>
    </row>
    <row r="8" spans="1:14" ht="14.5">
      <c r="A8" s="5"/>
      <c r="B8" s="530" t="s">
        <v>544</v>
      </c>
      <c r="C8" s="530">
        <v>32630736</v>
      </c>
      <c r="D8" s="530">
        <v>19967932</v>
      </c>
      <c r="E8" s="530">
        <v>12947641</v>
      </c>
      <c r="F8" s="530">
        <v>7801292</v>
      </c>
      <c r="G8" s="530">
        <v>0</v>
      </c>
      <c r="H8" s="530">
        <f t="shared" si="0"/>
        <v>73347601</v>
      </c>
      <c r="J8" s="541">
        <f t="shared" si="1"/>
        <v>0.44487802675373117</v>
      </c>
      <c r="K8" s="541">
        <f t="shared" si="2"/>
        <v>0.27223701563190866</v>
      </c>
      <c r="L8" s="541">
        <f t="shared" si="3"/>
        <v>0.1765243964829879</v>
      </c>
      <c r="M8" s="541">
        <f t="shared" si="4"/>
        <v>0.10636056113137224</v>
      </c>
      <c r="N8" s="541">
        <f t="shared" si="5"/>
        <v>0</v>
      </c>
    </row>
    <row r="9" spans="1:14" ht="14.5">
      <c r="A9" s="5"/>
      <c r="B9" s="542" t="s">
        <v>968</v>
      </c>
      <c r="C9" s="542">
        <v>46786095</v>
      </c>
      <c r="D9" s="542"/>
      <c r="E9" s="542">
        <v>14539896</v>
      </c>
      <c r="F9" s="542">
        <v>7727915</v>
      </c>
      <c r="G9" s="542">
        <v>1286238</v>
      </c>
      <c r="H9" s="542">
        <f t="shared" si="0"/>
        <v>70340144</v>
      </c>
      <c r="J9" s="544">
        <f t="shared" si="1"/>
        <v>0.66514073386031169</v>
      </c>
      <c r="K9" s="544">
        <f t="shared" si="2"/>
        <v>0</v>
      </c>
      <c r="L9" s="544">
        <f t="shared" si="3"/>
        <v>0.20670836272385226</v>
      </c>
      <c r="M9" s="544">
        <f t="shared" si="4"/>
        <v>0.10986493004620519</v>
      </c>
      <c r="N9" s="544">
        <f t="shared" si="5"/>
        <v>1.8285973369630861E-2</v>
      </c>
    </row>
    <row r="10" spans="1:14" ht="14.5">
      <c r="A10" s="5"/>
      <c r="B10" s="530" t="s">
        <v>539</v>
      </c>
      <c r="C10" s="530">
        <v>17931082</v>
      </c>
      <c r="D10" s="530">
        <v>13657031</v>
      </c>
      <c r="E10" s="530">
        <v>7037887</v>
      </c>
      <c r="F10" s="530">
        <v>9185479</v>
      </c>
      <c r="G10" s="530">
        <v>794346</v>
      </c>
      <c r="H10" s="530">
        <f t="shared" si="0"/>
        <v>48605825</v>
      </c>
      <c r="J10" s="541">
        <f t="shared" si="1"/>
        <v>0.36890808869101593</v>
      </c>
      <c r="K10" s="541">
        <f t="shared" si="2"/>
        <v>0.28097519175942387</v>
      </c>
      <c r="L10" s="541">
        <f t="shared" si="3"/>
        <v>0.14479513515098241</v>
      </c>
      <c r="M10" s="541">
        <f t="shared" si="4"/>
        <v>0.18897897525656648</v>
      </c>
      <c r="N10" s="541">
        <f t="shared" si="5"/>
        <v>1.6342609142011272E-2</v>
      </c>
    </row>
    <row r="11" spans="1:14" ht="14.5">
      <c r="A11" s="5"/>
      <c r="B11" s="542" t="s">
        <v>553</v>
      </c>
      <c r="C11" s="542">
        <v>18689813</v>
      </c>
      <c r="D11" s="542">
        <v>10697307</v>
      </c>
      <c r="E11" s="542">
        <v>6437611</v>
      </c>
      <c r="F11" s="542">
        <v>4220656</v>
      </c>
      <c r="G11" s="542">
        <v>941768</v>
      </c>
      <c r="H11" s="542">
        <f t="shared" si="0"/>
        <v>40987155</v>
      </c>
      <c r="J11" s="544">
        <f t="shared" si="1"/>
        <v>0.45599195650442192</v>
      </c>
      <c r="K11" s="544">
        <f t="shared" si="2"/>
        <v>0.26099169361718322</v>
      </c>
      <c r="L11" s="544">
        <f t="shared" si="3"/>
        <v>0.15706410947527341</v>
      </c>
      <c r="M11" s="544">
        <f t="shared" si="4"/>
        <v>0.10297509061070474</v>
      </c>
      <c r="N11" s="544">
        <f t="shared" si="5"/>
        <v>2.2977149792416673E-2</v>
      </c>
    </row>
    <row r="12" spans="1:14" ht="14.5">
      <c r="A12" s="5"/>
      <c r="B12" s="530" t="s">
        <v>2980</v>
      </c>
      <c r="C12" s="530">
        <v>19590636</v>
      </c>
      <c r="D12" s="530">
        <v>13360860</v>
      </c>
      <c r="E12" s="530">
        <v>2234964</v>
      </c>
      <c r="F12" s="530">
        <v>4273830</v>
      </c>
      <c r="G12" s="530">
        <v>735441</v>
      </c>
      <c r="H12" s="530">
        <f t="shared" si="0"/>
        <v>40195731</v>
      </c>
      <c r="J12" s="541">
        <f t="shared" si="1"/>
        <v>0.48738101068494066</v>
      </c>
      <c r="K12" s="541">
        <f t="shared" si="2"/>
        <v>0.33239499985707438</v>
      </c>
      <c r="L12" s="541">
        <f t="shared" si="3"/>
        <v>5.5602024005982124E-2</v>
      </c>
      <c r="M12" s="541">
        <f t="shared" si="4"/>
        <v>0.10632547023463761</v>
      </c>
      <c r="N12" s="541">
        <f t="shared" si="5"/>
        <v>1.8296495217365247E-2</v>
      </c>
    </row>
    <row r="13" spans="1:14" ht="14.5">
      <c r="A13" s="5"/>
      <c r="B13" s="542" t="s">
        <v>957</v>
      </c>
      <c r="C13" s="542">
        <v>14304410</v>
      </c>
      <c r="D13" s="542">
        <v>7801681</v>
      </c>
      <c r="E13" s="542">
        <v>6768077</v>
      </c>
      <c r="F13" s="542">
        <v>4181385</v>
      </c>
      <c r="G13" s="542">
        <v>379765</v>
      </c>
      <c r="H13" s="542">
        <f t="shared" si="0"/>
        <v>33435318</v>
      </c>
      <c r="J13" s="544">
        <f t="shared" si="1"/>
        <v>0.42782335732532889</v>
      </c>
      <c r="K13" s="544">
        <f t="shared" si="2"/>
        <v>0.23333652756046766</v>
      </c>
      <c r="L13" s="544">
        <f t="shared" si="3"/>
        <v>0.20242298876894188</v>
      </c>
      <c r="M13" s="544">
        <f t="shared" si="4"/>
        <v>0.12505892720984441</v>
      </c>
      <c r="N13" s="544">
        <f t="shared" si="5"/>
        <v>1.1358199135417225E-2</v>
      </c>
    </row>
    <row r="14" spans="1:14" ht="14.5">
      <c r="A14" s="5"/>
      <c r="B14" s="530" t="s">
        <v>190</v>
      </c>
      <c r="C14" s="530">
        <v>11183789</v>
      </c>
      <c r="D14" s="530">
        <v>9697907</v>
      </c>
      <c r="E14" s="530">
        <v>4342279</v>
      </c>
      <c r="F14" s="530">
        <v>1659408</v>
      </c>
      <c r="G14" s="530">
        <v>0</v>
      </c>
      <c r="H14" s="530">
        <f t="shared" si="0"/>
        <v>26883383</v>
      </c>
      <c r="J14" s="541">
        <f t="shared" si="1"/>
        <v>0.41601122150437686</v>
      </c>
      <c r="K14" s="541">
        <f t="shared" si="2"/>
        <v>0.36073982950732059</v>
      </c>
      <c r="L14" s="541">
        <f t="shared" si="3"/>
        <v>0.16152278900315484</v>
      </c>
      <c r="M14" s="541">
        <f t="shared" si="4"/>
        <v>6.1726159985147702E-2</v>
      </c>
      <c r="N14" s="541">
        <f t="shared" si="5"/>
        <v>0</v>
      </c>
    </row>
    <row r="15" spans="1:14" ht="14.5">
      <c r="A15" s="5"/>
      <c r="B15" s="542" t="s">
        <v>960</v>
      </c>
      <c r="C15" s="542">
        <v>11854730</v>
      </c>
      <c r="D15" s="542">
        <v>7089549</v>
      </c>
      <c r="E15" s="542">
        <v>4459414</v>
      </c>
      <c r="F15" s="542">
        <v>2989549</v>
      </c>
      <c r="G15" s="542">
        <v>340319</v>
      </c>
      <c r="H15" s="542">
        <f t="shared" si="0"/>
        <v>26733561</v>
      </c>
      <c r="J15" s="544">
        <f t="shared" si="1"/>
        <v>0.44343998915819705</v>
      </c>
      <c r="K15" s="544">
        <f t="shared" si="2"/>
        <v>0.26519284131283521</v>
      </c>
      <c r="L15" s="544">
        <f t="shared" si="3"/>
        <v>0.1668095769209347</v>
      </c>
      <c r="M15" s="544">
        <f t="shared" si="4"/>
        <v>0.11182756386251723</v>
      </c>
      <c r="N15" s="544">
        <f t="shared" si="5"/>
        <v>1.2730028745515796E-2</v>
      </c>
    </row>
    <row r="16" spans="1:14" ht="14.5">
      <c r="A16" s="5"/>
      <c r="B16" s="530" t="s">
        <v>578</v>
      </c>
      <c r="C16" s="530">
        <v>10049539</v>
      </c>
      <c r="D16" s="530">
        <v>4862306</v>
      </c>
      <c r="E16" s="530">
        <v>2106059</v>
      </c>
      <c r="F16" s="530">
        <v>1293540</v>
      </c>
      <c r="G16" s="530">
        <v>284756</v>
      </c>
      <c r="H16" s="530">
        <f t="shared" si="0"/>
        <v>18596200</v>
      </c>
      <c r="J16" s="541">
        <f t="shared" si="1"/>
        <v>0.5404082016756111</v>
      </c>
      <c r="K16" s="541">
        <f t="shared" si="2"/>
        <v>0.26146771921145179</v>
      </c>
      <c r="L16" s="541">
        <f t="shared" si="3"/>
        <v>0.11325211602370376</v>
      </c>
      <c r="M16" s="541">
        <f t="shared" si="4"/>
        <v>6.9559372344887668E-2</v>
      </c>
      <c r="N16" s="541">
        <f t="shared" si="5"/>
        <v>1.5312590744345619E-2</v>
      </c>
    </row>
    <row r="17" spans="1:14" ht="14.5">
      <c r="A17" s="5"/>
      <c r="B17" s="542" t="s">
        <v>599</v>
      </c>
      <c r="C17" s="542">
        <v>8002293</v>
      </c>
      <c r="D17" s="542">
        <v>3597370</v>
      </c>
      <c r="E17" s="542">
        <v>3734803</v>
      </c>
      <c r="F17" s="542">
        <v>1906250</v>
      </c>
      <c r="G17" s="542">
        <v>69121</v>
      </c>
      <c r="H17" s="542">
        <f t="shared" si="0"/>
        <v>17309837</v>
      </c>
      <c r="J17" s="544">
        <f t="shared" si="1"/>
        <v>0.46229742082493325</v>
      </c>
      <c r="K17" s="544">
        <f t="shared" si="2"/>
        <v>0.20782229202967076</v>
      </c>
      <c r="L17" s="544">
        <f t="shared" si="3"/>
        <v>0.21576188152436099</v>
      </c>
      <c r="M17" s="544">
        <f t="shared" si="4"/>
        <v>0.11012524265826421</v>
      </c>
      <c r="N17" s="544">
        <f t="shared" si="5"/>
        <v>3.993162962770822E-3</v>
      </c>
    </row>
    <row r="18" spans="1:14" ht="14.5">
      <c r="A18" s="5"/>
      <c r="B18" s="530" t="s">
        <v>562</v>
      </c>
      <c r="C18" s="530">
        <v>8852426</v>
      </c>
      <c r="D18" s="530">
        <v>2572128</v>
      </c>
      <c r="E18" s="530">
        <v>2765934</v>
      </c>
      <c r="F18" s="530">
        <v>1728446</v>
      </c>
      <c r="G18" s="530">
        <v>0</v>
      </c>
      <c r="H18" s="530">
        <f t="shared" si="0"/>
        <v>15918934</v>
      </c>
      <c r="J18" s="541">
        <f t="shared" si="1"/>
        <v>0.55609414549994363</v>
      </c>
      <c r="K18" s="541">
        <f t="shared" si="2"/>
        <v>0.16157664828562013</v>
      </c>
      <c r="L18" s="541">
        <f t="shared" si="3"/>
        <v>0.17375120721023155</v>
      </c>
      <c r="M18" s="541">
        <f t="shared" si="4"/>
        <v>0.10857799900420467</v>
      </c>
      <c r="N18" s="541">
        <f t="shared" si="5"/>
        <v>0</v>
      </c>
    </row>
    <row r="19" spans="1:14" ht="14.5">
      <c r="A19" s="5"/>
      <c r="B19" s="542" t="s">
        <v>973</v>
      </c>
      <c r="C19" s="542">
        <v>6680307</v>
      </c>
      <c r="D19" s="542">
        <v>2486585</v>
      </c>
      <c r="E19" s="542">
        <v>2840472</v>
      </c>
      <c r="F19" s="542">
        <v>1836684</v>
      </c>
      <c r="G19" s="542">
        <v>184285</v>
      </c>
      <c r="H19" s="542">
        <f t="shared" si="0"/>
        <v>14028333</v>
      </c>
      <c r="J19" s="544">
        <f t="shared" si="1"/>
        <v>0.47620105681836894</v>
      </c>
      <c r="K19" s="544">
        <f t="shared" si="2"/>
        <v>0.1772544891827133</v>
      </c>
      <c r="L19" s="544">
        <f t="shared" si="3"/>
        <v>0.20248107882811164</v>
      </c>
      <c r="M19" s="544">
        <f t="shared" si="4"/>
        <v>0.13092674660631451</v>
      </c>
      <c r="N19" s="544">
        <f t="shared" si="5"/>
        <v>1.313662856449159E-2</v>
      </c>
    </row>
    <row r="20" spans="1:14" ht="14.5">
      <c r="A20" s="5"/>
      <c r="B20" s="530" t="s">
        <v>176</v>
      </c>
      <c r="C20" s="530">
        <v>6159614</v>
      </c>
      <c r="D20" s="530">
        <v>4386504</v>
      </c>
      <c r="E20" s="530">
        <v>2146765</v>
      </c>
      <c r="F20" s="530">
        <v>825578</v>
      </c>
      <c r="G20" s="530">
        <v>0</v>
      </c>
      <c r="H20" s="530">
        <f t="shared" si="0"/>
        <v>13518461</v>
      </c>
      <c r="J20" s="541">
        <f t="shared" si="1"/>
        <v>0.45564461812627932</v>
      </c>
      <c r="K20" s="541">
        <f t="shared" si="2"/>
        <v>0.32448249841457544</v>
      </c>
      <c r="L20" s="541">
        <f t="shared" si="3"/>
        <v>0.15880247019242796</v>
      </c>
      <c r="M20" s="541">
        <f t="shared" si="4"/>
        <v>6.107041326671727E-2</v>
      </c>
      <c r="N20" s="541">
        <f t="shared" si="5"/>
        <v>0</v>
      </c>
    </row>
    <row r="21" spans="1:14" ht="14.5">
      <c r="A21" s="5"/>
      <c r="B21" s="542" t="s">
        <v>2773</v>
      </c>
      <c r="C21" s="542">
        <v>6836935</v>
      </c>
      <c r="D21" s="542">
        <v>3074823</v>
      </c>
      <c r="E21" s="542">
        <v>1851676</v>
      </c>
      <c r="F21" s="542">
        <v>1532540</v>
      </c>
      <c r="G21" s="542">
        <v>0</v>
      </c>
      <c r="H21" s="542">
        <f t="shared" si="0"/>
        <v>13295974</v>
      </c>
      <c r="J21" s="544">
        <f t="shared" si="1"/>
        <v>0.51421091828248155</v>
      </c>
      <c r="K21" s="544">
        <f t="shared" si="2"/>
        <v>0.23125970312517158</v>
      </c>
      <c r="L21" s="544">
        <f t="shared" si="3"/>
        <v>0.13926591613371084</v>
      </c>
      <c r="M21" s="544">
        <f t="shared" si="4"/>
        <v>0.11526346245863597</v>
      </c>
      <c r="N21" s="544">
        <f t="shared" si="5"/>
        <v>0</v>
      </c>
    </row>
    <row r="22" spans="1:14" ht="14.5">
      <c r="A22" s="5"/>
      <c r="B22" s="530" t="s">
        <v>5411</v>
      </c>
      <c r="C22" s="530">
        <v>6597447</v>
      </c>
      <c r="D22" s="530">
        <v>3530427</v>
      </c>
      <c r="E22" s="530">
        <v>1622155</v>
      </c>
      <c r="F22" s="530">
        <v>1246840</v>
      </c>
      <c r="G22" s="530">
        <v>0</v>
      </c>
      <c r="H22" s="530">
        <f t="shared" si="0"/>
        <v>12996869</v>
      </c>
      <c r="J22" s="541">
        <f t="shared" si="1"/>
        <v>0.50761818096343048</v>
      </c>
      <c r="K22" s="541">
        <f t="shared" si="2"/>
        <v>0.27163673035405683</v>
      </c>
      <c r="L22" s="541">
        <f t="shared" si="3"/>
        <v>0.12481121414703802</v>
      </c>
      <c r="M22" s="541">
        <f t="shared" si="4"/>
        <v>9.5933874535474653E-2</v>
      </c>
      <c r="N22" s="541">
        <f t="shared" si="5"/>
        <v>0</v>
      </c>
    </row>
    <row r="23" spans="1:14" ht="14.5">
      <c r="A23" s="5"/>
      <c r="B23" s="542" t="s">
        <v>961</v>
      </c>
      <c r="C23" s="542">
        <v>5998581</v>
      </c>
      <c r="D23" s="542">
        <v>2649331</v>
      </c>
      <c r="E23" s="542">
        <v>1938610</v>
      </c>
      <c r="F23" s="542">
        <v>1267332</v>
      </c>
      <c r="G23" s="542">
        <v>160278</v>
      </c>
      <c r="H23" s="542">
        <f t="shared" si="0"/>
        <v>12014132</v>
      </c>
      <c r="J23" s="544">
        <f t="shared" si="1"/>
        <v>0.49929374839563939</v>
      </c>
      <c r="K23" s="544">
        <f t="shared" si="2"/>
        <v>0.22051788676868209</v>
      </c>
      <c r="L23" s="544">
        <f t="shared" si="3"/>
        <v>0.16136080409304643</v>
      </c>
      <c r="M23" s="544">
        <f t="shared" si="4"/>
        <v>0.10548677174514147</v>
      </c>
      <c r="N23" s="544">
        <f t="shared" si="5"/>
        <v>1.3340788997490622E-2</v>
      </c>
    </row>
    <row r="24" spans="1:14" ht="14.5">
      <c r="A24" s="5"/>
      <c r="B24" s="530" t="s">
        <v>462</v>
      </c>
      <c r="C24" s="530">
        <v>5364482</v>
      </c>
      <c r="D24" s="530">
        <v>2387184</v>
      </c>
      <c r="E24" s="530">
        <v>2108659</v>
      </c>
      <c r="F24" s="530">
        <v>1579565</v>
      </c>
      <c r="G24" s="530">
        <v>207366</v>
      </c>
      <c r="H24" s="530">
        <f t="shared" si="0"/>
        <v>11647256</v>
      </c>
      <c r="J24" s="541">
        <f t="shared" si="1"/>
        <v>0.46057904110633441</v>
      </c>
      <c r="K24" s="541">
        <f t="shared" si="2"/>
        <v>0.20495677265100037</v>
      </c>
      <c r="L24" s="541">
        <f t="shared" si="3"/>
        <v>0.18104341486097669</v>
      </c>
      <c r="M24" s="541">
        <f t="shared" si="4"/>
        <v>0.13561692127313077</v>
      </c>
      <c r="N24" s="541">
        <f t="shared" si="5"/>
        <v>1.780385010855776E-2</v>
      </c>
    </row>
    <row r="25" spans="1:14" ht="14.5">
      <c r="A25" s="5"/>
      <c r="B25" s="542" t="s">
        <v>141</v>
      </c>
      <c r="C25" s="542">
        <v>4578769</v>
      </c>
      <c r="D25" s="542">
        <v>3921975</v>
      </c>
      <c r="E25" s="542">
        <v>1614960</v>
      </c>
      <c r="F25" s="542">
        <v>862574</v>
      </c>
      <c r="G25" s="542">
        <v>605524</v>
      </c>
      <c r="H25" s="542">
        <f t="shared" si="0"/>
        <v>11583802</v>
      </c>
      <c r="J25" s="544">
        <f t="shared" si="1"/>
        <v>0.39527341713886338</v>
      </c>
      <c r="K25" s="544">
        <f t="shared" si="2"/>
        <v>0.33857407093111569</v>
      </c>
      <c r="L25" s="544">
        <f t="shared" si="3"/>
        <v>0.13941536638834123</v>
      </c>
      <c r="M25" s="544">
        <f t="shared" si="4"/>
        <v>7.4463807306098639E-2</v>
      </c>
      <c r="N25" s="544">
        <f t="shared" si="5"/>
        <v>5.2273338235581029E-2</v>
      </c>
    </row>
    <row r="26" spans="1:14" ht="14.5">
      <c r="A26" s="5"/>
      <c r="B26" s="530" t="s">
        <v>87</v>
      </c>
      <c r="C26" s="530">
        <v>6190450</v>
      </c>
      <c r="D26" s="530">
        <v>1990349</v>
      </c>
      <c r="E26" s="530">
        <v>2012323</v>
      </c>
      <c r="F26" s="530">
        <v>1082120</v>
      </c>
      <c r="G26" s="530">
        <v>0</v>
      </c>
      <c r="H26" s="530">
        <f t="shared" si="0"/>
        <v>11275242</v>
      </c>
      <c r="J26" s="541">
        <f t="shared" si="1"/>
        <v>0.5490303445371727</v>
      </c>
      <c r="K26" s="541">
        <f t="shared" si="2"/>
        <v>0.17652383869011415</v>
      </c>
      <c r="L26" s="541">
        <f t="shared" si="3"/>
        <v>0.17847271038617177</v>
      </c>
      <c r="M26" s="541">
        <f t="shared" si="4"/>
        <v>9.5973106386541412E-2</v>
      </c>
      <c r="N26" s="541">
        <f t="shared" si="5"/>
        <v>0</v>
      </c>
    </row>
    <row r="27" spans="1:14" ht="14.5">
      <c r="A27" s="5"/>
      <c r="B27" s="542" t="s">
        <v>1847</v>
      </c>
      <c r="C27" s="542">
        <v>5149354</v>
      </c>
      <c r="D27" s="542">
        <v>2668744</v>
      </c>
      <c r="E27" s="542">
        <v>1679737</v>
      </c>
      <c r="F27" s="542">
        <v>1101425</v>
      </c>
      <c r="G27" s="542">
        <v>102118</v>
      </c>
      <c r="H27" s="542">
        <f t="shared" si="0"/>
        <v>10701378</v>
      </c>
      <c r="J27" s="544">
        <f t="shared" si="1"/>
        <v>0.48118606781294893</v>
      </c>
      <c r="K27" s="544">
        <f t="shared" si="2"/>
        <v>0.24938321027441512</v>
      </c>
      <c r="L27" s="544">
        <f t="shared" si="3"/>
        <v>0.15696455166801884</v>
      </c>
      <c r="M27" s="544">
        <f t="shared" si="4"/>
        <v>0.10292366085937718</v>
      </c>
      <c r="N27" s="544">
        <f t="shared" si="5"/>
        <v>9.5425093852399192E-3</v>
      </c>
    </row>
    <row r="28" spans="1:14" ht="14.5">
      <c r="A28" s="5"/>
      <c r="B28" s="530" t="s">
        <v>74</v>
      </c>
      <c r="C28" s="530">
        <v>4778119</v>
      </c>
      <c r="D28" s="530">
        <v>2133776</v>
      </c>
      <c r="E28" s="530">
        <v>1918547</v>
      </c>
      <c r="F28" s="530">
        <v>961104</v>
      </c>
      <c r="G28" s="530">
        <v>291968</v>
      </c>
      <c r="H28" s="530">
        <f t="shared" si="0"/>
        <v>10083514</v>
      </c>
      <c r="J28" s="541">
        <f t="shared" si="1"/>
        <v>0.47385455110192737</v>
      </c>
      <c r="K28" s="541">
        <f t="shared" si="2"/>
        <v>0.21161035726235913</v>
      </c>
      <c r="L28" s="541">
        <f t="shared" si="3"/>
        <v>0.19026571490851305</v>
      </c>
      <c r="M28" s="541">
        <f t="shared" si="4"/>
        <v>9.531439139173109E-2</v>
      </c>
      <c r="N28" s="541">
        <f t="shared" si="5"/>
        <v>2.895498533546936E-2</v>
      </c>
    </row>
    <row r="29" spans="1:14" ht="14.5">
      <c r="A29" s="5"/>
      <c r="B29" s="542" t="s">
        <v>618</v>
      </c>
      <c r="C29" s="542">
        <v>4670250</v>
      </c>
      <c r="D29" s="542">
        <v>2494340</v>
      </c>
      <c r="E29" s="542">
        <v>1650270</v>
      </c>
      <c r="F29" s="542">
        <v>1220779</v>
      </c>
      <c r="G29" s="542">
        <v>0</v>
      </c>
      <c r="H29" s="542">
        <f t="shared" si="0"/>
        <v>10035639</v>
      </c>
      <c r="J29" s="544">
        <f t="shared" si="1"/>
        <v>0.46536648040050066</v>
      </c>
      <c r="K29" s="544">
        <f t="shared" si="2"/>
        <v>0.2485481990733226</v>
      </c>
      <c r="L29" s="544">
        <f t="shared" si="3"/>
        <v>0.16444094890220742</v>
      </c>
      <c r="M29" s="544">
        <f t="shared" si="4"/>
        <v>0.12164437162396934</v>
      </c>
      <c r="N29" s="544">
        <f t="shared" si="5"/>
        <v>0</v>
      </c>
    </row>
    <row r="30" spans="1:14" ht="14.5">
      <c r="A30" s="5"/>
      <c r="B30" s="530" t="s">
        <v>622</v>
      </c>
      <c r="C30" s="530">
        <v>4636979</v>
      </c>
      <c r="D30" s="530">
        <v>1739914</v>
      </c>
      <c r="E30" s="530">
        <v>2224781</v>
      </c>
      <c r="F30" s="530">
        <v>985554</v>
      </c>
      <c r="G30" s="530">
        <v>187218</v>
      </c>
      <c r="H30" s="530">
        <f t="shared" si="0"/>
        <v>9774446</v>
      </c>
      <c r="J30" s="541">
        <f t="shared" si="1"/>
        <v>0.47439813980250134</v>
      </c>
      <c r="K30" s="541">
        <f t="shared" si="2"/>
        <v>0.1780064056827364</v>
      </c>
      <c r="L30" s="541">
        <f t="shared" si="3"/>
        <v>0.22761197923647028</v>
      </c>
      <c r="M30" s="541">
        <f t="shared" si="4"/>
        <v>0.10082965315885933</v>
      </c>
      <c r="N30" s="541">
        <f t="shared" si="5"/>
        <v>1.9153822119432652E-2</v>
      </c>
    </row>
    <row r="31" spans="1:14" ht="14.5">
      <c r="A31" s="5"/>
      <c r="B31" s="542" t="s">
        <v>68</v>
      </c>
      <c r="C31" s="542">
        <v>4783611</v>
      </c>
      <c r="D31" s="542">
        <v>2494660</v>
      </c>
      <c r="E31" s="542">
        <v>1451421</v>
      </c>
      <c r="F31" s="542">
        <v>1028312</v>
      </c>
      <c r="G31" s="542">
        <v>0</v>
      </c>
      <c r="H31" s="542">
        <f t="shared" si="0"/>
        <v>9758004</v>
      </c>
      <c r="J31" s="544">
        <f t="shared" si="1"/>
        <v>0.49022433276313476</v>
      </c>
      <c r="K31" s="544">
        <f t="shared" si="2"/>
        <v>0.25565269290727899</v>
      </c>
      <c r="L31" s="544">
        <f t="shared" si="3"/>
        <v>0.1487415869065026</v>
      </c>
      <c r="M31" s="544">
        <f t="shared" si="4"/>
        <v>0.10538138742308366</v>
      </c>
      <c r="N31" s="544">
        <f t="shared" si="5"/>
        <v>0</v>
      </c>
    </row>
    <row r="32" spans="1:14" ht="14.5">
      <c r="A32" s="5"/>
      <c r="B32" s="530" t="s">
        <v>130</v>
      </c>
      <c r="C32" s="530">
        <v>4503932</v>
      </c>
      <c r="D32" s="530">
        <v>2360317</v>
      </c>
      <c r="E32" s="530">
        <v>1501185</v>
      </c>
      <c r="F32" s="530">
        <v>860788</v>
      </c>
      <c r="G32" s="530">
        <v>95711</v>
      </c>
      <c r="H32" s="530">
        <f t="shared" si="0"/>
        <v>9321933</v>
      </c>
      <c r="J32" s="541">
        <f t="shared" si="1"/>
        <v>0.48315429857734443</v>
      </c>
      <c r="K32" s="541">
        <f t="shared" si="2"/>
        <v>0.25320038236704767</v>
      </c>
      <c r="L32" s="541">
        <f t="shared" si="3"/>
        <v>0.16103795210714344</v>
      </c>
      <c r="M32" s="541">
        <f t="shared" si="4"/>
        <v>9.2340075819038817E-2</v>
      </c>
      <c r="N32" s="541">
        <f t="shared" si="5"/>
        <v>1.0267291129425624E-2</v>
      </c>
    </row>
    <row r="33" spans="1:14" ht="14.5">
      <c r="A33" s="5"/>
      <c r="B33" s="542" t="s">
        <v>662</v>
      </c>
      <c r="C33" s="542">
        <v>4365073</v>
      </c>
      <c r="D33" s="542">
        <v>2292934</v>
      </c>
      <c r="E33" s="542">
        <v>1436165</v>
      </c>
      <c r="F33" s="542">
        <v>802364</v>
      </c>
      <c r="G33" s="542">
        <v>84840</v>
      </c>
      <c r="H33" s="542">
        <f t="shared" si="0"/>
        <v>8981376</v>
      </c>
      <c r="J33" s="544">
        <f t="shared" si="1"/>
        <v>0.48601383574187296</v>
      </c>
      <c r="K33" s="544">
        <f t="shared" si="2"/>
        <v>0.25529874264255276</v>
      </c>
      <c r="L33" s="544">
        <f t="shared" si="3"/>
        <v>0.15990478519104423</v>
      </c>
      <c r="M33" s="544">
        <f t="shared" si="4"/>
        <v>8.9336422392292669E-2</v>
      </c>
      <c r="N33" s="544">
        <f t="shared" si="5"/>
        <v>9.4462140322373774E-3</v>
      </c>
    </row>
    <row r="34" spans="1:14" ht="14.5">
      <c r="A34" s="5"/>
      <c r="B34" s="530" t="s">
        <v>99</v>
      </c>
      <c r="C34" s="530">
        <v>4359339</v>
      </c>
      <c r="D34" s="530">
        <v>2553662</v>
      </c>
      <c r="E34" s="530">
        <v>856529</v>
      </c>
      <c r="F34" s="530">
        <v>789520</v>
      </c>
      <c r="G34" s="530">
        <v>77976</v>
      </c>
      <c r="H34" s="530">
        <f t="shared" si="0"/>
        <v>8637026</v>
      </c>
      <c r="J34" s="541">
        <f t="shared" si="1"/>
        <v>0.50472685852746069</v>
      </c>
      <c r="K34" s="541">
        <f t="shared" si="2"/>
        <v>0.29566450303611452</v>
      </c>
      <c r="L34" s="541">
        <f t="shared" si="3"/>
        <v>9.9169436331440944E-2</v>
      </c>
      <c r="M34" s="541">
        <f t="shared" si="4"/>
        <v>9.1411094513319746E-2</v>
      </c>
      <c r="N34" s="541">
        <f t="shared" si="5"/>
        <v>9.0281075916640759E-3</v>
      </c>
    </row>
    <row r="35" spans="1:14" ht="14.5">
      <c r="A35" s="5"/>
      <c r="B35" s="542" t="s">
        <v>607</v>
      </c>
      <c r="C35" s="542">
        <v>4049024</v>
      </c>
      <c r="D35" s="542">
        <v>1582884</v>
      </c>
      <c r="E35" s="542">
        <v>1418091</v>
      </c>
      <c r="F35" s="542">
        <v>1200341</v>
      </c>
      <c r="G35" s="542">
        <v>110276</v>
      </c>
      <c r="H35" s="542">
        <f t="shared" si="0"/>
        <v>8360616</v>
      </c>
      <c r="J35" s="544">
        <f t="shared" si="1"/>
        <v>0.48429732928769842</v>
      </c>
      <c r="K35" s="544">
        <f t="shared" si="2"/>
        <v>0.18932624103295739</v>
      </c>
      <c r="L35" s="544">
        <f t="shared" si="3"/>
        <v>0.16961561205537964</v>
      </c>
      <c r="M35" s="544">
        <f t="shared" si="4"/>
        <v>0.14357088042316499</v>
      </c>
      <c r="N35" s="544">
        <f t="shared" si="5"/>
        <v>1.3189937200799558E-2</v>
      </c>
    </row>
    <row r="36" spans="1:14" ht="14.5">
      <c r="A36" s="5"/>
      <c r="B36" s="530" t="s">
        <v>2477</v>
      </c>
      <c r="C36" s="530">
        <v>4016336</v>
      </c>
      <c r="D36" s="530">
        <v>1746650</v>
      </c>
      <c r="E36" s="530">
        <v>835696</v>
      </c>
      <c r="F36" s="530">
        <v>707121</v>
      </c>
      <c r="G36" s="530">
        <v>0</v>
      </c>
      <c r="H36" s="530">
        <f t="shared" si="0"/>
        <v>7305803</v>
      </c>
      <c r="J36" s="541">
        <f t="shared" si="1"/>
        <v>0.54974600327985845</v>
      </c>
      <c r="K36" s="541">
        <f t="shared" si="2"/>
        <v>0.23907707338946863</v>
      </c>
      <c r="L36" s="541">
        <f t="shared" si="3"/>
        <v>0.11438797350544491</v>
      </c>
      <c r="M36" s="541">
        <f t="shared" si="4"/>
        <v>9.6788949825227968E-2</v>
      </c>
      <c r="N36" s="541">
        <f t="shared" si="5"/>
        <v>0</v>
      </c>
    </row>
    <row r="37" spans="1:14" ht="14.5">
      <c r="A37" s="5"/>
      <c r="B37" s="542" t="s">
        <v>659</v>
      </c>
      <c r="C37" s="542">
        <v>3086208</v>
      </c>
      <c r="D37" s="542">
        <v>2172190</v>
      </c>
      <c r="E37" s="542">
        <v>792899</v>
      </c>
      <c r="F37" s="542">
        <v>919034</v>
      </c>
      <c r="G37" s="542">
        <v>0</v>
      </c>
      <c r="H37" s="542">
        <f t="shared" si="0"/>
        <v>6970331</v>
      </c>
      <c r="J37" s="544">
        <f t="shared" si="1"/>
        <v>0.44276347852060399</v>
      </c>
      <c r="K37" s="544">
        <f t="shared" si="2"/>
        <v>0.31163369429658361</v>
      </c>
      <c r="L37" s="544">
        <f t="shared" si="3"/>
        <v>0.11375342146592464</v>
      </c>
      <c r="M37" s="544">
        <f t="shared" si="4"/>
        <v>0.13184940571688777</v>
      </c>
      <c r="N37" s="544">
        <f t="shared" si="5"/>
        <v>0</v>
      </c>
    </row>
    <row r="38" spans="1:14" ht="14.5">
      <c r="A38" s="5"/>
      <c r="B38" s="530" t="s">
        <v>6968</v>
      </c>
      <c r="C38" s="530">
        <v>3408701</v>
      </c>
      <c r="D38" s="530">
        <v>1687450</v>
      </c>
      <c r="E38" s="530">
        <v>758704</v>
      </c>
      <c r="F38" s="530">
        <v>784851</v>
      </c>
      <c r="G38" s="530">
        <v>63676</v>
      </c>
      <c r="H38" s="530">
        <f t="shared" si="0"/>
        <v>6703382</v>
      </c>
      <c r="J38" s="541">
        <f t="shared" si="1"/>
        <v>0.50850466227346136</v>
      </c>
      <c r="K38" s="541">
        <f t="shared" si="2"/>
        <v>0.25173114108669326</v>
      </c>
      <c r="L38" s="541">
        <f t="shared" si="3"/>
        <v>0.11318227127739401</v>
      </c>
      <c r="M38" s="541">
        <f t="shared" si="4"/>
        <v>0.11708283967704661</v>
      </c>
      <c r="N38" s="541">
        <f t="shared" si="5"/>
        <v>9.4990856854047703E-3</v>
      </c>
    </row>
    <row r="39" spans="1:14" ht="14.5">
      <c r="A39" s="5"/>
      <c r="B39" s="542" t="s">
        <v>7209</v>
      </c>
      <c r="C39" s="542">
        <v>5014206</v>
      </c>
      <c r="D39" s="542">
        <v>114969</v>
      </c>
      <c r="E39" s="542">
        <v>123739</v>
      </c>
      <c r="F39" s="542">
        <v>1105426</v>
      </c>
      <c r="G39" s="542"/>
      <c r="H39" s="542">
        <f t="shared" si="0"/>
        <v>6358340</v>
      </c>
      <c r="J39" s="544">
        <f t="shared" si="1"/>
        <v>0.78860300015412832</v>
      </c>
      <c r="K39" s="544">
        <f t="shared" si="2"/>
        <v>1.808160620539323E-2</v>
      </c>
      <c r="L39" s="544">
        <f t="shared" si="3"/>
        <v>1.9460897026582411E-2</v>
      </c>
      <c r="M39" s="544">
        <f t="shared" si="4"/>
        <v>0.17385449661389607</v>
      </c>
      <c r="N39" s="544">
        <f t="shared" si="5"/>
        <v>0</v>
      </c>
    </row>
    <row r="40" spans="1:14" ht="14.5">
      <c r="A40" s="5"/>
      <c r="B40" s="530" t="s">
        <v>646</v>
      </c>
      <c r="C40" s="530">
        <v>3160529</v>
      </c>
      <c r="D40" s="530">
        <v>1418975</v>
      </c>
      <c r="E40" s="530">
        <v>929143</v>
      </c>
      <c r="F40" s="530">
        <v>584781</v>
      </c>
      <c r="G40" s="530">
        <v>68216</v>
      </c>
      <c r="H40" s="530">
        <f t="shared" si="0"/>
        <v>6161644</v>
      </c>
      <c r="J40" s="541">
        <f t="shared" si="1"/>
        <v>0.51293599565310821</v>
      </c>
      <c r="K40" s="541">
        <f t="shared" si="2"/>
        <v>0.23029162346932086</v>
      </c>
      <c r="L40" s="541">
        <f t="shared" si="3"/>
        <v>0.15079465804905315</v>
      </c>
      <c r="M40" s="541">
        <f t="shared" si="4"/>
        <v>9.4906651536505515E-2</v>
      </c>
      <c r="N40" s="541">
        <f t="shared" si="5"/>
        <v>1.1071071292012326E-2</v>
      </c>
    </row>
    <row r="41" spans="1:14" ht="14.5">
      <c r="A41" s="5"/>
      <c r="B41" s="542" t="s">
        <v>7936</v>
      </c>
      <c r="C41" s="542">
        <v>2917284</v>
      </c>
      <c r="D41" s="542">
        <v>1559819</v>
      </c>
      <c r="E41" s="542">
        <v>991993</v>
      </c>
      <c r="F41" s="542">
        <v>647943</v>
      </c>
      <c r="G41" s="542">
        <v>0</v>
      </c>
      <c r="H41" s="542">
        <f t="shared" si="0"/>
        <v>6117039</v>
      </c>
      <c r="J41" s="544">
        <f t="shared" si="1"/>
        <v>0.47691113298443905</v>
      </c>
      <c r="K41" s="544">
        <f t="shared" si="2"/>
        <v>0.25499575856881085</v>
      </c>
      <c r="L41" s="544">
        <f t="shared" si="3"/>
        <v>0.16216882056825205</v>
      </c>
      <c r="M41" s="544">
        <f t="shared" si="4"/>
        <v>0.10592428787849807</v>
      </c>
      <c r="N41" s="544">
        <f t="shared" si="5"/>
        <v>0</v>
      </c>
    </row>
    <row r="42" spans="1:14" ht="14.5">
      <c r="A42" s="5"/>
      <c r="B42" s="530" t="s">
        <v>676</v>
      </c>
      <c r="C42" s="530">
        <v>2315445</v>
      </c>
      <c r="D42" s="530">
        <v>1578902</v>
      </c>
      <c r="E42" s="530">
        <v>850859</v>
      </c>
      <c r="F42" s="530">
        <v>468792</v>
      </c>
      <c r="G42" s="530">
        <v>146550</v>
      </c>
      <c r="H42" s="530">
        <f t="shared" si="0"/>
        <v>5360548</v>
      </c>
      <c r="J42" s="541">
        <f t="shared" si="1"/>
        <v>0.43194184624407805</v>
      </c>
      <c r="K42" s="541">
        <f t="shared" si="2"/>
        <v>0.29454115512070783</v>
      </c>
      <c r="L42" s="541">
        <f t="shared" si="3"/>
        <v>0.15872612277699966</v>
      </c>
      <c r="M42" s="541">
        <f t="shared" si="4"/>
        <v>8.7452253015922993E-2</v>
      </c>
      <c r="N42" s="541">
        <f t="shared" si="5"/>
        <v>2.7338622842291497E-2</v>
      </c>
    </row>
    <row r="43" spans="1:14" ht="14.5">
      <c r="A43" s="5"/>
      <c r="B43" s="542" t="s">
        <v>6970</v>
      </c>
      <c r="C43" s="542">
        <v>2249311</v>
      </c>
      <c r="D43" s="542">
        <v>1024471</v>
      </c>
      <c r="E43" s="542">
        <v>1286029</v>
      </c>
      <c r="F43" s="542">
        <v>502880</v>
      </c>
      <c r="G43" s="542">
        <v>42752</v>
      </c>
      <c r="H43" s="542">
        <f t="shared" si="0"/>
        <v>5105443</v>
      </c>
      <c r="J43" s="544">
        <f t="shared" si="1"/>
        <v>0.4405711708073129</v>
      </c>
      <c r="K43" s="544">
        <f t="shared" si="2"/>
        <v>0.20066250862070148</v>
      </c>
      <c r="L43" s="544">
        <f t="shared" si="3"/>
        <v>0.25189371421833523</v>
      </c>
      <c r="M43" s="544">
        <f t="shared" si="4"/>
        <v>9.8498798243364979E-2</v>
      </c>
      <c r="N43" s="544">
        <f t="shared" si="5"/>
        <v>8.3738081102854352E-3</v>
      </c>
    </row>
    <row r="44" spans="1:14" ht="14.5">
      <c r="A44" s="5"/>
      <c r="B44" s="530" t="s">
        <v>188</v>
      </c>
      <c r="C44" s="530">
        <v>2119206</v>
      </c>
      <c r="D44" s="530">
        <v>563016</v>
      </c>
      <c r="E44" s="530">
        <v>600237</v>
      </c>
      <c r="F44" s="530">
        <v>1621442</v>
      </c>
      <c r="G44" s="530">
        <v>0</v>
      </c>
      <c r="H44" s="530">
        <f t="shared" si="0"/>
        <v>4903901</v>
      </c>
      <c r="J44" s="541">
        <f t="shared" si="1"/>
        <v>0.43214697849732286</v>
      </c>
      <c r="K44" s="541">
        <f t="shared" si="2"/>
        <v>0.11480982181328701</v>
      </c>
      <c r="L44" s="541">
        <f t="shared" si="3"/>
        <v>0.12239990162933551</v>
      </c>
      <c r="M44" s="541">
        <f t="shared" si="4"/>
        <v>0.33064329806005466</v>
      </c>
      <c r="N44" s="541">
        <f t="shared" si="5"/>
        <v>0</v>
      </c>
    </row>
    <row r="45" spans="1:14" ht="14.5">
      <c r="A45" s="5"/>
      <c r="B45" s="542" t="s">
        <v>967</v>
      </c>
      <c r="C45" s="542">
        <v>2092661</v>
      </c>
      <c r="D45" s="542">
        <v>1364755</v>
      </c>
      <c r="E45" s="542">
        <v>821771</v>
      </c>
      <c r="F45" s="542">
        <v>566319</v>
      </c>
      <c r="G45" s="542">
        <v>0</v>
      </c>
      <c r="H45" s="542">
        <f t="shared" si="0"/>
        <v>4845506</v>
      </c>
      <c r="J45" s="544">
        <f t="shared" si="1"/>
        <v>0.43187667087812914</v>
      </c>
      <c r="K45" s="544">
        <f t="shared" si="2"/>
        <v>0.28165376330150038</v>
      </c>
      <c r="L45" s="544">
        <f t="shared" si="3"/>
        <v>0.16959446546965373</v>
      </c>
      <c r="M45" s="544">
        <f t="shared" si="4"/>
        <v>0.11687510035071673</v>
      </c>
      <c r="N45" s="544">
        <f t="shared" si="5"/>
        <v>0</v>
      </c>
    </row>
    <row r="46" spans="1:14" ht="14.5">
      <c r="A46" s="5"/>
      <c r="B46" s="530" t="s">
        <v>1251</v>
      </c>
      <c r="C46" s="530">
        <v>2469445</v>
      </c>
      <c r="D46" s="530">
        <v>1265158</v>
      </c>
      <c r="E46" s="530">
        <v>611546</v>
      </c>
      <c r="F46" s="530">
        <v>423179</v>
      </c>
      <c r="G46" s="530">
        <v>24914</v>
      </c>
      <c r="H46" s="530">
        <f t="shared" si="0"/>
        <v>4794242</v>
      </c>
      <c r="J46" s="541">
        <f t="shared" si="1"/>
        <v>0.51508559643005092</v>
      </c>
      <c r="K46" s="541">
        <f t="shared" si="2"/>
        <v>0.26389114274999054</v>
      </c>
      <c r="L46" s="541">
        <f t="shared" si="3"/>
        <v>0.12755843363768454</v>
      </c>
      <c r="M46" s="541">
        <f t="shared" si="4"/>
        <v>8.8268176700300072E-2</v>
      </c>
      <c r="N46" s="541">
        <f t="shared" si="5"/>
        <v>5.1966504819740012E-3</v>
      </c>
    </row>
    <row r="47" spans="1:14" ht="14.5">
      <c r="A47" s="5"/>
      <c r="B47" s="542" t="s">
        <v>673</v>
      </c>
      <c r="C47" s="542">
        <v>2693275</v>
      </c>
      <c r="D47" s="542">
        <v>1436300</v>
      </c>
      <c r="E47" s="542"/>
      <c r="F47" s="542">
        <v>265348</v>
      </c>
      <c r="G47" s="542">
        <v>56727</v>
      </c>
      <c r="H47" s="542">
        <f t="shared" si="0"/>
        <v>4451650</v>
      </c>
      <c r="J47" s="544">
        <f t="shared" si="1"/>
        <v>0.60500600900789592</v>
      </c>
      <c r="K47" s="544">
        <f t="shared" si="2"/>
        <v>0.32264441274583583</v>
      </c>
      <c r="L47" s="544">
        <f t="shared" si="3"/>
        <v>0</v>
      </c>
      <c r="M47" s="544">
        <f t="shared" si="4"/>
        <v>5.9606662698100707E-2</v>
      </c>
      <c r="N47" s="544">
        <f t="shared" si="5"/>
        <v>1.2742915548167533E-2</v>
      </c>
    </row>
    <row r="48" spans="1:14" ht="14.5">
      <c r="A48" s="5"/>
      <c r="B48" s="530" t="s">
        <v>2793</v>
      </c>
      <c r="C48" s="530">
        <v>3873892</v>
      </c>
      <c r="D48" s="530"/>
      <c r="E48" s="530"/>
      <c r="F48" s="530">
        <v>135415</v>
      </c>
      <c r="G48" s="530">
        <v>138661</v>
      </c>
      <c r="H48" s="530">
        <f t="shared" si="0"/>
        <v>4147968</v>
      </c>
      <c r="J48" s="541">
        <f t="shared" si="1"/>
        <v>0.93392523761031909</v>
      </c>
      <c r="K48" s="541">
        <f t="shared" si="2"/>
        <v>0</v>
      </c>
      <c r="L48" s="541">
        <f t="shared" si="3"/>
        <v>0</v>
      </c>
      <c r="M48" s="541">
        <f t="shared" si="4"/>
        <v>3.2646105273714747E-2</v>
      </c>
      <c r="N48" s="541">
        <f t="shared" si="5"/>
        <v>3.3428657115966182E-2</v>
      </c>
    </row>
    <row r="49" spans="1:14" ht="14.5">
      <c r="A49" s="5"/>
      <c r="B49" s="542" t="s">
        <v>6973</v>
      </c>
      <c r="C49" s="542">
        <v>1759710</v>
      </c>
      <c r="D49" s="542">
        <v>709985</v>
      </c>
      <c r="E49" s="542">
        <v>606129</v>
      </c>
      <c r="F49" s="542">
        <v>320570</v>
      </c>
      <c r="G49" s="542">
        <v>22879</v>
      </c>
      <c r="H49" s="542">
        <f t="shared" si="0"/>
        <v>3419273</v>
      </c>
      <c r="J49" s="544">
        <f t="shared" si="1"/>
        <v>0.51464448729305912</v>
      </c>
      <c r="K49" s="544">
        <f t="shared" si="2"/>
        <v>0.20764209233951195</v>
      </c>
      <c r="L49" s="544">
        <f t="shared" si="3"/>
        <v>0.17726838424425309</v>
      </c>
      <c r="M49" s="544">
        <f t="shared" si="4"/>
        <v>9.3753847674637264E-2</v>
      </c>
      <c r="N49" s="544">
        <f t="shared" si="5"/>
        <v>6.6911884485386219E-3</v>
      </c>
    </row>
    <row r="50" spans="1:14" ht="14.5">
      <c r="A50" s="5"/>
      <c r="B50" s="530" t="s">
        <v>6972</v>
      </c>
      <c r="C50" s="530">
        <v>1965352</v>
      </c>
      <c r="D50" s="530">
        <v>530930</v>
      </c>
      <c r="E50" s="530">
        <v>412710</v>
      </c>
      <c r="F50" s="530">
        <v>283735</v>
      </c>
      <c r="G50" s="530">
        <v>0</v>
      </c>
      <c r="H50" s="530">
        <f t="shared" si="0"/>
        <v>3192727</v>
      </c>
      <c r="J50" s="541">
        <f t="shared" si="1"/>
        <v>0.61557157877889346</v>
      </c>
      <c r="K50" s="541">
        <f t="shared" si="2"/>
        <v>0.16629357912530573</v>
      </c>
      <c r="L50" s="541">
        <f t="shared" si="3"/>
        <v>0.12926567163431135</v>
      </c>
      <c r="M50" s="541">
        <f t="shared" si="4"/>
        <v>8.8869170461489511E-2</v>
      </c>
      <c r="N50" s="541">
        <f t="shared" si="5"/>
        <v>0</v>
      </c>
    </row>
    <row r="51" spans="1:14" ht="14.5">
      <c r="A51" s="5"/>
      <c r="B51" s="542" t="s">
        <v>985</v>
      </c>
      <c r="C51" s="542">
        <v>919595</v>
      </c>
      <c r="D51" s="542">
        <v>177283</v>
      </c>
      <c r="E51" s="542">
        <v>36428</v>
      </c>
      <c r="F51" s="542">
        <v>1731473</v>
      </c>
      <c r="G51" s="542">
        <v>27090</v>
      </c>
      <c r="H51" s="542">
        <f t="shared" si="0"/>
        <v>2891869</v>
      </c>
      <c r="J51" s="544">
        <f t="shared" si="1"/>
        <v>0.31799331159191513</v>
      </c>
      <c r="K51" s="544">
        <f t="shared" si="2"/>
        <v>6.1303952564932922E-2</v>
      </c>
      <c r="L51" s="544">
        <f t="shared" si="3"/>
        <v>1.2596697844888548E-2</v>
      </c>
      <c r="M51" s="544">
        <f t="shared" si="4"/>
        <v>0.59873839375158422</v>
      </c>
      <c r="N51" s="544">
        <f t="shared" si="5"/>
        <v>9.3676442466792235E-3</v>
      </c>
    </row>
    <row r="52" spans="1:14" ht="14.5">
      <c r="A52" s="5"/>
      <c r="B52" s="530" t="s">
        <v>701</v>
      </c>
      <c r="C52" s="530">
        <v>1540922</v>
      </c>
      <c r="D52" s="530">
        <v>56617</v>
      </c>
      <c r="E52" s="530">
        <v>875275</v>
      </c>
      <c r="F52" s="530">
        <v>360600</v>
      </c>
      <c r="G52" s="530">
        <v>49121</v>
      </c>
      <c r="H52" s="530">
        <f t="shared" si="0"/>
        <v>2882535</v>
      </c>
      <c r="J52" s="541">
        <f t="shared" si="1"/>
        <v>0.53457182653463009</v>
      </c>
      <c r="K52" s="541">
        <f t="shared" si="2"/>
        <v>1.9641392038604908E-2</v>
      </c>
      <c r="L52" s="541">
        <f t="shared" si="3"/>
        <v>0.30364765735715266</v>
      </c>
      <c r="M52" s="541">
        <f t="shared" si="4"/>
        <v>0.12509822083686756</v>
      </c>
      <c r="N52" s="541">
        <f t="shared" si="5"/>
        <v>1.7040903232744788E-2</v>
      </c>
    </row>
    <row r="53" spans="1:14" ht="14.5">
      <c r="A53" s="5"/>
      <c r="B53" s="542" t="s">
        <v>6974</v>
      </c>
      <c r="C53" s="542">
        <v>1816719</v>
      </c>
      <c r="D53" s="542">
        <v>615442</v>
      </c>
      <c r="E53" s="542">
        <v>70095</v>
      </c>
      <c r="F53" s="542">
        <v>87159</v>
      </c>
      <c r="G53" s="542">
        <v>10626</v>
      </c>
      <c r="H53" s="542">
        <f t="shared" si="0"/>
        <v>2600041</v>
      </c>
      <c r="J53" s="544">
        <f t="shared" si="1"/>
        <v>0.69872705853484618</v>
      </c>
      <c r="K53" s="544">
        <f t="shared" si="2"/>
        <v>0.23670472888696756</v>
      </c>
      <c r="L53" s="544">
        <f t="shared" si="3"/>
        <v>2.6959190258922839E-2</v>
      </c>
      <c r="M53" s="544">
        <f t="shared" si="4"/>
        <v>3.3522163688957211E-2</v>
      </c>
      <c r="N53" s="544">
        <f t="shared" si="5"/>
        <v>4.086858630306214E-3</v>
      </c>
    </row>
    <row r="54" spans="1:14" ht="14.5">
      <c r="A54" s="5"/>
      <c r="B54" s="530" t="s">
        <v>978</v>
      </c>
      <c r="C54" s="530">
        <v>1355277</v>
      </c>
      <c r="D54" s="530"/>
      <c r="E54" s="530">
        <v>550497</v>
      </c>
      <c r="F54" s="530">
        <v>368970</v>
      </c>
      <c r="G54" s="530">
        <v>161066</v>
      </c>
      <c r="H54" s="530">
        <f t="shared" si="0"/>
        <v>2435810</v>
      </c>
      <c r="J54" s="541">
        <f t="shared" si="1"/>
        <v>0.55639684540255607</v>
      </c>
      <c r="K54" s="541">
        <f t="shared" si="2"/>
        <v>0</v>
      </c>
      <c r="L54" s="541">
        <f t="shared" si="3"/>
        <v>0.22600161753174508</v>
      </c>
      <c r="M54" s="541">
        <f t="shared" si="4"/>
        <v>0.15147733197581092</v>
      </c>
      <c r="N54" s="541">
        <f t="shared" si="5"/>
        <v>6.6124205089887964E-2</v>
      </c>
    </row>
    <row r="55" spans="1:14" ht="14.5">
      <c r="A55" s="5"/>
      <c r="B55" s="542" t="s">
        <v>7939</v>
      </c>
      <c r="C55" s="542"/>
      <c r="D55" s="542">
        <v>628269</v>
      </c>
      <c r="E55" s="542">
        <v>604682</v>
      </c>
      <c r="F55" s="542">
        <v>133964</v>
      </c>
      <c r="G55" s="542">
        <v>0</v>
      </c>
      <c r="H55" s="542">
        <f t="shared" si="0"/>
        <v>1366915</v>
      </c>
      <c r="J55" s="544">
        <f t="shared" si="1"/>
        <v>0</v>
      </c>
      <c r="K55" s="544">
        <f t="shared" si="2"/>
        <v>0.45962550707249539</v>
      </c>
      <c r="L55" s="544">
        <f t="shared" si="3"/>
        <v>0.4423698620616498</v>
      </c>
      <c r="M55" s="544">
        <f t="shared" si="4"/>
        <v>9.8004630865854869E-2</v>
      </c>
      <c r="N55" s="544">
        <f t="shared" si="5"/>
        <v>0</v>
      </c>
    </row>
    <row r="56" spans="1:14" ht="14.5">
      <c r="A56" s="5"/>
      <c r="B56" s="530" t="s">
        <v>6979</v>
      </c>
      <c r="C56" s="530">
        <v>1013989</v>
      </c>
      <c r="D56" s="530">
        <v>45667</v>
      </c>
      <c r="E56" s="530">
        <v>148774</v>
      </c>
      <c r="F56" s="530">
        <v>42941</v>
      </c>
      <c r="G56" s="530"/>
      <c r="H56" s="530">
        <f t="shared" si="0"/>
        <v>1251371</v>
      </c>
      <c r="J56" s="541">
        <f t="shared" si="1"/>
        <v>0.81030246026158514</v>
      </c>
      <c r="K56" s="541">
        <f t="shared" si="2"/>
        <v>3.6493573848203294E-2</v>
      </c>
      <c r="L56" s="541">
        <f t="shared" si="3"/>
        <v>0.11888880276113159</v>
      </c>
      <c r="M56" s="541">
        <f t="shared" si="4"/>
        <v>3.4315163129080027E-2</v>
      </c>
      <c r="N56" s="541">
        <f t="shared" si="5"/>
        <v>0</v>
      </c>
    </row>
    <row r="57" spans="1:14" ht="14.5">
      <c r="A57" s="5"/>
      <c r="B57" s="542" t="s">
        <v>75</v>
      </c>
      <c r="C57" s="542">
        <v>776953</v>
      </c>
      <c r="D57" s="542">
        <v>162807</v>
      </c>
      <c r="E57" s="542"/>
      <c r="F57" s="542">
        <v>155391</v>
      </c>
      <c r="G57" s="542"/>
      <c r="H57" s="542">
        <f t="shared" si="0"/>
        <v>1095151</v>
      </c>
      <c r="J57" s="544">
        <f t="shared" si="1"/>
        <v>0.70944828612675326</v>
      </c>
      <c r="K57" s="544">
        <f t="shared" si="2"/>
        <v>0.14866169140145971</v>
      </c>
      <c r="L57" s="544">
        <f t="shared" si="3"/>
        <v>0</v>
      </c>
      <c r="M57" s="544">
        <f t="shared" si="4"/>
        <v>0.141890022471787</v>
      </c>
      <c r="N57" s="544">
        <f t="shared" si="5"/>
        <v>0</v>
      </c>
    </row>
    <row r="58" spans="1:14" ht="14.5">
      <c r="A58" s="5"/>
      <c r="B58" s="530" t="s">
        <v>6985</v>
      </c>
      <c r="C58" s="530">
        <v>741154</v>
      </c>
      <c r="D58" s="530">
        <v>596</v>
      </c>
      <c r="E58" s="530">
        <v>394</v>
      </c>
      <c r="F58" s="530">
        <v>44219</v>
      </c>
      <c r="G58" s="530">
        <v>44094</v>
      </c>
      <c r="H58" s="530">
        <f t="shared" si="0"/>
        <v>830457</v>
      </c>
      <c r="J58" s="541">
        <f t="shared" si="1"/>
        <v>0.89246523299821667</v>
      </c>
      <c r="K58" s="541">
        <f t="shared" si="2"/>
        <v>7.1767713439708494E-4</v>
      </c>
      <c r="L58" s="541">
        <f t="shared" si="3"/>
        <v>4.744375687121669E-4</v>
      </c>
      <c r="M58" s="541">
        <f t="shared" si="4"/>
        <v>5.3246585915947484E-2</v>
      </c>
      <c r="N58" s="541">
        <f t="shared" si="5"/>
        <v>5.3096066382726619E-2</v>
      </c>
    </row>
    <row r="59" spans="1:14" ht="14.5">
      <c r="A59" s="5"/>
      <c r="B59" s="542" t="s">
        <v>692</v>
      </c>
      <c r="C59" s="542">
        <v>401071</v>
      </c>
      <c r="D59" s="542">
        <v>260512</v>
      </c>
      <c r="E59" s="542">
        <v>155116</v>
      </c>
      <c r="F59" s="542"/>
      <c r="G59" s="542"/>
      <c r="H59" s="542">
        <f t="shared" si="0"/>
        <v>816699</v>
      </c>
      <c r="J59" s="544">
        <f t="shared" si="1"/>
        <v>0.49108790386666323</v>
      </c>
      <c r="K59" s="544">
        <f t="shared" si="2"/>
        <v>0.31898165664461448</v>
      </c>
      <c r="L59" s="544">
        <f t="shared" si="3"/>
        <v>0.18993043948872229</v>
      </c>
      <c r="M59" s="544">
        <f t="shared" si="4"/>
        <v>0</v>
      </c>
      <c r="N59" s="544">
        <f t="shared" si="5"/>
        <v>0</v>
      </c>
    </row>
    <row r="60" spans="1:14" ht="14.5">
      <c r="A60" s="5"/>
      <c r="B60" s="530" t="s">
        <v>8054</v>
      </c>
      <c r="C60" s="530">
        <v>604876</v>
      </c>
      <c r="D60" s="530">
        <v>27326</v>
      </c>
      <c r="E60" s="530">
        <v>11990</v>
      </c>
      <c r="F60" s="530">
        <v>11997</v>
      </c>
      <c r="G60" s="530">
        <v>14779</v>
      </c>
      <c r="H60" s="530">
        <f t="shared" si="0"/>
        <v>670968</v>
      </c>
      <c r="J60" s="541">
        <f t="shared" si="1"/>
        <v>0.90149753788556231</v>
      </c>
      <c r="K60" s="541">
        <f t="shared" si="2"/>
        <v>4.0726234336063719E-2</v>
      </c>
      <c r="L60" s="541">
        <f t="shared" si="3"/>
        <v>1.7869704665498205E-2</v>
      </c>
      <c r="M60" s="541">
        <f t="shared" si="4"/>
        <v>1.7880137353793325E-2</v>
      </c>
      <c r="N60" s="541">
        <f t="shared" si="5"/>
        <v>2.20263857590824E-2</v>
      </c>
    </row>
    <row r="61" spans="1:14" ht="14.5">
      <c r="A61" s="5"/>
      <c r="B61" s="542" t="s">
        <v>990</v>
      </c>
      <c r="C61" s="542">
        <v>351274</v>
      </c>
      <c r="D61" s="542">
        <v>11325</v>
      </c>
      <c r="E61" s="542">
        <v>161751</v>
      </c>
      <c r="F61" s="542">
        <v>55693</v>
      </c>
      <c r="G61" s="542">
        <v>0</v>
      </c>
      <c r="H61" s="542">
        <f t="shared" si="0"/>
        <v>580043</v>
      </c>
      <c r="J61" s="544">
        <f t="shared" si="1"/>
        <v>0.60559992966038723</v>
      </c>
      <c r="K61" s="544">
        <f t="shared" si="2"/>
        <v>1.9524414569264691E-2</v>
      </c>
      <c r="L61" s="544">
        <f t="shared" si="3"/>
        <v>0.27886036035259454</v>
      </c>
      <c r="M61" s="544">
        <f t="shared" si="4"/>
        <v>9.6015295417753513E-2</v>
      </c>
      <c r="N61" s="544">
        <f t="shared" si="5"/>
        <v>0</v>
      </c>
    </row>
    <row r="62" spans="1:14" ht="14.5">
      <c r="A62" s="5"/>
      <c r="B62" s="530" t="s">
        <v>6998</v>
      </c>
      <c r="C62" s="530">
        <v>403183</v>
      </c>
      <c r="D62" s="530">
        <v>0</v>
      </c>
      <c r="E62" s="530">
        <v>772</v>
      </c>
      <c r="F62" s="530">
        <v>88</v>
      </c>
      <c r="G62" s="530">
        <v>0</v>
      </c>
      <c r="H62" s="530">
        <f t="shared" si="0"/>
        <v>404043</v>
      </c>
      <c r="J62" s="541">
        <f t="shared" si="1"/>
        <v>0.99787151367552462</v>
      </c>
      <c r="K62" s="541">
        <f t="shared" si="2"/>
        <v>0</v>
      </c>
      <c r="L62" s="541">
        <f t="shared" si="3"/>
        <v>1.9106877238313743E-3</v>
      </c>
      <c r="M62" s="541">
        <f t="shared" si="4"/>
        <v>2.1779860064399087E-4</v>
      </c>
      <c r="N62" s="541">
        <f t="shared" si="5"/>
        <v>0</v>
      </c>
    </row>
    <row r="63" spans="1:14" ht="14.5">
      <c r="A63" s="5"/>
      <c r="B63" s="542" t="s">
        <v>8055</v>
      </c>
      <c r="C63" s="542">
        <v>365217</v>
      </c>
      <c r="D63" s="542">
        <v>8662</v>
      </c>
      <c r="E63" s="542">
        <v>7024</v>
      </c>
      <c r="F63" s="542">
        <v>918</v>
      </c>
      <c r="G63" s="542">
        <v>4872</v>
      </c>
      <c r="H63" s="542">
        <f t="shared" si="0"/>
        <v>386693</v>
      </c>
      <c r="J63" s="544">
        <f t="shared" si="1"/>
        <v>0.9444624029915204</v>
      </c>
      <c r="K63" s="544">
        <f t="shared" si="2"/>
        <v>2.2400198607163822E-2</v>
      </c>
      <c r="L63" s="544">
        <f t="shared" si="3"/>
        <v>1.8164280191262837E-2</v>
      </c>
      <c r="M63" s="544">
        <f t="shared" si="4"/>
        <v>2.3739762550653879E-3</v>
      </c>
      <c r="N63" s="544">
        <f t="shared" si="5"/>
        <v>1.2599141954987549E-2</v>
      </c>
    </row>
    <row r="64" spans="1:14" ht="14.5">
      <c r="A64" s="5"/>
      <c r="B64" s="530" t="s">
        <v>6987</v>
      </c>
      <c r="C64" s="530">
        <v>218884</v>
      </c>
      <c r="D64" s="530"/>
      <c r="E64" s="530"/>
      <c r="F64" s="530">
        <v>20190</v>
      </c>
      <c r="G64" s="530"/>
      <c r="H64" s="530">
        <f t="shared" si="0"/>
        <v>239074</v>
      </c>
      <c r="J64" s="541">
        <f t="shared" si="1"/>
        <v>0.91554916051097146</v>
      </c>
      <c r="K64" s="541">
        <f t="shared" si="2"/>
        <v>0</v>
      </c>
      <c r="L64" s="541">
        <f t="shared" si="3"/>
        <v>0</v>
      </c>
      <c r="M64" s="541">
        <f t="shared" si="4"/>
        <v>8.4450839489028498E-2</v>
      </c>
      <c r="N64" s="541">
        <f t="shared" si="5"/>
        <v>0</v>
      </c>
    </row>
    <row r="65" spans="1:14" ht="14.5">
      <c r="A65" s="5"/>
      <c r="B65" s="542" t="s">
        <v>1279</v>
      </c>
      <c r="C65" s="542">
        <v>53712</v>
      </c>
      <c r="D65" s="542">
        <v>128167</v>
      </c>
      <c r="E65" s="542">
        <v>51532</v>
      </c>
      <c r="F65" s="542"/>
      <c r="G65" s="542">
        <v>3159</v>
      </c>
      <c r="H65" s="542">
        <f t="shared" si="0"/>
        <v>236570</v>
      </c>
      <c r="J65" s="544">
        <f t="shared" si="1"/>
        <v>0.22704484930464555</v>
      </c>
      <c r="K65" s="544">
        <f t="shared" si="2"/>
        <v>0.54177199137675958</v>
      </c>
      <c r="L65" s="544">
        <f t="shared" si="3"/>
        <v>0.2178298178129095</v>
      </c>
      <c r="M65" s="544">
        <f t="shared" si="4"/>
        <v>0</v>
      </c>
      <c r="N65" s="544">
        <f t="shared" si="5"/>
        <v>1.335334150568542E-2</v>
      </c>
    </row>
    <row r="66" spans="1:14" ht="14.5">
      <c r="A66" s="5"/>
      <c r="B66" s="530" t="s">
        <v>709</v>
      </c>
      <c r="C66" s="530">
        <v>190657</v>
      </c>
      <c r="D66" s="530">
        <v>13633</v>
      </c>
      <c r="E66" s="530">
        <v>18792</v>
      </c>
      <c r="F66" s="530">
        <v>2588</v>
      </c>
      <c r="G66" s="530">
        <v>9028</v>
      </c>
      <c r="H66" s="530">
        <f t="shared" si="0"/>
        <v>234698</v>
      </c>
      <c r="J66" s="541">
        <f t="shared" si="1"/>
        <v>0.81235033958533942</v>
      </c>
      <c r="K66" s="541">
        <f t="shared" si="2"/>
        <v>5.8087414464545926E-2</v>
      </c>
      <c r="L66" s="541">
        <f t="shared" si="3"/>
        <v>8.0068854442730653E-2</v>
      </c>
      <c r="M66" s="541">
        <f t="shared" si="4"/>
        <v>1.1026936744241536E-2</v>
      </c>
      <c r="N66" s="541">
        <f t="shared" si="5"/>
        <v>3.8466454763142421E-2</v>
      </c>
    </row>
    <row r="67" spans="1:14" ht="14.5">
      <c r="A67" s="5"/>
      <c r="B67" s="542" t="s">
        <v>404</v>
      </c>
      <c r="C67" s="542">
        <v>165061</v>
      </c>
      <c r="D67" s="542">
        <v>44443</v>
      </c>
      <c r="E67" s="542"/>
      <c r="F67" s="542"/>
      <c r="G67" s="542">
        <v>0</v>
      </c>
      <c r="H67" s="542">
        <f t="shared" si="0"/>
        <v>209504</v>
      </c>
      <c r="J67" s="544">
        <f t="shared" si="1"/>
        <v>0.78786562547731787</v>
      </c>
      <c r="K67" s="544">
        <f t="shared" si="2"/>
        <v>0.21213437452268213</v>
      </c>
      <c r="L67" s="544">
        <f t="shared" si="3"/>
        <v>0</v>
      </c>
      <c r="M67" s="544">
        <f t="shared" si="4"/>
        <v>0</v>
      </c>
      <c r="N67" s="544">
        <f t="shared" si="5"/>
        <v>0</v>
      </c>
    </row>
    <row r="68" spans="1:14" ht="14.5">
      <c r="A68" s="5"/>
      <c r="B68" s="530" t="s">
        <v>7945</v>
      </c>
      <c r="C68" s="530">
        <v>108705</v>
      </c>
      <c r="D68" s="530">
        <v>50066</v>
      </c>
      <c r="E68" s="530">
        <v>11179</v>
      </c>
      <c r="F68" s="530">
        <v>4829</v>
      </c>
      <c r="G68" s="530">
        <v>2161</v>
      </c>
      <c r="H68" s="530">
        <f t="shared" si="0"/>
        <v>176940</v>
      </c>
      <c r="J68" s="541">
        <f t="shared" si="1"/>
        <v>0.61436080027127837</v>
      </c>
      <c r="K68" s="541">
        <f t="shared" si="2"/>
        <v>0.28295467390075729</v>
      </c>
      <c r="L68" s="541">
        <f t="shared" si="3"/>
        <v>6.3179608906974119E-2</v>
      </c>
      <c r="M68" s="541">
        <f t="shared" si="4"/>
        <v>2.7291737312083193E-2</v>
      </c>
      <c r="N68" s="541">
        <f t="shared" si="5"/>
        <v>1.2213179608906975E-2</v>
      </c>
    </row>
    <row r="69" spans="1:14" ht="14.5">
      <c r="A69" s="5"/>
      <c r="B69" s="542" t="s">
        <v>7978</v>
      </c>
      <c r="C69" s="542">
        <v>60394</v>
      </c>
      <c r="D69" s="542">
        <v>50475</v>
      </c>
      <c r="E69" s="542">
        <v>44508</v>
      </c>
      <c r="F69" s="542">
        <v>20190</v>
      </c>
      <c r="G69" s="542"/>
      <c r="H69" s="542">
        <f t="shared" si="0"/>
        <v>175567</v>
      </c>
      <c r="J69" s="544">
        <f t="shared" si="1"/>
        <v>0.34399403076888024</v>
      </c>
      <c r="K69" s="544">
        <f t="shared" si="2"/>
        <v>0.28749708088649917</v>
      </c>
      <c r="L69" s="544">
        <f t="shared" si="3"/>
        <v>0.25351005599002091</v>
      </c>
      <c r="M69" s="544">
        <f t="shared" si="4"/>
        <v>0.11499883235459966</v>
      </c>
      <c r="N69" s="544">
        <f t="shared" si="5"/>
        <v>0</v>
      </c>
    </row>
    <row r="70" spans="1:14" ht="14.5">
      <c r="A70" s="5"/>
      <c r="B70" s="530" t="s">
        <v>161</v>
      </c>
      <c r="C70" s="530">
        <v>85095</v>
      </c>
      <c r="D70" s="530">
        <v>51762</v>
      </c>
      <c r="E70" s="530"/>
      <c r="F70" s="530"/>
      <c r="G70" s="530"/>
      <c r="H70" s="530">
        <f t="shared" ref="H70:H99" si="6">SUM(C70:G70)</f>
        <v>136857</v>
      </c>
      <c r="J70" s="541">
        <f t="shared" ref="J70:J99" si="7">C70/$H70</f>
        <v>0.62178039851816125</v>
      </c>
      <c r="K70" s="541">
        <f t="shared" ref="K70:K99" si="8">D70/$H70</f>
        <v>0.3782196014818387</v>
      </c>
      <c r="L70" s="541">
        <f t="shared" ref="L70:L99" si="9">E70/$H70</f>
        <v>0</v>
      </c>
      <c r="M70" s="541">
        <f t="shared" ref="M70:M99" si="10">F70/$H70</f>
        <v>0</v>
      </c>
      <c r="N70" s="541">
        <f t="shared" ref="N70:N99" si="11">G70/$H70</f>
        <v>0</v>
      </c>
    </row>
    <row r="71" spans="1:14" ht="14.5">
      <c r="A71" s="5"/>
      <c r="B71" s="542" t="s">
        <v>5729</v>
      </c>
      <c r="C71" s="542">
        <v>8229</v>
      </c>
      <c r="D71" s="542"/>
      <c r="E71" s="542">
        <v>54773</v>
      </c>
      <c r="F71" s="542"/>
      <c r="G71" s="542">
        <v>42053</v>
      </c>
      <c r="H71" s="542">
        <f t="shared" si="6"/>
        <v>105055</v>
      </c>
      <c r="J71" s="544">
        <f t="shared" si="7"/>
        <v>7.8330398362762357E-2</v>
      </c>
      <c r="K71" s="544">
        <f t="shared" si="8"/>
        <v>0</v>
      </c>
      <c r="L71" s="544">
        <f t="shared" si="9"/>
        <v>0.5213745181095617</v>
      </c>
      <c r="M71" s="544">
        <f t="shared" si="10"/>
        <v>0</v>
      </c>
      <c r="N71" s="544">
        <f t="shared" si="11"/>
        <v>0.40029508352767595</v>
      </c>
    </row>
    <row r="72" spans="1:14" ht="14.5">
      <c r="A72" s="5"/>
      <c r="B72" s="530" t="s">
        <v>1004</v>
      </c>
      <c r="C72" s="530">
        <v>94688</v>
      </c>
      <c r="D72" s="530">
        <v>2134</v>
      </c>
      <c r="E72" s="530">
        <v>1287</v>
      </c>
      <c r="F72" s="530"/>
      <c r="G72" s="530">
        <v>6030</v>
      </c>
      <c r="H72" s="530">
        <f t="shared" si="6"/>
        <v>104139</v>
      </c>
      <c r="J72" s="541">
        <f t="shared" si="7"/>
        <v>0.90924629581616878</v>
      </c>
      <c r="K72" s="541">
        <f t="shared" si="8"/>
        <v>2.0491842633403434E-2</v>
      </c>
      <c r="L72" s="541">
        <f t="shared" si="9"/>
        <v>1.2358482412928874E-2</v>
      </c>
      <c r="M72" s="541">
        <f t="shared" si="10"/>
        <v>0</v>
      </c>
      <c r="N72" s="541">
        <f t="shared" si="11"/>
        <v>5.790337913749892E-2</v>
      </c>
    </row>
    <row r="73" spans="1:14" ht="14.5">
      <c r="A73" s="5"/>
      <c r="B73" s="542" t="s">
        <v>714</v>
      </c>
      <c r="C73" s="542">
        <v>97500</v>
      </c>
      <c r="D73" s="542"/>
      <c r="E73" s="542"/>
      <c r="F73" s="542"/>
      <c r="G73" s="542"/>
      <c r="H73" s="542">
        <f t="shared" si="6"/>
        <v>97500</v>
      </c>
      <c r="J73" s="544">
        <f t="shared" si="7"/>
        <v>1</v>
      </c>
      <c r="K73" s="544">
        <f t="shared" si="8"/>
        <v>0</v>
      </c>
      <c r="L73" s="544">
        <f t="shared" si="9"/>
        <v>0</v>
      </c>
      <c r="M73" s="544">
        <f t="shared" si="10"/>
        <v>0</v>
      </c>
      <c r="N73" s="544">
        <f t="shared" si="11"/>
        <v>0</v>
      </c>
    </row>
    <row r="74" spans="1:14" ht="14.5">
      <c r="A74" s="5"/>
      <c r="B74" s="530" t="s">
        <v>6991</v>
      </c>
      <c r="C74" s="530">
        <v>66193</v>
      </c>
      <c r="D74" s="530">
        <v>14611</v>
      </c>
      <c r="E74" s="530">
        <v>6135</v>
      </c>
      <c r="F74" s="530">
        <v>1425</v>
      </c>
      <c r="G74" s="530">
        <v>6360</v>
      </c>
      <c r="H74" s="530">
        <f t="shared" si="6"/>
        <v>94724</v>
      </c>
      <c r="J74" s="541">
        <f t="shared" si="7"/>
        <v>0.69879861492335626</v>
      </c>
      <c r="K74" s="541">
        <f t="shared" si="8"/>
        <v>0.15424813141336938</v>
      </c>
      <c r="L74" s="541">
        <f t="shared" si="9"/>
        <v>6.4767112875300875E-2</v>
      </c>
      <c r="M74" s="541">
        <f t="shared" si="10"/>
        <v>1.5043705924580887E-2</v>
      </c>
      <c r="N74" s="541">
        <f t="shared" si="11"/>
        <v>6.7142434863392594E-2</v>
      </c>
    </row>
    <row r="75" spans="1:14" ht="14.5">
      <c r="A75" s="5"/>
      <c r="B75" s="542" t="s">
        <v>138</v>
      </c>
      <c r="C75" s="542">
        <v>87386</v>
      </c>
      <c r="D75" s="542"/>
      <c r="E75" s="542"/>
      <c r="F75" s="542"/>
      <c r="G75" s="542"/>
      <c r="H75" s="542">
        <f t="shared" si="6"/>
        <v>87386</v>
      </c>
      <c r="J75" s="544">
        <f t="shared" si="7"/>
        <v>1</v>
      </c>
      <c r="K75" s="544">
        <f t="shared" si="8"/>
        <v>0</v>
      </c>
      <c r="L75" s="544">
        <f t="shared" si="9"/>
        <v>0</v>
      </c>
      <c r="M75" s="544">
        <f t="shared" si="10"/>
        <v>0</v>
      </c>
      <c r="N75" s="544">
        <f t="shared" si="11"/>
        <v>0</v>
      </c>
    </row>
    <row r="76" spans="1:14" ht="14.5">
      <c r="A76" s="5"/>
      <c r="B76" s="530" t="s">
        <v>7963</v>
      </c>
      <c r="C76" s="530">
        <v>74777</v>
      </c>
      <c r="D76" s="530"/>
      <c r="E76" s="530"/>
      <c r="F76" s="530"/>
      <c r="G76" s="530">
        <v>8345</v>
      </c>
      <c r="H76" s="530">
        <f t="shared" si="6"/>
        <v>83122</v>
      </c>
      <c r="J76" s="541">
        <f t="shared" si="7"/>
        <v>0.89960539929260608</v>
      </c>
      <c r="K76" s="541">
        <f t="shared" si="8"/>
        <v>0</v>
      </c>
      <c r="L76" s="541">
        <f t="shared" si="9"/>
        <v>0</v>
      </c>
      <c r="M76" s="541">
        <f t="shared" si="10"/>
        <v>0</v>
      </c>
      <c r="N76" s="541">
        <f t="shared" si="11"/>
        <v>0.10039460070739395</v>
      </c>
    </row>
    <row r="77" spans="1:14" ht="14.5">
      <c r="A77" s="5"/>
      <c r="B77" s="542" t="s">
        <v>8053</v>
      </c>
      <c r="C77" s="542">
        <v>67581</v>
      </c>
      <c r="D77" s="542">
        <v>1085</v>
      </c>
      <c r="E77" s="542">
        <v>651</v>
      </c>
      <c r="F77" s="542"/>
      <c r="G77" s="542">
        <v>1345</v>
      </c>
      <c r="H77" s="542">
        <f t="shared" si="6"/>
        <v>70662</v>
      </c>
      <c r="J77" s="544">
        <f t="shared" si="7"/>
        <v>0.95639806402309591</v>
      </c>
      <c r="K77" s="544">
        <f t="shared" si="8"/>
        <v>1.5354787580311908E-2</v>
      </c>
      <c r="L77" s="544">
        <f t="shared" si="9"/>
        <v>9.2128725481871437E-3</v>
      </c>
      <c r="M77" s="544">
        <f t="shared" si="10"/>
        <v>0</v>
      </c>
      <c r="N77" s="544">
        <f t="shared" si="11"/>
        <v>1.9034275848405082E-2</v>
      </c>
    </row>
    <row r="78" spans="1:14" ht="14.5">
      <c r="A78" s="5"/>
      <c r="B78" s="530" t="s">
        <v>7004</v>
      </c>
      <c r="C78" s="530">
        <v>54283</v>
      </c>
      <c r="D78" s="530">
        <v>745</v>
      </c>
      <c r="E78" s="530">
        <v>447</v>
      </c>
      <c r="F78" s="530"/>
      <c r="G78" s="530">
        <v>1462</v>
      </c>
      <c r="H78" s="530">
        <f t="shared" si="6"/>
        <v>56937</v>
      </c>
      <c r="J78" s="541">
        <f t="shared" si="7"/>
        <v>0.95338707694469327</v>
      </c>
      <c r="K78" s="541">
        <f t="shared" si="8"/>
        <v>1.3084637406256037E-2</v>
      </c>
      <c r="L78" s="541">
        <f t="shared" si="9"/>
        <v>7.850782443753623E-3</v>
      </c>
      <c r="M78" s="541">
        <f t="shared" si="10"/>
        <v>0</v>
      </c>
      <c r="N78" s="541">
        <f t="shared" si="11"/>
        <v>2.5677503205297082E-2</v>
      </c>
    </row>
    <row r="79" spans="1:14" ht="14.5">
      <c r="A79" s="5"/>
      <c r="B79" s="542" t="s">
        <v>8032</v>
      </c>
      <c r="C79" s="542">
        <v>52500</v>
      </c>
      <c r="D79" s="542"/>
      <c r="E79" s="542"/>
      <c r="F79" s="542"/>
      <c r="G79" s="542"/>
      <c r="H79" s="542">
        <f t="shared" si="6"/>
        <v>52500</v>
      </c>
      <c r="J79" s="544">
        <f t="shared" si="7"/>
        <v>1</v>
      </c>
      <c r="K79" s="544">
        <f t="shared" si="8"/>
        <v>0</v>
      </c>
      <c r="L79" s="544">
        <f t="shared" si="9"/>
        <v>0</v>
      </c>
      <c r="M79" s="544">
        <f t="shared" si="10"/>
        <v>0</v>
      </c>
      <c r="N79" s="544">
        <f t="shared" si="11"/>
        <v>0</v>
      </c>
    </row>
    <row r="80" spans="1:14" ht="14.5">
      <c r="A80" s="5"/>
      <c r="B80" s="530" t="s">
        <v>7008</v>
      </c>
      <c r="C80" s="530">
        <v>34012</v>
      </c>
      <c r="D80" s="530">
        <v>11758</v>
      </c>
      <c r="E80" s="530">
        <v>3805</v>
      </c>
      <c r="F80" s="530"/>
      <c r="G80" s="530"/>
      <c r="H80" s="530">
        <f t="shared" si="6"/>
        <v>49575</v>
      </c>
      <c r="J80" s="541">
        <f t="shared" si="7"/>
        <v>0.68607160867372663</v>
      </c>
      <c r="K80" s="541">
        <f t="shared" si="8"/>
        <v>0.23717599596570851</v>
      </c>
      <c r="L80" s="541">
        <f t="shared" si="9"/>
        <v>7.6752395360564801E-2</v>
      </c>
      <c r="M80" s="541">
        <f t="shared" si="10"/>
        <v>0</v>
      </c>
      <c r="N80" s="541">
        <f t="shared" si="11"/>
        <v>0</v>
      </c>
    </row>
    <row r="81" spans="1:14" ht="14.5">
      <c r="A81" s="5"/>
      <c r="B81" s="542" t="s">
        <v>7026</v>
      </c>
      <c r="C81" s="542">
        <v>36809</v>
      </c>
      <c r="D81" s="542"/>
      <c r="E81" s="542"/>
      <c r="F81" s="542"/>
      <c r="G81" s="542"/>
      <c r="H81" s="542">
        <f t="shared" si="6"/>
        <v>36809</v>
      </c>
      <c r="J81" s="544">
        <f t="shared" si="7"/>
        <v>1</v>
      </c>
      <c r="K81" s="544">
        <f t="shared" si="8"/>
        <v>0</v>
      </c>
      <c r="L81" s="544">
        <f t="shared" si="9"/>
        <v>0</v>
      </c>
      <c r="M81" s="544">
        <f t="shared" si="10"/>
        <v>0</v>
      </c>
      <c r="N81" s="544">
        <f t="shared" si="11"/>
        <v>0</v>
      </c>
    </row>
    <row r="82" spans="1:14" ht="14.5">
      <c r="A82" s="5"/>
      <c r="B82" s="530" t="s">
        <v>1047</v>
      </c>
      <c r="C82" s="530">
        <v>24754</v>
      </c>
      <c r="D82" s="530">
        <v>5230</v>
      </c>
      <c r="E82" s="530">
        <v>4444</v>
      </c>
      <c r="F82" s="530"/>
      <c r="G82" s="530"/>
      <c r="H82" s="530">
        <f t="shared" si="6"/>
        <v>34428</v>
      </c>
      <c r="J82" s="541">
        <f t="shared" si="7"/>
        <v>0.7190077843615662</v>
      </c>
      <c r="K82" s="541">
        <f t="shared" si="8"/>
        <v>0.15191123504124548</v>
      </c>
      <c r="L82" s="541">
        <f t="shared" si="9"/>
        <v>0.12908098059718834</v>
      </c>
      <c r="M82" s="541">
        <f t="shared" si="10"/>
        <v>0</v>
      </c>
      <c r="N82" s="541">
        <f t="shared" si="11"/>
        <v>0</v>
      </c>
    </row>
    <row r="83" spans="1:14" ht="14.5">
      <c r="A83" s="5"/>
      <c r="B83" s="542" t="s">
        <v>7962</v>
      </c>
      <c r="C83" s="542">
        <v>21019</v>
      </c>
      <c r="D83" s="542"/>
      <c r="E83" s="542"/>
      <c r="F83" s="542">
        <v>3436</v>
      </c>
      <c r="G83" s="542"/>
      <c r="H83" s="542">
        <f t="shared" si="6"/>
        <v>24455</v>
      </c>
      <c r="J83" s="544">
        <f t="shared" si="7"/>
        <v>0.85949703537108979</v>
      </c>
      <c r="K83" s="544">
        <f t="shared" si="8"/>
        <v>0</v>
      </c>
      <c r="L83" s="544">
        <f t="shared" si="9"/>
        <v>0</v>
      </c>
      <c r="M83" s="544">
        <f t="shared" si="10"/>
        <v>0.14050296462891024</v>
      </c>
      <c r="N83" s="544">
        <f t="shared" si="11"/>
        <v>0</v>
      </c>
    </row>
    <row r="84" spans="1:14" ht="14.5">
      <c r="A84" s="5"/>
      <c r="B84" s="530" t="s">
        <v>995</v>
      </c>
      <c r="C84" s="530">
        <v>21699</v>
      </c>
      <c r="D84" s="530"/>
      <c r="E84" s="530"/>
      <c r="F84" s="530"/>
      <c r="G84" s="530">
        <v>1582</v>
      </c>
      <c r="H84" s="530">
        <f t="shared" si="6"/>
        <v>23281</v>
      </c>
      <c r="J84" s="541">
        <f t="shared" si="7"/>
        <v>0.93204759245736868</v>
      </c>
      <c r="K84" s="541">
        <f t="shared" si="8"/>
        <v>0</v>
      </c>
      <c r="L84" s="541">
        <f t="shared" si="9"/>
        <v>0</v>
      </c>
      <c r="M84" s="541">
        <f t="shared" si="10"/>
        <v>0</v>
      </c>
      <c r="N84" s="541">
        <f t="shared" si="11"/>
        <v>6.7952407542631335E-2</v>
      </c>
    </row>
    <row r="85" spans="1:14" ht="14.5">
      <c r="A85" s="5"/>
      <c r="B85" s="542" t="s">
        <v>7946</v>
      </c>
      <c r="C85" s="542">
        <v>20742</v>
      </c>
      <c r="D85" s="542"/>
      <c r="E85" s="542"/>
      <c r="F85" s="542"/>
      <c r="G85" s="542"/>
      <c r="H85" s="542">
        <f t="shared" si="6"/>
        <v>20742</v>
      </c>
      <c r="J85" s="544">
        <f t="shared" si="7"/>
        <v>1</v>
      </c>
      <c r="K85" s="544">
        <f t="shared" si="8"/>
        <v>0</v>
      </c>
      <c r="L85" s="544">
        <f t="shared" si="9"/>
        <v>0</v>
      </c>
      <c r="M85" s="544">
        <f t="shared" si="10"/>
        <v>0</v>
      </c>
      <c r="N85" s="544">
        <f t="shared" si="11"/>
        <v>0</v>
      </c>
    </row>
    <row r="86" spans="1:14" ht="14.5">
      <c r="A86" s="5"/>
      <c r="B86" s="530" t="s">
        <v>8078</v>
      </c>
      <c r="C86" s="530"/>
      <c r="D86" s="530">
        <v>18581</v>
      </c>
      <c r="E86" s="530">
        <v>738</v>
      </c>
      <c r="F86" s="530">
        <v>492</v>
      </c>
      <c r="G86" s="530"/>
      <c r="H86" s="530">
        <f t="shared" si="6"/>
        <v>19811</v>
      </c>
      <c r="J86" s="541">
        <f t="shared" si="7"/>
        <v>0</v>
      </c>
      <c r="K86" s="541">
        <f t="shared" si="8"/>
        <v>0.93791328050073197</v>
      </c>
      <c r="L86" s="541">
        <f t="shared" si="9"/>
        <v>3.7252031699560852E-2</v>
      </c>
      <c r="M86" s="541">
        <f t="shared" si="10"/>
        <v>2.4834687799707232E-2</v>
      </c>
      <c r="N86" s="541">
        <f t="shared" si="11"/>
        <v>0</v>
      </c>
    </row>
    <row r="87" spans="1:14" ht="14.5">
      <c r="A87" s="5"/>
      <c r="B87" s="542" t="s">
        <v>1033</v>
      </c>
      <c r="C87" s="542">
        <v>14615</v>
      </c>
      <c r="D87" s="542">
        <v>1826</v>
      </c>
      <c r="E87" s="542"/>
      <c r="F87" s="542"/>
      <c r="G87" s="542"/>
      <c r="H87" s="542">
        <f t="shared" si="6"/>
        <v>16441</v>
      </c>
      <c r="J87" s="544">
        <f t="shared" si="7"/>
        <v>0.88893619609512808</v>
      </c>
      <c r="K87" s="544">
        <f t="shared" si="8"/>
        <v>0.11106380390487197</v>
      </c>
      <c r="L87" s="544">
        <f t="shared" si="9"/>
        <v>0</v>
      </c>
      <c r="M87" s="544">
        <f t="shared" si="10"/>
        <v>0</v>
      </c>
      <c r="N87" s="544">
        <f t="shared" si="11"/>
        <v>0</v>
      </c>
    </row>
    <row r="88" spans="1:14" ht="14.5">
      <c r="A88" s="5"/>
      <c r="B88" s="530" t="s">
        <v>8057</v>
      </c>
      <c r="C88" s="530"/>
      <c r="D88" s="530"/>
      <c r="E88" s="530"/>
      <c r="F88" s="530">
        <v>15284</v>
      </c>
      <c r="G88" s="530"/>
      <c r="H88" s="530">
        <f t="shared" si="6"/>
        <v>15284</v>
      </c>
      <c r="J88" s="541">
        <f t="shared" si="7"/>
        <v>0</v>
      </c>
      <c r="K88" s="541">
        <f t="shared" si="8"/>
        <v>0</v>
      </c>
      <c r="L88" s="541">
        <f t="shared" si="9"/>
        <v>0</v>
      </c>
      <c r="M88" s="541">
        <f t="shared" si="10"/>
        <v>1</v>
      </c>
      <c r="N88" s="541">
        <f t="shared" si="11"/>
        <v>0</v>
      </c>
    </row>
    <row r="89" spans="1:14" ht="14.5">
      <c r="A89" s="5"/>
      <c r="B89" s="542" t="s">
        <v>998</v>
      </c>
      <c r="C89" s="542">
        <v>11076</v>
      </c>
      <c r="D89" s="542">
        <v>1934</v>
      </c>
      <c r="E89" s="542">
        <v>1495</v>
      </c>
      <c r="F89" s="542"/>
      <c r="G89" s="542"/>
      <c r="H89" s="542">
        <f t="shared" si="6"/>
        <v>14505</v>
      </c>
      <c r="J89" s="544">
        <f t="shared" si="7"/>
        <v>0.76359875904860397</v>
      </c>
      <c r="K89" s="544">
        <f t="shared" si="8"/>
        <v>0.13333333333333333</v>
      </c>
      <c r="L89" s="544">
        <f t="shared" si="9"/>
        <v>0.10306790761806274</v>
      </c>
      <c r="M89" s="544">
        <f t="shared" si="10"/>
        <v>0</v>
      </c>
      <c r="N89" s="544">
        <f t="shared" si="11"/>
        <v>0</v>
      </c>
    </row>
    <row r="90" spans="1:14" ht="14.5">
      <c r="A90" s="5"/>
      <c r="B90" s="530" t="s">
        <v>988</v>
      </c>
      <c r="C90" s="530">
        <v>5240</v>
      </c>
      <c r="D90" s="530">
        <v>2351</v>
      </c>
      <c r="E90" s="530">
        <v>1411</v>
      </c>
      <c r="F90" s="530">
        <v>1008</v>
      </c>
      <c r="G90" s="530"/>
      <c r="H90" s="530">
        <f t="shared" si="6"/>
        <v>10010</v>
      </c>
      <c r="J90" s="541">
        <f t="shared" si="7"/>
        <v>0.52347652347652351</v>
      </c>
      <c r="K90" s="541">
        <f t="shared" si="8"/>
        <v>0.23486513486513486</v>
      </c>
      <c r="L90" s="541">
        <f t="shared" si="9"/>
        <v>0.14095904095904097</v>
      </c>
      <c r="M90" s="541">
        <f t="shared" si="10"/>
        <v>0.10069930069930071</v>
      </c>
      <c r="N90" s="541">
        <f t="shared" si="11"/>
        <v>0</v>
      </c>
    </row>
    <row r="91" spans="1:14" ht="14.5">
      <c r="A91" s="5"/>
      <c r="B91" s="542" t="s">
        <v>6982</v>
      </c>
      <c r="C91" s="542">
        <v>10000</v>
      </c>
      <c r="D91" s="542"/>
      <c r="E91" s="542"/>
      <c r="F91" s="542"/>
      <c r="G91" s="542"/>
      <c r="H91" s="542">
        <f t="shared" si="6"/>
        <v>10000</v>
      </c>
      <c r="J91" s="544">
        <f t="shared" si="7"/>
        <v>1</v>
      </c>
      <c r="K91" s="544">
        <f t="shared" si="8"/>
        <v>0</v>
      </c>
      <c r="L91" s="544">
        <f t="shared" si="9"/>
        <v>0</v>
      </c>
      <c r="M91" s="544">
        <f t="shared" si="10"/>
        <v>0</v>
      </c>
      <c r="N91" s="544">
        <f t="shared" si="11"/>
        <v>0</v>
      </c>
    </row>
    <row r="92" spans="1:14" ht="14.5">
      <c r="A92" s="5"/>
      <c r="B92" s="530" t="s">
        <v>327</v>
      </c>
      <c r="C92" s="530">
        <v>9270</v>
      </c>
      <c r="D92" s="530"/>
      <c r="E92" s="530"/>
      <c r="F92" s="530"/>
      <c r="G92" s="530"/>
      <c r="H92" s="530">
        <f t="shared" si="6"/>
        <v>9270</v>
      </c>
      <c r="J92" s="541">
        <f t="shared" si="7"/>
        <v>1</v>
      </c>
      <c r="K92" s="541">
        <f t="shared" si="8"/>
        <v>0</v>
      </c>
      <c r="L92" s="541">
        <f t="shared" si="9"/>
        <v>0</v>
      </c>
      <c r="M92" s="541">
        <f t="shared" si="10"/>
        <v>0</v>
      </c>
      <c r="N92" s="541">
        <f t="shared" si="11"/>
        <v>0</v>
      </c>
    </row>
    <row r="93" spans="1:14" ht="14.5">
      <c r="A93" s="5"/>
      <c r="B93" s="542" t="s">
        <v>993</v>
      </c>
      <c r="C93" s="542">
        <v>5018</v>
      </c>
      <c r="D93" s="542">
        <v>1402</v>
      </c>
      <c r="E93" s="542"/>
      <c r="F93" s="542"/>
      <c r="G93" s="542"/>
      <c r="H93" s="542">
        <f t="shared" si="6"/>
        <v>6420</v>
      </c>
      <c r="J93" s="544">
        <f t="shared" si="7"/>
        <v>0.78161993769470406</v>
      </c>
      <c r="K93" s="544">
        <f t="shared" si="8"/>
        <v>0.21838006230529594</v>
      </c>
      <c r="L93" s="544">
        <f t="shared" si="9"/>
        <v>0</v>
      </c>
      <c r="M93" s="544">
        <f t="shared" si="10"/>
        <v>0</v>
      </c>
      <c r="N93" s="544">
        <f t="shared" si="11"/>
        <v>0</v>
      </c>
    </row>
    <row r="94" spans="1:14" ht="14.5">
      <c r="A94" s="5"/>
      <c r="B94" s="530" t="s">
        <v>7017</v>
      </c>
      <c r="C94" s="530">
        <v>3573</v>
      </c>
      <c r="D94" s="530">
        <v>1788</v>
      </c>
      <c r="E94" s="530"/>
      <c r="F94" s="530"/>
      <c r="G94" s="530"/>
      <c r="H94" s="530">
        <f t="shared" si="6"/>
        <v>5361</v>
      </c>
      <c r="J94" s="541">
        <f t="shared" si="7"/>
        <v>0.66648013430330166</v>
      </c>
      <c r="K94" s="541">
        <f t="shared" si="8"/>
        <v>0.33351986569669839</v>
      </c>
      <c r="L94" s="541">
        <f t="shared" si="9"/>
        <v>0</v>
      </c>
      <c r="M94" s="541">
        <f t="shared" si="10"/>
        <v>0</v>
      </c>
      <c r="N94" s="541">
        <f t="shared" si="11"/>
        <v>0</v>
      </c>
    </row>
    <row r="95" spans="1:14" ht="14.5">
      <c r="A95" s="5"/>
      <c r="B95" s="542" t="s">
        <v>7090</v>
      </c>
      <c r="C95" s="542">
        <v>3974</v>
      </c>
      <c r="D95" s="542"/>
      <c r="E95" s="542"/>
      <c r="F95" s="542"/>
      <c r="G95" s="542"/>
      <c r="H95" s="542">
        <f t="shared" si="6"/>
        <v>3974</v>
      </c>
      <c r="J95" s="544">
        <f t="shared" si="7"/>
        <v>1</v>
      </c>
      <c r="K95" s="544">
        <f t="shared" si="8"/>
        <v>0</v>
      </c>
      <c r="L95" s="544">
        <f t="shared" si="9"/>
        <v>0</v>
      </c>
      <c r="M95" s="544">
        <f t="shared" si="10"/>
        <v>0</v>
      </c>
      <c r="N95" s="544">
        <f t="shared" si="11"/>
        <v>0</v>
      </c>
    </row>
    <row r="96" spans="1:14" ht="14.5">
      <c r="A96" s="5"/>
      <c r="B96" s="530" t="s">
        <v>8041</v>
      </c>
      <c r="C96" s="530">
        <v>2500</v>
      </c>
      <c r="D96" s="530"/>
      <c r="E96" s="530"/>
      <c r="F96" s="530"/>
      <c r="G96" s="530"/>
      <c r="H96" s="530">
        <f t="shared" si="6"/>
        <v>2500</v>
      </c>
      <c r="J96" s="541">
        <f t="shared" si="7"/>
        <v>1</v>
      </c>
      <c r="K96" s="541">
        <f t="shared" si="8"/>
        <v>0</v>
      </c>
      <c r="L96" s="541">
        <f t="shared" si="9"/>
        <v>0</v>
      </c>
      <c r="M96" s="541">
        <f t="shared" si="10"/>
        <v>0</v>
      </c>
      <c r="N96" s="541">
        <f t="shared" si="11"/>
        <v>0</v>
      </c>
    </row>
    <row r="97" spans="1:14" ht="14.5">
      <c r="A97" s="5"/>
      <c r="B97" s="542" t="s">
        <v>7065</v>
      </c>
      <c r="C97" s="542"/>
      <c r="D97" s="542"/>
      <c r="E97" s="542"/>
      <c r="F97" s="542"/>
      <c r="G97" s="542">
        <v>1796</v>
      </c>
      <c r="H97" s="542">
        <f t="shared" si="6"/>
        <v>1796</v>
      </c>
      <c r="J97" s="544">
        <f t="shared" si="7"/>
        <v>0</v>
      </c>
      <c r="K97" s="544">
        <f t="shared" si="8"/>
        <v>0</v>
      </c>
      <c r="L97" s="544">
        <f t="shared" si="9"/>
        <v>0</v>
      </c>
      <c r="M97" s="544">
        <f t="shared" si="10"/>
        <v>0</v>
      </c>
      <c r="N97" s="544">
        <f t="shared" si="11"/>
        <v>1</v>
      </c>
    </row>
    <row r="98" spans="1:14" ht="14.5">
      <c r="A98" s="5"/>
      <c r="B98" s="530" t="s">
        <v>8018</v>
      </c>
      <c r="C98" s="530">
        <v>1246</v>
      </c>
      <c r="D98" s="530"/>
      <c r="E98" s="530"/>
      <c r="F98" s="530"/>
      <c r="G98" s="530">
        <v>279</v>
      </c>
      <c r="H98" s="530">
        <f t="shared" si="6"/>
        <v>1525</v>
      </c>
      <c r="J98" s="541">
        <f t="shared" si="7"/>
        <v>0.81704918032786888</v>
      </c>
      <c r="K98" s="541">
        <f t="shared" si="8"/>
        <v>0</v>
      </c>
      <c r="L98" s="541">
        <f t="shared" si="9"/>
        <v>0</v>
      </c>
      <c r="M98" s="541">
        <f t="shared" si="10"/>
        <v>0</v>
      </c>
      <c r="N98" s="541">
        <f t="shared" si="11"/>
        <v>0.18295081967213114</v>
      </c>
    </row>
    <row r="99" spans="1:14" ht="14.5">
      <c r="A99" s="5"/>
      <c r="B99" s="542" t="s">
        <v>8010</v>
      </c>
      <c r="C99" s="542"/>
      <c r="D99" s="542"/>
      <c r="E99" s="542">
        <v>1270</v>
      </c>
      <c r="F99" s="542"/>
      <c r="G99" s="542"/>
      <c r="H99" s="542">
        <f t="shared" si="6"/>
        <v>1270</v>
      </c>
      <c r="J99" s="544">
        <f t="shared" si="7"/>
        <v>0</v>
      </c>
      <c r="K99" s="544">
        <f t="shared" si="8"/>
        <v>0</v>
      </c>
      <c r="L99" s="544">
        <f t="shared" si="9"/>
        <v>1</v>
      </c>
      <c r="M99" s="544">
        <f t="shared" si="10"/>
        <v>0</v>
      </c>
      <c r="N99" s="544">
        <f t="shared" si="11"/>
        <v>0</v>
      </c>
    </row>
    <row r="100" spans="1:14">
      <c r="C100" s="539">
        <f t="shared" ref="C100:G100" si="12">SUM(C5:C99)</f>
        <v>512316454</v>
      </c>
      <c r="D100" s="539">
        <f t="shared" si="12"/>
        <v>257134913</v>
      </c>
      <c r="E100" s="539">
        <f t="shared" si="12"/>
        <v>165055650</v>
      </c>
      <c r="F100" s="539">
        <f t="shared" si="12"/>
        <v>119997977</v>
      </c>
      <c r="G100" s="539">
        <f t="shared" si="12"/>
        <v>7898937</v>
      </c>
      <c r="H100" s="539">
        <f>SUM(H5:H99)</f>
        <v>1062403931</v>
      </c>
    </row>
  </sheetData>
  <autoFilter ref="J4:M99" xr:uid="{00000000-0009-0000-0000-000035000000}"/>
  <mergeCells count="2">
    <mergeCell ref="C3:F3"/>
    <mergeCell ref="J3:N3"/>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D7B53-19E6-4B17-AAEF-E546086DA149}">
  <sheetPr>
    <tabColor rgb="FF92D050"/>
  </sheetPr>
  <dimension ref="A2:C11"/>
  <sheetViews>
    <sheetView zoomScale="90" zoomScaleNormal="90" workbookViewId="0">
      <selection activeCell="A2" sqref="A2"/>
    </sheetView>
  </sheetViews>
  <sheetFormatPr baseColWidth="10" defaultColWidth="11.4140625" defaultRowHeight="14"/>
  <cols>
    <col min="2" max="2" width="40.75" customWidth="1"/>
    <col min="3" max="3" width="12" bestFit="1" customWidth="1"/>
  </cols>
  <sheetData>
    <row r="2" spans="1:3" ht="15.5">
      <c r="A2" s="757" t="s">
        <v>10693</v>
      </c>
      <c r="B2" s="837"/>
    </row>
    <row r="4" spans="1:3">
      <c r="B4" s="540" t="s">
        <v>881</v>
      </c>
      <c r="C4" s="540" t="s">
        <v>8136</v>
      </c>
    </row>
    <row r="5" spans="1:3">
      <c r="B5" s="537" t="s">
        <v>553</v>
      </c>
      <c r="C5" s="538">
        <v>84106590</v>
      </c>
    </row>
    <row r="6" spans="1:3">
      <c r="B6" t="s">
        <v>578</v>
      </c>
      <c r="C6" s="529">
        <v>3667641</v>
      </c>
    </row>
    <row r="7" spans="1:3">
      <c r="B7" s="537" t="s">
        <v>10573</v>
      </c>
      <c r="C7" s="538">
        <v>953666</v>
      </c>
    </row>
    <row r="8" spans="1:3">
      <c r="B8" t="s">
        <v>599</v>
      </c>
      <c r="C8" s="529">
        <v>923223</v>
      </c>
    </row>
    <row r="9" spans="1:3">
      <c r="B9" s="537" t="s">
        <v>2980</v>
      </c>
      <c r="C9" s="538">
        <v>780990</v>
      </c>
    </row>
    <row r="10" spans="1:3">
      <c r="B10" t="s">
        <v>87</v>
      </c>
      <c r="C10" s="529">
        <v>211225</v>
      </c>
    </row>
    <row r="11" spans="1:3">
      <c r="B11" s="178" t="s">
        <v>8062</v>
      </c>
      <c r="C11" s="539">
        <v>90643335</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00DB8-B1D7-4A47-86AC-5C1B49E70C92}">
  <sheetPr>
    <tabColor rgb="FF92D050"/>
  </sheetPr>
  <dimension ref="A2:E82"/>
  <sheetViews>
    <sheetView showGridLines="0" topLeftCell="A60" zoomScale="80" zoomScaleNormal="80" workbookViewId="0">
      <selection activeCell="D83" sqref="D83"/>
    </sheetView>
  </sheetViews>
  <sheetFormatPr baseColWidth="10" defaultColWidth="11.5" defaultRowHeight="14"/>
  <cols>
    <col min="2" max="2" width="55.4140625" bestFit="1" customWidth="1"/>
    <col min="3" max="3" width="13.1640625" bestFit="1" customWidth="1"/>
    <col min="4" max="4" width="12" bestFit="1" customWidth="1"/>
    <col min="5" max="5" width="14.4140625" bestFit="1" customWidth="1"/>
  </cols>
  <sheetData>
    <row r="2" spans="1:5" ht="15.5">
      <c r="A2" s="7" t="s">
        <v>7926</v>
      </c>
    </row>
    <row r="4" spans="1:5">
      <c r="B4" s="540" t="s">
        <v>881</v>
      </c>
      <c r="C4" s="540" t="s">
        <v>1232</v>
      </c>
      <c r="D4" s="540" t="s">
        <v>2834</v>
      </c>
      <c r="E4" s="540" t="s">
        <v>8137</v>
      </c>
    </row>
    <row r="5" spans="1:5">
      <c r="B5" s="538" t="s">
        <v>69</v>
      </c>
      <c r="C5" s="538">
        <v>17776116</v>
      </c>
      <c r="D5" s="538">
        <v>0</v>
      </c>
      <c r="E5" s="538">
        <f>SUM(C5:D5)</f>
        <v>17776116</v>
      </c>
    </row>
    <row r="6" spans="1:5">
      <c r="B6" s="529" t="s">
        <v>534</v>
      </c>
      <c r="C6" s="529">
        <v>13741207</v>
      </c>
      <c r="D6" s="529">
        <v>0</v>
      </c>
      <c r="E6" s="529">
        <f t="shared" ref="E6:E69" si="0">SUM(C6:D6)</f>
        <v>13741207</v>
      </c>
    </row>
    <row r="7" spans="1:5">
      <c r="B7" s="538" t="s">
        <v>539</v>
      </c>
      <c r="C7" s="538">
        <v>9185479</v>
      </c>
      <c r="D7" s="538">
        <v>794346</v>
      </c>
      <c r="E7" s="538">
        <f t="shared" si="0"/>
        <v>9979825</v>
      </c>
    </row>
    <row r="8" spans="1:5">
      <c r="B8" s="529" t="s">
        <v>558</v>
      </c>
      <c r="C8" s="529">
        <v>9929793</v>
      </c>
      <c r="D8" s="529">
        <v>0</v>
      </c>
      <c r="E8" s="529">
        <f t="shared" si="0"/>
        <v>9929793</v>
      </c>
    </row>
    <row r="9" spans="1:5">
      <c r="B9" s="538" t="s">
        <v>968</v>
      </c>
      <c r="C9" s="538">
        <v>7727915</v>
      </c>
      <c r="D9" s="538">
        <v>1286238</v>
      </c>
      <c r="E9" s="538">
        <f t="shared" si="0"/>
        <v>9014153</v>
      </c>
    </row>
    <row r="10" spans="1:5">
      <c r="B10" s="529" t="s">
        <v>544</v>
      </c>
      <c r="C10" s="529">
        <v>7801292</v>
      </c>
      <c r="D10" s="529">
        <v>0</v>
      </c>
      <c r="E10" s="529">
        <f t="shared" si="0"/>
        <v>7801292</v>
      </c>
    </row>
    <row r="11" spans="1:5">
      <c r="B11" s="538" t="s">
        <v>553</v>
      </c>
      <c r="C11" s="538">
        <v>4220656</v>
      </c>
      <c r="D11" s="538">
        <v>941768</v>
      </c>
      <c r="E11" s="538">
        <f t="shared" si="0"/>
        <v>5162424</v>
      </c>
    </row>
    <row r="12" spans="1:5">
      <c r="B12" s="529" t="s">
        <v>2980</v>
      </c>
      <c r="C12" s="529">
        <v>4273830</v>
      </c>
      <c r="D12" s="529">
        <v>735441</v>
      </c>
      <c r="E12" s="529">
        <f t="shared" si="0"/>
        <v>5009271</v>
      </c>
    </row>
    <row r="13" spans="1:5">
      <c r="B13" s="538" t="s">
        <v>957</v>
      </c>
      <c r="C13" s="538">
        <v>4181385</v>
      </c>
      <c r="D13" s="538">
        <v>379765</v>
      </c>
      <c r="E13" s="538">
        <f t="shared" si="0"/>
        <v>4561150</v>
      </c>
    </row>
    <row r="14" spans="1:5">
      <c r="B14" s="529" t="s">
        <v>960</v>
      </c>
      <c r="C14" s="529">
        <v>2989549</v>
      </c>
      <c r="D14" s="529">
        <v>340319</v>
      </c>
      <c r="E14" s="529">
        <f t="shared" si="0"/>
        <v>3329868</v>
      </c>
    </row>
    <row r="15" spans="1:5">
      <c r="B15" s="538" t="s">
        <v>973</v>
      </c>
      <c r="C15" s="538">
        <v>1836684</v>
      </c>
      <c r="D15" s="538">
        <v>184285</v>
      </c>
      <c r="E15" s="538">
        <f t="shared" si="0"/>
        <v>2020969</v>
      </c>
    </row>
    <row r="16" spans="1:5">
      <c r="B16" s="529" t="s">
        <v>599</v>
      </c>
      <c r="C16" s="529">
        <v>1906250</v>
      </c>
      <c r="D16" s="529">
        <v>69121</v>
      </c>
      <c r="E16" s="529">
        <f t="shared" si="0"/>
        <v>1975371</v>
      </c>
    </row>
    <row r="17" spans="2:5">
      <c r="B17" s="538" t="s">
        <v>462</v>
      </c>
      <c r="C17" s="538">
        <v>1579565</v>
      </c>
      <c r="D17" s="538">
        <v>207366</v>
      </c>
      <c r="E17" s="538">
        <f t="shared" si="0"/>
        <v>1786931</v>
      </c>
    </row>
    <row r="18" spans="2:5">
      <c r="B18" s="529" t="s">
        <v>985</v>
      </c>
      <c r="C18" s="529">
        <v>1731473</v>
      </c>
      <c r="D18" s="529">
        <v>27090</v>
      </c>
      <c r="E18" s="529">
        <f t="shared" si="0"/>
        <v>1758563</v>
      </c>
    </row>
    <row r="19" spans="2:5">
      <c r="B19" s="538" t="s">
        <v>562</v>
      </c>
      <c r="C19" s="538">
        <v>1728446</v>
      </c>
      <c r="D19" s="538">
        <v>0</v>
      </c>
      <c r="E19" s="538">
        <f t="shared" si="0"/>
        <v>1728446</v>
      </c>
    </row>
    <row r="20" spans="2:5">
      <c r="B20" s="529" t="s">
        <v>190</v>
      </c>
      <c r="C20" s="529">
        <v>1659408</v>
      </c>
      <c r="D20" s="529">
        <v>0</v>
      </c>
      <c r="E20" s="529">
        <f t="shared" si="0"/>
        <v>1659408</v>
      </c>
    </row>
    <row r="21" spans="2:5">
      <c r="B21" s="538" t="s">
        <v>188</v>
      </c>
      <c r="C21" s="538">
        <v>1621442</v>
      </c>
      <c r="D21" s="538">
        <v>0</v>
      </c>
      <c r="E21" s="538">
        <f t="shared" si="0"/>
        <v>1621442</v>
      </c>
    </row>
    <row r="22" spans="2:5">
      <c r="B22" s="529" t="s">
        <v>578</v>
      </c>
      <c r="C22" s="529">
        <v>1293540</v>
      </c>
      <c r="D22" s="529">
        <v>284756</v>
      </c>
      <c r="E22" s="529">
        <f t="shared" si="0"/>
        <v>1578296</v>
      </c>
    </row>
    <row r="23" spans="2:5">
      <c r="B23" s="538" t="s">
        <v>2773</v>
      </c>
      <c r="C23" s="538">
        <v>1532540</v>
      </c>
      <c r="D23" s="538">
        <v>0</v>
      </c>
      <c r="E23" s="538">
        <f t="shared" si="0"/>
        <v>1532540</v>
      </c>
    </row>
    <row r="24" spans="2:5">
      <c r="B24" s="529" t="s">
        <v>141</v>
      </c>
      <c r="C24" s="529">
        <v>862574</v>
      </c>
      <c r="D24" s="529">
        <v>605524</v>
      </c>
      <c r="E24" s="529">
        <f t="shared" si="0"/>
        <v>1468098</v>
      </c>
    </row>
    <row r="25" spans="2:5">
      <c r="B25" s="538" t="s">
        <v>961</v>
      </c>
      <c r="C25" s="538">
        <v>1267332</v>
      </c>
      <c r="D25" s="538">
        <v>160278</v>
      </c>
      <c r="E25" s="538">
        <f t="shared" si="0"/>
        <v>1427610</v>
      </c>
    </row>
    <row r="26" spans="2:5">
      <c r="B26" s="529" t="s">
        <v>607</v>
      </c>
      <c r="C26" s="529">
        <v>1200341</v>
      </c>
      <c r="D26" s="529">
        <v>110276</v>
      </c>
      <c r="E26" s="529">
        <f t="shared" si="0"/>
        <v>1310617</v>
      </c>
    </row>
    <row r="27" spans="2:5">
      <c r="B27" s="538" t="s">
        <v>74</v>
      </c>
      <c r="C27" s="538">
        <v>961104</v>
      </c>
      <c r="D27" s="538">
        <v>291968</v>
      </c>
      <c r="E27" s="538">
        <f t="shared" si="0"/>
        <v>1253072</v>
      </c>
    </row>
    <row r="28" spans="2:5">
      <c r="B28" s="529" t="s">
        <v>5411</v>
      </c>
      <c r="C28" s="529">
        <v>1246840</v>
      </c>
      <c r="D28" s="529">
        <v>0</v>
      </c>
      <c r="E28" s="529">
        <f t="shared" si="0"/>
        <v>1246840</v>
      </c>
    </row>
    <row r="29" spans="2:5">
      <c r="B29" s="538" t="s">
        <v>618</v>
      </c>
      <c r="C29" s="538">
        <v>1220779</v>
      </c>
      <c r="D29" s="538">
        <v>0</v>
      </c>
      <c r="E29" s="538">
        <f t="shared" si="0"/>
        <v>1220779</v>
      </c>
    </row>
    <row r="30" spans="2:5">
      <c r="B30" s="529" t="s">
        <v>1847</v>
      </c>
      <c r="C30" s="529">
        <v>1101425</v>
      </c>
      <c r="D30" s="529">
        <v>102118</v>
      </c>
      <c r="E30" s="529">
        <f t="shared" si="0"/>
        <v>1203543</v>
      </c>
    </row>
    <row r="31" spans="2:5">
      <c r="B31" s="538" t="s">
        <v>622</v>
      </c>
      <c r="C31" s="538">
        <v>985554</v>
      </c>
      <c r="D31" s="538">
        <v>187218</v>
      </c>
      <c r="E31" s="538">
        <f t="shared" si="0"/>
        <v>1172772</v>
      </c>
    </row>
    <row r="32" spans="2:5">
      <c r="B32" s="529" t="s">
        <v>7209</v>
      </c>
      <c r="C32" s="529">
        <v>1105426</v>
      </c>
      <c r="D32" s="529"/>
      <c r="E32" s="529">
        <f t="shared" si="0"/>
        <v>1105426</v>
      </c>
    </row>
    <row r="33" spans="2:5">
      <c r="B33" s="538" t="s">
        <v>87</v>
      </c>
      <c r="C33" s="538">
        <v>1082120</v>
      </c>
      <c r="D33" s="538">
        <v>0</v>
      </c>
      <c r="E33" s="538">
        <f t="shared" si="0"/>
        <v>1082120</v>
      </c>
    </row>
    <row r="34" spans="2:5">
      <c r="B34" s="529" t="s">
        <v>68</v>
      </c>
      <c r="C34" s="529">
        <v>1028312</v>
      </c>
      <c r="D34" s="529">
        <v>0</v>
      </c>
      <c r="E34" s="529">
        <f t="shared" si="0"/>
        <v>1028312</v>
      </c>
    </row>
    <row r="35" spans="2:5">
      <c r="B35" s="538" t="s">
        <v>130</v>
      </c>
      <c r="C35" s="538">
        <v>860788</v>
      </c>
      <c r="D35" s="538">
        <v>95711</v>
      </c>
      <c r="E35" s="538">
        <f t="shared" si="0"/>
        <v>956499</v>
      </c>
    </row>
    <row r="36" spans="2:5">
      <c r="B36" s="529" t="s">
        <v>659</v>
      </c>
      <c r="C36" s="529">
        <v>919034</v>
      </c>
      <c r="D36" s="529">
        <v>0</v>
      </c>
      <c r="E36" s="529">
        <f t="shared" si="0"/>
        <v>919034</v>
      </c>
    </row>
    <row r="37" spans="2:5">
      <c r="B37" s="538" t="s">
        <v>662</v>
      </c>
      <c r="C37" s="538">
        <v>802364</v>
      </c>
      <c r="D37" s="538">
        <v>84840</v>
      </c>
      <c r="E37" s="538">
        <f t="shared" si="0"/>
        <v>887204</v>
      </c>
    </row>
    <row r="38" spans="2:5">
      <c r="B38" s="529" t="s">
        <v>99</v>
      </c>
      <c r="C38" s="529">
        <v>789520</v>
      </c>
      <c r="D38" s="529">
        <v>77976</v>
      </c>
      <c r="E38" s="529">
        <f t="shared" si="0"/>
        <v>867496</v>
      </c>
    </row>
    <row r="39" spans="2:5">
      <c r="B39" s="538" t="s">
        <v>6968</v>
      </c>
      <c r="C39" s="538">
        <v>784851</v>
      </c>
      <c r="D39" s="538">
        <v>63676</v>
      </c>
      <c r="E39" s="538">
        <f t="shared" si="0"/>
        <v>848527</v>
      </c>
    </row>
    <row r="40" spans="2:5">
      <c r="B40" s="529" t="s">
        <v>176</v>
      </c>
      <c r="C40" s="529">
        <v>825578</v>
      </c>
      <c r="D40" s="529">
        <v>0</v>
      </c>
      <c r="E40" s="529">
        <f t="shared" si="0"/>
        <v>825578</v>
      </c>
    </row>
    <row r="41" spans="2:5">
      <c r="B41" s="538" t="s">
        <v>2477</v>
      </c>
      <c r="C41" s="538">
        <v>707121</v>
      </c>
      <c r="D41" s="538">
        <v>0</v>
      </c>
      <c r="E41" s="538">
        <f t="shared" si="0"/>
        <v>707121</v>
      </c>
    </row>
    <row r="42" spans="2:5">
      <c r="B42" s="529" t="s">
        <v>646</v>
      </c>
      <c r="C42" s="529">
        <v>584781</v>
      </c>
      <c r="D42" s="529">
        <v>68216</v>
      </c>
      <c r="E42" s="529">
        <f t="shared" si="0"/>
        <v>652997</v>
      </c>
    </row>
    <row r="43" spans="2:5">
      <c r="B43" s="538" t="s">
        <v>7936</v>
      </c>
      <c r="C43" s="538">
        <v>647943</v>
      </c>
      <c r="D43" s="538">
        <v>0</v>
      </c>
      <c r="E43" s="538">
        <f t="shared" si="0"/>
        <v>647943</v>
      </c>
    </row>
    <row r="44" spans="2:5">
      <c r="B44" s="529" t="s">
        <v>676</v>
      </c>
      <c r="C44" s="529">
        <v>468792</v>
      </c>
      <c r="D44" s="529">
        <v>146550</v>
      </c>
      <c r="E44" s="529">
        <f t="shared" si="0"/>
        <v>615342</v>
      </c>
    </row>
    <row r="45" spans="2:5">
      <c r="B45" s="538" t="s">
        <v>967</v>
      </c>
      <c r="C45" s="538">
        <v>566319</v>
      </c>
      <c r="D45" s="538">
        <v>0</v>
      </c>
      <c r="E45" s="538">
        <f t="shared" si="0"/>
        <v>566319</v>
      </c>
    </row>
    <row r="46" spans="2:5">
      <c r="B46" s="529" t="s">
        <v>6970</v>
      </c>
      <c r="C46" s="529">
        <v>502880</v>
      </c>
      <c r="D46" s="529">
        <v>42752</v>
      </c>
      <c r="E46" s="529">
        <f t="shared" si="0"/>
        <v>545632</v>
      </c>
    </row>
    <row r="47" spans="2:5">
      <c r="B47" s="538" t="s">
        <v>978</v>
      </c>
      <c r="C47" s="538">
        <v>368970</v>
      </c>
      <c r="D47" s="538">
        <v>161066</v>
      </c>
      <c r="E47" s="538">
        <f t="shared" si="0"/>
        <v>530036</v>
      </c>
    </row>
    <row r="48" spans="2:5">
      <c r="B48" s="529" t="s">
        <v>1251</v>
      </c>
      <c r="C48" s="529">
        <v>423179</v>
      </c>
      <c r="D48" s="529">
        <v>24914</v>
      </c>
      <c r="E48" s="529">
        <f t="shared" si="0"/>
        <v>448093</v>
      </c>
    </row>
    <row r="49" spans="2:5">
      <c r="B49" s="538" t="s">
        <v>701</v>
      </c>
      <c r="C49" s="538">
        <v>360600</v>
      </c>
      <c r="D49" s="538">
        <v>49121</v>
      </c>
      <c r="E49" s="538">
        <f t="shared" si="0"/>
        <v>409721</v>
      </c>
    </row>
    <row r="50" spans="2:5">
      <c r="B50" s="529" t="s">
        <v>6973</v>
      </c>
      <c r="C50" s="529">
        <v>320570</v>
      </c>
      <c r="D50" s="529">
        <v>22879</v>
      </c>
      <c r="E50" s="529">
        <f t="shared" si="0"/>
        <v>343449</v>
      </c>
    </row>
    <row r="51" spans="2:5">
      <c r="B51" s="538" t="s">
        <v>673</v>
      </c>
      <c r="C51" s="538">
        <v>265348</v>
      </c>
      <c r="D51" s="538">
        <v>56727</v>
      </c>
      <c r="E51" s="538">
        <f t="shared" si="0"/>
        <v>322075</v>
      </c>
    </row>
    <row r="52" spans="2:5">
      <c r="B52" s="529" t="s">
        <v>6972</v>
      </c>
      <c r="C52" s="529">
        <v>283735</v>
      </c>
      <c r="D52" s="529">
        <v>0</v>
      </c>
      <c r="E52" s="529">
        <f t="shared" si="0"/>
        <v>283735</v>
      </c>
    </row>
    <row r="53" spans="2:5">
      <c r="B53" s="538" t="s">
        <v>2793</v>
      </c>
      <c r="C53" s="538">
        <v>135415</v>
      </c>
      <c r="D53" s="538">
        <v>138661</v>
      </c>
      <c r="E53" s="538">
        <f t="shared" si="0"/>
        <v>274076</v>
      </c>
    </row>
    <row r="54" spans="2:5">
      <c r="B54" s="529" t="s">
        <v>75</v>
      </c>
      <c r="C54" s="529">
        <v>155391</v>
      </c>
      <c r="D54" s="529"/>
      <c r="E54" s="529">
        <f t="shared" si="0"/>
        <v>155391</v>
      </c>
    </row>
    <row r="55" spans="2:5">
      <c r="B55" s="538" t="s">
        <v>7939</v>
      </c>
      <c r="C55" s="538">
        <v>133964</v>
      </c>
      <c r="D55" s="538">
        <v>0</v>
      </c>
      <c r="E55" s="538">
        <f t="shared" si="0"/>
        <v>133964</v>
      </c>
    </row>
    <row r="56" spans="2:5">
      <c r="B56" s="529" t="s">
        <v>6974</v>
      </c>
      <c r="C56" s="529">
        <v>87159</v>
      </c>
      <c r="D56" s="529">
        <v>10626</v>
      </c>
      <c r="E56" s="529">
        <f t="shared" si="0"/>
        <v>97785</v>
      </c>
    </row>
    <row r="57" spans="2:5">
      <c r="B57" s="538" t="s">
        <v>6985</v>
      </c>
      <c r="C57" s="538">
        <v>44219</v>
      </c>
      <c r="D57" s="538">
        <v>44094</v>
      </c>
      <c r="E57" s="538">
        <f t="shared" si="0"/>
        <v>88313</v>
      </c>
    </row>
    <row r="58" spans="2:5">
      <c r="B58" s="529" t="s">
        <v>990</v>
      </c>
      <c r="C58" s="529">
        <v>55693</v>
      </c>
      <c r="D58" s="529">
        <v>0</v>
      </c>
      <c r="E58" s="529">
        <f t="shared" si="0"/>
        <v>55693</v>
      </c>
    </row>
    <row r="59" spans="2:5">
      <c r="B59" s="538" t="s">
        <v>6979</v>
      </c>
      <c r="C59" s="538">
        <v>42941</v>
      </c>
      <c r="D59" s="538"/>
      <c r="E59" s="538">
        <f t="shared" si="0"/>
        <v>42941</v>
      </c>
    </row>
    <row r="60" spans="2:5">
      <c r="B60" s="529" t="s">
        <v>5729</v>
      </c>
      <c r="C60" s="529"/>
      <c r="D60" s="529">
        <v>42053</v>
      </c>
      <c r="E60" s="529">
        <f t="shared" si="0"/>
        <v>42053</v>
      </c>
    </row>
    <row r="61" spans="2:5">
      <c r="B61" s="538" t="s">
        <v>8054</v>
      </c>
      <c r="C61" s="538">
        <v>11997</v>
      </c>
      <c r="D61" s="538">
        <v>14779</v>
      </c>
      <c r="E61" s="538">
        <f t="shared" si="0"/>
        <v>26776</v>
      </c>
    </row>
    <row r="62" spans="2:5">
      <c r="B62" s="529" t="s">
        <v>7978</v>
      </c>
      <c r="C62" s="529">
        <v>20190</v>
      </c>
      <c r="D62" s="529"/>
      <c r="E62" s="529">
        <f t="shared" si="0"/>
        <v>20190</v>
      </c>
    </row>
    <row r="63" spans="2:5">
      <c r="B63" s="538" t="s">
        <v>6987</v>
      </c>
      <c r="C63" s="538">
        <v>20190</v>
      </c>
      <c r="D63" s="538"/>
      <c r="E63" s="538">
        <f t="shared" si="0"/>
        <v>20190</v>
      </c>
    </row>
    <row r="64" spans="2:5">
      <c r="B64" s="529" t="s">
        <v>8057</v>
      </c>
      <c r="C64" s="529">
        <v>15284</v>
      </c>
      <c r="D64" s="529"/>
      <c r="E64" s="529">
        <f t="shared" si="0"/>
        <v>15284</v>
      </c>
    </row>
    <row r="65" spans="2:5">
      <c r="B65" s="538" t="s">
        <v>709</v>
      </c>
      <c r="C65" s="538">
        <v>2588</v>
      </c>
      <c r="D65" s="538">
        <v>9028</v>
      </c>
      <c r="E65" s="538">
        <f t="shared" si="0"/>
        <v>11616</v>
      </c>
    </row>
    <row r="66" spans="2:5">
      <c r="B66" s="529" t="s">
        <v>7963</v>
      </c>
      <c r="C66" s="529"/>
      <c r="D66" s="529">
        <v>8345</v>
      </c>
      <c r="E66" s="529">
        <f t="shared" si="0"/>
        <v>8345</v>
      </c>
    </row>
    <row r="67" spans="2:5">
      <c r="B67" s="538" t="s">
        <v>6991</v>
      </c>
      <c r="C67" s="538">
        <v>1425</v>
      </c>
      <c r="D67" s="538">
        <v>6360</v>
      </c>
      <c r="E67" s="538">
        <f t="shared" si="0"/>
        <v>7785</v>
      </c>
    </row>
    <row r="68" spans="2:5">
      <c r="B68" s="529" t="s">
        <v>7945</v>
      </c>
      <c r="C68" s="529">
        <v>4829</v>
      </c>
      <c r="D68" s="529">
        <v>2161</v>
      </c>
      <c r="E68" s="529">
        <f t="shared" si="0"/>
        <v>6990</v>
      </c>
    </row>
    <row r="69" spans="2:5">
      <c r="B69" s="538" t="s">
        <v>1004</v>
      </c>
      <c r="C69" s="538"/>
      <c r="D69" s="538">
        <v>6030</v>
      </c>
      <c r="E69" s="538">
        <f t="shared" si="0"/>
        <v>6030</v>
      </c>
    </row>
    <row r="70" spans="2:5">
      <c r="B70" s="529" t="s">
        <v>8055</v>
      </c>
      <c r="C70" s="529">
        <v>918</v>
      </c>
      <c r="D70" s="529">
        <v>4872</v>
      </c>
      <c r="E70" s="529">
        <f t="shared" ref="E70:E81" si="1">SUM(C70:D70)</f>
        <v>5790</v>
      </c>
    </row>
    <row r="71" spans="2:5">
      <c r="B71" s="538" t="s">
        <v>7962</v>
      </c>
      <c r="C71" s="538">
        <v>3436</v>
      </c>
      <c r="D71" s="538"/>
      <c r="E71" s="538">
        <f t="shared" si="1"/>
        <v>3436</v>
      </c>
    </row>
    <row r="72" spans="2:5">
      <c r="B72" s="529" t="s">
        <v>1279</v>
      </c>
      <c r="C72" s="529"/>
      <c r="D72" s="529">
        <v>3159</v>
      </c>
      <c r="E72" s="529">
        <f t="shared" si="1"/>
        <v>3159</v>
      </c>
    </row>
    <row r="73" spans="2:5">
      <c r="B73" s="538" t="s">
        <v>7065</v>
      </c>
      <c r="C73" s="538"/>
      <c r="D73" s="538">
        <v>1796</v>
      </c>
      <c r="E73" s="538">
        <f t="shared" si="1"/>
        <v>1796</v>
      </c>
    </row>
    <row r="74" spans="2:5">
      <c r="B74" s="529" t="s">
        <v>995</v>
      </c>
      <c r="C74" s="529"/>
      <c r="D74" s="529">
        <v>1582</v>
      </c>
      <c r="E74" s="529">
        <f t="shared" si="1"/>
        <v>1582</v>
      </c>
    </row>
    <row r="75" spans="2:5">
      <c r="B75" s="538" t="s">
        <v>7004</v>
      </c>
      <c r="C75" s="538"/>
      <c r="D75" s="538">
        <v>1462</v>
      </c>
      <c r="E75" s="538">
        <f t="shared" si="1"/>
        <v>1462</v>
      </c>
    </row>
    <row r="76" spans="2:5">
      <c r="B76" s="529" t="s">
        <v>8053</v>
      </c>
      <c r="C76" s="529"/>
      <c r="D76" s="529">
        <v>1345</v>
      </c>
      <c r="E76" s="529">
        <f t="shared" si="1"/>
        <v>1345</v>
      </c>
    </row>
    <row r="77" spans="2:5">
      <c r="B77" s="538" t="s">
        <v>988</v>
      </c>
      <c r="C77" s="538">
        <v>1008</v>
      </c>
      <c r="D77" s="538"/>
      <c r="E77" s="538">
        <f t="shared" si="1"/>
        <v>1008</v>
      </c>
    </row>
    <row r="78" spans="2:5">
      <c r="B78" s="529" t="s">
        <v>8078</v>
      </c>
      <c r="C78" s="529">
        <v>492</v>
      </c>
      <c r="D78" s="529"/>
      <c r="E78" s="529">
        <f t="shared" si="1"/>
        <v>492</v>
      </c>
    </row>
    <row r="79" spans="2:5">
      <c r="B79" s="538" t="s">
        <v>8018</v>
      </c>
      <c r="C79" s="538"/>
      <c r="D79" s="538">
        <v>279</v>
      </c>
      <c r="E79" s="538">
        <f t="shared" si="1"/>
        <v>279</v>
      </c>
    </row>
    <row r="80" spans="2:5">
      <c r="B80" s="529" t="s">
        <v>6998</v>
      </c>
      <c r="C80" s="529">
        <v>88</v>
      </c>
      <c r="D80" s="529">
        <v>0</v>
      </c>
      <c r="E80" s="529">
        <f t="shared" si="1"/>
        <v>88</v>
      </c>
    </row>
    <row r="81" spans="2:5">
      <c r="B81" s="539" t="s">
        <v>404</v>
      </c>
      <c r="C81" s="539"/>
      <c r="D81" s="539">
        <v>0</v>
      </c>
      <c r="E81" s="539">
        <f t="shared" si="1"/>
        <v>0</v>
      </c>
    </row>
    <row r="82" spans="2:5">
      <c r="C82" s="539">
        <f>SUM(C5:C81)</f>
        <v>119997977</v>
      </c>
      <c r="D82" s="539">
        <f>SUM(D5:D81)</f>
        <v>7898937</v>
      </c>
      <c r="E82" s="539">
        <f>SUM(E5:E81)</f>
        <v>127896914</v>
      </c>
    </row>
  </sheetData>
  <autoFilter ref="B4:E81" xr:uid="{183FB94A-5618-4972-BC4B-507054A3F4D7}"/>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75F11-8E3D-4448-BD3F-B8E0DC5DBD8A}">
  <sheetPr>
    <tabColor rgb="FF92D050"/>
  </sheetPr>
  <dimension ref="A2:B5"/>
  <sheetViews>
    <sheetView zoomScale="80" zoomScaleNormal="80" workbookViewId="0">
      <selection activeCell="I15" sqref="I15"/>
    </sheetView>
  </sheetViews>
  <sheetFormatPr baseColWidth="10" defaultColWidth="11.5" defaultRowHeight="14"/>
  <sheetData>
    <row r="2" spans="1:2" ht="14.5">
      <c r="A2" s="535" t="s">
        <v>7916</v>
      </c>
    </row>
    <row r="5" spans="1:2" ht="19">
      <c r="B5" s="545" t="s">
        <v>8138</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9CAD9-16D5-4AAA-B837-73708C35EAC5}">
  <sheetPr>
    <tabColor rgb="FF92D050"/>
  </sheetPr>
  <dimension ref="A2:J52"/>
  <sheetViews>
    <sheetView topLeftCell="A33" zoomScale="80" zoomScaleNormal="80" workbookViewId="0"/>
  </sheetViews>
  <sheetFormatPr baseColWidth="10" defaultColWidth="11.5" defaultRowHeight="14"/>
  <cols>
    <col min="2" max="2" width="43.25" bestFit="1" customWidth="1"/>
    <col min="3" max="3" width="15.5" bestFit="1" customWidth="1"/>
    <col min="4" max="4" width="16.4140625" bestFit="1" customWidth="1"/>
    <col min="5" max="5" width="9.4140625" bestFit="1" customWidth="1"/>
    <col min="6" max="6" width="12.25" bestFit="1" customWidth="1"/>
    <col min="7" max="7" width="14.5" bestFit="1" customWidth="1"/>
    <col min="8" max="8" width="12.75" bestFit="1" customWidth="1"/>
    <col min="9" max="9" width="17.25" bestFit="1" customWidth="1"/>
    <col min="10" max="10" width="14.5" bestFit="1" customWidth="1"/>
  </cols>
  <sheetData>
    <row r="2" spans="1:10" ht="15.5">
      <c r="A2" s="7" t="s">
        <v>7917</v>
      </c>
    </row>
    <row r="4" spans="1:10">
      <c r="B4" s="540" t="s">
        <v>881</v>
      </c>
      <c r="C4" s="540" t="s">
        <v>8139</v>
      </c>
      <c r="D4" s="540" t="s">
        <v>556</v>
      </c>
      <c r="E4" s="540" t="s">
        <v>8140</v>
      </c>
      <c r="F4" s="540" t="s">
        <v>8141</v>
      </c>
      <c r="G4" s="540" t="s">
        <v>8142</v>
      </c>
      <c r="H4" s="540" t="s">
        <v>567</v>
      </c>
      <c r="I4" s="540" t="s">
        <v>793</v>
      </c>
      <c r="J4" s="729" t="s">
        <v>10201</v>
      </c>
    </row>
    <row r="5" spans="1:10">
      <c r="B5" s="537" t="s">
        <v>534</v>
      </c>
      <c r="C5" s="538"/>
      <c r="D5" s="538">
        <v>263101332</v>
      </c>
      <c r="E5" s="538"/>
      <c r="F5" s="538"/>
      <c r="G5" s="538"/>
      <c r="H5" s="538"/>
      <c r="I5" s="538"/>
      <c r="J5" s="730">
        <v>263101332</v>
      </c>
    </row>
    <row r="6" spans="1:10">
      <c r="B6" t="s">
        <v>539</v>
      </c>
      <c r="C6" s="529"/>
      <c r="D6" s="529">
        <v>59150717</v>
      </c>
      <c r="E6" s="529"/>
      <c r="F6" s="529"/>
      <c r="G6" s="529"/>
      <c r="H6" s="529"/>
      <c r="I6" s="529"/>
      <c r="J6" s="731">
        <v>59150717</v>
      </c>
    </row>
    <row r="7" spans="1:10">
      <c r="B7" s="537" t="s">
        <v>651</v>
      </c>
      <c r="C7" s="538"/>
      <c r="D7" s="538">
        <v>43607341</v>
      </c>
      <c r="E7" s="538"/>
      <c r="F7" s="538"/>
      <c r="G7" s="538"/>
      <c r="H7" s="538"/>
      <c r="I7" s="538"/>
      <c r="J7" s="730">
        <v>43607341</v>
      </c>
    </row>
    <row r="8" spans="1:10">
      <c r="B8" t="s">
        <v>578</v>
      </c>
      <c r="C8" s="529"/>
      <c r="D8" s="529">
        <v>34100502</v>
      </c>
      <c r="E8" s="529"/>
      <c r="F8" s="529"/>
      <c r="G8" s="529"/>
      <c r="H8" s="529"/>
      <c r="I8" s="529"/>
      <c r="J8" s="731">
        <v>34100502</v>
      </c>
    </row>
    <row r="9" spans="1:10">
      <c r="B9" s="537" t="s">
        <v>553</v>
      </c>
      <c r="C9" s="538"/>
      <c r="D9" s="538">
        <v>18392923</v>
      </c>
      <c r="E9" s="538"/>
      <c r="F9" s="538"/>
      <c r="G9" s="538"/>
      <c r="H9" s="538"/>
      <c r="I9" s="538"/>
      <c r="J9" s="730">
        <v>18392923</v>
      </c>
    </row>
    <row r="10" spans="1:10">
      <c r="B10" t="s">
        <v>8059</v>
      </c>
      <c r="C10" s="529"/>
      <c r="D10" s="529">
        <v>15953620</v>
      </c>
      <c r="E10" s="529"/>
      <c r="F10" s="529"/>
      <c r="G10" s="529"/>
      <c r="H10" s="529"/>
      <c r="I10" s="529"/>
      <c r="J10" s="731">
        <v>15953620</v>
      </c>
    </row>
    <row r="11" spans="1:10">
      <c r="B11" s="537" t="s">
        <v>2980</v>
      </c>
      <c r="C11" s="538"/>
      <c r="D11" s="538"/>
      <c r="E11" s="538"/>
      <c r="F11" s="538"/>
      <c r="G11" s="538"/>
      <c r="H11" s="538">
        <v>10800000</v>
      </c>
      <c r="I11" s="538"/>
      <c r="J11" s="730">
        <v>10800000</v>
      </c>
    </row>
    <row r="12" spans="1:10">
      <c r="B12" t="s">
        <v>676</v>
      </c>
      <c r="C12" s="529"/>
      <c r="D12" s="529">
        <v>6632292</v>
      </c>
      <c r="E12" s="529"/>
      <c r="F12" s="529"/>
      <c r="G12" s="529"/>
      <c r="H12" s="529"/>
      <c r="I12" s="529"/>
      <c r="J12" s="731">
        <v>6632292</v>
      </c>
    </row>
    <row r="13" spans="1:10">
      <c r="B13" s="537" t="s">
        <v>765</v>
      </c>
      <c r="C13" s="538"/>
      <c r="D13" s="538"/>
      <c r="E13" s="538"/>
      <c r="F13" s="538"/>
      <c r="G13" s="538"/>
      <c r="H13" s="538"/>
      <c r="I13" s="538">
        <v>6168814</v>
      </c>
      <c r="J13" s="730">
        <v>6168814</v>
      </c>
    </row>
    <row r="14" spans="1:10">
      <c r="B14" t="s">
        <v>68</v>
      </c>
      <c r="C14" s="529"/>
      <c r="D14" s="529">
        <v>5205231</v>
      </c>
      <c r="E14" s="529"/>
      <c r="F14" s="529"/>
      <c r="G14" s="529"/>
      <c r="H14" s="529"/>
      <c r="I14" s="529"/>
      <c r="J14" s="731">
        <v>5205231</v>
      </c>
    </row>
    <row r="15" spans="1:10">
      <c r="B15" s="537" t="s">
        <v>662</v>
      </c>
      <c r="C15" s="538"/>
      <c r="D15" s="538">
        <v>2884557</v>
      </c>
      <c r="E15" s="538"/>
      <c r="F15" s="538"/>
      <c r="G15" s="538"/>
      <c r="H15" s="538"/>
      <c r="I15" s="538"/>
      <c r="J15" s="730">
        <v>2884557</v>
      </c>
    </row>
    <row r="16" spans="1:10">
      <c r="B16" t="s">
        <v>74</v>
      </c>
      <c r="C16" s="529"/>
      <c r="D16" s="529">
        <v>2303559</v>
      </c>
      <c r="E16" s="529"/>
      <c r="F16" s="529"/>
      <c r="G16" s="529"/>
      <c r="H16" s="529"/>
      <c r="I16" s="529"/>
      <c r="J16" s="731">
        <v>2303559</v>
      </c>
    </row>
    <row r="17" spans="2:10">
      <c r="B17" s="537" t="s">
        <v>5411</v>
      </c>
      <c r="C17" s="538"/>
      <c r="D17" s="538">
        <v>2302744</v>
      </c>
      <c r="E17" s="538"/>
      <c r="F17" s="538"/>
      <c r="G17" s="538"/>
      <c r="H17" s="538"/>
      <c r="I17" s="538"/>
      <c r="J17" s="730">
        <v>2302744</v>
      </c>
    </row>
    <row r="18" spans="2:10">
      <c r="B18" t="s">
        <v>961</v>
      </c>
      <c r="C18" s="529"/>
      <c r="D18" s="529">
        <v>2176440</v>
      </c>
      <c r="E18" s="529"/>
      <c r="F18" s="529"/>
      <c r="G18" s="529"/>
      <c r="H18" s="529"/>
      <c r="I18" s="529"/>
      <c r="J18" s="731">
        <v>2176440</v>
      </c>
    </row>
    <row r="19" spans="2:10">
      <c r="B19" s="537" t="s">
        <v>618</v>
      </c>
      <c r="C19" s="538"/>
      <c r="D19" s="538">
        <v>2062447</v>
      </c>
      <c r="E19" s="538"/>
      <c r="F19" s="538"/>
      <c r="G19" s="538"/>
      <c r="H19" s="538"/>
      <c r="I19" s="538"/>
      <c r="J19" s="730">
        <v>2062447</v>
      </c>
    </row>
    <row r="20" spans="2:10">
      <c r="B20" t="s">
        <v>2477</v>
      </c>
      <c r="C20" s="529"/>
      <c r="D20" s="529">
        <v>1404927</v>
      </c>
      <c r="E20" s="529"/>
      <c r="F20" s="529"/>
      <c r="G20" s="529"/>
      <c r="H20" s="529"/>
      <c r="I20" s="529"/>
      <c r="J20" s="731">
        <v>1404927</v>
      </c>
    </row>
    <row r="21" spans="2:10">
      <c r="B21" s="537" t="s">
        <v>673</v>
      </c>
      <c r="C21" s="538"/>
      <c r="D21" s="538">
        <v>1234050</v>
      </c>
      <c r="E21" s="538"/>
      <c r="F21" s="538"/>
      <c r="G21" s="538"/>
      <c r="H21" s="538"/>
      <c r="I21" s="538"/>
      <c r="J21" s="730">
        <v>1234050</v>
      </c>
    </row>
    <row r="22" spans="2:10">
      <c r="B22" t="s">
        <v>7945</v>
      </c>
      <c r="C22" s="529"/>
      <c r="D22" s="529"/>
      <c r="E22" s="529"/>
      <c r="F22" s="529">
        <v>908987</v>
      </c>
      <c r="G22" s="529"/>
      <c r="H22" s="529"/>
      <c r="I22" s="529"/>
      <c r="J22" s="731">
        <v>908987</v>
      </c>
    </row>
    <row r="23" spans="2:10">
      <c r="B23" s="537" t="s">
        <v>7936</v>
      </c>
      <c r="C23" s="538"/>
      <c r="D23" s="538"/>
      <c r="E23" s="538"/>
      <c r="F23" s="538"/>
      <c r="G23" s="538">
        <v>899971</v>
      </c>
      <c r="H23" s="538"/>
      <c r="I23" s="538"/>
      <c r="J23" s="730">
        <v>899971</v>
      </c>
    </row>
    <row r="24" spans="2:10">
      <c r="B24" t="s">
        <v>87</v>
      </c>
      <c r="C24" s="529"/>
      <c r="D24" s="529">
        <v>21855</v>
      </c>
      <c r="E24" s="529"/>
      <c r="F24" s="529"/>
      <c r="G24" s="529">
        <v>875400</v>
      </c>
      <c r="H24" s="529"/>
      <c r="I24" s="529"/>
      <c r="J24" s="731">
        <v>897255</v>
      </c>
    </row>
    <row r="25" spans="2:10">
      <c r="B25" s="537" t="s">
        <v>5745</v>
      </c>
      <c r="C25" s="538">
        <v>800000</v>
      </c>
      <c r="D25" s="538"/>
      <c r="E25" s="538"/>
      <c r="F25" s="538"/>
      <c r="G25" s="538"/>
      <c r="H25" s="538"/>
      <c r="I25" s="538"/>
      <c r="J25" s="730">
        <v>800000</v>
      </c>
    </row>
    <row r="26" spans="2:10">
      <c r="B26" t="s">
        <v>8063</v>
      </c>
      <c r="C26" s="529"/>
      <c r="D26" s="529"/>
      <c r="E26" s="529"/>
      <c r="F26" s="529"/>
      <c r="G26" s="529"/>
      <c r="H26" s="529">
        <v>720000</v>
      </c>
      <c r="I26" s="529"/>
      <c r="J26" s="731">
        <v>720000</v>
      </c>
    </row>
    <row r="27" spans="2:10">
      <c r="B27" s="537" t="s">
        <v>6991</v>
      </c>
      <c r="C27" s="538"/>
      <c r="D27" s="538"/>
      <c r="E27" s="538"/>
      <c r="F27" s="538">
        <v>705000</v>
      </c>
      <c r="G27" s="538"/>
      <c r="H27" s="538"/>
      <c r="I27" s="538"/>
      <c r="J27" s="730">
        <v>705000</v>
      </c>
    </row>
    <row r="28" spans="2:10">
      <c r="B28" t="s">
        <v>646</v>
      </c>
      <c r="C28" s="529"/>
      <c r="D28" s="529">
        <v>627014</v>
      </c>
      <c r="E28" s="529"/>
      <c r="F28" s="529"/>
      <c r="G28" s="529"/>
      <c r="H28" s="529"/>
      <c r="I28" s="529"/>
      <c r="J28" s="731">
        <v>627014</v>
      </c>
    </row>
    <row r="29" spans="2:10">
      <c r="B29" s="537" t="s">
        <v>607</v>
      </c>
      <c r="C29" s="538">
        <v>160000</v>
      </c>
      <c r="D29" s="538">
        <v>356326</v>
      </c>
      <c r="E29" s="538"/>
      <c r="F29" s="538"/>
      <c r="G29" s="538"/>
      <c r="H29" s="538"/>
      <c r="I29" s="538"/>
      <c r="J29" s="730">
        <v>516326</v>
      </c>
    </row>
    <row r="30" spans="2:10">
      <c r="B30" t="s">
        <v>967</v>
      </c>
      <c r="C30" s="529"/>
      <c r="D30" s="529">
        <v>502530</v>
      </c>
      <c r="E30" s="529"/>
      <c r="F30" s="529"/>
      <c r="G30" s="529"/>
      <c r="H30" s="529"/>
      <c r="I30" s="529"/>
      <c r="J30" s="731">
        <v>502530</v>
      </c>
    </row>
    <row r="31" spans="2:10">
      <c r="B31" s="537" t="s">
        <v>2773</v>
      </c>
      <c r="C31" s="538"/>
      <c r="D31" s="538">
        <v>471344</v>
      </c>
      <c r="E31" s="538"/>
      <c r="F31" s="538"/>
      <c r="G31" s="538"/>
      <c r="H31" s="538"/>
      <c r="I31" s="538"/>
      <c r="J31" s="730">
        <v>471344</v>
      </c>
    </row>
    <row r="32" spans="2:10">
      <c r="B32" t="s">
        <v>6981</v>
      </c>
      <c r="C32" s="529"/>
      <c r="D32" s="529">
        <v>464400</v>
      </c>
      <c r="E32" s="529"/>
      <c r="F32" s="529"/>
      <c r="G32" s="529"/>
      <c r="H32" s="529"/>
      <c r="I32" s="529"/>
      <c r="J32" s="731">
        <v>464400</v>
      </c>
    </row>
    <row r="33" spans="2:10">
      <c r="B33" s="537" t="s">
        <v>6974</v>
      </c>
      <c r="C33" s="538">
        <v>140502</v>
      </c>
      <c r="D33" s="538">
        <v>264550</v>
      </c>
      <c r="E33" s="538"/>
      <c r="F33" s="538"/>
      <c r="G33" s="538"/>
      <c r="H33" s="538"/>
      <c r="I33" s="538"/>
      <c r="J33" s="730">
        <v>405052</v>
      </c>
    </row>
    <row r="34" spans="2:10">
      <c r="B34" t="s">
        <v>8041</v>
      </c>
      <c r="C34" s="529"/>
      <c r="D34" s="529"/>
      <c r="E34" s="529"/>
      <c r="F34" s="529">
        <v>260000</v>
      </c>
      <c r="G34" s="529"/>
      <c r="H34" s="529"/>
      <c r="I34" s="529"/>
      <c r="J34" s="731">
        <v>260000</v>
      </c>
    </row>
    <row r="35" spans="2:10">
      <c r="B35" s="537" t="s">
        <v>8044</v>
      </c>
      <c r="C35" s="538"/>
      <c r="D35" s="538"/>
      <c r="E35" s="538"/>
      <c r="F35" s="538">
        <v>225000</v>
      </c>
      <c r="G35" s="538"/>
      <c r="H35" s="538"/>
      <c r="I35" s="538"/>
      <c r="J35" s="730">
        <v>225000</v>
      </c>
    </row>
    <row r="36" spans="2:10">
      <c r="B36" t="s">
        <v>8007</v>
      </c>
      <c r="C36" s="529"/>
      <c r="D36" s="529"/>
      <c r="E36" s="529"/>
      <c r="F36" s="529">
        <v>200000</v>
      </c>
      <c r="G36" s="529"/>
      <c r="H36" s="529"/>
      <c r="I36" s="529"/>
      <c r="J36" s="731">
        <v>200000</v>
      </c>
    </row>
    <row r="37" spans="2:10">
      <c r="B37" s="537" t="s">
        <v>6972</v>
      </c>
      <c r="C37" s="538"/>
      <c r="D37" s="538">
        <v>171236</v>
      </c>
      <c r="E37" s="538"/>
      <c r="F37" s="538"/>
      <c r="G37" s="538"/>
      <c r="H37" s="538"/>
      <c r="I37" s="538"/>
      <c r="J37" s="730">
        <v>171236</v>
      </c>
    </row>
    <row r="38" spans="2:10">
      <c r="B38" t="s">
        <v>7209</v>
      </c>
      <c r="C38" s="529"/>
      <c r="D38" s="529">
        <v>167847</v>
      </c>
      <c r="E38" s="529"/>
      <c r="F38" s="529"/>
      <c r="G38" s="529"/>
      <c r="H38" s="529"/>
      <c r="I38" s="529"/>
      <c r="J38" s="731">
        <v>167847</v>
      </c>
    </row>
    <row r="39" spans="2:10">
      <c r="B39" s="537" t="s">
        <v>7008</v>
      </c>
      <c r="C39" s="538"/>
      <c r="D39" s="538"/>
      <c r="E39" s="538"/>
      <c r="F39" s="538">
        <v>165000</v>
      </c>
      <c r="G39" s="538"/>
      <c r="H39" s="538"/>
      <c r="I39" s="538"/>
      <c r="J39" s="730">
        <v>165000</v>
      </c>
    </row>
    <row r="40" spans="2:10">
      <c r="B40" t="s">
        <v>993</v>
      </c>
      <c r="C40" s="529"/>
      <c r="D40" s="529"/>
      <c r="E40" s="529">
        <v>140000</v>
      </c>
      <c r="F40" s="529"/>
      <c r="G40" s="529"/>
      <c r="H40" s="529"/>
      <c r="I40" s="529"/>
      <c r="J40" s="731">
        <v>140000</v>
      </c>
    </row>
    <row r="41" spans="2:10">
      <c r="B41" s="537" t="s">
        <v>7969</v>
      </c>
      <c r="C41" s="538"/>
      <c r="D41" s="538">
        <v>115950</v>
      </c>
      <c r="E41" s="538"/>
      <c r="F41" s="538"/>
      <c r="G41" s="538"/>
      <c r="H41" s="538"/>
      <c r="I41" s="538"/>
      <c r="J41" s="730">
        <v>115950</v>
      </c>
    </row>
    <row r="42" spans="2:10">
      <c r="B42" t="s">
        <v>1898</v>
      </c>
      <c r="C42" s="529"/>
      <c r="D42" s="529"/>
      <c r="E42" s="529"/>
      <c r="F42" s="529">
        <v>100000</v>
      </c>
      <c r="G42" s="529"/>
      <c r="H42" s="529"/>
      <c r="I42" s="529"/>
      <c r="J42" s="731">
        <v>100000</v>
      </c>
    </row>
    <row r="43" spans="2:10">
      <c r="B43" s="537" t="s">
        <v>327</v>
      </c>
      <c r="C43" s="538"/>
      <c r="D43" s="538"/>
      <c r="E43" s="538">
        <v>25000</v>
      </c>
      <c r="F43" s="538">
        <v>60000</v>
      </c>
      <c r="G43" s="538"/>
      <c r="H43" s="538"/>
      <c r="I43" s="538"/>
      <c r="J43" s="730">
        <v>85000</v>
      </c>
    </row>
    <row r="44" spans="2:10">
      <c r="B44" t="s">
        <v>99</v>
      </c>
      <c r="C44" s="529"/>
      <c r="D44" s="529">
        <v>61289</v>
      </c>
      <c r="E44" s="529"/>
      <c r="F44" s="529"/>
      <c r="G44" s="529"/>
      <c r="H44" s="529"/>
      <c r="I44" s="529"/>
      <c r="J44" s="731">
        <v>61289</v>
      </c>
    </row>
    <row r="45" spans="2:10">
      <c r="B45" s="537" t="s">
        <v>7090</v>
      </c>
      <c r="C45" s="538"/>
      <c r="D45" s="538"/>
      <c r="E45" s="538"/>
      <c r="F45" s="538"/>
      <c r="G45" s="538"/>
      <c r="H45" s="538">
        <v>50000</v>
      </c>
      <c r="I45" s="538"/>
      <c r="J45" s="730">
        <v>50000</v>
      </c>
    </row>
    <row r="46" spans="2:10">
      <c r="B46" t="s">
        <v>7027</v>
      </c>
      <c r="C46" s="529"/>
      <c r="D46" s="529"/>
      <c r="E46" s="529"/>
      <c r="F46" s="529">
        <v>50000</v>
      </c>
      <c r="G46" s="529"/>
      <c r="H46" s="529"/>
      <c r="I46" s="529"/>
      <c r="J46" s="731">
        <v>50000</v>
      </c>
    </row>
    <row r="47" spans="2:10">
      <c r="B47" s="537" t="s">
        <v>7043</v>
      </c>
      <c r="C47" s="538"/>
      <c r="D47" s="538"/>
      <c r="E47" s="538"/>
      <c r="F47" s="538">
        <v>50000</v>
      </c>
      <c r="G47" s="538"/>
      <c r="H47" s="538"/>
      <c r="I47" s="538"/>
      <c r="J47" s="730">
        <v>50000</v>
      </c>
    </row>
    <row r="48" spans="2:10">
      <c r="B48" t="s">
        <v>8027</v>
      </c>
      <c r="C48" s="529"/>
      <c r="D48" s="529"/>
      <c r="E48" s="529">
        <v>50000</v>
      </c>
      <c r="F48" s="529"/>
      <c r="G48" s="529"/>
      <c r="H48" s="529"/>
      <c r="I48" s="529"/>
      <c r="J48" s="731">
        <v>50000</v>
      </c>
    </row>
    <row r="49" spans="2:10">
      <c r="B49" s="537" t="s">
        <v>701</v>
      </c>
      <c r="C49" s="538"/>
      <c r="D49" s="538">
        <v>20640</v>
      </c>
      <c r="E49" s="538"/>
      <c r="F49" s="538"/>
      <c r="G49" s="538"/>
      <c r="H49" s="538"/>
      <c r="I49" s="538"/>
      <c r="J49" s="730">
        <v>20640</v>
      </c>
    </row>
    <row r="50" spans="2:10">
      <c r="B50" t="s">
        <v>8093</v>
      </c>
      <c r="C50" s="529"/>
      <c r="D50" s="529"/>
      <c r="E50" s="529"/>
      <c r="F50" s="529">
        <v>20000</v>
      </c>
      <c r="G50" s="529"/>
      <c r="H50" s="529"/>
      <c r="I50" s="529"/>
      <c r="J50" s="731">
        <v>20000</v>
      </c>
    </row>
    <row r="51" spans="2:10">
      <c r="B51" s="537" t="s">
        <v>8057</v>
      </c>
      <c r="C51" s="538"/>
      <c r="D51" s="538">
        <v>19596</v>
      </c>
      <c r="E51" s="538"/>
      <c r="F51" s="538"/>
      <c r="G51" s="538"/>
      <c r="H51" s="538"/>
      <c r="I51" s="538"/>
      <c r="J51" s="730">
        <v>19596</v>
      </c>
    </row>
    <row r="52" spans="2:10">
      <c r="B52" s="178" t="s">
        <v>8062</v>
      </c>
      <c r="C52" s="539">
        <f t="shared" ref="C52:I52" si="0">SUM(C5:C51)</f>
        <v>1100502</v>
      </c>
      <c r="D52" s="539">
        <f t="shared" si="0"/>
        <v>463777259</v>
      </c>
      <c r="E52" s="539">
        <f t="shared" si="0"/>
        <v>215000</v>
      </c>
      <c r="F52" s="539">
        <f t="shared" si="0"/>
        <v>2743987</v>
      </c>
      <c r="G52" s="539">
        <f t="shared" si="0"/>
        <v>1775371</v>
      </c>
      <c r="H52" s="539">
        <f t="shared" si="0"/>
        <v>11570000</v>
      </c>
      <c r="I52" s="539">
        <f t="shared" si="0"/>
        <v>6168814</v>
      </c>
      <c r="J52" s="539">
        <f>SUM(J5:J51)</f>
        <v>487350933</v>
      </c>
    </row>
  </sheetData>
  <autoFilter ref="B4:I52" xr:uid="{2A0A9896-4781-4132-AD58-92E7A1C26557}"/>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241CB-DD0E-4FAE-9601-21C4C2738EEA}">
  <sheetPr>
    <tabColor rgb="FF92D050"/>
  </sheetPr>
  <dimension ref="A2:F111"/>
  <sheetViews>
    <sheetView topLeftCell="A76" zoomScale="70" zoomScaleNormal="70" workbookViewId="0">
      <selection activeCell="C4" sqref="C4"/>
    </sheetView>
  </sheetViews>
  <sheetFormatPr baseColWidth="10" defaultColWidth="11.5" defaultRowHeight="14"/>
  <cols>
    <col min="2" max="2" width="52.4140625" bestFit="1" customWidth="1"/>
    <col min="3" max="3" width="76.83203125" bestFit="1" customWidth="1"/>
    <col min="4" max="4" width="25" bestFit="1" customWidth="1"/>
    <col min="5" max="5" width="16.4140625" bestFit="1" customWidth="1"/>
  </cols>
  <sheetData>
    <row r="2" spans="1:5" ht="14.5">
      <c r="A2" s="6" t="s">
        <v>7918</v>
      </c>
    </row>
    <row r="4" spans="1:5">
      <c r="B4" s="732" t="s">
        <v>881</v>
      </c>
      <c r="C4" s="732" t="s">
        <v>7927</v>
      </c>
      <c r="D4" s="732" t="s">
        <v>7928</v>
      </c>
      <c r="E4" s="733" t="s">
        <v>8134</v>
      </c>
    </row>
    <row r="5" spans="1:5">
      <c r="B5" s="148" t="s">
        <v>7939</v>
      </c>
      <c r="C5" s="148" t="s">
        <v>7938</v>
      </c>
      <c r="D5" s="148" t="s">
        <v>1137</v>
      </c>
      <c r="E5" s="530">
        <v>3975506</v>
      </c>
    </row>
    <row r="6" spans="1:5">
      <c r="B6" s="148"/>
      <c r="C6" s="148" t="s">
        <v>8109</v>
      </c>
      <c r="D6" s="148" t="s">
        <v>1229</v>
      </c>
      <c r="E6" s="530">
        <v>3403575</v>
      </c>
    </row>
    <row r="7" spans="1:5">
      <c r="B7" s="148"/>
      <c r="C7" s="148" t="s">
        <v>7944</v>
      </c>
      <c r="D7" s="148" t="s">
        <v>1137</v>
      </c>
      <c r="E7" s="530">
        <v>2372608</v>
      </c>
    </row>
    <row r="8" spans="1:5">
      <c r="B8" s="148"/>
      <c r="C8" s="148" t="s">
        <v>7940</v>
      </c>
      <c r="D8" s="148" t="s">
        <v>1137</v>
      </c>
      <c r="E8" s="530">
        <v>1123193</v>
      </c>
    </row>
    <row r="9" spans="1:5">
      <c r="B9" s="148"/>
      <c r="C9" s="148" t="s">
        <v>8047</v>
      </c>
      <c r="D9" s="148" t="s">
        <v>1</v>
      </c>
      <c r="E9" s="530">
        <v>1070925</v>
      </c>
    </row>
    <row r="10" spans="1:5">
      <c r="B10" s="148"/>
      <c r="C10" s="148" t="s">
        <v>10199</v>
      </c>
      <c r="D10" s="148" t="s">
        <v>1</v>
      </c>
      <c r="E10" s="530">
        <v>916136</v>
      </c>
    </row>
    <row r="11" spans="1:5">
      <c r="B11" s="148"/>
      <c r="C11" s="148" t="s">
        <v>8061</v>
      </c>
      <c r="D11" s="148" t="s">
        <v>1147</v>
      </c>
      <c r="E11" s="530">
        <v>821589</v>
      </c>
    </row>
    <row r="12" spans="1:5">
      <c r="B12" s="148"/>
      <c r="C12" s="148" t="s">
        <v>1066</v>
      </c>
      <c r="D12" s="148" t="s">
        <v>1553</v>
      </c>
      <c r="E12" s="530">
        <v>563611</v>
      </c>
    </row>
    <row r="13" spans="1:5">
      <c r="B13" s="148"/>
      <c r="C13" s="148" t="s">
        <v>1066</v>
      </c>
      <c r="D13" s="148" t="s">
        <v>8186</v>
      </c>
      <c r="E13" s="530">
        <v>135193</v>
      </c>
    </row>
    <row r="14" spans="1:5">
      <c r="B14" s="148"/>
      <c r="C14" s="148" t="s">
        <v>8096</v>
      </c>
      <c r="D14" s="148" t="s">
        <v>1553</v>
      </c>
      <c r="E14" s="530">
        <v>628269</v>
      </c>
    </row>
    <row r="15" spans="1:5">
      <c r="B15" s="148"/>
      <c r="C15" s="148" t="s">
        <v>8095</v>
      </c>
      <c r="D15" s="148" t="s">
        <v>1147</v>
      </c>
      <c r="E15" s="530">
        <v>616640</v>
      </c>
    </row>
    <row r="16" spans="1:5">
      <c r="B16" s="148"/>
      <c r="C16" s="148" t="s">
        <v>8099</v>
      </c>
      <c r="D16" s="148" t="s">
        <v>1552</v>
      </c>
      <c r="E16" s="530">
        <v>480737</v>
      </c>
    </row>
    <row r="17" spans="2:5">
      <c r="B17" s="148"/>
      <c r="C17" s="148" t="s">
        <v>8099</v>
      </c>
      <c r="D17" s="148" t="s">
        <v>8245</v>
      </c>
      <c r="E17" s="530">
        <v>123945</v>
      </c>
    </row>
    <row r="18" spans="2:5">
      <c r="B18" s="148"/>
      <c r="C18" s="148" t="s">
        <v>8100</v>
      </c>
      <c r="D18" s="148" t="s">
        <v>1553</v>
      </c>
      <c r="E18" s="530">
        <v>324592</v>
      </c>
    </row>
    <row r="19" spans="2:5">
      <c r="B19" s="148"/>
      <c r="C19" s="148" t="s">
        <v>8114</v>
      </c>
      <c r="D19" s="148" t="s">
        <v>1229</v>
      </c>
      <c r="E19" s="530">
        <v>270285</v>
      </c>
    </row>
    <row r="20" spans="2:5">
      <c r="B20" s="148"/>
      <c r="C20" s="148" t="s">
        <v>7950</v>
      </c>
      <c r="D20" s="148" t="s">
        <v>1</v>
      </c>
      <c r="E20" s="530">
        <v>263535</v>
      </c>
    </row>
    <row r="21" spans="2:5">
      <c r="B21" s="148"/>
      <c r="C21" s="148" t="s">
        <v>8101</v>
      </c>
      <c r="D21" s="148" t="s">
        <v>1232</v>
      </c>
      <c r="E21" s="530">
        <v>133964</v>
      </c>
    </row>
    <row r="22" spans="2:5">
      <c r="B22" s="148"/>
      <c r="C22" s="148" t="s">
        <v>8105</v>
      </c>
      <c r="D22" s="148" t="s">
        <v>1227</v>
      </c>
      <c r="E22" s="530">
        <v>76753</v>
      </c>
    </row>
    <row r="23" spans="2:5">
      <c r="B23" s="148"/>
      <c r="C23" s="148" t="s">
        <v>1069</v>
      </c>
      <c r="D23" s="148" t="s">
        <v>1553</v>
      </c>
      <c r="E23" s="530">
        <v>53998</v>
      </c>
    </row>
    <row r="24" spans="2:5">
      <c r="B24" s="148"/>
      <c r="C24" s="148" t="s">
        <v>8108</v>
      </c>
      <c r="D24" s="148" t="s">
        <v>1224</v>
      </c>
      <c r="E24" s="530">
        <v>26146</v>
      </c>
    </row>
    <row r="25" spans="2:5">
      <c r="B25" s="148"/>
      <c r="C25" s="148" t="s">
        <v>8111</v>
      </c>
      <c r="D25" s="148" t="s">
        <v>1224</v>
      </c>
      <c r="E25" s="530">
        <v>8883</v>
      </c>
    </row>
    <row r="26" spans="2:5">
      <c r="B26" s="148"/>
      <c r="C26" s="148" t="s">
        <v>1067</v>
      </c>
      <c r="D26" s="148" t="s">
        <v>1553</v>
      </c>
      <c r="E26" s="530">
        <v>6982</v>
      </c>
    </row>
    <row r="27" spans="2:5">
      <c r="B27" s="734" t="s">
        <v>8143</v>
      </c>
      <c r="C27" s="734"/>
      <c r="D27" s="734"/>
      <c r="E27" s="735">
        <v>17397065</v>
      </c>
    </row>
    <row r="28" spans="2:5">
      <c r="B28" s="148" t="s">
        <v>692</v>
      </c>
      <c r="C28" s="148" t="s">
        <v>8061</v>
      </c>
      <c r="D28" s="148" t="s">
        <v>1147</v>
      </c>
      <c r="E28" s="530">
        <v>485459</v>
      </c>
    </row>
    <row r="29" spans="2:5">
      <c r="B29" s="148"/>
      <c r="C29" s="148" t="s">
        <v>8052</v>
      </c>
      <c r="D29" s="148" t="s">
        <v>1</v>
      </c>
      <c r="E29" s="530">
        <v>401071</v>
      </c>
    </row>
    <row r="30" spans="2:5">
      <c r="B30" s="148"/>
      <c r="C30" s="148" t="s">
        <v>8109</v>
      </c>
      <c r="D30" s="148" t="s">
        <v>1229</v>
      </c>
      <c r="E30" s="530">
        <v>266056</v>
      </c>
    </row>
    <row r="31" spans="2:5">
      <c r="B31" s="148"/>
      <c r="C31" s="148" t="s">
        <v>8096</v>
      </c>
      <c r="D31" s="148" t="s">
        <v>8205</v>
      </c>
      <c r="E31" s="530">
        <v>260512</v>
      </c>
    </row>
    <row r="32" spans="2:5">
      <c r="B32" s="148"/>
      <c r="C32" s="148" t="s">
        <v>7950</v>
      </c>
      <c r="D32" s="148" t="s">
        <v>1</v>
      </c>
      <c r="E32" s="530">
        <v>243685</v>
      </c>
    </row>
    <row r="33" spans="2:5">
      <c r="B33" s="148"/>
      <c r="C33" s="148" t="s">
        <v>7949</v>
      </c>
      <c r="D33" s="148" t="s">
        <v>1</v>
      </c>
      <c r="E33" s="530">
        <v>240333</v>
      </c>
    </row>
    <row r="34" spans="2:5">
      <c r="B34" s="148"/>
      <c r="C34" s="148" t="s">
        <v>8099</v>
      </c>
      <c r="D34" s="148" t="s">
        <v>1593</v>
      </c>
      <c r="E34" s="530">
        <v>155116</v>
      </c>
    </row>
    <row r="35" spans="2:5">
      <c r="B35" s="148"/>
      <c r="C35" s="148" t="s">
        <v>8095</v>
      </c>
      <c r="D35" s="148" t="s">
        <v>1147</v>
      </c>
      <c r="E35" s="530">
        <v>55808</v>
      </c>
    </row>
    <row r="36" spans="2:5">
      <c r="B36" s="148"/>
      <c r="C36" s="148" t="s">
        <v>1069</v>
      </c>
      <c r="D36" s="148" t="s">
        <v>8205</v>
      </c>
      <c r="E36" s="530">
        <v>7548</v>
      </c>
    </row>
    <row r="37" spans="2:5">
      <c r="B37" s="148"/>
      <c r="C37" s="148" t="s">
        <v>8108</v>
      </c>
      <c r="D37" s="148" t="s">
        <v>1224</v>
      </c>
      <c r="E37" s="530">
        <v>3750</v>
      </c>
    </row>
    <row r="38" spans="2:5">
      <c r="B38" s="148"/>
      <c r="C38" s="148" t="s">
        <v>8105</v>
      </c>
      <c r="D38" s="148" t="s">
        <v>1227</v>
      </c>
      <c r="E38" s="530">
        <v>3351</v>
      </c>
    </row>
    <row r="39" spans="2:5">
      <c r="B39" s="148"/>
      <c r="C39" s="148" t="s">
        <v>8111</v>
      </c>
      <c r="D39" s="148" t="s">
        <v>1224</v>
      </c>
      <c r="E39" s="530">
        <v>2625</v>
      </c>
    </row>
    <row r="40" spans="2:5">
      <c r="B40" s="148"/>
      <c r="C40" s="148" t="s">
        <v>10200</v>
      </c>
      <c r="D40" s="148" t="s">
        <v>1</v>
      </c>
      <c r="E40" s="530">
        <v>1747</v>
      </c>
    </row>
    <row r="41" spans="2:5">
      <c r="B41" s="148"/>
      <c r="C41" s="148" t="s">
        <v>10199</v>
      </c>
      <c r="D41" s="148" t="s">
        <v>1</v>
      </c>
      <c r="E41" s="530">
        <v>1747</v>
      </c>
    </row>
    <row r="42" spans="2:5">
      <c r="B42" s="148"/>
      <c r="C42" s="148" t="s">
        <v>10197</v>
      </c>
      <c r="D42" s="148" t="s">
        <v>8205</v>
      </c>
      <c r="E42" s="530">
        <v>152</v>
      </c>
    </row>
    <row r="43" spans="2:5">
      <c r="B43" s="734" t="s">
        <v>8144</v>
      </c>
      <c r="C43" s="734"/>
      <c r="D43" s="734"/>
      <c r="E43" s="735">
        <v>2128960</v>
      </c>
    </row>
    <row r="44" spans="2:5">
      <c r="B44" s="148" t="s">
        <v>709</v>
      </c>
      <c r="C44" s="148" t="s">
        <v>8052</v>
      </c>
      <c r="D44" s="148" t="s">
        <v>1</v>
      </c>
      <c r="E44" s="530">
        <v>190657</v>
      </c>
    </row>
    <row r="45" spans="2:5">
      <c r="B45" s="148"/>
      <c r="C45" s="148" t="s">
        <v>8109</v>
      </c>
      <c r="D45" s="148" t="s">
        <v>1229</v>
      </c>
      <c r="E45" s="530">
        <v>165764</v>
      </c>
    </row>
    <row r="46" spans="2:5">
      <c r="B46" s="148"/>
      <c r="C46" s="148" t="s">
        <v>8095</v>
      </c>
      <c r="D46" s="148" t="s">
        <v>1147</v>
      </c>
      <c r="E46" s="530">
        <v>148565</v>
      </c>
    </row>
    <row r="47" spans="2:5">
      <c r="B47" s="148"/>
      <c r="C47" s="148" t="s">
        <v>10198</v>
      </c>
      <c r="D47" s="148" t="s">
        <v>1224</v>
      </c>
      <c r="E47" s="530">
        <v>111299</v>
      </c>
    </row>
    <row r="48" spans="2:5">
      <c r="B48" s="148"/>
      <c r="C48" s="148" t="s">
        <v>8047</v>
      </c>
      <c r="D48" s="148" t="s">
        <v>1</v>
      </c>
      <c r="E48" s="530">
        <v>28600</v>
      </c>
    </row>
    <row r="49" spans="2:5">
      <c r="B49" s="148"/>
      <c r="C49" s="148" t="s">
        <v>7950</v>
      </c>
      <c r="D49" s="148" t="s">
        <v>1</v>
      </c>
      <c r="E49" s="530">
        <v>21475</v>
      </c>
    </row>
    <row r="50" spans="2:5">
      <c r="B50" s="148"/>
      <c r="C50" s="148" t="s">
        <v>8108</v>
      </c>
      <c r="D50" s="148" t="s">
        <v>1224</v>
      </c>
      <c r="E50" s="530">
        <v>20700</v>
      </c>
    </row>
    <row r="51" spans="2:5">
      <c r="B51" s="148"/>
      <c r="C51" s="148" t="s">
        <v>8099</v>
      </c>
      <c r="D51" s="148" t="s">
        <v>1601</v>
      </c>
      <c r="E51" s="530">
        <v>7892</v>
      </c>
    </row>
    <row r="52" spans="2:5">
      <c r="B52" s="148"/>
      <c r="C52" s="148" t="s">
        <v>8099</v>
      </c>
      <c r="D52" s="148" t="s">
        <v>1604</v>
      </c>
      <c r="E52" s="530">
        <v>908</v>
      </c>
    </row>
    <row r="53" spans="2:5">
      <c r="B53" s="148"/>
      <c r="C53" s="148" t="s">
        <v>8099</v>
      </c>
      <c r="D53" s="148" t="s">
        <v>8279</v>
      </c>
      <c r="E53" s="530">
        <v>9992</v>
      </c>
    </row>
    <row r="54" spans="2:5">
      <c r="B54" s="148"/>
      <c r="C54" s="148" t="s">
        <v>1066</v>
      </c>
      <c r="D54" s="148" t="s">
        <v>1581</v>
      </c>
      <c r="E54" s="530">
        <v>14618</v>
      </c>
    </row>
    <row r="55" spans="2:5">
      <c r="B55" s="148"/>
      <c r="C55" s="148" t="s">
        <v>8096</v>
      </c>
      <c r="D55" s="148" t="s">
        <v>1581</v>
      </c>
      <c r="E55" s="530">
        <v>13633</v>
      </c>
    </row>
    <row r="56" spans="2:5">
      <c r="B56" s="148"/>
      <c r="C56" s="148" t="s">
        <v>8104</v>
      </c>
      <c r="D56" s="148" t="s">
        <v>2834</v>
      </c>
      <c r="E56" s="530">
        <v>9028</v>
      </c>
    </row>
    <row r="57" spans="2:5">
      <c r="B57" s="148"/>
      <c r="C57" s="148" t="s">
        <v>8114</v>
      </c>
      <c r="D57" s="148" t="s">
        <v>1229</v>
      </c>
      <c r="E57" s="530">
        <v>8500</v>
      </c>
    </row>
    <row r="58" spans="2:5">
      <c r="B58" s="148"/>
      <c r="C58" s="148" t="s">
        <v>7948</v>
      </c>
      <c r="D58" s="148" t="s">
        <v>1137</v>
      </c>
      <c r="E58" s="530">
        <v>5780</v>
      </c>
    </row>
    <row r="59" spans="2:5">
      <c r="B59" s="148"/>
      <c r="C59" s="148" t="s">
        <v>8111</v>
      </c>
      <c r="D59" s="148" t="s">
        <v>1224</v>
      </c>
      <c r="E59" s="530">
        <v>2875</v>
      </c>
    </row>
    <row r="60" spans="2:5">
      <c r="B60" s="148"/>
      <c r="C60" s="148" t="s">
        <v>8101</v>
      </c>
      <c r="D60" s="148" t="s">
        <v>1232</v>
      </c>
      <c r="E60" s="530">
        <v>2588</v>
      </c>
    </row>
    <row r="61" spans="2:5">
      <c r="B61" s="734" t="s">
        <v>8145</v>
      </c>
      <c r="C61" s="734"/>
      <c r="D61" s="734"/>
      <c r="E61" s="735">
        <v>762874</v>
      </c>
    </row>
    <row r="62" spans="2:5">
      <c r="B62" s="148" t="s">
        <v>714</v>
      </c>
      <c r="C62" s="148" t="s">
        <v>8109</v>
      </c>
      <c r="D62" s="148" t="s">
        <v>1229</v>
      </c>
      <c r="E62" s="530">
        <v>336919</v>
      </c>
    </row>
    <row r="63" spans="2:5">
      <c r="B63" s="148"/>
      <c r="C63" s="148" t="s">
        <v>7950</v>
      </c>
      <c r="D63" s="148" t="s">
        <v>1</v>
      </c>
      <c r="E63" s="530">
        <v>186573</v>
      </c>
    </row>
    <row r="64" spans="2:5">
      <c r="B64" s="148"/>
      <c r="C64" s="148" t="s">
        <v>8052</v>
      </c>
      <c r="D64" s="148" t="s">
        <v>1</v>
      </c>
      <c r="E64" s="530">
        <v>97500</v>
      </c>
    </row>
    <row r="65" spans="2:5">
      <c r="B65" s="148"/>
      <c r="C65" s="148" t="s">
        <v>8047</v>
      </c>
      <c r="D65" s="148" t="s">
        <v>1</v>
      </c>
      <c r="E65" s="530">
        <v>35607</v>
      </c>
    </row>
    <row r="66" spans="2:5">
      <c r="B66" s="148"/>
      <c r="C66" s="148" t="s">
        <v>8114</v>
      </c>
      <c r="D66" s="148" t="s">
        <v>1229</v>
      </c>
      <c r="E66" s="530">
        <v>19300</v>
      </c>
    </row>
    <row r="67" spans="2:5">
      <c r="B67" s="148"/>
      <c r="C67" s="148" t="s">
        <v>8048</v>
      </c>
      <c r="D67" s="148" t="s">
        <v>1</v>
      </c>
      <c r="E67" s="530">
        <v>5371</v>
      </c>
    </row>
    <row r="68" spans="2:5">
      <c r="B68" s="148"/>
      <c r="C68" s="148" t="s">
        <v>1069</v>
      </c>
      <c r="D68" s="148" t="s">
        <v>1553</v>
      </c>
      <c r="E68" s="530">
        <v>139</v>
      </c>
    </row>
    <row r="69" spans="2:5">
      <c r="B69" s="734" t="s">
        <v>8146</v>
      </c>
      <c r="C69" s="734"/>
      <c r="D69" s="734"/>
      <c r="E69" s="735">
        <v>681409</v>
      </c>
    </row>
    <row r="70" spans="2:5">
      <c r="B70" s="148" t="s">
        <v>1858</v>
      </c>
      <c r="C70" s="148" t="s">
        <v>10200</v>
      </c>
      <c r="D70" s="148" t="s">
        <v>1</v>
      </c>
      <c r="E70" s="530">
        <v>103677</v>
      </c>
    </row>
    <row r="71" spans="2:5">
      <c r="B71" s="148"/>
      <c r="C71" s="148" t="s">
        <v>10199</v>
      </c>
      <c r="D71" s="148" t="s">
        <v>1</v>
      </c>
      <c r="E71" s="530">
        <v>103677</v>
      </c>
    </row>
    <row r="72" spans="2:5">
      <c r="B72" s="148"/>
      <c r="C72" s="148" t="s">
        <v>8047</v>
      </c>
      <c r="D72" s="148" t="s">
        <v>1</v>
      </c>
      <c r="E72" s="530">
        <v>43764</v>
      </c>
    </row>
    <row r="73" spans="2:5">
      <c r="B73" s="148"/>
      <c r="C73" s="148" t="s">
        <v>1062</v>
      </c>
      <c r="D73" s="148" t="s">
        <v>1</v>
      </c>
      <c r="E73" s="530">
        <v>36000</v>
      </c>
    </row>
    <row r="74" spans="2:5">
      <c r="B74" s="148"/>
      <c r="C74" s="148" t="s">
        <v>7935</v>
      </c>
      <c r="D74" s="148" t="s">
        <v>1137</v>
      </c>
      <c r="E74" s="530">
        <v>14596</v>
      </c>
    </row>
    <row r="75" spans="2:5">
      <c r="B75" s="148"/>
      <c r="C75" s="148" t="s">
        <v>1071</v>
      </c>
      <c r="D75" s="148" t="s">
        <v>1</v>
      </c>
      <c r="E75" s="530">
        <v>10050</v>
      </c>
    </row>
    <row r="76" spans="2:5">
      <c r="B76" s="148"/>
      <c r="C76" s="148" t="s">
        <v>7938</v>
      </c>
      <c r="D76" s="148" t="s">
        <v>1137</v>
      </c>
      <c r="E76" s="530">
        <v>8143</v>
      </c>
    </row>
    <row r="77" spans="2:5">
      <c r="B77" s="148"/>
      <c r="C77" s="148" t="s">
        <v>8060</v>
      </c>
      <c r="D77" s="148" t="s">
        <v>1</v>
      </c>
      <c r="E77" s="530">
        <v>6700</v>
      </c>
    </row>
    <row r="78" spans="2:5">
      <c r="B78" s="734" t="s">
        <v>8147</v>
      </c>
      <c r="C78" s="734"/>
      <c r="D78" s="734"/>
      <c r="E78" s="735">
        <v>326607</v>
      </c>
    </row>
    <row r="79" spans="2:5">
      <c r="B79" s="148" t="s">
        <v>8032</v>
      </c>
      <c r="C79" s="148" t="s">
        <v>8109</v>
      </c>
      <c r="D79" s="148" t="s">
        <v>1229</v>
      </c>
      <c r="E79" s="530">
        <v>81262</v>
      </c>
    </row>
    <row r="80" spans="2:5">
      <c r="B80" s="148"/>
      <c r="C80" s="148" t="s">
        <v>7950</v>
      </c>
      <c r="D80" s="148" t="s">
        <v>1</v>
      </c>
      <c r="E80" s="530">
        <v>79740</v>
      </c>
    </row>
    <row r="81" spans="2:5">
      <c r="B81" s="148"/>
      <c r="C81" s="148" t="s">
        <v>8047</v>
      </c>
      <c r="D81" s="148" t="s">
        <v>1</v>
      </c>
      <c r="E81" s="530">
        <v>61788</v>
      </c>
    </row>
    <row r="82" spans="2:5">
      <c r="B82" s="148"/>
      <c r="C82" s="148" t="s">
        <v>8052</v>
      </c>
      <c r="D82" s="148" t="s">
        <v>1</v>
      </c>
      <c r="E82" s="530">
        <v>52500</v>
      </c>
    </row>
    <row r="83" spans="2:5">
      <c r="B83" s="148"/>
      <c r="C83" s="148" t="s">
        <v>1066</v>
      </c>
      <c r="D83" s="148" t="s">
        <v>1553</v>
      </c>
      <c r="E83" s="530">
        <v>21148</v>
      </c>
    </row>
    <row r="84" spans="2:5">
      <c r="B84" s="148"/>
      <c r="C84" s="148" t="s">
        <v>8095</v>
      </c>
      <c r="D84" s="148" t="s">
        <v>1147</v>
      </c>
      <c r="E84" s="530">
        <v>2745</v>
      </c>
    </row>
    <row r="85" spans="2:5">
      <c r="B85" s="148"/>
      <c r="C85" s="148" t="s">
        <v>1069</v>
      </c>
      <c r="D85" s="148" t="s">
        <v>1553</v>
      </c>
      <c r="E85" s="530">
        <v>1247</v>
      </c>
    </row>
    <row r="86" spans="2:5">
      <c r="B86" s="734" t="s">
        <v>8148</v>
      </c>
      <c r="C86" s="734"/>
      <c r="D86" s="734"/>
      <c r="E86" s="735">
        <v>300430</v>
      </c>
    </row>
    <row r="87" spans="2:5">
      <c r="B87" s="148" t="s">
        <v>7946</v>
      </c>
      <c r="C87" s="148" t="s">
        <v>8109</v>
      </c>
      <c r="D87" s="148" t="s">
        <v>1229</v>
      </c>
      <c r="E87" s="530">
        <v>39474</v>
      </c>
    </row>
    <row r="88" spans="2:5">
      <c r="B88" s="148"/>
      <c r="C88" s="148" t="s">
        <v>7944</v>
      </c>
      <c r="D88" s="148" t="s">
        <v>1137</v>
      </c>
      <c r="E88" s="530">
        <v>26174</v>
      </c>
    </row>
    <row r="89" spans="2:5">
      <c r="B89" s="148"/>
      <c r="C89" s="148" t="s">
        <v>8052</v>
      </c>
      <c r="D89" s="148" t="s">
        <v>1</v>
      </c>
      <c r="E89" s="530">
        <v>20742</v>
      </c>
    </row>
    <row r="90" spans="2:5">
      <c r="B90" s="148"/>
      <c r="C90" s="148" t="s">
        <v>8114</v>
      </c>
      <c r="D90" s="148" t="s">
        <v>1229</v>
      </c>
      <c r="E90" s="530">
        <v>7000</v>
      </c>
    </row>
    <row r="91" spans="2:5">
      <c r="B91" s="148"/>
      <c r="C91" s="148" t="s">
        <v>7950</v>
      </c>
      <c r="D91" s="148" t="s">
        <v>1</v>
      </c>
      <c r="E91" s="530">
        <v>6667</v>
      </c>
    </row>
    <row r="92" spans="2:5">
      <c r="B92" s="148"/>
      <c r="C92" s="148" t="s">
        <v>8105</v>
      </c>
      <c r="D92" s="148" t="s">
        <v>1227</v>
      </c>
      <c r="E92" s="530">
        <v>200</v>
      </c>
    </row>
    <row r="93" spans="2:5">
      <c r="B93" s="734" t="s">
        <v>8149</v>
      </c>
      <c r="C93" s="734"/>
      <c r="D93" s="734"/>
      <c r="E93" s="735">
        <v>100257</v>
      </c>
    </row>
    <row r="94" spans="2:5">
      <c r="B94" s="148" t="s">
        <v>7937</v>
      </c>
      <c r="C94" s="148" t="s">
        <v>7948</v>
      </c>
      <c r="D94" s="148" t="s">
        <v>1137</v>
      </c>
      <c r="E94" s="530">
        <v>30925</v>
      </c>
    </row>
    <row r="95" spans="2:5">
      <c r="B95" s="148"/>
      <c r="C95" s="148" t="s">
        <v>8109</v>
      </c>
      <c r="D95" s="148" t="s">
        <v>1229</v>
      </c>
      <c r="E95" s="530">
        <v>11118</v>
      </c>
    </row>
    <row r="96" spans="2:5">
      <c r="B96" s="148"/>
      <c r="C96" s="148" t="s">
        <v>7950</v>
      </c>
      <c r="D96" s="148" t="s">
        <v>1</v>
      </c>
      <c r="E96" s="530">
        <v>11118</v>
      </c>
    </row>
    <row r="97" spans="2:6">
      <c r="B97" s="148"/>
      <c r="C97" s="148" t="s">
        <v>8095</v>
      </c>
      <c r="D97" s="148" t="s">
        <v>1147</v>
      </c>
      <c r="E97" s="530">
        <v>8468</v>
      </c>
    </row>
    <row r="98" spans="2:6">
      <c r="B98" s="148"/>
      <c r="C98" s="148" t="s">
        <v>7944</v>
      </c>
      <c r="D98" s="148" t="s">
        <v>1137</v>
      </c>
      <c r="E98" s="530">
        <v>8244</v>
      </c>
    </row>
    <row r="99" spans="2:6">
      <c r="B99" s="148"/>
      <c r="C99" s="148" t="s">
        <v>8114</v>
      </c>
      <c r="D99" s="148" t="s">
        <v>1229</v>
      </c>
      <c r="E99" s="530">
        <v>5500</v>
      </c>
    </row>
    <row r="100" spans="2:6">
      <c r="B100" s="148"/>
      <c r="C100" s="148" t="s">
        <v>8108</v>
      </c>
      <c r="D100" s="148" t="s">
        <v>1224</v>
      </c>
      <c r="E100" s="530">
        <v>4776</v>
      </c>
    </row>
    <row r="101" spans="2:6">
      <c r="B101" s="148"/>
      <c r="C101" s="148" t="s">
        <v>8111</v>
      </c>
      <c r="D101" s="148" t="s">
        <v>1224</v>
      </c>
      <c r="E101" s="530">
        <v>4625</v>
      </c>
    </row>
    <row r="102" spans="2:6">
      <c r="B102" s="148"/>
      <c r="C102" s="148" t="s">
        <v>8047</v>
      </c>
      <c r="D102" s="148" t="s">
        <v>1</v>
      </c>
      <c r="E102" s="530">
        <v>4290</v>
      </c>
    </row>
    <row r="103" spans="2:6">
      <c r="B103" s="148"/>
      <c r="C103" s="148" t="s">
        <v>7935</v>
      </c>
      <c r="D103" s="148" t="s">
        <v>1137</v>
      </c>
      <c r="E103" s="530">
        <v>4150</v>
      </c>
    </row>
    <row r="104" spans="2:6">
      <c r="B104" s="148"/>
      <c r="C104" s="148" t="s">
        <v>7938</v>
      </c>
      <c r="D104" s="148" t="s">
        <v>1137</v>
      </c>
      <c r="E104" s="530">
        <v>1258</v>
      </c>
    </row>
    <row r="105" spans="2:6">
      <c r="B105" s="148"/>
      <c r="C105" s="148" t="s">
        <v>8105</v>
      </c>
      <c r="D105" s="148" t="s">
        <v>1227</v>
      </c>
      <c r="E105" s="530">
        <v>100</v>
      </c>
    </row>
    <row r="106" spans="2:6">
      <c r="B106" s="734" t="s">
        <v>8150</v>
      </c>
      <c r="C106" s="734"/>
      <c r="D106" s="734"/>
      <c r="E106" s="735">
        <v>94572</v>
      </c>
    </row>
    <row r="107" spans="2:6">
      <c r="B107" s="148" t="s">
        <v>769</v>
      </c>
      <c r="C107" s="148" t="s">
        <v>1151</v>
      </c>
      <c r="D107" s="148" t="s">
        <v>1</v>
      </c>
      <c r="E107" s="530">
        <v>43185</v>
      </c>
      <c r="F107" s="546"/>
    </row>
    <row r="108" spans="2:6">
      <c r="B108" s="148"/>
      <c r="C108" s="148" t="s">
        <v>10200</v>
      </c>
      <c r="D108" s="148" t="s">
        <v>1</v>
      </c>
      <c r="E108" s="530">
        <v>2561</v>
      </c>
      <c r="F108" s="529"/>
    </row>
    <row r="109" spans="2:6">
      <c r="B109" s="148"/>
      <c r="C109" s="148" t="s">
        <v>10199</v>
      </c>
      <c r="D109" s="148" t="s">
        <v>1</v>
      </c>
      <c r="E109" s="530">
        <v>2561</v>
      </c>
    </row>
    <row r="110" spans="2:6">
      <c r="B110" s="734" t="s">
        <v>8151</v>
      </c>
      <c r="C110" s="734"/>
      <c r="D110" s="734"/>
      <c r="E110" s="735">
        <v>48307</v>
      </c>
    </row>
    <row r="111" spans="2:6">
      <c r="B111" s="191" t="s">
        <v>8062</v>
      </c>
      <c r="C111" s="191"/>
      <c r="D111" s="191"/>
      <c r="E111" s="543">
        <v>21840481</v>
      </c>
    </row>
  </sheetData>
  <autoFilter ref="B4:E111" xr:uid="{8BDDAAFC-0877-4FF0-A656-34B696F22229}"/>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A0241-5090-4956-B27B-7603DF5F4F20}">
  <sheetPr>
    <tabColor rgb="FF92D050"/>
  </sheetPr>
  <dimension ref="A2:E682"/>
  <sheetViews>
    <sheetView topLeftCell="A655" zoomScale="70" zoomScaleNormal="70" workbookViewId="0">
      <selection activeCell="E511" sqref="E511:E579"/>
    </sheetView>
  </sheetViews>
  <sheetFormatPr baseColWidth="10" defaultColWidth="11.4140625" defaultRowHeight="14"/>
  <cols>
    <col min="2" max="2" width="58.4140625" bestFit="1" customWidth="1"/>
    <col min="3" max="3" width="59.4140625" bestFit="1" customWidth="1"/>
    <col min="4" max="4" width="31.4140625" bestFit="1" customWidth="1"/>
    <col min="5" max="5" width="17.83203125" style="731" bestFit="1" customWidth="1"/>
    <col min="6" max="6" width="13" bestFit="1" customWidth="1"/>
    <col min="7" max="7" width="18.25" bestFit="1" customWidth="1"/>
  </cols>
  <sheetData>
    <row r="2" spans="1:5" ht="15.5">
      <c r="A2" s="7" t="s">
        <v>7919</v>
      </c>
    </row>
    <row r="4" spans="1:5">
      <c r="B4" s="829" t="s">
        <v>881</v>
      </c>
      <c r="C4" s="829" t="s">
        <v>7927</v>
      </c>
      <c r="D4" s="829" t="s">
        <v>7928</v>
      </c>
      <c r="E4" s="833" t="s">
        <v>516</v>
      </c>
    </row>
    <row r="5" spans="1:5">
      <c r="B5" s="830" t="s">
        <v>558</v>
      </c>
      <c r="C5" s="178" t="s">
        <v>1061</v>
      </c>
      <c r="D5" t="s">
        <v>8238</v>
      </c>
      <c r="E5" s="731">
        <v>6443016</v>
      </c>
    </row>
    <row r="6" spans="1:5">
      <c r="B6" s="830"/>
      <c r="C6" s="178" t="s">
        <v>8099</v>
      </c>
      <c r="D6" t="s">
        <v>1566</v>
      </c>
      <c r="E6" s="731">
        <v>10784518</v>
      </c>
    </row>
    <row r="7" spans="1:5">
      <c r="B7" s="830"/>
      <c r="C7" s="178" t="s">
        <v>8096</v>
      </c>
      <c r="D7" t="s">
        <v>1554</v>
      </c>
      <c r="E7" s="731">
        <v>24182620</v>
      </c>
    </row>
    <row r="8" spans="1:5">
      <c r="B8" s="830"/>
      <c r="C8" s="178" t="s">
        <v>8102</v>
      </c>
      <c r="D8" t="s">
        <v>1554</v>
      </c>
      <c r="E8" s="731">
        <v>53377301</v>
      </c>
    </row>
    <row r="9" spans="1:5">
      <c r="B9" s="830"/>
      <c r="C9" s="178" t="s">
        <v>8100</v>
      </c>
      <c r="D9" t="s">
        <v>1553</v>
      </c>
      <c r="E9" s="731">
        <v>11211966</v>
      </c>
    </row>
    <row r="10" spans="1:5">
      <c r="B10" s="830"/>
      <c r="C10" s="178" t="s">
        <v>8100</v>
      </c>
      <c r="D10" t="s">
        <v>1554</v>
      </c>
      <c r="E10" s="731">
        <v>24059525</v>
      </c>
    </row>
    <row r="11" spans="1:5">
      <c r="B11" s="831" t="s">
        <v>8152</v>
      </c>
      <c r="C11" s="831"/>
      <c r="D11" s="831"/>
      <c r="E11" s="834">
        <v>130058946</v>
      </c>
    </row>
    <row r="12" spans="1:5">
      <c r="B12" s="830" t="s">
        <v>534</v>
      </c>
      <c r="C12" s="178" t="s">
        <v>10197</v>
      </c>
      <c r="D12" t="s">
        <v>1554</v>
      </c>
      <c r="E12" s="731">
        <v>164419</v>
      </c>
    </row>
    <row r="13" spans="1:5">
      <c r="B13" s="830"/>
      <c r="C13" s="178" t="s">
        <v>1061</v>
      </c>
      <c r="D13" t="s">
        <v>8240</v>
      </c>
      <c r="E13" s="731">
        <v>13006499</v>
      </c>
    </row>
    <row r="14" spans="1:5">
      <c r="B14" s="830"/>
      <c r="C14" s="178" t="s">
        <v>1066</v>
      </c>
      <c r="D14" t="s">
        <v>1554</v>
      </c>
      <c r="E14" s="731">
        <v>164419</v>
      </c>
    </row>
    <row r="15" spans="1:5">
      <c r="B15" s="830"/>
      <c r="C15" s="178" t="s">
        <v>1069</v>
      </c>
      <c r="D15" t="s">
        <v>1553</v>
      </c>
      <c r="E15" s="731">
        <v>4170</v>
      </c>
    </row>
    <row r="16" spans="1:5">
      <c r="B16" s="830"/>
      <c r="C16" s="178" t="s">
        <v>8099</v>
      </c>
      <c r="D16" t="s">
        <v>1555</v>
      </c>
      <c r="E16" s="731">
        <v>24637048</v>
      </c>
    </row>
    <row r="17" spans="2:5">
      <c r="B17" s="830"/>
      <c r="C17" s="178" t="s">
        <v>8096</v>
      </c>
      <c r="D17" t="s">
        <v>1554</v>
      </c>
      <c r="E17" s="731">
        <v>42976173</v>
      </c>
    </row>
    <row r="18" spans="2:5">
      <c r="B18" s="830"/>
      <c r="C18" s="178" t="s">
        <v>8102</v>
      </c>
      <c r="D18" t="s">
        <v>1554</v>
      </c>
      <c r="E18" s="731">
        <v>7420000</v>
      </c>
    </row>
    <row r="19" spans="2:5">
      <c r="B19" s="830"/>
      <c r="C19" s="178" t="s">
        <v>8100</v>
      </c>
      <c r="D19" t="s">
        <v>1553</v>
      </c>
      <c r="E19" s="731">
        <v>6500269</v>
      </c>
    </row>
    <row r="20" spans="2:5">
      <c r="B20" s="830"/>
      <c r="C20" s="178" t="s">
        <v>8100</v>
      </c>
      <c r="D20" t="s">
        <v>1554</v>
      </c>
      <c r="E20" s="731">
        <v>13023185</v>
      </c>
    </row>
    <row r="21" spans="2:5">
      <c r="B21" s="831" t="s">
        <v>8154</v>
      </c>
      <c r="C21" s="831"/>
      <c r="D21" s="831"/>
      <c r="E21" s="834">
        <v>107896182</v>
      </c>
    </row>
    <row r="22" spans="2:5">
      <c r="B22" s="830" t="s">
        <v>69</v>
      </c>
      <c r="C22" s="178" t="s">
        <v>10197</v>
      </c>
      <c r="D22" t="s">
        <v>1554</v>
      </c>
      <c r="E22" s="731">
        <v>30281</v>
      </c>
    </row>
    <row r="23" spans="2:5">
      <c r="B23" s="830"/>
      <c r="C23" s="178" t="s">
        <v>1061</v>
      </c>
      <c r="D23" t="s">
        <v>8239</v>
      </c>
      <c r="E23" s="731">
        <v>20000000</v>
      </c>
    </row>
    <row r="24" spans="2:5">
      <c r="B24" s="830"/>
      <c r="C24" s="178" t="s">
        <v>1066</v>
      </c>
      <c r="D24" t="s">
        <v>1554</v>
      </c>
      <c r="E24" s="731">
        <v>40950</v>
      </c>
    </row>
    <row r="25" spans="2:5">
      <c r="B25" s="830"/>
      <c r="C25" s="178" t="s">
        <v>8099</v>
      </c>
      <c r="D25" t="s">
        <v>1563</v>
      </c>
      <c r="E25" s="731">
        <v>19540453</v>
      </c>
    </row>
    <row r="26" spans="2:5">
      <c r="B26" s="830"/>
      <c r="C26" s="178" t="s">
        <v>8096</v>
      </c>
      <c r="D26" t="s">
        <v>1554</v>
      </c>
      <c r="E26" s="731">
        <v>32353573</v>
      </c>
    </row>
    <row r="27" spans="2:5">
      <c r="B27" s="830"/>
      <c r="C27" s="178" t="s">
        <v>8102</v>
      </c>
      <c r="D27" t="s">
        <v>1554</v>
      </c>
      <c r="E27" s="731">
        <v>4200000</v>
      </c>
    </row>
    <row r="28" spans="2:5">
      <c r="B28" s="830"/>
      <c r="C28" s="178" t="s">
        <v>8100</v>
      </c>
      <c r="D28" t="s">
        <v>1553</v>
      </c>
      <c r="E28" s="731">
        <v>3915000</v>
      </c>
    </row>
    <row r="29" spans="2:5">
      <c r="B29" s="830"/>
      <c r="C29" s="178" t="s">
        <v>8100</v>
      </c>
      <c r="D29" t="s">
        <v>1554</v>
      </c>
      <c r="E29" s="731">
        <v>9135000</v>
      </c>
    </row>
    <row r="30" spans="2:5">
      <c r="B30" s="831" t="s">
        <v>8153</v>
      </c>
      <c r="C30" s="831"/>
      <c r="D30" s="831"/>
      <c r="E30" s="834">
        <v>89215257</v>
      </c>
    </row>
    <row r="31" spans="2:5">
      <c r="B31" s="830" t="s">
        <v>544</v>
      </c>
      <c r="C31" s="178" t="s">
        <v>1061</v>
      </c>
      <c r="D31" t="s">
        <v>8241</v>
      </c>
      <c r="E31" s="731">
        <v>7131349</v>
      </c>
    </row>
    <row r="32" spans="2:5">
      <c r="B32" s="830"/>
      <c r="C32" s="178" t="s">
        <v>1066</v>
      </c>
      <c r="D32" t="s">
        <v>1554</v>
      </c>
      <c r="E32" s="731">
        <v>8126</v>
      </c>
    </row>
    <row r="33" spans="2:5">
      <c r="B33" s="830"/>
      <c r="C33" s="178" t="s">
        <v>1069</v>
      </c>
      <c r="D33" t="s">
        <v>1553</v>
      </c>
      <c r="E33" s="731">
        <v>1397</v>
      </c>
    </row>
    <row r="34" spans="2:5">
      <c r="B34" s="830"/>
      <c r="C34" s="178" t="s">
        <v>8099</v>
      </c>
      <c r="D34" t="s">
        <v>1598</v>
      </c>
      <c r="E34" s="731">
        <v>12947641</v>
      </c>
    </row>
    <row r="35" spans="2:5">
      <c r="B35" s="830"/>
      <c r="C35" s="178" t="s">
        <v>8096</v>
      </c>
      <c r="D35" t="s">
        <v>1554</v>
      </c>
      <c r="E35" s="731">
        <v>19967932</v>
      </c>
    </row>
    <row r="36" spans="2:5">
      <c r="B36" s="830"/>
      <c r="C36" s="178" t="s">
        <v>8102</v>
      </c>
      <c r="D36" t="s">
        <v>1554</v>
      </c>
      <c r="E36" s="731">
        <v>5709400</v>
      </c>
    </row>
    <row r="37" spans="2:5">
      <c r="B37" s="830"/>
      <c r="C37" s="178" t="s">
        <v>8100</v>
      </c>
      <c r="D37" t="s">
        <v>1553</v>
      </c>
      <c r="E37" s="731">
        <v>2484000</v>
      </c>
    </row>
    <row r="38" spans="2:5">
      <c r="B38" s="830"/>
      <c r="C38" s="178" t="s">
        <v>8100</v>
      </c>
      <c r="D38" t="s">
        <v>1554</v>
      </c>
      <c r="E38" s="731">
        <v>4896905</v>
      </c>
    </row>
    <row r="39" spans="2:5">
      <c r="B39" s="831" t="s">
        <v>8155</v>
      </c>
      <c r="C39" s="831"/>
      <c r="D39" s="831"/>
      <c r="E39" s="834">
        <v>53146750</v>
      </c>
    </row>
    <row r="40" spans="2:5">
      <c r="B40" s="830" t="s">
        <v>539</v>
      </c>
      <c r="C40" s="178" t="s">
        <v>1061</v>
      </c>
      <c r="D40" t="s">
        <v>1616</v>
      </c>
      <c r="E40" s="731">
        <v>10404892</v>
      </c>
    </row>
    <row r="41" spans="2:5">
      <c r="B41" s="830"/>
      <c r="C41" s="178" t="s">
        <v>8099</v>
      </c>
      <c r="D41" t="s">
        <v>1563</v>
      </c>
      <c r="E41" s="731">
        <v>7037887</v>
      </c>
    </row>
    <row r="42" spans="2:5">
      <c r="B42" s="830"/>
      <c r="C42" s="178" t="s">
        <v>8096</v>
      </c>
      <c r="D42" t="s">
        <v>1554</v>
      </c>
      <c r="E42" s="731">
        <v>13657031</v>
      </c>
    </row>
    <row r="43" spans="2:5">
      <c r="B43" s="830"/>
      <c r="C43" s="178" t="s">
        <v>8102</v>
      </c>
      <c r="D43" t="s">
        <v>1554</v>
      </c>
      <c r="E43" s="731">
        <v>3731106</v>
      </c>
    </row>
    <row r="44" spans="2:5">
      <c r="B44" s="830"/>
      <c r="C44" s="178" t="s">
        <v>8100</v>
      </c>
      <c r="D44" t="s">
        <v>1553</v>
      </c>
      <c r="E44" s="731">
        <v>2244331</v>
      </c>
    </row>
    <row r="45" spans="2:5">
      <c r="B45" s="830"/>
      <c r="C45" s="178" t="s">
        <v>8100</v>
      </c>
      <c r="D45" t="s">
        <v>1554</v>
      </c>
      <c r="E45" s="731">
        <v>5078826</v>
      </c>
    </row>
    <row r="46" spans="2:5">
      <c r="B46" s="831" t="s">
        <v>8156</v>
      </c>
      <c r="C46" s="831"/>
      <c r="D46" s="831"/>
      <c r="E46" s="834">
        <v>42154073</v>
      </c>
    </row>
    <row r="47" spans="2:5">
      <c r="B47" s="830" t="s">
        <v>553</v>
      </c>
      <c r="C47" s="178" t="s">
        <v>1061</v>
      </c>
      <c r="D47" t="s">
        <v>2865</v>
      </c>
      <c r="E47" s="731">
        <v>7664141</v>
      </c>
    </row>
    <row r="48" spans="2:5">
      <c r="B48" s="830"/>
      <c r="C48" s="178" t="s">
        <v>1066</v>
      </c>
      <c r="D48" t="s">
        <v>1554</v>
      </c>
      <c r="E48" s="731">
        <v>1313</v>
      </c>
    </row>
    <row r="49" spans="2:5">
      <c r="B49" s="830"/>
      <c r="C49" s="178" t="s">
        <v>8099</v>
      </c>
      <c r="D49" t="s">
        <v>1598</v>
      </c>
      <c r="E49" s="731">
        <v>6437611</v>
      </c>
    </row>
    <row r="50" spans="2:5">
      <c r="B50" s="830"/>
      <c r="C50" s="178" t="s">
        <v>8096</v>
      </c>
      <c r="D50" t="s">
        <v>1554</v>
      </c>
      <c r="E50" s="731">
        <v>10697307</v>
      </c>
    </row>
    <row r="51" spans="2:5">
      <c r="B51" s="830"/>
      <c r="C51" s="178" t="s">
        <v>8102</v>
      </c>
      <c r="D51" t="s">
        <v>1554</v>
      </c>
      <c r="E51" s="731">
        <v>2196688</v>
      </c>
    </row>
    <row r="52" spans="2:5">
      <c r="B52" s="830"/>
      <c r="C52" s="178" t="s">
        <v>8100</v>
      </c>
      <c r="D52" t="s">
        <v>1553</v>
      </c>
      <c r="E52" s="731">
        <v>1455100</v>
      </c>
    </row>
    <row r="53" spans="2:5">
      <c r="B53" s="830"/>
      <c r="C53" s="178" t="s">
        <v>8100</v>
      </c>
      <c r="D53" t="s">
        <v>1554</v>
      </c>
      <c r="E53" s="731">
        <v>3059307</v>
      </c>
    </row>
    <row r="54" spans="2:5">
      <c r="B54" s="831" t="s">
        <v>8157</v>
      </c>
      <c r="C54" s="831"/>
      <c r="D54" s="831"/>
      <c r="E54" s="834">
        <v>31511467</v>
      </c>
    </row>
    <row r="55" spans="2:5">
      <c r="B55" s="830" t="s">
        <v>968</v>
      </c>
      <c r="C55" s="178" t="s">
        <v>8099</v>
      </c>
      <c r="D55" t="s">
        <v>1555</v>
      </c>
      <c r="E55" s="731">
        <v>14539896</v>
      </c>
    </row>
    <row r="56" spans="2:5">
      <c r="B56" s="830"/>
      <c r="C56" s="178" t="s">
        <v>8102</v>
      </c>
      <c r="D56" t="s">
        <v>1554</v>
      </c>
      <c r="E56" s="731">
        <v>6530276</v>
      </c>
    </row>
    <row r="57" spans="2:5">
      <c r="B57" s="830"/>
      <c r="C57" s="178" t="s">
        <v>8100</v>
      </c>
      <c r="D57" t="s">
        <v>1553</v>
      </c>
      <c r="E57" s="731">
        <v>2664358</v>
      </c>
    </row>
    <row r="58" spans="2:5">
      <c r="B58" s="830"/>
      <c r="C58" s="178" t="s">
        <v>8100</v>
      </c>
      <c r="D58" t="s">
        <v>1554</v>
      </c>
      <c r="E58" s="731">
        <v>7504299</v>
      </c>
    </row>
    <row r="59" spans="2:5">
      <c r="B59" s="831" t="s">
        <v>8158</v>
      </c>
      <c r="C59" s="831"/>
      <c r="D59" s="831"/>
      <c r="E59" s="834">
        <v>31238829</v>
      </c>
    </row>
    <row r="60" spans="2:5">
      <c r="B60" s="830" t="s">
        <v>957</v>
      </c>
      <c r="C60" s="178" t="s">
        <v>1061</v>
      </c>
      <c r="D60" t="s">
        <v>8242</v>
      </c>
      <c r="E60" s="731">
        <v>2261092</v>
      </c>
    </row>
    <row r="61" spans="2:5">
      <c r="B61" s="830"/>
      <c r="C61" s="178" t="s">
        <v>1066</v>
      </c>
      <c r="D61" t="s">
        <v>1554</v>
      </c>
      <c r="E61" s="731">
        <v>19251</v>
      </c>
    </row>
    <row r="62" spans="2:5">
      <c r="B62" s="830"/>
      <c r="C62" s="178" t="s">
        <v>8099</v>
      </c>
      <c r="D62" t="s">
        <v>1598</v>
      </c>
      <c r="E62" s="731">
        <v>6768077</v>
      </c>
    </row>
    <row r="63" spans="2:5">
      <c r="B63" s="830"/>
      <c r="C63" s="178" t="s">
        <v>8096</v>
      </c>
      <c r="D63" t="s">
        <v>1554</v>
      </c>
      <c r="E63" s="731">
        <v>7801681</v>
      </c>
    </row>
    <row r="64" spans="2:5">
      <c r="B64" s="830"/>
      <c r="C64" s="178" t="s">
        <v>8102</v>
      </c>
      <c r="D64" t="s">
        <v>1554</v>
      </c>
      <c r="E64" s="731">
        <v>2400000</v>
      </c>
    </row>
    <row r="65" spans="2:5">
      <c r="B65" s="830"/>
      <c r="C65" s="178" t="s">
        <v>8100</v>
      </c>
      <c r="D65" t="s">
        <v>1553</v>
      </c>
      <c r="E65" s="731">
        <v>787500</v>
      </c>
    </row>
    <row r="66" spans="2:5">
      <c r="B66" s="830"/>
      <c r="C66" s="178" t="s">
        <v>8100</v>
      </c>
      <c r="D66" t="s">
        <v>1554</v>
      </c>
      <c r="E66" s="731">
        <v>1995000</v>
      </c>
    </row>
    <row r="67" spans="2:5">
      <c r="B67" s="831" t="s">
        <v>8161</v>
      </c>
      <c r="C67" s="831"/>
      <c r="D67" s="831"/>
      <c r="E67" s="834">
        <v>22032601</v>
      </c>
    </row>
    <row r="68" spans="2:5">
      <c r="B68" s="830" t="s">
        <v>190</v>
      </c>
      <c r="C68" s="178" t="s">
        <v>1061</v>
      </c>
      <c r="D68" t="s">
        <v>8243</v>
      </c>
      <c r="E68" s="731">
        <v>1000000</v>
      </c>
    </row>
    <row r="69" spans="2:5">
      <c r="B69" s="830"/>
      <c r="C69" s="178" t="s">
        <v>1066</v>
      </c>
      <c r="D69" t="s">
        <v>1554</v>
      </c>
      <c r="E69" s="731">
        <v>714</v>
      </c>
    </row>
    <row r="70" spans="2:5">
      <c r="B70" s="830"/>
      <c r="C70" s="178" t="s">
        <v>8099</v>
      </c>
      <c r="D70" t="s">
        <v>1598</v>
      </c>
      <c r="E70" s="731">
        <v>4342279</v>
      </c>
    </row>
    <row r="71" spans="2:5">
      <c r="B71" s="830"/>
      <c r="C71" s="178" t="s">
        <v>8096</v>
      </c>
      <c r="D71" t="s">
        <v>1554</v>
      </c>
      <c r="E71" s="731">
        <v>9697907</v>
      </c>
    </row>
    <row r="72" spans="2:5">
      <c r="B72" s="830"/>
      <c r="C72" s="178" t="s">
        <v>8102</v>
      </c>
      <c r="D72" t="s">
        <v>1554</v>
      </c>
      <c r="E72" s="731">
        <v>1113368</v>
      </c>
    </row>
    <row r="73" spans="2:5">
      <c r="B73" s="830"/>
      <c r="C73" s="178" t="s">
        <v>8100</v>
      </c>
      <c r="D73" t="s">
        <v>1553</v>
      </c>
      <c r="E73" s="731">
        <v>1055865</v>
      </c>
    </row>
    <row r="74" spans="2:5">
      <c r="B74" s="830"/>
      <c r="C74" s="178" t="s">
        <v>8100</v>
      </c>
      <c r="D74" t="s">
        <v>1554</v>
      </c>
      <c r="E74" s="731">
        <v>2344443</v>
      </c>
    </row>
    <row r="75" spans="2:5">
      <c r="B75" s="831" t="s">
        <v>8159</v>
      </c>
      <c r="C75" s="831"/>
      <c r="D75" s="831"/>
      <c r="E75" s="834">
        <v>19554576</v>
      </c>
    </row>
    <row r="76" spans="2:5">
      <c r="B76" s="830" t="s">
        <v>960</v>
      </c>
      <c r="C76" s="178" t="s">
        <v>1061</v>
      </c>
      <c r="D76" t="s">
        <v>8244</v>
      </c>
      <c r="E76" s="731">
        <v>500000</v>
      </c>
    </row>
    <row r="77" spans="2:5">
      <c r="B77" s="830"/>
      <c r="C77" s="178" t="s">
        <v>8099</v>
      </c>
      <c r="D77" t="s">
        <v>1555</v>
      </c>
      <c r="E77" s="731">
        <v>4459414</v>
      </c>
    </row>
    <row r="78" spans="2:5">
      <c r="B78" s="830"/>
      <c r="C78" s="178" t="s">
        <v>8096</v>
      </c>
      <c r="D78" t="s">
        <v>1554</v>
      </c>
      <c r="E78" s="731">
        <v>7089549</v>
      </c>
    </row>
    <row r="79" spans="2:5">
      <c r="B79" s="830"/>
      <c r="C79" s="178" t="s">
        <v>8102</v>
      </c>
      <c r="D79" t="s">
        <v>1554</v>
      </c>
      <c r="E79" s="731">
        <v>1603995</v>
      </c>
    </row>
    <row r="80" spans="2:5">
      <c r="B80" s="830"/>
      <c r="C80" s="178" t="s">
        <v>8100</v>
      </c>
      <c r="D80" t="s">
        <v>1553</v>
      </c>
      <c r="E80" s="731">
        <v>801258</v>
      </c>
    </row>
    <row r="81" spans="2:5">
      <c r="B81" s="830"/>
      <c r="C81" s="178" t="s">
        <v>8100</v>
      </c>
      <c r="D81" t="s">
        <v>1554</v>
      </c>
      <c r="E81" s="731">
        <v>2304534</v>
      </c>
    </row>
    <row r="82" spans="2:5">
      <c r="B82" s="831" t="s">
        <v>8162</v>
      </c>
      <c r="C82" s="831"/>
      <c r="D82" s="831"/>
      <c r="E82" s="834">
        <v>16758750</v>
      </c>
    </row>
    <row r="83" spans="2:5">
      <c r="B83" s="830" t="s">
        <v>2980</v>
      </c>
      <c r="C83" s="178" t="s">
        <v>10197</v>
      </c>
      <c r="D83" t="s">
        <v>1583</v>
      </c>
      <c r="E83" s="731">
        <v>201677</v>
      </c>
    </row>
    <row r="84" spans="2:5">
      <c r="B84" s="830"/>
      <c r="C84" s="178" t="s">
        <v>1066</v>
      </c>
      <c r="D84" t="s">
        <v>1583</v>
      </c>
      <c r="E84" s="731">
        <v>189107</v>
      </c>
    </row>
    <row r="85" spans="2:5">
      <c r="B85" s="830"/>
      <c r="C85" s="178" t="s">
        <v>1069</v>
      </c>
      <c r="D85" t="s">
        <v>1583</v>
      </c>
      <c r="E85" s="731">
        <v>14224</v>
      </c>
    </row>
    <row r="86" spans="2:5">
      <c r="B86" s="830"/>
      <c r="C86" s="178" t="s">
        <v>8099</v>
      </c>
      <c r="D86" t="s">
        <v>1591</v>
      </c>
      <c r="E86" s="731">
        <v>263624</v>
      </c>
    </row>
    <row r="87" spans="2:5">
      <c r="B87" s="830"/>
      <c r="C87" s="178" t="s">
        <v>8099</v>
      </c>
      <c r="D87" t="s">
        <v>8247</v>
      </c>
      <c r="E87" s="731">
        <v>516541</v>
      </c>
    </row>
    <row r="88" spans="2:5">
      <c r="B88" s="830"/>
      <c r="C88" s="178" t="s">
        <v>8099</v>
      </c>
      <c r="D88" t="s">
        <v>8248</v>
      </c>
      <c r="E88" s="731">
        <v>357156</v>
      </c>
    </row>
    <row r="89" spans="2:5">
      <c r="B89" s="830"/>
      <c r="C89" s="178" t="s">
        <v>8099</v>
      </c>
      <c r="D89" t="s">
        <v>8249</v>
      </c>
      <c r="E89" s="731">
        <v>451971</v>
      </c>
    </row>
    <row r="90" spans="2:5">
      <c r="B90" s="830"/>
      <c r="C90" s="178" t="s">
        <v>8099</v>
      </c>
      <c r="D90" t="s">
        <v>10243</v>
      </c>
      <c r="E90" s="731">
        <v>645672</v>
      </c>
    </row>
    <row r="91" spans="2:5">
      <c r="B91" s="830"/>
      <c r="C91" s="178" t="s">
        <v>8096</v>
      </c>
      <c r="D91" t="s">
        <v>1583</v>
      </c>
      <c r="E91" s="731">
        <v>13360860</v>
      </c>
    </row>
    <row r="92" spans="2:5">
      <c r="B92" s="831" t="s">
        <v>8160</v>
      </c>
      <c r="C92" s="831"/>
      <c r="D92" s="831"/>
      <c r="E92" s="834">
        <v>16000832</v>
      </c>
    </row>
    <row r="93" spans="2:5">
      <c r="B93" s="830" t="s">
        <v>599</v>
      </c>
      <c r="C93" s="178" t="s">
        <v>10197</v>
      </c>
      <c r="D93" t="s">
        <v>1554</v>
      </c>
      <c r="E93" s="731">
        <v>280</v>
      </c>
    </row>
    <row r="94" spans="2:5">
      <c r="B94" s="830"/>
      <c r="C94" s="178" t="s">
        <v>8123</v>
      </c>
      <c r="D94" t="s">
        <v>1553</v>
      </c>
      <c r="E94" s="731">
        <v>4000</v>
      </c>
    </row>
    <row r="95" spans="2:5">
      <c r="B95" s="830"/>
      <c r="C95" s="178" t="s">
        <v>1061</v>
      </c>
      <c r="D95" t="s">
        <v>8250</v>
      </c>
      <c r="E95" s="731">
        <v>4556513</v>
      </c>
    </row>
    <row r="96" spans="2:5">
      <c r="B96" s="830"/>
      <c r="C96" s="178" t="s">
        <v>8121</v>
      </c>
      <c r="D96" t="s">
        <v>1553</v>
      </c>
      <c r="E96" s="731">
        <v>10776</v>
      </c>
    </row>
    <row r="97" spans="2:5">
      <c r="B97" s="830"/>
      <c r="C97" s="178" t="s">
        <v>1066</v>
      </c>
      <c r="D97" t="s">
        <v>1553</v>
      </c>
      <c r="E97" s="731">
        <v>2977</v>
      </c>
    </row>
    <row r="98" spans="2:5">
      <c r="B98" s="830"/>
      <c r="C98" s="178" t="s">
        <v>1066</v>
      </c>
      <c r="D98" t="s">
        <v>1554</v>
      </c>
      <c r="E98" s="731">
        <v>3182</v>
      </c>
    </row>
    <row r="99" spans="2:5">
      <c r="B99" s="830"/>
      <c r="C99" s="178" t="s">
        <v>1069</v>
      </c>
      <c r="D99" t="s">
        <v>1553</v>
      </c>
      <c r="E99" s="731">
        <v>40617</v>
      </c>
    </row>
    <row r="100" spans="2:5">
      <c r="B100" s="830"/>
      <c r="C100" s="178" t="s">
        <v>8099</v>
      </c>
      <c r="D100" t="s">
        <v>855</v>
      </c>
      <c r="E100" s="731">
        <v>3190458</v>
      </c>
    </row>
    <row r="101" spans="2:5">
      <c r="B101" s="830"/>
      <c r="C101" s="178" t="s">
        <v>8099</v>
      </c>
      <c r="D101" t="s">
        <v>8251</v>
      </c>
      <c r="E101" s="731">
        <v>544345</v>
      </c>
    </row>
    <row r="102" spans="2:5">
      <c r="B102" s="830"/>
      <c r="C102" s="178" t="s">
        <v>8096</v>
      </c>
      <c r="D102" t="s">
        <v>1553</v>
      </c>
      <c r="E102" s="731">
        <v>3597370</v>
      </c>
    </row>
    <row r="103" spans="2:5">
      <c r="B103" s="830"/>
      <c r="C103" s="178" t="s">
        <v>8119</v>
      </c>
      <c r="D103" t="s">
        <v>1553</v>
      </c>
      <c r="E103" s="731">
        <v>39440</v>
      </c>
    </row>
    <row r="104" spans="2:5">
      <c r="B104" s="830"/>
      <c r="C104" s="178" t="s">
        <v>1067</v>
      </c>
      <c r="D104" t="s">
        <v>1553</v>
      </c>
      <c r="E104" s="731">
        <v>44527</v>
      </c>
    </row>
    <row r="105" spans="2:5">
      <c r="B105" s="830"/>
      <c r="C105" s="178" t="s">
        <v>8102</v>
      </c>
      <c r="D105" t="s">
        <v>1553</v>
      </c>
      <c r="E105" s="731">
        <v>640000</v>
      </c>
    </row>
    <row r="106" spans="2:5">
      <c r="B106" s="830"/>
      <c r="C106" s="178" t="s">
        <v>8100</v>
      </c>
      <c r="D106" t="s">
        <v>1553</v>
      </c>
      <c r="E106" s="731">
        <v>2390001</v>
      </c>
    </row>
    <row r="107" spans="2:5">
      <c r="B107" s="831" t="s">
        <v>8165</v>
      </c>
      <c r="C107" s="831"/>
      <c r="D107" s="831"/>
      <c r="E107" s="834">
        <v>15064486</v>
      </c>
    </row>
    <row r="108" spans="2:5">
      <c r="B108" s="830" t="s">
        <v>7936</v>
      </c>
      <c r="C108" s="178" t="s">
        <v>1061</v>
      </c>
      <c r="D108" t="s">
        <v>8252</v>
      </c>
      <c r="E108" s="731">
        <v>2253719</v>
      </c>
    </row>
    <row r="109" spans="2:5">
      <c r="B109" s="830"/>
      <c r="C109" s="178" t="s">
        <v>8121</v>
      </c>
      <c r="D109" t="s">
        <v>1553</v>
      </c>
      <c r="E109" s="731">
        <v>3777</v>
      </c>
    </row>
    <row r="110" spans="2:5">
      <c r="B110" s="830"/>
      <c r="C110" s="178" t="s">
        <v>1066</v>
      </c>
      <c r="D110" t="s">
        <v>1553</v>
      </c>
      <c r="E110" s="731">
        <v>13476</v>
      </c>
    </row>
    <row r="111" spans="2:5">
      <c r="B111" s="830"/>
      <c r="C111" s="178" t="s">
        <v>1069</v>
      </c>
      <c r="D111" t="s">
        <v>1553</v>
      </c>
      <c r="E111" s="731">
        <v>8788</v>
      </c>
    </row>
    <row r="112" spans="2:5">
      <c r="B112" s="830"/>
      <c r="C112" s="178" t="s">
        <v>8099</v>
      </c>
      <c r="D112" t="s">
        <v>1560</v>
      </c>
      <c r="E112" s="731">
        <v>991993</v>
      </c>
    </row>
    <row r="113" spans="2:5">
      <c r="B113" s="830"/>
      <c r="C113" s="178" t="s">
        <v>8096</v>
      </c>
      <c r="D113" t="s">
        <v>1553</v>
      </c>
      <c r="E113" s="731">
        <v>1559819</v>
      </c>
    </row>
    <row r="114" spans="2:5">
      <c r="B114" s="830"/>
      <c r="C114" s="178" t="s">
        <v>1067</v>
      </c>
      <c r="D114" t="s">
        <v>1553</v>
      </c>
      <c r="E114" s="731">
        <v>91950</v>
      </c>
    </row>
    <row r="115" spans="2:5">
      <c r="B115" s="830"/>
      <c r="C115" s="178" t="s">
        <v>8102</v>
      </c>
      <c r="D115" t="s">
        <v>1553</v>
      </c>
      <c r="E115" s="731">
        <v>6459100</v>
      </c>
    </row>
    <row r="116" spans="2:5">
      <c r="B116" s="830"/>
      <c r="C116" s="178" t="s">
        <v>8100</v>
      </c>
      <c r="D116" t="s">
        <v>1553</v>
      </c>
      <c r="E116" s="731">
        <v>3382250</v>
      </c>
    </row>
    <row r="117" spans="2:5">
      <c r="B117" s="831" t="s">
        <v>8163</v>
      </c>
      <c r="C117" s="831"/>
      <c r="D117" s="831"/>
      <c r="E117" s="834">
        <v>14764872</v>
      </c>
    </row>
    <row r="118" spans="2:5">
      <c r="B118" s="830" t="s">
        <v>578</v>
      </c>
      <c r="C118" s="178" t="s">
        <v>1061</v>
      </c>
      <c r="D118" t="s">
        <v>8246</v>
      </c>
      <c r="E118" s="731">
        <v>2904223</v>
      </c>
    </row>
    <row r="119" spans="2:5">
      <c r="B119" s="830"/>
      <c r="C119" s="178" t="s">
        <v>8099</v>
      </c>
      <c r="D119" t="s">
        <v>8245</v>
      </c>
      <c r="E119" s="731">
        <v>2106059</v>
      </c>
    </row>
    <row r="120" spans="2:5">
      <c r="B120" s="830"/>
      <c r="C120" s="178" t="s">
        <v>8096</v>
      </c>
      <c r="D120" t="s">
        <v>1553</v>
      </c>
      <c r="E120" s="731">
        <v>4862306</v>
      </c>
    </row>
    <row r="121" spans="2:5">
      <c r="B121" s="830"/>
      <c r="C121" s="178" t="s">
        <v>1067</v>
      </c>
      <c r="D121" t="s">
        <v>1553</v>
      </c>
      <c r="E121" s="731">
        <v>66900</v>
      </c>
    </row>
    <row r="122" spans="2:5">
      <c r="B122" s="830"/>
      <c r="C122" s="178" t="s">
        <v>8102</v>
      </c>
      <c r="D122" t="s">
        <v>1553</v>
      </c>
      <c r="E122" s="731">
        <v>1320484</v>
      </c>
    </row>
    <row r="123" spans="2:5">
      <c r="B123" s="830"/>
      <c r="C123" s="178" t="s">
        <v>8100</v>
      </c>
      <c r="D123" t="s">
        <v>1553</v>
      </c>
      <c r="E123" s="731">
        <v>2620391</v>
      </c>
    </row>
    <row r="124" spans="2:5">
      <c r="B124" s="831" t="s">
        <v>8164</v>
      </c>
      <c r="C124" s="831"/>
      <c r="D124" s="831"/>
      <c r="E124" s="834">
        <v>13880363</v>
      </c>
    </row>
    <row r="125" spans="2:5">
      <c r="B125" s="830" t="s">
        <v>973</v>
      </c>
      <c r="C125" s="178" t="s">
        <v>10197</v>
      </c>
      <c r="D125" t="s">
        <v>1554</v>
      </c>
      <c r="E125" s="731">
        <v>5623</v>
      </c>
    </row>
    <row r="126" spans="2:5">
      <c r="B126" s="830"/>
      <c r="C126" s="178" t="s">
        <v>1061</v>
      </c>
      <c r="D126" t="s">
        <v>8253</v>
      </c>
      <c r="E126" s="731">
        <v>500000</v>
      </c>
    </row>
    <row r="127" spans="2:5">
      <c r="B127" s="830"/>
      <c r="C127" s="178" t="s">
        <v>8099</v>
      </c>
      <c r="D127" t="s">
        <v>1598</v>
      </c>
      <c r="E127" s="731">
        <v>2840472</v>
      </c>
    </row>
    <row r="128" spans="2:5">
      <c r="B128" s="830"/>
      <c r="C128" s="178" t="s">
        <v>8096</v>
      </c>
      <c r="D128" t="s">
        <v>1554</v>
      </c>
      <c r="E128" s="731">
        <v>2486585</v>
      </c>
    </row>
    <row r="129" spans="2:5">
      <c r="B129" s="830"/>
      <c r="C129" s="178" t="s">
        <v>8102</v>
      </c>
      <c r="D129" t="s">
        <v>1554</v>
      </c>
      <c r="E129" s="731">
        <v>1059846</v>
      </c>
    </row>
    <row r="130" spans="2:5">
      <c r="B130" s="830"/>
      <c r="C130" s="178" t="s">
        <v>8100</v>
      </c>
      <c r="D130" t="s">
        <v>1553</v>
      </c>
      <c r="E130" s="731">
        <v>815664</v>
      </c>
    </row>
    <row r="131" spans="2:5">
      <c r="B131" s="830"/>
      <c r="C131" s="178" t="s">
        <v>8100</v>
      </c>
      <c r="D131" t="s">
        <v>1554</v>
      </c>
      <c r="E131" s="731">
        <v>1767825</v>
      </c>
    </row>
    <row r="132" spans="2:5">
      <c r="B132" s="831" t="s">
        <v>8168</v>
      </c>
      <c r="C132" s="831"/>
      <c r="D132" s="831"/>
      <c r="E132" s="834">
        <v>9476015</v>
      </c>
    </row>
    <row r="133" spans="2:5">
      <c r="B133" s="830" t="s">
        <v>5411</v>
      </c>
      <c r="C133" s="178" t="s">
        <v>1061</v>
      </c>
      <c r="D133" t="s">
        <v>8254</v>
      </c>
      <c r="E133" s="731">
        <v>1958333</v>
      </c>
    </row>
    <row r="134" spans="2:5">
      <c r="B134" s="830"/>
      <c r="C134" s="178" t="s">
        <v>8121</v>
      </c>
      <c r="D134" t="s">
        <v>1553</v>
      </c>
      <c r="E134" s="731">
        <v>4800</v>
      </c>
    </row>
    <row r="135" spans="2:5">
      <c r="B135" s="830"/>
      <c r="C135" s="178" t="s">
        <v>1069</v>
      </c>
      <c r="D135" t="s">
        <v>1553</v>
      </c>
      <c r="E135" s="731">
        <v>373</v>
      </c>
    </row>
    <row r="136" spans="2:5">
      <c r="B136" s="830"/>
      <c r="C136" s="178" t="s">
        <v>8099</v>
      </c>
      <c r="D136" t="s">
        <v>1559</v>
      </c>
      <c r="E136" s="731">
        <v>1622155</v>
      </c>
    </row>
    <row r="137" spans="2:5">
      <c r="B137" s="830"/>
      <c r="C137" s="178" t="s">
        <v>8096</v>
      </c>
      <c r="D137" t="s">
        <v>1553</v>
      </c>
      <c r="E137" s="731">
        <v>3530427</v>
      </c>
    </row>
    <row r="138" spans="2:5">
      <c r="B138" s="830"/>
      <c r="C138" s="178" t="s">
        <v>1067</v>
      </c>
      <c r="D138" t="s">
        <v>1553</v>
      </c>
      <c r="E138" s="731">
        <v>58350</v>
      </c>
    </row>
    <row r="139" spans="2:5">
      <c r="B139" s="830"/>
      <c r="C139" s="178" t="s">
        <v>8102</v>
      </c>
      <c r="D139" t="s">
        <v>1553</v>
      </c>
      <c r="E139" s="731">
        <v>3491</v>
      </c>
    </row>
    <row r="140" spans="2:5">
      <c r="B140" s="830"/>
      <c r="C140" s="178" t="s">
        <v>8100</v>
      </c>
      <c r="D140" t="s">
        <v>1553</v>
      </c>
      <c r="E140" s="731">
        <v>2289477</v>
      </c>
    </row>
    <row r="141" spans="2:5">
      <c r="B141" s="831" t="s">
        <v>8169</v>
      </c>
      <c r="C141" s="831"/>
      <c r="D141" s="831"/>
      <c r="E141" s="834">
        <v>9467406</v>
      </c>
    </row>
    <row r="142" spans="2:5">
      <c r="B142" s="830" t="s">
        <v>176</v>
      </c>
      <c r="C142" s="178" t="s">
        <v>10197</v>
      </c>
      <c r="D142" t="s">
        <v>1554</v>
      </c>
      <c r="E142" s="731">
        <v>755</v>
      </c>
    </row>
    <row r="143" spans="2:5">
      <c r="B143" s="830"/>
      <c r="C143" s="178" t="s">
        <v>1061</v>
      </c>
      <c r="D143" t="s">
        <v>8256</v>
      </c>
      <c r="E143" s="731">
        <v>100000</v>
      </c>
    </row>
    <row r="144" spans="2:5">
      <c r="B144" s="830"/>
      <c r="C144" s="178" t="s">
        <v>1066</v>
      </c>
      <c r="D144" t="s">
        <v>1554</v>
      </c>
      <c r="E144" s="731">
        <v>438</v>
      </c>
    </row>
    <row r="145" spans="2:5">
      <c r="B145" s="830"/>
      <c r="C145" s="178" t="s">
        <v>8099</v>
      </c>
      <c r="D145" t="s">
        <v>8255</v>
      </c>
      <c r="E145" s="731">
        <v>1919981</v>
      </c>
    </row>
    <row r="146" spans="2:5">
      <c r="B146" s="830"/>
      <c r="C146" s="178" t="s">
        <v>8099</v>
      </c>
      <c r="D146" t="s">
        <v>1598</v>
      </c>
      <c r="E146" s="731">
        <v>226784</v>
      </c>
    </row>
    <row r="147" spans="2:5">
      <c r="B147" s="830"/>
      <c r="C147" s="178" t="s">
        <v>8096</v>
      </c>
      <c r="D147" t="s">
        <v>1554</v>
      </c>
      <c r="E147" s="731">
        <v>4386504</v>
      </c>
    </row>
    <row r="148" spans="2:5">
      <c r="B148" s="830"/>
      <c r="C148" s="178" t="s">
        <v>8102</v>
      </c>
      <c r="D148" t="s">
        <v>1554</v>
      </c>
      <c r="E148" s="731">
        <v>767420</v>
      </c>
    </row>
    <row r="149" spans="2:5">
      <c r="B149" s="830"/>
      <c r="C149" s="178" t="s">
        <v>8100</v>
      </c>
      <c r="D149" t="s">
        <v>1553</v>
      </c>
      <c r="E149" s="731">
        <v>592177</v>
      </c>
    </row>
    <row r="150" spans="2:5">
      <c r="B150" s="830"/>
      <c r="C150" s="178" t="s">
        <v>8100</v>
      </c>
      <c r="D150" t="s">
        <v>1554</v>
      </c>
      <c r="E150" s="731">
        <v>1005503</v>
      </c>
    </row>
    <row r="151" spans="2:5">
      <c r="B151" s="831" t="s">
        <v>8166</v>
      </c>
      <c r="C151" s="831"/>
      <c r="D151" s="831"/>
      <c r="E151" s="834">
        <v>8999562</v>
      </c>
    </row>
    <row r="152" spans="2:5">
      <c r="B152" s="830" t="s">
        <v>2773</v>
      </c>
      <c r="C152" s="178" t="s">
        <v>8099</v>
      </c>
      <c r="D152" t="s">
        <v>1598</v>
      </c>
      <c r="E152" s="731">
        <v>1851676</v>
      </c>
    </row>
    <row r="153" spans="2:5">
      <c r="B153" s="830"/>
      <c r="C153" s="178" t="s">
        <v>8096</v>
      </c>
      <c r="D153" t="s">
        <v>1554</v>
      </c>
      <c r="E153" s="731">
        <v>3074823</v>
      </c>
    </row>
    <row r="154" spans="2:5">
      <c r="B154" s="830"/>
      <c r="C154" s="178" t="s">
        <v>8102</v>
      </c>
      <c r="D154" t="s">
        <v>1554</v>
      </c>
      <c r="E154" s="731">
        <v>960282</v>
      </c>
    </row>
    <row r="155" spans="2:5">
      <c r="B155" s="830"/>
      <c r="C155" s="178" t="s">
        <v>8100</v>
      </c>
      <c r="D155" t="s">
        <v>1553</v>
      </c>
      <c r="E155" s="731">
        <v>719539</v>
      </c>
    </row>
    <row r="156" spans="2:5">
      <c r="B156" s="830"/>
      <c r="C156" s="178" t="s">
        <v>8100</v>
      </c>
      <c r="D156" t="s">
        <v>1554</v>
      </c>
      <c r="E156" s="731">
        <v>1970946</v>
      </c>
    </row>
    <row r="157" spans="2:5">
      <c r="B157" s="831" t="s">
        <v>8167</v>
      </c>
      <c r="C157" s="831"/>
      <c r="D157" s="831"/>
      <c r="E157" s="834">
        <v>8577266</v>
      </c>
    </row>
    <row r="158" spans="2:5">
      <c r="B158" s="830" t="s">
        <v>141</v>
      </c>
      <c r="C158" s="178" t="s">
        <v>1066</v>
      </c>
      <c r="D158" t="s">
        <v>1554</v>
      </c>
      <c r="E158" s="731">
        <v>875</v>
      </c>
    </row>
    <row r="159" spans="2:5">
      <c r="B159" s="830"/>
      <c r="C159" s="178" t="s">
        <v>1069</v>
      </c>
      <c r="D159" t="s">
        <v>1553</v>
      </c>
      <c r="E159" s="731">
        <v>417</v>
      </c>
    </row>
    <row r="160" spans="2:5">
      <c r="B160" s="830"/>
      <c r="C160" s="178" t="s">
        <v>8099</v>
      </c>
      <c r="D160" t="s">
        <v>1566</v>
      </c>
      <c r="E160" s="731">
        <v>1614960</v>
      </c>
    </row>
    <row r="161" spans="2:5">
      <c r="B161" s="830"/>
      <c r="C161" s="178" t="s">
        <v>8096</v>
      </c>
      <c r="D161" t="s">
        <v>1554</v>
      </c>
      <c r="E161" s="731">
        <v>3921975</v>
      </c>
    </row>
    <row r="162" spans="2:5">
      <c r="B162" s="830"/>
      <c r="C162" s="178" t="s">
        <v>8102</v>
      </c>
      <c r="D162" t="s">
        <v>1554</v>
      </c>
      <c r="E162" s="731">
        <v>1182375</v>
      </c>
    </row>
    <row r="163" spans="2:5">
      <c r="B163" s="830"/>
      <c r="C163" s="178" t="s">
        <v>8100</v>
      </c>
      <c r="D163" t="s">
        <v>1553</v>
      </c>
      <c r="E163" s="731">
        <v>688353</v>
      </c>
    </row>
    <row r="164" spans="2:5">
      <c r="B164" s="830"/>
      <c r="C164" s="178" t="s">
        <v>8100</v>
      </c>
      <c r="D164" t="s">
        <v>1554</v>
      </c>
      <c r="E164" s="731">
        <v>1027882</v>
      </c>
    </row>
    <row r="165" spans="2:5">
      <c r="B165" s="831" t="s">
        <v>8182</v>
      </c>
      <c r="C165" s="831"/>
      <c r="D165" s="831"/>
      <c r="E165" s="834">
        <v>8436837</v>
      </c>
    </row>
    <row r="166" spans="2:5">
      <c r="B166" s="830" t="s">
        <v>622</v>
      </c>
      <c r="C166" s="178" t="s">
        <v>1061</v>
      </c>
      <c r="D166" t="s">
        <v>8257</v>
      </c>
      <c r="E166" s="731">
        <v>2452321</v>
      </c>
    </row>
    <row r="167" spans="2:5">
      <c r="B167" s="830"/>
      <c r="C167" s="178" t="s">
        <v>1069</v>
      </c>
      <c r="D167" t="s">
        <v>1553</v>
      </c>
      <c r="E167" s="731">
        <v>4298</v>
      </c>
    </row>
    <row r="168" spans="2:5">
      <c r="B168" s="830"/>
      <c r="C168" s="178" t="s">
        <v>8099</v>
      </c>
      <c r="D168" t="s">
        <v>1559</v>
      </c>
      <c r="E168" s="731">
        <v>763280</v>
      </c>
    </row>
    <row r="169" spans="2:5">
      <c r="B169" s="830"/>
      <c r="C169" s="178" t="s">
        <v>8099</v>
      </c>
      <c r="D169" t="s">
        <v>1561</v>
      </c>
      <c r="E169" s="731">
        <v>1461501</v>
      </c>
    </row>
    <row r="170" spans="2:5">
      <c r="B170" s="830"/>
      <c r="C170" s="178" t="s">
        <v>8096</v>
      </c>
      <c r="D170" t="s">
        <v>1553</v>
      </c>
      <c r="E170" s="731">
        <v>1739914</v>
      </c>
    </row>
    <row r="171" spans="2:5">
      <c r="B171" s="830"/>
      <c r="C171" s="178" t="s">
        <v>1067</v>
      </c>
      <c r="D171" t="s">
        <v>1553</v>
      </c>
      <c r="E171" s="731">
        <v>55578</v>
      </c>
    </row>
    <row r="172" spans="2:5">
      <c r="B172" s="830"/>
      <c r="C172" s="178" t="s">
        <v>8100</v>
      </c>
      <c r="D172" t="s">
        <v>1553</v>
      </c>
      <c r="E172" s="731">
        <v>1810896</v>
      </c>
    </row>
    <row r="173" spans="2:5">
      <c r="B173" s="831" t="s">
        <v>8181</v>
      </c>
      <c r="C173" s="831"/>
      <c r="D173" s="831"/>
      <c r="E173" s="834">
        <v>8287788</v>
      </c>
    </row>
    <row r="174" spans="2:5">
      <c r="B174" s="830" t="s">
        <v>74</v>
      </c>
      <c r="C174" s="178" t="s">
        <v>1061</v>
      </c>
      <c r="D174" t="s">
        <v>1609</v>
      </c>
      <c r="E174" s="731">
        <v>1201829</v>
      </c>
    </row>
    <row r="175" spans="2:5">
      <c r="B175" s="830"/>
      <c r="C175" s="178" t="s">
        <v>8121</v>
      </c>
      <c r="D175" t="s">
        <v>1553</v>
      </c>
      <c r="E175" s="731">
        <v>12036</v>
      </c>
    </row>
    <row r="176" spans="2:5">
      <c r="B176" s="830"/>
      <c r="C176" s="178" t="s">
        <v>1066</v>
      </c>
      <c r="D176" t="s">
        <v>1553</v>
      </c>
      <c r="E176" s="731">
        <v>1094</v>
      </c>
    </row>
    <row r="177" spans="2:5">
      <c r="B177" s="830"/>
      <c r="C177" s="178" t="s">
        <v>1069</v>
      </c>
      <c r="D177" t="s">
        <v>1553</v>
      </c>
      <c r="E177" s="731">
        <v>234</v>
      </c>
    </row>
    <row r="178" spans="2:5">
      <c r="B178" s="830"/>
      <c r="C178" s="178" t="s">
        <v>8099</v>
      </c>
      <c r="D178" t="s">
        <v>1557</v>
      </c>
      <c r="E178" s="731">
        <v>1918547</v>
      </c>
    </row>
    <row r="179" spans="2:5">
      <c r="B179" s="830"/>
      <c r="C179" s="178" t="s">
        <v>8096</v>
      </c>
      <c r="D179" t="s">
        <v>1553</v>
      </c>
      <c r="E179" s="731">
        <v>2133776</v>
      </c>
    </row>
    <row r="180" spans="2:5">
      <c r="B180" s="830"/>
      <c r="C180" s="178" t="s">
        <v>1067</v>
      </c>
      <c r="D180" t="s">
        <v>1553</v>
      </c>
      <c r="E180" s="731">
        <v>50031</v>
      </c>
    </row>
    <row r="181" spans="2:5">
      <c r="B181" s="830"/>
      <c r="C181" s="178" t="s">
        <v>8102</v>
      </c>
      <c r="D181" t="s">
        <v>1553</v>
      </c>
      <c r="E181" s="731">
        <v>856680</v>
      </c>
    </row>
    <row r="182" spans="2:5">
      <c r="B182" s="830"/>
      <c r="C182" s="178" t="s">
        <v>8100</v>
      </c>
      <c r="D182" t="s">
        <v>1553</v>
      </c>
      <c r="E182" s="731">
        <v>1804633</v>
      </c>
    </row>
    <row r="183" spans="2:5">
      <c r="B183" s="831" t="s">
        <v>8171</v>
      </c>
      <c r="C183" s="831"/>
      <c r="D183" s="831"/>
      <c r="E183" s="834">
        <v>7978860</v>
      </c>
    </row>
    <row r="184" spans="2:5">
      <c r="B184" s="830" t="s">
        <v>462</v>
      </c>
      <c r="C184" s="178" t="s">
        <v>1061</v>
      </c>
      <c r="D184" t="s">
        <v>8258</v>
      </c>
      <c r="E184" s="731">
        <v>600000</v>
      </c>
    </row>
    <row r="185" spans="2:5">
      <c r="B185" s="830"/>
      <c r="C185" s="178" t="s">
        <v>8099</v>
      </c>
      <c r="D185" t="s">
        <v>1598</v>
      </c>
      <c r="E185" s="731">
        <v>2108659</v>
      </c>
    </row>
    <row r="186" spans="2:5">
      <c r="B186" s="830"/>
      <c r="C186" s="178" t="s">
        <v>8096</v>
      </c>
      <c r="D186" t="s">
        <v>1554</v>
      </c>
      <c r="E186" s="731">
        <v>2387184</v>
      </c>
    </row>
    <row r="187" spans="2:5">
      <c r="B187" s="830"/>
      <c r="C187" s="178" t="s">
        <v>8102</v>
      </c>
      <c r="D187" t="s">
        <v>1554</v>
      </c>
      <c r="E187" s="731">
        <v>590750</v>
      </c>
    </row>
    <row r="188" spans="2:5">
      <c r="B188" s="830"/>
      <c r="C188" s="178" t="s">
        <v>8100</v>
      </c>
      <c r="D188" t="s">
        <v>1553</v>
      </c>
      <c r="E188" s="731">
        <v>593954</v>
      </c>
    </row>
    <row r="189" spans="2:5">
      <c r="B189" s="830"/>
      <c r="C189" s="178" t="s">
        <v>8100</v>
      </c>
      <c r="D189" t="s">
        <v>1554</v>
      </c>
      <c r="E189" s="731">
        <v>966008</v>
      </c>
    </row>
    <row r="190" spans="2:5">
      <c r="B190" s="831" t="s">
        <v>8174</v>
      </c>
      <c r="C190" s="831"/>
      <c r="D190" s="831"/>
      <c r="E190" s="834">
        <v>7246555</v>
      </c>
    </row>
    <row r="191" spans="2:5">
      <c r="B191" s="830" t="s">
        <v>99</v>
      </c>
      <c r="C191" s="178" t="s">
        <v>1061</v>
      </c>
      <c r="D191" t="s">
        <v>8259</v>
      </c>
      <c r="E191" s="731">
        <v>2050000</v>
      </c>
    </row>
    <row r="192" spans="2:5">
      <c r="B192" s="830"/>
      <c r="C192" s="178" t="s">
        <v>8121</v>
      </c>
      <c r="D192" t="s">
        <v>1553</v>
      </c>
      <c r="E192" s="731">
        <v>8424</v>
      </c>
    </row>
    <row r="193" spans="2:5">
      <c r="B193" s="830"/>
      <c r="C193" s="178" t="s">
        <v>8099</v>
      </c>
      <c r="D193" t="s">
        <v>1552</v>
      </c>
      <c r="E193" s="731">
        <v>856529</v>
      </c>
    </row>
    <row r="194" spans="2:5">
      <c r="B194" s="830"/>
      <c r="C194" s="178" t="s">
        <v>8096</v>
      </c>
      <c r="D194" t="s">
        <v>1553</v>
      </c>
      <c r="E194" s="731">
        <v>2553662</v>
      </c>
    </row>
    <row r="195" spans="2:5">
      <c r="B195" s="830"/>
      <c r="C195" s="178" t="s">
        <v>1067</v>
      </c>
      <c r="D195" t="s">
        <v>1553</v>
      </c>
      <c r="E195" s="731">
        <v>36557</v>
      </c>
    </row>
    <row r="196" spans="2:5">
      <c r="B196" s="830"/>
      <c r="C196" s="178" t="s">
        <v>8100</v>
      </c>
      <c r="D196" t="s">
        <v>1553</v>
      </c>
      <c r="E196" s="731">
        <v>1687526</v>
      </c>
    </row>
    <row r="197" spans="2:5">
      <c r="B197" s="831" t="s">
        <v>8176</v>
      </c>
      <c r="C197" s="831"/>
      <c r="D197" s="831"/>
      <c r="E197" s="834">
        <v>7192698</v>
      </c>
    </row>
    <row r="198" spans="2:5">
      <c r="B198" s="830" t="s">
        <v>961</v>
      </c>
      <c r="C198" s="178" t="s">
        <v>8123</v>
      </c>
      <c r="D198" t="s">
        <v>1553</v>
      </c>
      <c r="E198" s="731">
        <v>5000</v>
      </c>
    </row>
    <row r="199" spans="2:5">
      <c r="B199" s="830"/>
      <c r="C199" s="178" t="s">
        <v>1061</v>
      </c>
      <c r="D199" t="s">
        <v>1608</v>
      </c>
      <c r="E199" s="731">
        <v>210935</v>
      </c>
    </row>
    <row r="200" spans="2:5">
      <c r="B200" s="830"/>
      <c r="C200" s="178" t="s">
        <v>8121</v>
      </c>
      <c r="D200" t="s">
        <v>1553</v>
      </c>
      <c r="E200" s="731">
        <v>9521</v>
      </c>
    </row>
    <row r="201" spans="2:5">
      <c r="B201" s="830"/>
      <c r="C201" s="178" t="s">
        <v>1066</v>
      </c>
      <c r="D201" t="s">
        <v>1553</v>
      </c>
      <c r="E201" s="731">
        <v>131092</v>
      </c>
    </row>
    <row r="202" spans="2:5">
      <c r="B202" s="830"/>
      <c r="C202" s="178" t="s">
        <v>1069</v>
      </c>
      <c r="D202" t="s">
        <v>1553</v>
      </c>
      <c r="E202" s="731">
        <v>19180</v>
      </c>
    </row>
    <row r="203" spans="2:5">
      <c r="B203" s="830"/>
      <c r="C203" s="178" t="s">
        <v>8099</v>
      </c>
      <c r="D203" t="s">
        <v>8251</v>
      </c>
      <c r="E203" s="731">
        <v>1938610</v>
      </c>
    </row>
    <row r="204" spans="2:5">
      <c r="B204" s="830"/>
      <c r="C204" s="178" t="s">
        <v>8096</v>
      </c>
      <c r="D204" t="s">
        <v>1553</v>
      </c>
      <c r="E204" s="731">
        <v>2649331</v>
      </c>
    </row>
    <row r="205" spans="2:5">
      <c r="B205" s="830"/>
      <c r="C205" s="178" t="s">
        <v>1067</v>
      </c>
      <c r="D205" t="s">
        <v>1553</v>
      </c>
      <c r="E205" s="731">
        <v>53025</v>
      </c>
    </row>
    <row r="206" spans="2:5">
      <c r="B206" s="830"/>
      <c r="C206" s="178" t="s">
        <v>8100</v>
      </c>
      <c r="D206" t="s">
        <v>1553</v>
      </c>
      <c r="E206" s="731">
        <v>2122422</v>
      </c>
    </row>
    <row r="207" spans="2:5">
      <c r="B207" s="831" t="s">
        <v>8170</v>
      </c>
      <c r="C207" s="831"/>
      <c r="D207" s="831"/>
      <c r="E207" s="834">
        <v>7139116</v>
      </c>
    </row>
    <row r="208" spans="2:5">
      <c r="B208" s="830" t="s">
        <v>1847</v>
      </c>
      <c r="C208" s="178" t="s">
        <v>1061</v>
      </c>
      <c r="D208" t="s">
        <v>8260</v>
      </c>
      <c r="E208" s="731">
        <v>400000</v>
      </c>
    </row>
    <row r="209" spans="2:5">
      <c r="B209" s="830"/>
      <c r="C209" s="178" t="s">
        <v>8121</v>
      </c>
      <c r="D209" t="s">
        <v>1553</v>
      </c>
      <c r="E209" s="731">
        <v>11712</v>
      </c>
    </row>
    <row r="210" spans="2:5">
      <c r="B210" s="830"/>
      <c r="C210" s="178" t="s">
        <v>1069</v>
      </c>
      <c r="D210" t="s">
        <v>1553</v>
      </c>
      <c r="E210" s="731">
        <v>139</v>
      </c>
    </row>
    <row r="211" spans="2:5">
      <c r="B211" s="830"/>
      <c r="C211" s="178" t="s">
        <v>8099</v>
      </c>
      <c r="D211" t="s">
        <v>1561</v>
      </c>
      <c r="E211" s="731">
        <v>1679737</v>
      </c>
    </row>
    <row r="212" spans="2:5">
      <c r="B212" s="830"/>
      <c r="C212" s="178" t="s">
        <v>8096</v>
      </c>
      <c r="D212" t="s">
        <v>1553</v>
      </c>
      <c r="E212" s="731">
        <v>2668744</v>
      </c>
    </row>
    <row r="213" spans="2:5">
      <c r="B213" s="830"/>
      <c r="C213" s="178" t="s">
        <v>1067</v>
      </c>
      <c r="D213" t="s">
        <v>1553</v>
      </c>
      <c r="E213" s="731">
        <v>39525</v>
      </c>
    </row>
    <row r="214" spans="2:5">
      <c r="B214" s="830"/>
      <c r="C214" s="178" t="s">
        <v>8102</v>
      </c>
      <c r="D214" t="s">
        <v>1553</v>
      </c>
      <c r="E214" s="731">
        <v>267670</v>
      </c>
    </row>
    <row r="215" spans="2:5">
      <c r="B215" s="830"/>
      <c r="C215" s="178" t="s">
        <v>8100</v>
      </c>
      <c r="D215" t="s">
        <v>1553</v>
      </c>
      <c r="E215" s="731">
        <v>1838360</v>
      </c>
    </row>
    <row r="216" spans="2:5">
      <c r="B216" s="831" t="s">
        <v>8172</v>
      </c>
      <c r="C216" s="831"/>
      <c r="D216" s="831"/>
      <c r="E216" s="834">
        <v>6905887</v>
      </c>
    </row>
    <row r="217" spans="2:5">
      <c r="B217" s="830" t="s">
        <v>618</v>
      </c>
      <c r="C217" s="178" t="s">
        <v>8123</v>
      </c>
      <c r="D217" t="s">
        <v>1553</v>
      </c>
      <c r="E217" s="731">
        <v>15000</v>
      </c>
    </row>
    <row r="218" spans="2:5">
      <c r="B218" s="830"/>
      <c r="C218" s="178" t="s">
        <v>1061</v>
      </c>
      <c r="D218" t="s">
        <v>8261</v>
      </c>
      <c r="E218" s="731">
        <v>600000</v>
      </c>
    </row>
    <row r="219" spans="2:5">
      <c r="B219" s="830"/>
      <c r="C219" s="178" t="s">
        <v>8121</v>
      </c>
      <c r="D219" t="s">
        <v>1553</v>
      </c>
      <c r="E219" s="731">
        <v>4800</v>
      </c>
    </row>
    <row r="220" spans="2:5">
      <c r="B220" s="830"/>
      <c r="C220" s="178" t="s">
        <v>1069</v>
      </c>
      <c r="D220" t="s">
        <v>1553</v>
      </c>
      <c r="E220" s="731">
        <v>2458</v>
      </c>
    </row>
    <row r="221" spans="2:5">
      <c r="B221" s="830"/>
      <c r="C221" s="178" t="s">
        <v>8099</v>
      </c>
      <c r="D221" t="s">
        <v>1561</v>
      </c>
      <c r="E221" s="731">
        <v>1650270</v>
      </c>
    </row>
    <row r="222" spans="2:5">
      <c r="B222" s="830"/>
      <c r="C222" s="178" t="s">
        <v>8096</v>
      </c>
      <c r="D222" t="s">
        <v>1553</v>
      </c>
      <c r="E222" s="731">
        <v>2494340</v>
      </c>
    </row>
    <row r="223" spans="2:5">
      <c r="B223" s="830"/>
      <c r="C223" s="178" t="s">
        <v>1067</v>
      </c>
      <c r="D223" t="s">
        <v>1553</v>
      </c>
      <c r="E223" s="731">
        <v>25960</v>
      </c>
    </row>
    <row r="224" spans="2:5">
      <c r="B224" s="830"/>
      <c r="C224" s="178" t="s">
        <v>8102</v>
      </c>
      <c r="D224" t="s">
        <v>1553</v>
      </c>
      <c r="E224" s="731">
        <v>171814</v>
      </c>
    </row>
    <row r="225" spans="2:5">
      <c r="B225" s="830"/>
      <c r="C225" s="178" t="s">
        <v>8100</v>
      </c>
      <c r="D225" t="s">
        <v>1553</v>
      </c>
      <c r="E225" s="731">
        <v>1699242</v>
      </c>
    </row>
    <row r="226" spans="2:5">
      <c r="B226" s="831" t="s">
        <v>8175</v>
      </c>
      <c r="C226" s="831"/>
      <c r="D226" s="831"/>
      <c r="E226" s="834">
        <v>6663884</v>
      </c>
    </row>
    <row r="227" spans="2:5">
      <c r="B227" s="830" t="s">
        <v>87</v>
      </c>
      <c r="C227" s="178" t="s">
        <v>8123</v>
      </c>
      <c r="D227" t="s">
        <v>1553</v>
      </c>
      <c r="E227" s="731">
        <v>4200</v>
      </c>
    </row>
    <row r="228" spans="2:5">
      <c r="B228" s="830"/>
      <c r="C228" s="178" t="s">
        <v>1061</v>
      </c>
      <c r="D228" t="s">
        <v>8262</v>
      </c>
      <c r="E228" s="731">
        <v>280000</v>
      </c>
    </row>
    <row r="229" spans="2:5">
      <c r="B229" s="830"/>
      <c r="C229" s="178" t="s">
        <v>8121</v>
      </c>
      <c r="D229" t="s">
        <v>1553</v>
      </c>
      <c r="E229" s="731">
        <v>930</v>
      </c>
    </row>
    <row r="230" spans="2:5">
      <c r="B230" s="830"/>
      <c r="C230" s="178" t="s">
        <v>1066</v>
      </c>
      <c r="D230" t="s">
        <v>1553</v>
      </c>
      <c r="E230" s="731">
        <v>13917</v>
      </c>
    </row>
    <row r="231" spans="2:5">
      <c r="B231" s="830"/>
      <c r="C231" s="178" t="s">
        <v>1069</v>
      </c>
      <c r="D231" t="s">
        <v>1553</v>
      </c>
      <c r="E231" s="731">
        <v>39010</v>
      </c>
    </row>
    <row r="232" spans="2:5">
      <c r="B232" s="830"/>
      <c r="C232" s="178" t="s">
        <v>8099</v>
      </c>
      <c r="D232" t="s">
        <v>1587</v>
      </c>
      <c r="E232" s="731">
        <v>396211</v>
      </c>
    </row>
    <row r="233" spans="2:5">
      <c r="B233" s="830"/>
      <c r="C233" s="178" t="s">
        <v>8099</v>
      </c>
      <c r="D233" t="s">
        <v>855</v>
      </c>
      <c r="E233" s="731">
        <v>1616112</v>
      </c>
    </row>
    <row r="234" spans="2:5">
      <c r="B234" s="830"/>
      <c r="C234" s="178" t="s">
        <v>8096</v>
      </c>
      <c r="D234" t="s">
        <v>1553</v>
      </c>
      <c r="E234" s="731">
        <v>1990349</v>
      </c>
    </row>
    <row r="235" spans="2:5">
      <c r="B235" s="830"/>
      <c r="C235" s="178" t="s">
        <v>8119</v>
      </c>
      <c r="D235" t="s">
        <v>1553</v>
      </c>
      <c r="E235" s="731">
        <v>156324</v>
      </c>
    </row>
    <row r="236" spans="2:5">
      <c r="B236" s="830"/>
      <c r="C236" s="178" t="s">
        <v>1067</v>
      </c>
      <c r="D236" t="s">
        <v>1553</v>
      </c>
      <c r="E236" s="731">
        <v>62613</v>
      </c>
    </row>
    <row r="237" spans="2:5">
      <c r="B237" s="830"/>
      <c r="C237" s="178" t="s">
        <v>8102</v>
      </c>
      <c r="D237" t="s">
        <v>1553</v>
      </c>
      <c r="E237" s="731">
        <v>20800</v>
      </c>
    </row>
    <row r="238" spans="2:5">
      <c r="B238" s="830"/>
      <c r="C238" s="178" t="s">
        <v>8100</v>
      </c>
      <c r="D238" t="s">
        <v>1553</v>
      </c>
      <c r="E238" s="731">
        <v>1964500</v>
      </c>
    </row>
    <row r="239" spans="2:5">
      <c r="B239" s="831" t="s">
        <v>8177</v>
      </c>
      <c r="C239" s="831"/>
      <c r="D239" s="831"/>
      <c r="E239" s="834">
        <v>6544966</v>
      </c>
    </row>
    <row r="240" spans="2:5">
      <c r="B240" s="830" t="s">
        <v>662</v>
      </c>
      <c r="C240" s="178" t="s">
        <v>1061</v>
      </c>
      <c r="D240" t="s">
        <v>8263</v>
      </c>
      <c r="E240" s="731">
        <v>1000000</v>
      </c>
    </row>
    <row r="241" spans="2:5">
      <c r="B241" s="830"/>
      <c r="C241" s="178" t="s">
        <v>8121</v>
      </c>
      <c r="D241" t="s">
        <v>1553</v>
      </c>
      <c r="E241" s="731">
        <v>3096</v>
      </c>
    </row>
    <row r="242" spans="2:5">
      <c r="B242" s="830"/>
      <c r="C242" s="178" t="s">
        <v>1066</v>
      </c>
      <c r="D242" t="s">
        <v>1553</v>
      </c>
      <c r="E242" s="731">
        <v>6225</v>
      </c>
    </row>
    <row r="243" spans="2:5">
      <c r="B243" s="830"/>
      <c r="C243" s="178" t="s">
        <v>8099</v>
      </c>
      <c r="D243" t="s">
        <v>1561</v>
      </c>
      <c r="E243" s="731">
        <v>1436165</v>
      </c>
    </row>
    <row r="244" spans="2:5">
      <c r="B244" s="830"/>
      <c r="C244" s="178" t="s">
        <v>8096</v>
      </c>
      <c r="D244" t="s">
        <v>1553</v>
      </c>
      <c r="E244" s="731">
        <v>2292934</v>
      </c>
    </row>
    <row r="245" spans="2:5">
      <c r="B245" s="830"/>
      <c r="C245" s="178" t="s">
        <v>1067</v>
      </c>
      <c r="D245" t="s">
        <v>1553</v>
      </c>
      <c r="E245" s="731">
        <v>44400</v>
      </c>
    </row>
    <row r="246" spans="2:5">
      <c r="B246" s="830"/>
      <c r="C246" s="178" t="s">
        <v>8100</v>
      </c>
      <c r="D246" t="s">
        <v>1553</v>
      </c>
      <c r="E246" s="731">
        <v>1635789</v>
      </c>
    </row>
    <row r="247" spans="2:5">
      <c r="B247" s="831" t="s">
        <v>8179</v>
      </c>
      <c r="C247" s="831"/>
      <c r="D247" s="831"/>
      <c r="E247" s="834">
        <v>6418609</v>
      </c>
    </row>
    <row r="248" spans="2:5">
      <c r="B248" s="830" t="s">
        <v>68</v>
      </c>
      <c r="C248" s="178" t="s">
        <v>1061</v>
      </c>
      <c r="D248" t="s">
        <v>8266</v>
      </c>
      <c r="E248" s="731">
        <v>124318</v>
      </c>
    </row>
    <row r="249" spans="2:5">
      <c r="B249" s="830"/>
      <c r="C249" s="178" t="s">
        <v>8099</v>
      </c>
      <c r="D249" t="s">
        <v>8245</v>
      </c>
      <c r="E249" s="731">
        <v>1451421</v>
      </c>
    </row>
    <row r="250" spans="2:5">
      <c r="B250" s="830"/>
      <c r="C250" s="178" t="s">
        <v>8096</v>
      </c>
      <c r="D250" t="s">
        <v>1553</v>
      </c>
      <c r="E250" s="731">
        <v>2494660</v>
      </c>
    </row>
    <row r="251" spans="2:5">
      <c r="B251" s="830"/>
      <c r="C251" s="178" t="s">
        <v>1067</v>
      </c>
      <c r="D251" t="s">
        <v>1553</v>
      </c>
      <c r="E251" s="731">
        <v>42706</v>
      </c>
    </row>
    <row r="252" spans="2:5">
      <c r="B252" s="830"/>
      <c r="C252" s="178" t="s">
        <v>8102</v>
      </c>
      <c r="D252" t="s">
        <v>1553</v>
      </c>
      <c r="E252" s="731">
        <v>370000</v>
      </c>
    </row>
    <row r="253" spans="2:5">
      <c r="B253" s="830"/>
      <c r="C253" s="178" t="s">
        <v>8100</v>
      </c>
      <c r="D253" t="s">
        <v>1553</v>
      </c>
      <c r="E253" s="731">
        <v>1802231</v>
      </c>
    </row>
    <row r="254" spans="2:5">
      <c r="B254" s="831" t="s">
        <v>8173</v>
      </c>
      <c r="C254" s="831"/>
      <c r="D254" s="831"/>
      <c r="E254" s="834">
        <v>6285336</v>
      </c>
    </row>
    <row r="255" spans="2:5">
      <c r="B255" s="830" t="s">
        <v>562</v>
      </c>
      <c r="C255" s="178" t="s">
        <v>1061</v>
      </c>
      <c r="D255" t="s">
        <v>8264</v>
      </c>
      <c r="E255" s="731">
        <v>805247</v>
      </c>
    </row>
    <row r="256" spans="2:5">
      <c r="B256" s="830"/>
      <c r="C256" s="178" t="s">
        <v>1066</v>
      </c>
      <c r="D256" t="s">
        <v>1553</v>
      </c>
      <c r="E256" s="731">
        <v>16363</v>
      </c>
    </row>
    <row r="257" spans="2:5">
      <c r="B257" s="830"/>
      <c r="C257" s="178" t="s">
        <v>1069</v>
      </c>
      <c r="D257" t="s">
        <v>1553</v>
      </c>
      <c r="E257" s="731">
        <v>8988</v>
      </c>
    </row>
    <row r="258" spans="2:5">
      <c r="B258" s="830"/>
      <c r="C258" s="178" t="s">
        <v>8099</v>
      </c>
      <c r="D258" t="s">
        <v>1560</v>
      </c>
      <c r="E258" s="731">
        <v>2765934</v>
      </c>
    </row>
    <row r="259" spans="2:5">
      <c r="B259" s="830"/>
      <c r="C259" s="178" t="s">
        <v>8096</v>
      </c>
      <c r="D259" t="s">
        <v>1553</v>
      </c>
      <c r="E259" s="731">
        <v>2572128</v>
      </c>
    </row>
    <row r="260" spans="2:5">
      <c r="B260" s="830"/>
      <c r="C260" s="178" t="s">
        <v>1067</v>
      </c>
      <c r="D260" t="s">
        <v>1553</v>
      </c>
      <c r="E260" s="731">
        <v>18150</v>
      </c>
    </row>
    <row r="261" spans="2:5">
      <c r="B261" s="831" t="s">
        <v>8189</v>
      </c>
      <c r="C261" s="831"/>
      <c r="D261" s="831"/>
      <c r="E261" s="834">
        <v>6186810</v>
      </c>
    </row>
    <row r="262" spans="2:5">
      <c r="B262" s="830" t="s">
        <v>646</v>
      </c>
      <c r="C262" s="178" t="s">
        <v>1061</v>
      </c>
      <c r="D262" t="s">
        <v>8265</v>
      </c>
      <c r="E262" s="731">
        <v>2433827</v>
      </c>
    </row>
    <row r="263" spans="2:5">
      <c r="B263" s="830"/>
      <c r="C263" s="178" t="s">
        <v>8099</v>
      </c>
      <c r="D263" t="s">
        <v>1559</v>
      </c>
      <c r="E263" s="731">
        <v>665854</v>
      </c>
    </row>
    <row r="264" spans="2:5">
      <c r="B264" s="830"/>
      <c r="C264" s="178" t="s">
        <v>8099</v>
      </c>
      <c r="D264" t="s">
        <v>8245</v>
      </c>
      <c r="E264" s="731">
        <v>263289</v>
      </c>
    </row>
    <row r="265" spans="2:5">
      <c r="B265" s="830"/>
      <c r="C265" s="178" t="s">
        <v>8096</v>
      </c>
      <c r="D265" t="s">
        <v>1553</v>
      </c>
      <c r="E265" s="731">
        <v>1418975</v>
      </c>
    </row>
    <row r="266" spans="2:5">
      <c r="B266" s="830"/>
      <c r="C266" s="178" t="s">
        <v>1067</v>
      </c>
      <c r="D266" t="s">
        <v>1553</v>
      </c>
      <c r="E266" s="731">
        <v>21450</v>
      </c>
    </row>
    <row r="267" spans="2:5">
      <c r="B267" s="830"/>
      <c r="C267" s="178" t="s">
        <v>8102</v>
      </c>
      <c r="D267" t="s">
        <v>1553</v>
      </c>
      <c r="E267" s="731">
        <v>142229</v>
      </c>
    </row>
    <row r="268" spans="2:5">
      <c r="B268" s="830"/>
      <c r="C268" s="178" t="s">
        <v>8100</v>
      </c>
      <c r="D268" t="s">
        <v>1553</v>
      </c>
      <c r="E268" s="731">
        <v>1198474</v>
      </c>
    </row>
    <row r="269" spans="2:5">
      <c r="B269" s="831" t="s">
        <v>8188</v>
      </c>
      <c r="C269" s="831"/>
      <c r="D269" s="831"/>
      <c r="E269" s="834">
        <v>6144098</v>
      </c>
    </row>
    <row r="270" spans="2:5">
      <c r="B270" s="830" t="s">
        <v>130</v>
      </c>
      <c r="C270" s="178" t="s">
        <v>8123</v>
      </c>
      <c r="D270" t="s">
        <v>1553</v>
      </c>
      <c r="E270" s="731">
        <v>7800</v>
      </c>
    </row>
    <row r="271" spans="2:5">
      <c r="B271" s="830"/>
      <c r="C271" s="178" t="s">
        <v>8121</v>
      </c>
      <c r="D271" t="s">
        <v>1553</v>
      </c>
      <c r="E271" s="731">
        <v>5436</v>
      </c>
    </row>
    <row r="272" spans="2:5">
      <c r="B272" s="830"/>
      <c r="C272" s="178" t="s">
        <v>8099</v>
      </c>
      <c r="D272" t="s">
        <v>8245</v>
      </c>
      <c r="E272" s="731">
        <v>1501185</v>
      </c>
    </row>
    <row r="273" spans="2:5">
      <c r="B273" s="830"/>
      <c r="C273" s="178" t="s">
        <v>8096</v>
      </c>
      <c r="D273" t="s">
        <v>1553</v>
      </c>
      <c r="E273" s="731">
        <v>2360317</v>
      </c>
    </row>
    <row r="274" spans="2:5">
      <c r="B274" s="830"/>
      <c r="C274" s="178" t="s">
        <v>1067</v>
      </c>
      <c r="D274" t="s">
        <v>1553</v>
      </c>
      <c r="E274" s="731">
        <v>31009</v>
      </c>
    </row>
    <row r="275" spans="2:5">
      <c r="B275" s="830"/>
      <c r="C275" s="178" t="s">
        <v>8102</v>
      </c>
      <c r="D275" t="s">
        <v>1553</v>
      </c>
      <c r="E275" s="731">
        <v>240000</v>
      </c>
    </row>
    <row r="276" spans="2:5">
      <c r="B276" s="830"/>
      <c r="C276" s="178" t="s">
        <v>8100</v>
      </c>
      <c r="D276" t="s">
        <v>1553</v>
      </c>
      <c r="E276" s="731">
        <v>1570000</v>
      </c>
    </row>
    <row r="277" spans="2:5">
      <c r="B277" s="831" t="s">
        <v>8178</v>
      </c>
      <c r="C277" s="831"/>
      <c r="D277" s="831"/>
      <c r="E277" s="834">
        <v>5715747</v>
      </c>
    </row>
    <row r="278" spans="2:5">
      <c r="B278" s="830" t="s">
        <v>659</v>
      </c>
      <c r="C278" s="178" t="s">
        <v>10197</v>
      </c>
      <c r="D278" t="s">
        <v>1554</v>
      </c>
      <c r="E278" s="731">
        <v>77</v>
      </c>
    </row>
    <row r="279" spans="2:5">
      <c r="B279" s="830"/>
      <c r="C279" s="178" t="s">
        <v>1061</v>
      </c>
      <c r="D279" t="s">
        <v>8267</v>
      </c>
      <c r="E279" s="731">
        <v>837968</v>
      </c>
    </row>
    <row r="280" spans="2:5">
      <c r="B280" s="830"/>
      <c r="C280" s="178" t="s">
        <v>1066</v>
      </c>
      <c r="D280" t="s">
        <v>1554</v>
      </c>
      <c r="E280" s="731">
        <v>48019</v>
      </c>
    </row>
    <row r="281" spans="2:5">
      <c r="B281" s="830"/>
      <c r="C281" s="178" t="s">
        <v>1069</v>
      </c>
      <c r="D281" t="s">
        <v>1553</v>
      </c>
      <c r="E281" s="731">
        <v>1021</v>
      </c>
    </row>
    <row r="282" spans="2:5">
      <c r="B282" s="830"/>
      <c r="C282" s="178" t="s">
        <v>8099</v>
      </c>
      <c r="D282" t="s">
        <v>1555</v>
      </c>
      <c r="E282" s="731">
        <v>792899</v>
      </c>
    </row>
    <row r="283" spans="2:5">
      <c r="B283" s="830"/>
      <c r="C283" s="178" t="s">
        <v>8096</v>
      </c>
      <c r="D283" t="s">
        <v>1554</v>
      </c>
      <c r="E283" s="731">
        <v>2172190</v>
      </c>
    </row>
    <row r="284" spans="2:5">
      <c r="B284" s="830"/>
      <c r="C284" s="178" t="s">
        <v>8102</v>
      </c>
      <c r="D284" t="s">
        <v>1554</v>
      </c>
      <c r="E284" s="731">
        <v>130500</v>
      </c>
    </row>
    <row r="285" spans="2:5">
      <c r="B285" s="830"/>
      <c r="C285" s="178" t="s">
        <v>8100</v>
      </c>
      <c r="D285" t="s">
        <v>1553</v>
      </c>
      <c r="E285" s="731">
        <v>447900</v>
      </c>
    </row>
    <row r="286" spans="2:5">
      <c r="B286" s="830"/>
      <c r="C286" s="178" t="s">
        <v>8100</v>
      </c>
      <c r="D286" t="s">
        <v>1554</v>
      </c>
      <c r="E286" s="731">
        <v>875523</v>
      </c>
    </row>
    <row r="287" spans="2:5">
      <c r="B287" s="831" t="s">
        <v>8180</v>
      </c>
      <c r="C287" s="831"/>
      <c r="D287" s="831"/>
      <c r="E287" s="834">
        <v>5306097</v>
      </c>
    </row>
    <row r="288" spans="2:5">
      <c r="B288" s="830" t="s">
        <v>6968</v>
      </c>
      <c r="C288" s="178" t="s">
        <v>8123</v>
      </c>
      <c r="D288" t="s">
        <v>1553</v>
      </c>
      <c r="E288" s="731">
        <v>2200</v>
      </c>
    </row>
    <row r="289" spans="2:5">
      <c r="B289" s="830"/>
      <c r="C289" s="178" t="s">
        <v>1061</v>
      </c>
      <c r="D289" t="s">
        <v>8274</v>
      </c>
      <c r="E289" s="731">
        <v>1147976</v>
      </c>
    </row>
    <row r="290" spans="2:5">
      <c r="B290" s="830"/>
      <c r="C290" s="178" t="s">
        <v>8121</v>
      </c>
      <c r="D290" t="s">
        <v>1553</v>
      </c>
      <c r="E290" s="731">
        <v>3540</v>
      </c>
    </row>
    <row r="291" spans="2:5">
      <c r="B291" s="830"/>
      <c r="C291" s="178" t="s">
        <v>8099</v>
      </c>
      <c r="D291" t="s">
        <v>1552</v>
      </c>
      <c r="E291" s="731">
        <v>758704</v>
      </c>
    </row>
    <row r="292" spans="2:5">
      <c r="B292" s="830"/>
      <c r="C292" s="178" t="s">
        <v>8096</v>
      </c>
      <c r="D292" t="s">
        <v>1553</v>
      </c>
      <c r="E292" s="731">
        <v>1687450</v>
      </c>
    </row>
    <row r="293" spans="2:5">
      <c r="B293" s="830"/>
      <c r="C293" s="178" t="s">
        <v>1067</v>
      </c>
      <c r="D293" t="s">
        <v>1553</v>
      </c>
      <c r="E293" s="731">
        <v>3111</v>
      </c>
    </row>
    <row r="294" spans="2:5">
      <c r="B294" s="830"/>
      <c r="C294" s="178" t="s">
        <v>8102</v>
      </c>
      <c r="D294" t="s">
        <v>1553</v>
      </c>
      <c r="E294" s="731">
        <v>381950</v>
      </c>
    </row>
    <row r="295" spans="2:5">
      <c r="B295" s="830"/>
      <c r="C295" s="178" t="s">
        <v>8100</v>
      </c>
      <c r="D295" t="s">
        <v>1553</v>
      </c>
      <c r="E295" s="731">
        <v>1024855</v>
      </c>
    </row>
    <row r="296" spans="2:5">
      <c r="B296" s="831" t="s">
        <v>8185</v>
      </c>
      <c r="C296" s="831"/>
      <c r="D296" s="831"/>
      <c r="E296" s="834">
        <v>5009786</v>
      </c>
    </row>
    <row r="297" spans="2:5">
      <c r="B297" s="830" t="s">
        <v>651</v>
      </c>
      <c r="C297" s="178" t="s">
        <v>1061</v>
      </c>
      <c r="D297" t="s">
        <v>8268</v>
      </c>
      <c r="E297" s="731">
        <v>4847513</v>
      </c>
    </row>
    <row r="298" spans="2:5">
      <c r="B298" s="831" t="s">
        <v>8269</v>
      </c>
      <c r="C298" s="831"/>
      <c r="D298" s="831"/>
      <c r="E298" s="834">
        <v>4847513</v>
      </c>
    </row>
    <row r="299" spans="2:5">
      <c r="B299" s="830" t="s">
        <v>607</v>
      </c>
      <c r="C299" s="178" t="s">
        <v>10197</v>
      </c>
      <c r="D299" t="s">
        <v>1554</v>
      </c>
      <c r="E299" s="731">
        <v>168</v>
      </c>
    </row>
    <row r="300" spans="2:5">
      <c r="B300" s="830"/>
      <c r="C300" s="178" t="s">
        <v>8123</v>
      </c>
      <c r="D300" t="s">
        <v>1553</v>
      </c>
      <c r="E300" s="731">
        <v>8100</v>
      </c>
    </row>
    <row r="301" spans="2:5">
      <c r="B301" s="830"/>
      <c r="C301" s="178" t="s">
        <v>1061</v>
      </c>
      <c r="D301" t="s">
        <v>8270</v>
      </c>
      <c r="E301" s="731">
        <v>200000</v>
      </c>
    </row>
    <row r="302" spans="2:5">
      <c r="B302" s="830"/>
      <c r="C302" s="178" t="s">
        <v>8121</v>
      </c>
      <c r="D302" t="s">
        <v>1553</v>
      </c>
      <c r="E302" s="731">
        <v>15216</v>
      </c>
    </row>
    <row r="303" spans="2:5">
      <c r="B303" s="830"/>
      <c r="C303" s="178" t="s">
        <v>1066</v>
      </c>
      <c r="D303" t="s">
        <v>1553</v>
      </c>
      <c r="E303" s="731">
        <v>109460</v>
      </c>
    </row>
    <row r="304" spans="2:5">
      <c r="B304" s="830"/>
      <c r="C304" s="178" t="s">
        <v>1066</v>
      </c>
      <c r="D304" t="s">
        <v>8186</v>
      </c>
      <c r="E304" s="731">
        <v>45448</v>
      </c>
    </row>
    <row r="305" spans="2:5">
      <c r="B305" s="830"/>
      <c r="C305" s="178" t="s">
        <v>1066</v>
      </c>
      <c r="D305" t="s">
        <v>1554</v>
      </c>
      <c r="E305" s="731">
        <v>167853</v>
      </c>
    </row>
    <row r="306" spans="2:5">
      <c r="B306" s="830"/>
      <c r="C306" s="178" t="s">
        <v>1066</v>
      </c>
      <c r="D306" t="s">
        <v>1565</v>
      </c>
      <c r="E306" s="731">
        <v>17014</v>
      </c>
    </row>
    <row r="307" spans="2:5">
      <c r="B307" s="830"/>
      <c r="C307" s="178" t="s">
        <v>1069</v>
      </c>
      <c r="D307" t="s">
        <v>1553</v>
      </c>
      <c r="E307" s="731">
        <v>68791</v>
      </c>
    </row>
    <row r="308" spans="2:5">
      <c r="B308" s="830"/>
      <c r="C308" s="178" t="s">
        <v>8099</v>
      </c>
      <c r="D308" t="s">
        <v>855</v>
      </c>
      <c r="E308" s="731">
        <v>371159</v>
      </c>
    </row>
    <row r="309" spans="2:5">
      <c r="B309" s="830"/>
      <c r="C309" s="178" t="s">
        <v>8099</v>
      </c>
      <c r="D309" t="s">
        <v>1558</v>
      </c>
      <c r="E309" s="731">
        <v>678922</v>
      </c>
    </row>
    <row r="310" spans="2:5">
      <c r="B310" s="830"/>
      <c r="C310" s="178" t="s">
        <v>8099</v>
      </c>
      <c r="D310" t="s">
        <v>1557</v>
      </c>
      <c r="E310" s="731">
        <v>58605</v>
      </c>
    </row>
    <row r="311" spans="2:5">
      <c r="B311" s="830"/>
      <c r="C311" s="178" t="s">
        <v>8099</v>
      </c>
      <c r="D311" t="s">
        <v>1598</v>
      </c>
      <c r="E311" s="731">
        <v>309405</v>
      </c>
    </row>
    <row r="312" spans="2:5">
      <c r="B312" s="830"/>
      <c r="C312" s="178" t="s">
        <v>8096</v>
      </c>
      <c r="D312" t="s">
        <v>1553</v>
      </c>
      <c r="E312" s="731">
        <v>1582884</v>
      </c>
    </row>
    <row r="313" spans="2:5">
      <c r="B313" s="830"/>
      <c r="C313" s="178" t="s">
        <v>1067</v>
      </c>
      <c r="D313" t="s">
        <v>1553</v>
      </c>
      <c r="E313" s="731">
        <v>39150</v>
      </c>
    </row>
    <row r="314" spans="2:5">
      <c r="B314" s="830"/>
      <c r="C314" s="178" t="s">
        <v>8100</v>
      </c>
      <c r="D314" t="s">
        <v>1553</v>
      </c>
      <c r="E314" s="731">
        <v>810000</v>
      </c>
    </row>
    <row r="315" spans="2:5">
      <c r="B315" s="831" t="s">
        <v>8187</v>
      </c>
      <c r="C315" s="831"/>
      <c r="D315" s="831"/>
      <c r="E315" s="834">
        <v>4482175</v>
      </c>
    </row>
    <row r="316" spans="2:5">
      <c r="B316" s="830" t="s">
        <v>673</v>
      </c>
      <c r="C316" s="178" t="s">
        <v>1061</v>
      </c>
      <c r="D316" t="s">
        <v>8271</v>
      </c>
      <c r="E316" s="731">
        <v>2105337</v>
      </c>
    </row>
    <row r="317" spans="2:5">
      <c r="B317" s="830"/>
      <c r="C317" s="178" t="s">
        <v>1069</v>
      </c>
      <c r="D317" t="s">
        <v>1553</v>
      </c>
      <c r="E317" s="731">
        <v>1068</v>
      </c>
    </row>
    <row r="318" spans="2:5">
      <c r="B318" s="830"/>
      <c r="C318" s="178" t="s">
        <v>8096</v>
      </c>
      <c r="D318" t="s">
        <v>1553</v>
      </c>
      <c r="E318" s="731">
        <v>1436300</v>
      </c>
    </row>
    <row r="319" spans="2:5">
      <c r="B319" s="830"/>
      <c r="C319" s="178" t="s">
        <v>8100</v>
      </c>
      <c r="D319" t="s">
        <v>1553</v>
      </c>
      <c r="E319" s="731">
        <v>909266</v>
      </c>
    </row>
    <row r="320" spans="2:5">
      <c r="B320" s="831" t="s">
        <v>8199</v>
      </c>
      <c r="C320" s="831"/>
      <c r="D320" s="831"/>
      <c r="E320" s="834">
        <v>4451971</v>
      </c>
    </row>
    <row r="321" spans="2:5">
      <c r="B321" s="830" t="s">
        <v>2477</v>
      </c>
      <c r="C321" s="178" t="s">
        <v>1069</v>
      </c>
      <c r="D321" t="s">
        <v>1553</v>
      </c>
      <c r="E321" s="731">
        <v>417</v>
      </c>
    </row>
    <row r="322" spans="2:5">
      <c r="B322" s="830"/>
      <c r="C322" s="178" t="s">
        <v>8099</v>
      </c>
      <c r="D322" t="s">
        <v>8245</v>
      </c>
      <c r="E322" s="731">
        <v>835696</v>
      </c>
    </row>
    <row r="323" spans="2:5">
      <c r="B323" s="830"/>
      <c r="C323" s="178" t="s">
        <v>8096</v>
      </c>
      <c r="D323" t="s">
        <v>1553</v>
      </c>
      <c r="E323" s="731">
        <v>1746650</v>
      </c>
    </row>
    <row r="324" spans="2:5">
      <c r="B324" s="830"/>
      <c r="C324" s="178" t="s">
        <v>1067</v>
      </c>
      <c r="D324" t="s">
        <v>1553</v>
      </c>
      <c r="E324" s="731">
        <v>33645</v>
      </c>
    </row>
    <row r="325" spans="2:5">
      <c r="B325" s="830"/>
      <c r="C325" s="178" t="s">
        <v>8102</v>
      </c>
      <c r="D325" t="s">
        <v>1553</v>
      </c>
      <c r="E325" s="731">
        <v>32032</v>
      </c>
    </row>
    <row r="326" spans="2:5">
      <c r="B326" s="830"/>
      <c r="C326" s="178" t="s">
        <v>8100</v>
      </c>
      <c r="D326" t="s">
        <v>1553</v>
      </c>
      <c r="E326" s="731">
        <v>1518412</v>
      </c>
    </row>
    <row r="327" spans="2:5">
      <c r="B327" s="831" t="s">
        <v>8183</v>
      </c>
      <c r="C327" s="831"/>
      <c r="D327" s="831"/>
      <c r="E327" s="834">
        <v>4166852</v>
      </c>
    </row>
    <row r="328" spans="2:5">
      <c r="B328" s="830" t="s">
        <v>967</v>
      </c>
      <c r="C328" s="178" t="s">
        <v>1061</v>
      </c>
      <c r="D328" t="s">
        <v>10685</v>
      </c>
      <c r="E328" s="731">
        <v>0</v>
      </c>
    </row>
    <row r="329" spans="2:5">
      <c r="B329" s="830"/>
      <c r="C329" s="178" t="s">
        <v>1069</v>
      </c>
      <c r="D329" t="s">
        <v>1553</v>
      </c>
      <c r="E329" s="731">
        <v>4194</v>
      </c>
    </row>
    <row r="330" spans="2:5">
      <c r="B330" s="830"/>
      <c r="C330" s="178" t="s">
        <v>8099</v>
      </c>
      <c r="D330" t="s">
        <v>1562</v>
      </c>
      <c r="E330" s="731">
        <v>821771</v>
      </c>
    </row>
    <row r="331" spans="2:5">
      <c r="B331" s="830"/>
      <c r="C331" s="178" t="s">
        <v>8096</v>
      </c>
      <c r="D331" t="s">
        <v>1553</v>
      </c>
      <c r="E331" s="731">
        <v>1364755</v>
      </c>
    </row>
    <row r="332" spans="2:5">
      <c r="B332" s="830"/>
      <c r="C332" s="178" t="s">
        <v>1067</v>
      </c>
      <c r="D332" t="s">
        <v>1553</v>
      </c>
      <c r="E332" s="731">
        <v>34088</v>
      </c>
    </row>
    <row r="333" spans="2:5">
      <c r="B333" s="830"/>
      <c r="C333" s="178" t="s">
        <v>8100</v>
      </c>
      <c r="D333" t="s">
        <v>1553</v>
      </c>
      <c r="E333" s="731">
        <v>1912091</v>
      </c>
    </row>
    <row r="334" spans="2:5">
      <c r="B334" s="831" t="s">
        <v>8184</v>
      </c>
      <c r="C334" s="831"/>
      <c r="D334" s="831"/>
      <c r="E334" s="834">
        <v>4136899</v>
      </c>
    </row>
    <row r="335" spans="2:5">
      <c r="B335" s="830" t="s">
        <v>6970</v>
      </c>
      <c r="C335" s="178" t="s">
        <v>1061</v>
      </c>
      <c r="D335" t="s">
        <v>8272</v>
      </c>
      <c r="E335" s="731">
        <v>423204</v>
      </c>
    </row>
    <row r="336" spans="2:5">
      <c r="B336" s="830"/>
      <c r="C336" s="178" t="s">
        <v>1069</v>
      </c>
      <c r="D336" t="s">
        <v>1553</v>
      </c>
      <c r="E336" s="731">
        <v>1582</v>
      </c>
    </row>
    <row r="337" spans="2:5">
      <c r="B337" s="830"/>
      <c r="C337" s="178" t="s">
        <v>8099</v>
      </c>
      <c r="D337" t="s">
        <v>1552</v>
      </c>
      <c r="E337" s="731">
        <v>1286029</v>
      </c>
    </row>
    <row r="338" spans="2:5">
      <c r="B338" s="830"/>
      <c r="C338" s="178" t="s">
        <v>8096</v>
      </c>
      <c r="D338" t="s">
        <v>1553</v>
      </c>
      <c r="E338" s="731">
        <v>1024471</v>
      </c>
    </row>
    <row r="339" spans="2:5">
      <c r="B339" s="830"/>
      <c r="C339" s="178" t="s">
        <v>1067</v>
      </c>
      <c r="D339" t="s">
        <v>1553</v>
      </c>
      <c r="E339" s="731">
        <v>9105</v>
      </c>
    </row>
    <row r="340" spans="2:5">
      <c r="B340" s="830"/>
      <c r="C340" s="178" t="s">
        <v>8100</v>
      </c>
      <c r="D340" t="s">
        <v>1553</v>
      </c>
      <c r="E340" s="731">
        <v>851312</v>
      </c>
    </row>
    <row r="341" spans="2:5">
      <c r="B341" s="831" t="s">
        <v>8194</v>
      </c>
      <c r="C341" s="831"/>
      <c r="D341" s="831"/>
      <c r="E341" s="834">
        <v>3595703</v>
      </c>
    </row>
    <row r="342" spans="2:5">
      <c r="B342" s="830" t="s">
        <v>676</v>
      </c>
      <c r="C342" s="178" t="s">
        <v>10197</v>
      </c>
      <c r="D342" t="s">
        <v>1554</v>
      </c>
      <c r="E342" s="731">
        <v>5680</v>
      </c>
    </row>
    <row r="343" spans="2:5">
      <c r="B343" s="830"/>
      <c r="C343" s="178" t="s">
        <v>1061</v>
      </c>
      <c r="D343" t="s">
        <v>10686</v>
      </c>
      <c r="E343" s="731">
        <v>0</v>
      </c>
    </row>
    <row r="344" spans="2:5">
      <c r="B344" s="830"/>
      <c r="C344" s="178" t="s">
        <v>8099</v>
      </c>
      <c r="D344" t="s">
        <v>1555</v>
      </c>
      <c r="E344" s="731">
        <v>850859</v>
      </c>
    </row>
    <row r="345" spans="2:5">
      <c r="B345" s="830"/>
      <c r="C345" s="178" t="s">
        <v>8096</v>
      </c>
      <c r="D345" t="s">
        <v>1554</v>
      </c>
      <c r="E345" s="731">
        <v>1578902</v>
      </c>
    </row>
    <row r="346" spans="2:5">
      <c r="B346" s="830"/>
      <c r="C346" s="178" t="s">
        <v>8102</v>
      </c>
      <c r="D346" t="s">
        <v>1554</v>
      </c>
      <c r="E346" s="731">
        <v>94669</v>
      </c>
    </row>
    <row r="347" spans="2:5">
      <c r="B347" s="830"/>
      <c r="C347" s="178" t="s">
        <v>8100</v>
      </c>
      <c r="D347" t="s">
        <v>1553</v>
      </c>
      <c r="E347" s="731">
        <v>268173</v>
      </c>
    </row>
    <row r="348" spans="2:5">
      <c r="B348" s="830"/>
      <c r="C348" s="178" t="s">
        <v>8100</v>
      </c>
      <c r="D348" t="s">
        <v>1554</v>
      </c>
      <c r="E348" s="731">
        <v>650715</v>
      </c>
    </row>
    <row r="349" spans="2:5">
      <c r="B349" s="831" t="s">
        <v>8190</v>
      </c>
      <c r="C349" s="831"/>
      <c r="D349" s="831"/>
      <c r="E349" s="834">
        <v>3448998</v>
      </c>
    </row>
    <row r="350" spans="2:5">
      <c r="B350" s="830" t="s">
        <v>1251</v>
      </c>
      <c r="C350" s="178" t="s">
        <v>10197</v>
      </c>
      <c r="D350" t="s">
        <v>1554</v>
      </c>
      <c r="E350" s="731">
        <v>693</v>
      </c>
    </row>
    <row r="351" spans="2:5">
      <c r="B351" s="830"/>
      <c r="C351" s="178" t="s">
        <v>1061</v>
      </c>
      <c r="D351" t="s">
        <v>10687</v>
      </c>
      <c r="E351" s="731">
        <v>0</v>
      </c>
    </row>
    <row r="352" spans="2:5">
      <c r="B352" s="830"/>
      <c r="C352" s="178" t="s">
        <v>1066</v>
      </c>
      <c r="D352" t="s">
        <v>1554</v>
      </c>
      <c r="E352" s="731">
        <v>963</v>
      </c>
    </row>
    <row r="353" spans="2:5">
      <c r="B353" s="830"/>
      <c r="C353" s="178" t="s">
        <v>1069</v>
      </c>
      <c r="D353" t="s">
        <v>1553</v>
      </c>
      <c r="E353" s="731">
        <v>1127</v>
      </c>
    </row>
    <row r="354" spans="2:5">
      <c r="B354" s="830"/>
      <c r="C354" s="178" t="s">
        <v>8099</v>
      </c>
      <c r="D354" t="s">
        <v>1559</v>
      </c>
      <c r="E354" s="731">
        <v>611546</v>
      </c>
    </row>
    <row r="355" spans="2:5">
      <c r="B355" s="830"/>
      <c r="C355" s="178" t="s">
        <v>8096</v>
      </c>
      <c r="D355" t="s">
        <v>1553</v>
      </c>
      <c r="E355" s="731">
        <v>1265158</v>
      </c>
    </row>
    <row r="356" spans="2:5">
      <c r="B356" s="830"/>
      <c r="C356" s="178" t="s">
        <v>8119</v>
      </c>
      <c r="D356" t="s">
        <v>1553</v>
      </c>
      <c r="E356" s="731">
        <v>592</v>
      </c>
    </row>
    <row r="357" spans="2:5">
      <c r="B357" s="830"/>
      <c r="C357" s="178" t="s">
        <v>1067</v>
      </c>
      <c r="D357" t="s">
        <v>1553</v>
      </c>
      <c r="E357" s="731">
        <v>20542</v>
      </c>
    </row>
    <row r="358" spans="2:5">
      <c r="B358" s="830"/>
      <c r="C358" s="178" t="s">
        <v>8100</v>
      </c>
      <c r="D358" t="s">
        <v>1553</v>
      </c>
      <c r="E358" s="731">
        <v>900000</v>
      </c>
    </row>
    <row r="359" spans="2:5">
      <c r="B359" s="831" t="s">
        <v>8191</v>
      </c>
      <c r="C359" s="831"/>
      <c r="D359" s="831"/>
      <c r="E359" s="834">
        <v>2800621</v>
      </c>
    </row>
    <row r="360" spans="2:5">
      <c r="B360" s="830" t="s">
        <v>188</v>
      </c>
      <c r="C360" s="178" t="s">
        <v>1066</v>
      </c>
      <c r="D360" t="s">
        <v>1554</v>
      </c>
      <c r="E360" s="731">
        <v>6476</v>
      </c>
    </row>
    <row r="361" spans="2:5">
      <c r="B361" s="830"/>
      <c r="C361" s="178" t="s">
        <v>1069</v>
      </c>
      <c r="D361" t="s">
        <v>1553</v>
      </c>
      <c r="E361" s="731">
        <v>463</v>
      </c>
    </row>
    <row r="362" spans="2:5">
      <c r="B362" s="830"/>
      <c r="C362" s="178" t="s">
        <v>8099</v>
      </c>
      <c r="D362" t="s">
        <v>1598</v>
      </c>
      <c r="E362" s="731">
        <v>600237</v>
      </c>
    </row>
    <row r="363" spans="2:5">
      <c r="B363" s="830"/>
      <c r="C363" s="178" t="s">
        <v>8096</v>
      </c>
      <c r="D363" t="s">
        <v>1554</v>
      </c>
      <c r="E363" s="731">
        <v>563016</v>
      </c>
    </row>
    <row r="364" spans="2:5">
      <c r="B364" s="830"/>
      <c r="C364" s="178" t="s">
        <v>8100</v>
      </c>
      <c r="D364" t="s">
        <v>1553</v>
      </c>
      <c r="E364" s="731">
        <v>473974</v>
      </c>
    </row>
    <row r="365" spans="2:5">
      <c r="B365" s="830"/>
      <c r="C365" s="178" t="s">
        <v>8100</v>
      </c>
      <c r="D365" t="s">
        <v>1554</v>
      </c>
      <c r="E365" s="731">
        <v>918848</v>
      </c>
    </row>
    <row r="366" spans="2:5">
      <c r="B366" s="831" t="s">
        <v>8192</v>
      </c>
      <c r="C366" s="831"/>
      <c r="D366" s="831"/>
      <c r="E366" s="834">
        <v>2563014</v>
      </c>
    </row>
    <row r="367" spans="2:5">
      <c r="B367" s="830" t="s">
        <v>7939</v>
      </c>
      <c r="C367" s="178" t="s">
        <v>1066</v>
      </c>
      <c r="D367" t="s">
        <v>1553</v>
      </c>
      <c r="E367" s="731">
        <v>563611</v>
      </c>
    </row>
    <row r="368" spans="2:5">
      <c r="B368" s="830"/>
      <c r="C368" s="178" t="s">
        <v>1066</v>
      </c>
      <c r="D368" t="s">
        <v>8186</v>
      </c>
      <c r="E368" s="731">
        <v>135193</v>
      </c>
    </row>
    <row r="369" spans="2:5">
      <c r="B369" s="830"/>
      <c r="C369" s="178" t="s">
        <v>1069</v>
      </c>
      <c r="D369" t="s">
        <v>1553</v>
      </c>
      <c r="E369" s="731">
        <v>53998</v>
      </c>
    </row>
    <row r="370" spans="2:5">
      <c r="B370" s="830"/>
      <c r="C370" s="178" t="s">
        <v>8099</v>
      </c>
      <c r="D370" t="s">
        <v>1552</v>
      </c>
      <c r="E370" s="731">
        <v>480737</v>
      </c>
    </row>
    <row r="371" spans="2:5">
      <c r="B371" s="830"/>
      <c r="C371" s="178" t="s">
        <v>8099</v>
      </c>
      <c r="D371" t="s">
        <v>8245</v>
      </c>
      <c r="E371" s="731">
        <v>123945</v>
      </c>
    </row>
    <row r="372" spans="2:5">
      <c r="B372" s="830"/>
      <c r="C372" s="178" t="s">
        <v>8096</v>
      </c>
      <c r="D372" t="s">
        <v>1553</v>
      </c>
      <c r="E372" s="731">
        <v>628269</v>
      </c>
    </row>
    <row r="373" spans="2:5">
      <c r="B373" s="830"/>
      <c r="C373" s="178" t="s">
        <v>1067</v>
      </c>
      <c r="D373" t="s">
        <v>1553</v>
      </c>
      <c r="E373" s="731">
        <v>6982</v>
      </c>
    </row>
    <row r="374" spans="2:5">
      <c r="B374" s="830"/>
      <c r="C374" s="178" t="s">
        <v>8100</v>
      </c>
      <c r="D374" t="s">
        <v>1553</v>
      </c>
      <c r="E374" s="731">
        <v>324592</v>
      </c>
    </row>
    <row r="375" spans="2:5">
      <c r="B375" s="831" t="s">
        <v>8143</v>
      </c>
      <c r="C375" s="831"/>
      <c r="D375" s="831"/>
      <c r="E375" s="834">
        <v>2317327</v>
      </c>
    </row>
    <row r="376" spans="2:5">
      <c r="B376" s="830" t="s">
        <v>6973</v>
      </c>
      <c r="C376" s="178" t="s">
        <v>1061</v>
      </c>
      <c r="D376" t="s">
        <v>10688</v>
      </c>
      <c r="E376" s="731">
        <v>0</v>
      </c>
    </row>
    <row r="377" spans="2:5">
      <c r="B377" s="830"/>
      <c r="C377" s="178" t="s">
        <v>1066</v>
      </c>
      <c r="D377" t="s">
        <v>1553</v>
      </c>
      <c r="E377" s="731">
        <v>1242</v>
      </c>
    </row>
    <row r="378" spans="2:5">
      <c r="B378" s="830"/>
      <c r="C378" s="178" t="s">
        <v>8099</v>
      </c>
      <c r="D378" t="s">
        <v>1552</v>
      </c>
      <c r="E378" s="731">
        <v>606129</v>
      </c>
    </row>
    <row r="379" spans="2:5">
      <c r="B379" s="830"/>
      <c r="C379" s="178" t="s">
        <v>8096</v>
      </c>
      <c r="D379" t="s">
        <v>1553</v>
      </c>
      <c r="E379" s="731">
        <v>709985</v>
      </c>
    </row>
    <row r="380" spans="2:5">
      <c r="B380" s="830"/>
      <c r="C380" s="178" t="s">
        <v>1067</v>
      </c>
      <c r="D380" t="s">
        <v>1553</v>
      </c>
      <c r="E380" s="731">
        <v>5759</v>
      </c>
    </row>
    <row r="381" spans="2:5">
      <c r="B381" s="830"/>
      <c r="C381" s="178" t="s">
        <v>8100</v>
      </c>
      <c r="D381" t="s">
        <v>1553</v>
      </c>
      <c r="E381" s="731">
        <v>650613</v>
      </c>
    </row>
    <row r="382" spans="2:5">
      <c r="B382" s="831" t="s">
        <v>10202</v>
      </c>
      <c r="C382" s="831"/>
      <c r="D382" s="831"/>
      <c r="E382" s="834">
        <v>1973728</v>
      </c>
    </row>
    <row r="383" spans="2:5">
      <c r="B383" s="830" t="s">
        <v>75</v>
      </c>
      <c r="C383" s="178" t="s">
        <v>1066</v>
      </c>
      <c r="D383" t="s">
        <v>1553</v>
      </c>
      <c r="E383" s="731">
        <v>4200</v>
      </c>
    </row>
    <row r="384" spans="2:5">
      <c r="B384" s="830"/>
      <c r="C384" s="178" t="s">
        <v>1069</v>
      </c>
      <c r="D384" t="s">
        <v>1553</v>
      </c>
      <c r="E384" s="731">
        <v>234</v>
      </c>
    </row>
    <row r="385" spans="2:5">
      <c r="B385" s="830"/>
      <c r="C385" s="178" t="s">
        <v>8096</v>
      </c>
      <c r="D385" t="s">
        <v>1553</v>
      </c>
      <c r="E385" s="731">
        <v>162807</v>
      </c>
    </row>
    <row r="386" spans="2:5">
      <c r="B386" s="830"/>
      <c r="C386" s="178" t="s">
        <v>8119</v>
      </c>
      <c r="D386" t="s">
        <v>1553</v>
      </c>
      <c r="E386" s="731">
        <v>4450</v>
      </c>
    </row>
    <row r="387" spans="2:5">
      <c r="B387" s="830"/>
      <c r="C387" s="178" t="s">
        <v>1067</v>
      </c>
      <c r="D387" t="s">
        <v>1553</v>
      </c>
      <c r="E387" s="731">
        <v>21263</v>
      </c>
    </row>
    <row r="388" spans="2:5">
      <c r="B388" s="830"/>
      <c r="C388" s="178" t="s">
        <v>8102</v>
      </c>
      <c r="D388" t="s">
        <v>1553</v>
      </c>
      <c r="E388" s="731">
        <v>1711714</v>
      </c>
    </row>
    <row r="389" spans="2:5">
      <c r="B389" s="830"/>
      <c r="C389" s="178" t="s">
        <v>8100</v>
      </c>
      <c r="D389" t="s">
        <v>1553</v>
      </c>
      <c r="E389" s="731">
        <v>5857</v>
      </c>
    </row>
    <row r="390" spans="2:5">
      <c r="B390" s="831" t="s">
        <v>8193</v>
      </c>
      <c r="C390" s="831"/>
      <c r="D390" s="831"/>
      <c r="E390" s="834">
        <v>1910525</v>
      </c>
    </row>
    <row r="391" spans="2:5">
      <c r="B391" s="830" t="s">
        <v>701</v>
      </c>
      <c r="C391" s="178" t="s">
        <v>1061</v>
      </c>
      <c r="D391" t="s">
        <v>8273</v>
      </c>
      <c r="E391" s="731">
        <v>289428</v>
      </c>
    </row>
    <row r="392" spans="2:5">
      <c r="B392" s="830"/>
      <c r="C392" s="178" t="s">
        <v>8121</v>
      </c>
      <c r="D392" t="s">
        <v>1553</v>
      </c>
      <c r="E392" s="731">
        <v>3648</v>
      </c>
    </row>
    <row r="393" spans="2:5">
      <c r="B393" s="830"/>
      <c r="C393" s="178" t="s">
        <v>1069</v>
      </c>
      <c r="D393" t="s">
        <v>1553</v>
      </c>
      <c r="E393" s="731">
        <v>468</v>
      </c>
    </row>
    <row r="394" spans="2:5">
      <c r="B394" s="830"/>
      <c r="C394" s="178" t="s">
        <v>8099</v>
      </c>
      <c r="D394" t="s">
        <v>1552</v>
      </c>
      <c r="E394" s="731">
        <v>875275</v>
      </c>
    </row>
    <row r="395" spans="2:5">
      <c r="B395" s="830"/>
      <c r="C395" s="178" t="s">
        <v>8096</v>
      </c>
      <c r="D395" t="s">
        <v>1553</v>
      </c>
      <c r="E395" s="731">
        <v>56617</v>
      </c>
    </row>
    <row r="396" spans="2:5">
      <c r="B396" s="830"/>
      <c r="C396" s="178" t="s">
        <v>1067</v>
      </c>
      <c r="D396" t="s">
        <v>1553</v>
      </c>
      <c r="E396" s="731">
        <v>3231</v>
      </c>
    </row>
    <row r="397" spans="2:5">
      <c r="B397" s="830"/>
      <c r="C397" s="178" t="s">
        <v>8100</v>
      </c>
      <c r="D397" t="s">
        <v>1553</v>
      </c>
      <c r="E397" s="731">
        <v>614126</v>
      </c>
    </row>
    <row r="398" spans="2:5">
      <c r="B398" s="831" t="s">
        <v>8203</v>
      </c>
      <c r="C398" s="831"/>
      <c r="D398" s="831"/>
      <c r="E398" s="834">
        <v>1842793</v>
      </c>
    </row>
    <row r="399" spans="2:5">
      <c r="B399" s="830" t="s">
        <v>6974</v>
      </c>
      <c r="C399" s="178" t="s">
        <v>1066</v>
      </c>
      <c r="D399" t="s">
        <v>8186</v>
      </c>
      <c r="E399" s="731">
        <v>31178</v>
      </c>
    </row>
    <row r="400" spans="2:5">
      <c r="B400" s="830"/>
      <c r="C400" s="178" t="s">
        <v>1066</v>
      </c>
      <c r="D400" t="s">
        <v>1565</v>
      </c>
      <c r="E400" s="731">
        <v>86984</v>
      </c>
    </row>
    <row r="401" spans="2:5">
      <c r="B401" s="830"/>
      <c r="C401" s="178" t="s">
        <v>1069</v>
      </c>
      <c r="D401" t="s">
        <v>1553</v>
      </c>
      <c r="E401" s="731">
        <v>695</v>
      </c>
    </row>
    <row r="402" spans="2:5">
      <c r="B402" s="830"/>
      <c r="C402" s="178" t="s">
        <v>8099</v>
      </c>
      <c r="D402" t="s">
        <v>8278</v>
      </c>
      <c r="E402" s="731">
        <v>7438</v>
      </c>
    </row>
    <row r="403" spans="2:5">
      <c r="B403" s="830"/>
      <c r="C403" s="178" t="s">
        <v>8099</v>
      </c>
      <c r="D403" t="s">
        <v>8279</v>
      </c>
      <c r="E403" s="731">
        <v>466</v>
      </c>
    </row>
    <row r="404" spans="2:5">
      <c r="B404" s="830"/>
      <c r="C404" s="178" t="s">
        <v>8099</v>
      </c>
      <c r="D404" t="s">
        <v>1605</v>
      </c>
      <c r="E404" s="731">
        <v>62191</v>
      </c>
    </row>
    <row r="405" spans="2:5">
      <c r="B405" s="830"/>
      <c r="C405" s="178" t="s">
        <v>8096</v>
      </c>
      <c r="D405" t="s">
        <v>1581</v>
      </c>
      <c r="E405" s="731">
        <v>20482</v>
      </c>
    </row>
    <row r="406" spans="2:5">
      <c r="B406" s="830"/>
      <c r="C406" s="178" t="s">
        <v>8096</v>
      </c>
      <c r="D406" t="s">
        <v>1553</v>
      </c>
      <c r="E406" s="731">
        <v>12395</v>
      </c>
    </row>
    <row r="407" spans="2:5">
      <c r="B407" s="830"/>
      <c r="C407" s="178" t="s">
        <v>8096</v>
      </c>
      <c r="D407" t="s">
        <v>8186</v>
      </c>
      <c r="E407" s="731">
        <v>518907</v>
      </c>
    </row>
    <row r="408" spans="2:5">
      <c r="B408" s="830"/>
      <c r="C408" s="178" t="s">
        <v>8096</v>
      </c>
      <c r="D408" t="s">
        <v>1565</v>
      </c>
      <c r="E408" s="731">
        <v>63658</v>
      </c>
    </row>
    <row r="409" spans="2:5">
      <c r="B409" s="830"/>
      <c r="C409" s="178" t="s">
        <v>8102</v>
      </c>
      <c r="D409" t="s">
        <v>8186</v>
      </c>
      <c r="E409" s="731">
        <v>361250</v>
      </c>
    </row>
    <row r="410" spans="2:5">
      <c r="B410" s="830"/>
      <c r="C410" s="178" t="s">
        <v>8100</v>
      </c>
      <c r="D410" t="s">
        <v>1553</v>
      </c>
      <c r="E410" s="731">
        <v>171272</v>
      </c>
    </row>
    <row r="411" spans="2:5">
      <c r="B411" s="830"/>
      <c r="C411" s="178" t="s">
        <v>8100</v>
      </c>
      <c r="D411" t="s">
        <v>8186</v>
      </c>
      <c r="E411" s="731">
        <v>181802</v>
      </c>
    </row>
    <row r="412" spans="2:5">
      <c r="B412" s="831" t="s">
        <v>8195</v>
      </c>
      <c r="C412" s="831"/>
      <c r="D412" s="831"/>
      <c r="E412" s="834">
        <v>1518718</v>
      </c>
    </row>
    <row r="413" spans="2:5">
      <c r="B413" s="830" t="s">
        <v>6972</v>
      </c>
      <c r="C413" s="178" t="s">
        <v>1061</v>
      </c>
      <c r="D413" t="s">
        <v>10689</v>
      </c>
      <c r="E413" s="731">
        <v>52000</v>
      </c>
    </row>
    <row r="414" spans="2:5">
      <c r="B414" s="830"/>
      <c r="C414" s="178" t="s">
        <v>1066</v>
      </c>
      <c r="D414" t="s">
        <v>1554</v>
      </c>
      <c r="E414" s="731">
        <v>875</v>
      </c>
    </row>
    <row r="415" spans="2:5">
      <c r="B415" s="830"/>
      <c r="C415" s="178" t="s">
        <v>1069</v>
      </c>
      <c r="D415" t="s">
        <v>1553</v>
      </c>
      <c r="E415" s="731">
        <v>10021</v>
      </c>
    </row>
    <row r="416" spans="2:5">
      <c r="B416" s="830"/>
      <c r="C416" s="178" t="s">
        <v>8099</v>
      </c>
      <c r="D416" t="s">
        <v>8251</v>
      </c>
      <c r="E416" s="731">
        <v>412710</v>
      </c>
    </row>
    <row r="417" spans="2:5">
      <c r="B417" s="830"/>
      <c r="C417" s="178" t="s">
        <v>8096</v>
      </c>
      <c r="D417" t="s">
        <v>1553</v>
      </c>
      <c r="E417" s="731">
        <v>530930</v>
      </c>
    </row>
    <row r="418" spans="2:5">
      <c r="B418" s="830"/>
      <c r="C418" s="178" t="s">
        <v>8119</v>
      </c>
      <c r="D418" t="s">
        <v>1553</v>
      </c>
      <c r="E418" s="731">
        <v>2386</v>
      </c>
    </row>
    <row r="419" spans="2:5">
      <c r="B419" s="830"/>
      <c r="C419" s="178" t="s">
        <v>1067</v>
      </c>
      <c r="D419" t="s">
        <v>1553</v>
      </c>
      <c r="E419" s="731">
        <v>10957</v>
      </c>
    </row>
    <row r="420" spans="2:5">
      <c r="B420" s="830"/>
      <c r="C420" s="178" t="s">
        <v>8100</v>
      </c>
      <c r="D420" t="s">
        <v>1553</v>
      </c>
      <c r="E420" s="731">
        <v>430600</v>
      </c>
    </row>
    <row r="421" spans="2:5">
      <c r="B421" s="831" t="s">
        <v>8198</v>
      </c>
      <c r="C421" s="831"/>
      <c r="D421" s="831"/>
      <c r="E421" s="834">
        <v>1450479</v>
      </c>
    </row>
    <row r="422" spans="2:5">
      <c r="B422" s="830" t="s">
        <v>755</v>
      </c>
      <c r="C422" s="178" t="s">
        <v>7944</v>
      </c>
      <c r="D422" t="s">
        <v>8196</v>
      </c>
      <c r="E422" s="731">
        <v>197007</v>
      </c>
    </row>
    <row r="423" spans="2:5">
      <c r="B423" s="830"/>
      <c r="C423" s="178" t="s">
        <v>7930</v>
      </c>
      <c r="D423" t="s">
        <v>8196</v>
      </c>
      <c r="E423" s="731">
        <v>777651</v>
      </c>
    </row>
    <row r="424" spans="2:5">
      <c r="B424" s="830"/>
      <c r="C424" s="178" t="s">
        <v>7931</v>
      </c>
      <c r="D424" t="s">
        <v>8196</v>
      </c>
      <c r="E424" s="731">
        <v>203241</v>
      </c>
    </row>
    <row r="425" spans="2:5">
      <c r="B425" s="831" t="s">
        <v>8197</v>
      </c>
      <c r="C425" s="831"/>
      <c r="D425" s="831"/>
      <c r="E425" s="834">
        <v>1177899</v>
      </c>
    </row>
    <row r="426" spans="2:5">
      <c r="B426" s="830" t="s">
        <v>2793</v>
      </c>
      <c r="C426" s="178" t="s">
        <v>1061</v>
      </c>
      <c r="D426" t="s">
        <v>8275</v>
      </c>
      <c r="E426" s="731">
        <v>1053675</v>
      </c>
    </row>
    <row r="427" spans="2:5">
      <c r="B427" s="831" t="s">
        <v>8276</v>
      </c>
      <c r="C427" s="831"/>
      <c r="D427" s="831"/>
      <c r="E427" s="834">
        <v>1053675</v>
      </c>
    </row>
    <row r="428" spans="2:5">
      <c r="B428" s="830" t="s">
        <v>763</v>
      </c>
      <c r="C428" s="178" t="s">
        <v>7944</v>
      </c>
      <c r="D428" t="s">
        <v>8196</v>
      </c>
      <c r="E428" s="731">
        <v>471286</v>
      </c>
    </row>
    <row r="429" spans="2:5">
      <c r="B429" s="830"/>
      <c r="C429" s="178" t="s">
        <v>7934</v>
      </c>
      <c r="D429" t="s">
        <v>8196</v>
      </c>
      <c r="E429" s="731">
        <v>430848</v>
      </c>
    </row>
    <row r="430" spans="2:5">
      <c r="B430" s="831" t="s">
        <v>8200</v>
      </c>
      <c r="C430" s="831"/>
      <c r="D430" s="831"/>
      <c r="E430" s="834">
        <v>902134</v>
      </c>
    </row>
    <row r="431" spans="2:5">
      <c r="B431" s="830" t="s">
        <v>759</v>
      </c>
      <c r="C431" s="178" t="s">
        <v>7944</v>
      </c>
      <c r="D431" t="s">
        <v>8196</v>
      </c>
      <c r="E431" s="731">
        <v>131261</v>
      </c>
    </row>
    <row r="432" spans="2:5">
      <c r="B432" s="830"/>
      <c r="C432" s="178" t="s">
        <v>7930</v>
      </c>
      <c r="D432" t="s">
        <v>8196</v>
      </c>
      <c r="E432" s="731">
        <v>534551</v>
      </c>
    </row>
    <row r="433" spans="2:5">
      <c r="B433" s="830"/>
      <c r="C433" s="178" t="s">
        <v>7931</v>
      </c>
      <c r="D433" t="s">
        <v>8196</v>
      </c>
      <c r="E433" s="731">
        <v>118585</v>
      </c>
    </row>
    <row r="434" spans="2:5">
      <c r="B434" s="831" t="s">
        <v>8201</v>
      </c>
      <c r="C434" s="831"/>
      <c r="D434" s="831"/>
      <c r="E434" s="834">
        <v>784397</v>
      </c>
    </row>
    <row r="435" spans="2:5">
      <c r="B435" s="830" t="s">
        <v>765</v>
      </c>
      <c r="C435" s="178" t="s">
        <v>7944</v>
      </c>
      <c r="D435" t="s">
        <v>8196</v>
      </c>
      <c r="E435" s="731">
        <v>387948</v>
      </c>
    </row>
    <row r="436" spans="2:5">
      <c r="B436" s="830"/>
      <c r="C436" s="178" t="s">
        <v>7930</v>
      </c>
      <c r="D436" t="s">
        <v>8196</v>
      </c>
      <c r="E436" s="731">
        <v>45897</v>
      </c>
    </row>
    <row r="437" spans="2:5">
      <c r="B437" s="830"/>
      <c r="C437" s="178" t="s">
        <v>7934</v>
      </c>
      <c r="D437" t="s">
        <v>8196</v>
      </c>
      <c r="E437" s="731">
        <v>312700</v>
      </c>
    </row>
    <row r="438" spans="2:5">
      <c r="B438" s="831" t="s">
        <v>8202</v>
      </c>
      <c r="C438" s="831"/>
      <c r="D438" s="831"/>
      <c r="E438" s="834">
        <v>746545</v>
      </c>
    </row>
    <row r="439" spans="2:5">
      <c r="B439" s="830" t="s">
        <v>978</v>
      </c>
      <c r="C439" s="178" t="s">
        <v>8099</v>
      </c>
      <c r="D439" t="s">
        <v>1598</v>
      </c>
      <c r="E439" s="731">
        <v>550497</v>
      </c>
    </row>
    <row r="440" spans="2:5">
      <c r="B440" s="830"/>
      <c r="C440" s="178" t="s">
        <v>8102</v>
      </c>
      <c r="D440" t="s">
        <v>1554</v>
      </c>
      <c r="E440" s="731">
        <v>23340</v>
      </c>
    </row>
    <row r="441" spans="2:5">
      <c r="B441" s="831" t="s">
        <v>8216</v>
      </c>
      <c r="C441" s="831"/>
      <c r="D441" s="831"/>
      <c r="E441" s="834">
        <v>573837</v>
      </c>
    </row>
    <row r="442" spans="2:5">
      <c r="B442" s="830" t="s">
        <v>761</v>
      </c>
      <c r="C442" s="178" t="s">
        <v>7944</v>
      </c>
      <c r="D442" t="s">
        <v>8196</v>
      </c>
      <c r="E442" s="731">
        <v>73802</v>
      </c>
    </row>
    <row r="443" spans="2:5">
      <c r="B443" s="830"/>
      <c r="C443" s="178" t="s">
        <v>7930</v>
      </c>
      <c r="D443" t="s">
        <v>8196</v>
      </c>
      <c r="E443" s="731">
        <v>295222</v>
      </c>
    </row>
    <row r="444" spans="2:5">
      <c r="B444" s="830"/>
      <c r="C444" s="178" t="s">
        <v>7931</v>
      </c>
      <c r="D444" t="s">
        <v>8196</v>
      </c>
      <c r="E444" s="731">
        <v>67932</v>
      </c>
    </row>
    <row r="445" spans="2:5">
      <c r="B445" s="831" t="s">
        <v>8204</v>
      </c>
      <c r="C445" s="831"/>
      <c r="D445" s="831"/>
      <c r="E445" s="834">
        <v>436956</v>
      </c>
    </row>
    <row r="446" spans="2:5">
      <c r="B446" s="830" t="s">
        <v>692</v>
      </c>
      <c r="C446" s="178" t="s">
        <v>10197</v>
      </c>
      <c r="D446" t="s">
        <v>8205</v>
      </c>
      <c r="E446" s="731">
        <v>152</v>
      </c>
    </row>
    <row r="447" spans="2:5">
      <c r="B447" s="830"/>
      <c r="C447" s="178" t="s">
        <v>1061</v>
      </c>
      <c r="D447" t="s">
        <v>10690</v>
      </c>
      <c r="E447" s="731">
        <v>0</v>
      </c>
    </row>
    <row r="448" spans="2:5">
      <c r="B448" s="830"/>
      <c r="C448" s="178" t="s">
        <v>1069</v>
      </c>
      <c r="D448" t="s">
        <v>8205</v>
      </c>
      <c r="E448" s="731">
        <v>7548</v>
      </c>
    </row>
    <row r="449" spans="2:5">
      <c r="B449" s="830"/>
      <c r="C449" s="178" t="s">
        <v>8099</v>
      </c>
      <c r="D449" t="s">
        <v>1593</v>
      </c>
      <c r="E449" s="731">
        <v>155116</v>
      </c>
    </row>
    <row r="450" spans="2:5">
      <c r="B450" s="830"/>
      <c r="C450" s="178" t="s">
        <v>8096</v>
      </c>
      <c r="D450" t="s">
        <v>8205</v>
      </c>
      <c r="E450" s="731">
        <v>260512</v>
      </c>
    </row>
    <row r="451" spans="2:5">
      <c r="B451" s="831" t="s">
        <v>8144</v>
      </c>
      <c r="C451" s="831"/>
      <c r="D451" s="831"/>
      <c r="E451" s="834">
        <v>423328</v>
      </c>
    </row>
    <row r="452" spans="2:5">
      <c r="B452" s="830" t="s">
        <v>990</v>
      </c>
      <c r="C452" s="178" t="s">
        <v>1061</v>
      </c>
      <c r="D452" t="s">
        <v>10691</v>
      </c>
      <c r="E452" s="731">
        <v>0</v>
      </c>
    </row>
    <row r="453" spans="2:5">
      <c r="B453" s="830"/>
      <c r="C453" s="178" t="s">
        <v>8099</v>
      </c>
      <c r="D453" t="s">
        <v>8251</v>
      </c>
      <c r="E453" s="731">
        <v>161751</v>
      </c>
    </row>
    <row r="454" spans="2:5">
      <c r="B454" s="830"/>
      <c r="C454" s="178" t="s">
        <v>8096</v>
      </c>
      <c r="D454" t="s">
        <v>1553</v>
      </c>
      <c r="E454" s="731">
        <v>11325</v>
      </c>
    </row>
    <row r="455" spans="2:5">
      <c r="B455" s="830"/>
      <c r="C455" s="178" t="s">
        <v>1067</v>
      </c>
      <c r="D455" t="s">
        <v>1553</v>
      </c>
      <c r="E455" s="731">
        <v>6175</v>
      </c>
    </row>
    <row r="456" spans="2:5">
      <c r="B456" s="830"/>
      <c r="C456" s="178" t="s">
        <v>8100</v>
      </c>
      <c r="D456" t="s">
        <v>1553</v>
      </c>
      <c r="E456" s="731">
        <v>228375</v>
      </c>
    </row>
    <row r="457" spans="2:5">
      <c r="B457" s="831" t="s">
        <v>8206</v>
      </c>
      <c r="C457" s="831"/>
      <c r="D457" s="831"/>
      <c r="E457" s="834">
        <v>407626</v>
      </c>
    </row>
    <row r="458" spans="2:5">
      <c r="B458" s="830" t="s">
        <v>7209</v>
      </c>
      <c r="C458" s="178" t="s">
        <v>1061</v>
      </c>
      <c r="D458" t="s">
        <v>8277</v>
      </c>
      <c r="E458" s="731">
        <v>56802</v>
      </c>
    </row>
    <row r="459" spans="2:5">
      <c r="B459" s="830"/>
      <c r="C459" s="178" t="s">
        <v>1066</v>
      </c>
      <c r="D459" t="s">
        <v>1553</v>
      </c>
      <c r="E459" s="731">
        <v>15925</v>
      </c>
    </row>
    <row r="460" spans="2:5">
      <c r="B460" s="830"/>
      <c r="C460" s="178" t="s">
        <v>1066</v>
      </c>
      <c r="D460" t="s">
        <v>1554</v>
      </c>
      <c r="E460" s="731">
        <v>1114</v>
      </c>
    </row>
    <row r="461" spans="2:5">
      <c r="B461" s="830"/>
      <c r="C461" s="178" t="s">
        <v>1069</v>
      </c>
      <c r="D461" t="s">
        <v>1553</v>
      </c>
      <c r="E461" s="731">
        <v>973</v>
      </c>
    </row>
    <row r="462" spans="2:5">
      <c r="B462" s="830"/>
      <c r="C462" s="178" t="s">
        <v>8099</v>
      </c>
      <c r="D462" t="s">
        <v>1555</v>
      </c>
      <c r="E462" s="731">
        <v>123739</v>
      </c>
    </row>
    <row r="463" spans="2:5">
      <c r="B463" s="830"/>
      <c r="C463" s="178" t="s">
        <v>8096</v>
      </c>
      <c r="D463" t="s">
        <v>1553</v>
      </c>
      <c r="E463" s="731">
        <v>114969</v>
      </c>
    </row>
    <row r="464" spans="2:5">
      <c r="B464" s="830"/>
      <c r="C464" s="178" t="s">
        <v>8119</v>
      </c>
      <c r="D464" t="s">
        <v>1553</v>
      </c>
      <c r="E464" s="731">
        <v>1201</v>
      </c>
    </row>
    <row r="465" spans="2:5">
      <c r="B465" s="830"/>
      <c r="C465" s="178" t="s">
        <v>8100</v>
      </c>
      <c r="D465" t="s">
        <v>1553</v>
      </c>
      <c r="E465" s="731">
        <v>40049</v>
      </c>
    </row>
    <row r="466" spans="2:5">
      <c r="B466" s="831" t="s">
        <v>8208</v>
      </c>
      <c r="C466" s="831"/>
      <c r="D466" s="831"/>
      <c r="E466" s="834">
        <v>354772</v>
      </c>
    </row>
    <row r="467" spans="2:5">
      <c r="B467" s="830" t="s">
        <v>6979</v>
      </c>
      <c r="C467" s="178" t="s">
        <v>1066</v>
      </c>
      <c r="D467" t="s">
        <v>1553</v>
      </c>
      <c r="E467" s="731">
        <v>128893</v>
      </c>
    </row>
    <row r="468" spans="2:5">
      <c r="B468" s="830"/>
      <c r="C468" s="178" t="s">
        <v>1069</v>
      </c>
      <c r="D468" t="s">
        <v>1553</v>
      </c>
      <c r="E468" s="731">
        <v>278</v>
      </c>
    </row>
    <row r="469" spans="2:5">
      <c r="B469" s="830"/>
      <c r="C469" s="178" t="s">
        <v>8099</v>
      </c>
      <c r="D469" t="s">
        <v>2835</v>
      </c>
      <c r="E469" s="731">
        <v>148774</v>
      </c>
    </row>
    <row r="470" spans="2:5">
      <c r="B470" s="830"/>
      <c r="C470" s="178" t="s">
        <v>8096</v>
      </c>
      <c r="D470" t="s">
        <v>1553</v>
      </c>
      <c r="E470" s="731">
        <v>45667</v>
      </c>
    </row>
    <row r="471" spans="2:5">
      <c r="B471" s="830"/>
      <c r="C471" s="178" t="s">
        <v>8102</v>
      </c>
      <c r="D471" t="s">
        <v>1553</v>
      </c>
      <c r="E471" s="731">
        <v>5000</v>
      </c>
    </row>
    <row r="472" spans="2:5">
      <c r="B472" s="830"/>
      <c r="C472" s="178" t="s">
        <v>8100</v>
      </c>
      <c r="D472" t="s">
        <v>1553</v>
      </c>
      <c r="E472" s="731">
        <v>13535</v>
      </c>
    </row>
    <row r="473" spans="2:5">
      <c r="B473" s="831" t="s">
        <v>8207</v>
      </c>
      <c r="C473" s="831"/>
      <c r="D473" s="831"/>
      <c r="E473" s="834">
        <v>342147</v>
      </c>
    </row>
    <row r="474" spans="2:5">
      <c r="B474" s="830" t="s">
        <v>985</v>
      </c>
      <c r="C474" s="178" t="s">
        <v>10197</v>
      </c>
      <c r="D474" t="s">
        <v>1581</v>
      </c>
      <c r="E474" s="731">
        <v>286</v>
      </c>
    </row>
    <row r="475" spans="2:5">
      <c r="B475" s="830"/>
      <c r="C475" s="178" t="s">
        <v>8099</v>
      </c>
      <c r="D475" t="s">
        <v>8279</v>
      </c>
      <c r="E475" s="731">
        <v>2559</v>
      </c>
    </row>
    <row r="476" spans="2:5">
      <c r="B476" s="830"/>
      <c r="C476" s="178" t="s">
        <v>8099</v>
      </c>
      <c r="D476" t="s">
        <v>1601</v>
      </c>
      <c r="E476" s="731">
        <v>33869</v>
      </c>
    </row>
    <row r="477" spans="2:5">
      <c r="B477" s="830"/>
      <c r="C477" s="178" t="s">
        <v>8096</v>
      </c>
      <c r="D477" t="s">
        <v>1581</v>
      </c>
      <c r="E477" s="731">
        <v>76381</v>
      </c>
    </row>
    <row r="478" spans="2:5">
      <c r="B478" s="830"/>
      <c r="C478" s="178" t="s">
        <v>8096</v>
      </c>
      <c r="D478" t="s">
        <v>1565</v>
      </c>
      <c r="E478" s="731">
        <v>100902</v>
      </c>
    </row>
    <row r="479" spans="2:5">
      <c r="B479" s="831" t="s">
        <v>8211</v>
      </c>
      <c r="C479" s="831"/>
      <c r="D479" s="831"/>
      <c r="E479" s="834">
        <v>213997</v>
      </c>
    </row>
    <row r="480" spans="2:5">
      <c r="B480" s="830" t="s">
        <v>1279</v>
      </c>
      <c r="C480" s="178" t="s">
        <v>10197</v>
      </c>
      <c r="D480" t="s">
        <v>1554</v>
      </c>
      <c r="E480" s="731">
        <v>408</v>
      </c>
    </row>
    <row r="481" spans="2:5">
      <c r="B481" s="830"/>
      <c r="C481" s="178" t="s">
        <v>8099</v>
      </c>
      <c r="D481" t="s">
        <v>8245</v>
      </c>
      <c r="E481" s="731">
        <v>51532</v>
      </c>
    </row>
    <row r="482" spans="2:5">
      <c r="B482" s="830"/>
      <c r="C482" s="178" t="s">
        <v>8096</v>
      </c>
      <c r="D482" t="s">
        <v>1553</v>
      </c>
      <c r="E482" s="731">
        <v>128167</v>
      </c>
    </row>
    <row r="483" spans="2:5">
      <c r="B483" s="831" t="s">
        <v>8235</v>
      </c>
      <c r="C483" s="831"/>
      <c r="D483" s="831"/>
      <c r="E483" s="834">
        <v>180107</v>
      </c>
    </row>
    <row r="484" spans="2:5">
      <c r="B484" s="830" t="s">
        <v>140</v>
      </c>
      <c r="C484" s="178" t="s">
        <v>1066</v>
      </c>
      <c r="D484" t="s">
        <v>1553</v>
      </c>
      <c r="E484" s="731">
        <v>51062</v>
      </c>
    </row>
    <row r="485" spans="2:5">
      <c r="B485" s="830"/>
      <c r="C485" s="178" t="s">
        <v>8119</v>
      </c>
      <c r="D485" t="s">
        <v>1553</v>
      </c>
      <c r="E485" s="731">
        <v>16789</v>
      </c>
    </row>
    <row r="486" spans="2:5">
      <c r="B486" s="830"/>
      <c r="C486" s="178" t="s">
        <v>1067</v>
      </c>
      <c r="D486" t="s">
        <v>1553</v>
      </c>
      <c r="E486" s="731">
        <v>5100</v>
      </c>
    </row>
    <row r="487" spans="2:5">
      <c r="B487" s="830"/>
      <c r="C487" s="178" t="s">
        <v>8100</v>
      </c>
      <c r="D487" t="s">
        <v>1553</v>
      </c>
      <c r="E487" s="731">
        <v>74082</v>
      </c>
    </row>
    <row r="488" spans="2:5">
      <c r="B488" s="831" t="s">
        <v>8209</v>
      </c>
      <c r="C488" s="831"/>
      <c r="D488" s="831"/>
      <c r="E488" s="834">
        <v>147033</v>
      </c>
    </row>
    <row r="489" spans="2:5">
      <c r="B489" s="830" t="s">
        <v>161</v>
      </c>
      <c r="C489" s="178" t="s">
        <v>8124</v>
      </c>
      <c r="D489" t="s">
        <v>8186</v>
      </c>
      <c r="E489" s="731">
        <v>8127</v>
      </c>
    </row>
    <row r="490" spans="2:5">
      <c r="B490" s="830"/>
      <c r="C490" s="178" t="s">
        <v>1066</v>
      </c>
      <c r="D490" t="s">
        <v>1553</v>
      </c>
      <c r="E490" s="731">
        <v>178</v>
      </c>
    </row>
    <row r="491" spans="2:5">
      <c r="B491" s="830"/>
      <c r="C491" s="178" t="s">
        <v>1066</v>
      </c>
      <c r="D491" t="s">
        <v>8186</v>
      </c>
      <c r="E491" s="731">
        <v>19636</v>
      </c>
    </row>
    <row r="492" spans="2:5">
      <c r="B492" s="830"/>
      <c r="C492" s="178" t="s">
        <v>1069</v>
      </c>
      <c r="D492" t="s">
        <v>1553</v>
      </c>
      <c r="E492" s="731">
        <v>2655</v>
      </c>
    </row>
    <row r="493" spans="2:5">
      <c r="B493" s="830"/>
      <c r="C493" s="178" t="s">
        <v>8096</v>
      </c>
      <c r="D493" t="s">
        <v>8186</v>
      </c>
      <c r="E493" s="731">
        <v>51762</v>
      </c>
    </row>
    <row r="494" spans="2:5">
      <c r="B494" s="830"/>
      <c r="C494" s="178" t="s">
        <v>8119</v>
      </c>
      <c r="D494" t="s">
        <v>1553</v>
      </c>
      <c r="E494" s="731">
        <v>1977</v>
      </c>
    </row>
    <row r="495" spans="2:5">
      <c r="B495" s="830"/>
      <c r="C495" s="178" t="s">
        <v>8102</v>
      </c>
      <c r="D495" t="s">
        <v>8186</v>
      </c>
      <c r="E495" s="731">
        <v>23335</v>
      </c>
    </row>
    <row r="496" spans="2:5">
      <c r="B496" s="830"/>
      <c r="C496" s="178" t="s">
        <v>8100</v>
      </c>
      <c r="D496" t="s">
        <v>1553</v>
      </c>
      <c r="E496" s="731">
        <v>4680</v>
      </c>
    </row>
    <row r="497" spans="2:5">
      <c r="B497" s="830"/>
      <c r="C497" s="178" t="s">
        <v>8100</v>
      </c>
      <c r="D497" t="s">
        <v>8186</v>
      </c>
      <c r="E497" s="731">
        <v>9660</v>
      </c>
    </row>
    <row r="498" spans="2:5">
      <c r="B498" s="831" t="s">
        <v>8210</v>
      </c>
      <c r="C498" s="831"/>
      <c r="D498" s="831"/>
      <c r="E498" s="834">
        <v>122010</v>
      </c>
    </row>
    <row r="499" spans="2:5">
      <c r="B499" s="830" t="s">
        <v>7941</v>
      </c>
      <c r="C499" s="178" t="s">
        <v>1066</v>
      </c>
      <c r="D499" t="s">
        <v>1554</v>
      </c>
      <c r="E499" s="731">
        <v>119252</v>
      </c>
    </row>
    <row r="500" spans="2:5">
      <c r="B500" s="831" t="s">
        <v>10203</v>
      </c>
      <c r="C500" s="831"/>
      <c r="D500" s="831"/>
      <c r="E500" s="834">
        <v>119252</v>
      </c>
    </row>
    <row r="501" spans="2:5">
      <c r="B501" s="830" t="s">
        <v>7978</v>
      </c>
      <c r="C501" s="178" t="s">
        <v>8099</v>
      </c>
      <c r="D501" t="s">
        <v>8251</v>
      </c>
      <c r="E501" s="731">
        <v>44508</v>
      </c>
    </row>
    <row r="502" spans="2:5">
      <c r="B502" s="830"/>
      <c r="C502" s="178" t="s">
        <v>8096</v>
      </c>
      <c r="D502" t="s">
        <v>1553</v>
      </c>
      <c r="E502" s="731">
        <v>50475</v>
      </c>
    </row>
    <row r="503" spans="2:5">
      <c r="B503" s="831" t="s">
        <v>10204</v>
      </c>
      <c r="C503" s="831"/>
      <c r="D503" s="831"/>
      <c r="E503" s="834">
        <v>94983</v>
      </c>
    </row>
    <row r="504" spans="2:5">
      <c r="B504" s="830" t="s">
        <v>7965</v>
      </c>
      <c r="C504" s="178" t="s">
        <v>1066</v>
      </c>
      <c r="D504" t="s">
        <v>1565</v>
      </c>
      <c r="E504" s="731">
        <v>82023</v>
      </c>
    </row>
    <row r="505" spans="2:5">
      <c r="B505" s="831" t="s">
        <v>10205</v>
      </c>
      <c r="C505" s="831"/>
      <c r="D505" s="831"/>
      <c r="E505" s="834">
        <v>82023</v>
      </c>
    </row>
    <row r="506" spans="2:5">
      <c r="B506" s="830" t="s">
        <v>404</v>
      </c>
      <c r="C506" s="178" t="s">
        <v>1066</v>
      </c>
      <c r="D506" t="s">
        <v>1565</v>
      </c>
      <c r="E506" s="731">
        <v>30804</v>
      </c>
    </row>
    <row r="507" spans="2:5">
      <c r="B507" s="830"/>
      <c r="C507" s="178" t="s">
        <v>8096</v>
      </c>
      <c r="D507" t="s">
        <v>1565</v>
      </c>
      <c r="E507" s="731">
        <v>44443</v>
      </c>
    </row>
    <row r="508" spans="2:5">
      <c r="B508" s="831" t="s">
        <v>10206</v>
      </c>
      <c r="C508" s="831"/>
      <c r="D508" s="831"/>
      <c r="E508" s="834">
        <v>75247</v>
      </c>
    </row>
    <row r="509" spans="2:5">
      <c r="B509" s="830" t="s">
        <v>7945</v>
      </c>
      <c r="C509" s="178" t="s">
        <v>8099</v>
      </c>
      <c r="D509" t="s">
        <v>8279</v>
      </c>
      <c r="E509" s="731">
        <v>3524</v>
      </c>
    </row>
    <row r="510" spans="2:5">
      <c r="B510" s="830"/>
      <c r="C510" s="178" t="s">
        <v>8099</v>
      </c>
      <c r="D510" t="s">
        <v>1601</v>
      </c>
      <c r="E510" s="731">
        <v>6860</v>
      </c>
    </row>
    <row r="511" spans="2:5">
      <c r="B511" s="830"/>
      <c r="C511" s="178" t="s">
        <v>8099</v>
      </c>
      <c r="D511" t="s">
        <v>1604</v>
      </c>
      <c r="E511" s="731">
        <v>795</v>
      </c>
    </row>
    <row r="512" spans="2:5">
      <c r="B512" s="830"/>
      <c r="C512" s="178" t="s">
        <v>8096</v>
      </c>
      <c r="D512" t="s">
        <v>1581</v>
      </c>
      <c r="E512" s="731">
        <v>50066</v>
      </c>
    </row>
    <row r="513" spans="2:5">
      <c r="B513" s="831" t="s">
        <v>8212</v>
      </c>
      <c r="C513" s="831"/>
      <c r="D513" s="831"/>
      <c r="E513" s="834">
        <v>61245</v>
      </c>
    </row>
    <row r="514" spans="2:5">
      <c r="B514" s="830" t="s">
        <v>5729</v>
      </c>
      <c r="C514" s="178" t="s">
        <v>8099</v>
      </c>
      <c r="D514" t="s">
        <v>1598</v>
      </c>
      <c r="E514" s="731">
        <v>54773</v>
      </c>
    </row>
    <row r="515" spans="2:5">
      <c r="B515" s="831" t="s">
        <v>8280</v>
      </c>
      <c r="C515" s="831"/>
      <c r="D515" s="831"/>
      <c r="E515" s="834">
        <v>54773</v>
      </c>
    </row>
    <row r="516" spans="2:5">
      <c r="B516" s="830" t="s">
        <v>7022</v>
      </c>
      <c r="C516" s="178" t="s">
        <v>1066</v>
      </c>
      <c r="D516" t="s">
        <v>1553</v>
      </c>
      <c r="E516" s="731">
        <v>49282</v>
      </c>
    </row>
    <row r="517" spans="2:5">
      <c r="B517" s="830"/>
      <c r="C517" s="178" t="s">
        <v>1069</v>
      </c>
      <c r="D517" t="s">
        <v>1553</v>
      </c>
      <c r="E517" s="731">
        <v>139</v>
      </c>
    </row>
    <row r="518" spans="2:5">
      <c r="B518" s="831" t="s">
        <v>10207</v>
      </c>
      <c r="C518" s="831"/>
      <c r="D518" s="831"/>
      <c r="E518" s="834">
        <v>49421</v>
      </c>
    </row>
    <row r="519" spans="2:5">
      <c r="B519" s="830" t="s">
        <v>709</v>
      </c>
      <c r="C519" s="178" t="s">
        <v>1066</v>
      </c>
      <c r="D519" t="s">
        <v>1581</v>
      </c>
      <c r="E519" s="731">
        <v>14618</v>
      </c>
    </row>
    <row r="520" spans="2:5">
      <c r="B520" s="830"/>
      <c r="C520" s="178" t="s">
        <v>8099</v>
      </c>
      <c r="D520" t="s">
        <v>8279</v>
      </c>
      <c r="E520" s="731">
        <v>9992</v>
      </c>
    </row>
    <row r="521" spans="2:5">
      <c r="B521" s="830"/>
      <c r="C521" s="178" t="s">
        <v>8099</v>
      </c>
      <c r="D521" t="s">
        <v>1601</v>
      </c>
      <c r="E521" s="731">
        <v>7892</v>
      </c>
    </row>
    <row r="522" spans="2:5">
      <c r="B522" s="830"/>
      <c r="C522" s="178" t="s">
        <v>8099</v>
      </c>
      <c r="D522" t="s">
        <v>1604</v>
      </c>
      <c r="E522" s="731">
        <v>908</v>
      </c>
    </row>
    <row r="523" spans="2:5">
      <c r="B523" s="830"/>
      <c r="C523" s="178" t="s">
        <v>8096</v>
      </c>
      <c r="D523" t="s">
        <v>1581</v>
      </c>
      <c r="E523" s="731">
        <v>13633</v>
      </c>
    </row>
    <row r="524" spans="2:5">
      <c r="B524" s="831" t="s">
        <v>8145</v>
      </c>
      <c r="C524" s="831"/>
      <c r="D524" s="831"/>
      <c r="E524" s="834">
        <v>47043</v>
      </c>
    </row>
    <row r="525" spans="2:5">
      <c r="B525" s="830" t="s">
        <v>8054</v>
      </c>
      <c r="C525" s="178" t="s">
        <v>8099</v>
      </c>
      <c r="D525" t="s">
        <v>8279</v>
      </c>
      <c r="E525" s="731">
        <v>6144</v>
      </c>
    </row>
    <row r="526" spans="2:5">
      <c r="B526" s="830"/>
      <c r="C526" s="178" t="s">
        <v>8099</v>
      </c>
      <c r="D526" t="s">
        <v>1601</v>
      </c>
      <c r="E526" s="731">
        <v>1108</v>
      </c>
    </row>
    <row r="527" spans="2:5">
      <c r="B527" s="830"/>
      <c r="C527" s="178" t="s">
        <v>8099</v>
      </c>
      <c r="D527" t="s">
        <v>1604</v>
      </c>
      <c r="E527" s="731">
        <v>4738</v>
      </c>
    </row>
    <row r="528" spans="2:5">
      <c r="B528" s="830"/>
      <c r="C528" s="178" t="s">
        <v>8096</v>
      </c>
      <c r="D528" t="s">
        <v>1581</v>
      </c>
      <c r="E528" s="731">
        <v>27326</v>
      </c>
    </row>
    <row r="529" spans="2:5">
      <c r="B529" s="831" t="s">
        <v>8215</v>
      </c>
      <c r="C529" s="831"/>
      <c r="D529" s="831"/>
      <c r="E529" s="834">
        <v>39316</v>
      </c>
    </row>
    <row r="530" spans="2:5">
      <c r="B530" s="830" t="s">
        <v>7006</v>
      </c>
      <c r="C530" s="178" t="s">
        <v>1066</v>
      </c>
      <c r="D530" t="s">
        <v>1553</v>
      </c>
      <c r="E530" s="731">
        <v>34564</v>
      </c>
    </row>
    <row r="531" spans="2:5">
      <c r="B531" s="830"/>
      <c r="C531" s="178" t="s">
        <v>1069</v>
      </c>
      <c r="D531" t="s">
        <v>1553</v>
      </c>
      <c r="E531" s="731">
        <v>278</v>
      </c>
    </row>
    <row r="532" spans="2:5">
      <c r="B532" s="831" t="s">
        <v>8213</v>
      </c>
      <c r="C532" s="831"/>
      <c r="D532" s="831"/>
      <c r="E532" s="834">
        <v>34842</v>
      </c>
    </row>
    <row r="533" spans="2:5">
      <c r="B533" s="830" t="s">
        <v>25</v>
      </c>
      <c r="C533" s="178" t="s">
        <v>8123</v>
      </c>
      <c r="D533" t="s">
        <v>1553</v>
      </c>
      <c r="E533" s="731">
        <v>3700</v>
      </c>
    </row>
    <row r="534" spans="2:5">
      <c r="B534" s="830"/>
      <c r="C534" s="178" t="s">
        <v>8121</v>
      </c>
      <c r="D534" t="s">
        <v>1553</v>
      </c>
      <c r="E534" s="731">
        <v>324</v>
      </c>
    </row>
    <row r="535" spans="2:5">
      <c r="B535" s="830"/>
      <c r="C535" s="178" t="s">
        <v>1066</v>
      </c>
      <c r="D535" t="s">
        <v>1553</v>
      </c>
      <c r="E535" s="731">
        <v>5097</v>
      </c>
    </row>
    <row r="536" spans="2:5">
      <c r="B536" s="830"/>
      <c r="C536" s="178" t="s">
        <v>1066</v>
      </c>
      <c r="D536" t="s">
        <v>8186</v>
      </c>
      <c r="E536" s="731">
        <v>18632</v>
      </c>
    </row>
    <row r="537" spans="2:5">
      <c r="B537" s="830"/>
      <c r="C537" s="178" t="s">
        <v>1066</v>
      </c>
      <c r="D537" t="s">
        <v>1565</v>
      </c>
      <c r="E537" s="731">
        <v>2977</v>
      </c>
    </row>
    <row r="538" spans="2:5">
      <c r="B538" s="830"/>
      <c r="C538" s="178" t="s">
        <v>1069</v>
      </c>
      <c r="D538" t="s">
        <v>1553</v>
      </c>
      <c r="E538" s="731">
        <v>159</v>
      </c>
    </row>
    <row r="539" spans="2:5">
      <c r="B539" s="831" t="s">
        <v>8223</v>
      </c>
      <c r="C539" s="831"/>
      <c r="D539" s="831"/>
      <c r="E539" s="834">
        <v>30889</v>
      </c>
    </row>
    <row r="540" spans="2:5">
      <c r="B540" s="830" t="s">
        <v>88</v>
      </c>
      <c r="C540" s="178" t="s">
        <v>1066</v>
      </c>
      <c r="D540" t="s">
        <v>1553</v>
      </c>
      <c r="E540" s="731">
        <v>27485</v>
      </c>
    </row>
    <row r="541" spans="2:5">
      <c r="B541" s="831" t="s">
        <v>8214</v>
      </c>
      <c r="C541" s="831"/>
      <c r="D541" s="831"/>
      <c r="E541" s="834">
        <v>27485</v>
      </c>
    </row>
    <row r="542" spans="2:5">
      <c r="B542" s="830" t="s">
        <v>7040</v>
      </c>
      <c r="C542" s="178" t="s">
        <v>1066</v>
      </c>
      <c r="D542" t="s">
        <v>1565</v>
      </c>
      <c r="E542" s="731">
        <v>27294</v>
      </c>
    </row>
    <row r="543" spans="2:5">
      <c r="B543" s="831" t="s">
        <v>10208</v>
      </c>
      <c r="C543" s="831"/>
      <c r="D543" s="831"/>
      <c r="E543" s="834">
        <v>27294</v>
      </c>
    </row>
    <row r="544" spans="2:5">
      <c r="B544" s="830" t="s">
        <v>7971</v>
      </c>
      <c r="C544" s="178" t="s">
        <v>1066</v>
      </c>
      <c r="D544" t="s">
        <v>1565</v>
      </c>
      <c r="E544" s="731">
        <v>26931</v>
      </c>
    </row>
    <row r="545" spans="2:5">
      <c r="B545" s="831" t="s">
        <v>10209</v>
      </c>
      <c r="C545" s="831"/>
      <c r="D545" s="831"/>
      <c r="E545" s="834">
        <v>26931</v>
      </c>
    </row>
    <row r="546" spans="2:5">
      <c r="B546" s="830" t="s">
        <v>6998</v>
      </c>
      <c r="C546" s="178" t="s">
        <v>1066</v>
      </c>
      <c r="D546" t="s">
        <v>1553</v>
      </c>
      <c r="E546" s="731">
        <v>4900</v>
      </c>
    </row>
    <row r="547" spans="2:5">
      <c r="B547" s="830"/>
      <c r="C547" s="178" t="s">
        <v>1066</v>
      </c>
      <c r="D547" t="s">
        <v>1554</v>
      </c>
      <c r="E547" s="731">
        <v>13826</v>
      </c>
    </row>
    <row r="548" spans="2:5">
      <c r="B548" s="830"/>
      <c r="C548" s="178" t="s">
        <v>8099</v>
      </c>
      <c r="D548" t="s">
        <v>1559</v>
      </c>
      <c r="E548" s="731">
        <v>772</v>
      </c>
    </row>
    <row r="549" spans="2:5">
      <c r="B549" s="830"/>
      <c r="C549" s="178" t="s">
        <v>8096</v>
      </c>
      <c r="D549" t="s">
        <v>1554</v>
      </c>
      <c r="E549" s="731">
        <v>0</v>
      </c>
    </row>
    <row r="550" spans="2:5">
      <c r="B550" s="830"/>
      <c r="C550" s="178" t="s">
        <v>1067</v>
      </c>
      <c r="D550" t="s">
        <v>1553</v>
      </c>
      <c r="E550" s="731">
        <v>102</v>
      </c>
    </row>
    <row r="551" spans="2:5">
      <c r="B551" s="830"/>
      <c r="C551" s="178" t="s">
        <v>8100</v>
      </c>
      <c r="D551" t="s">
        <v>1553</v>
      </c>
      <c r="E551" s="731">
        <v>3000</v>
      </c>
    </row>
    <row r="552" spans="2:5">
      <c r="B552" s="831" t="s">
        <v>8217</v>
      </c>
      <c r="C552" s="831"/>
      <c r="D552" s="831"/>
      <c r="E552" s="834">
        <v>22600</v>
      </c>
    </row>
    <row r="553" spans="2:5">
      <c r="B553" s="830" t="s">
        <v>8032</v>
      </c>
      <c r="C553" s="178" t="s">
        <v>1066</v>
      </c>
      <c r="D553" t="s">
        <v>1553</v>
      </c>
      <c r="E553" s="731">
        <v>21148</v>
      </c>
    </row>
    <row r="554" spans="2:5">
      <c r="B554" s="830"/>
      <c r="C554" s="178" t="s">
        <v>1069</v>
      </c>
      <c r="D554" t="s">
        <v>1553</v>
      </c>
      <c r="E554" s="731">
        <v>1247</v>
      </c>
    </row>
    <row r="555" spans="2:5">
      <c r="B555" s="831" t="s">
        <v>8148</v>
      </c>
      <c r="C555" s="831"/>
      <c r="D555" s="831"/>
      <c r="E555" s="834">
        <v>22395</v>
      </c>
    </row>
    <row r="556" spans="2:5">
      <c r="B556" s="830" t="s">
        <v>6991</v>
      </c>
      <c r="C556" s="178" t="s">
        <v>8099</v>
      </c>
      <c r="D556" t="s">
        <v>8279</v>
      </c>
      <c r="E556" s="731">
        <v>1732</v>
      </c>
    </row>
    <row r="557" spans="2:5">
      <c r="B557" s="830"/>
      <c r="C557" s="178" t="s">
        <v>8099</v>
      </c>
      <c r="D557" t="s">
        <v>1601</v>
      </c>
      <c r="E557" s="731">
        <v>4291</v>
      </c>
    </row>
    <row r="558" spans="2:5">
      <c r="B558" s="830"/>
      <c r="C558" s="178" t="s">
        <v>8099</v>
      </c>
      <c r="D558" t="s">
        <v>1604</v>
      </c>
      <c r="E558" s="731">
        <v>112</v>
      </c>
    </row>
    <row r="559" spans="2:5">
      <c r="B559" s="830"/>
      <c r="C559" s="178" t="s">
        <v>8096</v>
      </c>
      <c r="D559" t="s">
        <v>1581</v>
      </c>
      <c r="E559" s="731">
        <v>14611</v>
      </c>
    </row>
    <row r="560" spans="2:5">
      <c r="B560" s="831" t="s">
        <v>8218</v>
      </c>
      <c r="C560" s="831"/>
      <c r="D560" s="831"/>
      <c r="E560" s="834">
        <v>20746</v>
      </c>
    </row>
    <row r="561" spans="2:5">
      <c r="B561" s="830" t="s">
        <v>8078</v>
      </c>
      <c r="C561" s="178" t="s">
        <v>8099</v>
      </c>
      <c r="D561" t="s">
        <v>8245</v>
      </c>
      <c r="E561" s="731">
        <v>738</v>
      </c>
    </row>
    <row r="562" spans="2:5">
      <c r="B562" s="830"/>
      <c r="C562" s="178" t="s">
        <v>8096</v>
      </c>
      <c r="D562" t="s">
        <v>1565</v>
      </c>
      <c r="E562" s="731">
        <v>18581</v>
      </c>
    </row>
    <row r="563" spans="2:5">
      <c r="B563" s="831" t="s">
        <v>8281</v>
      </c>
      <c r="C563" s="831"/>
      <c r="D563" s="831"/>
      <c r="E563" s="834">
        <v>19319</v>
      </c>
    </row>
    <row r="564" spans="2:5">
      <c r="B564" s="830" t="s">
        <v>7017</v>
      </c>
      <c r="C564" s="178" t="s">
        <v>8124</v>
      </c>
      <c r="D564" t="s">
        <v>8186</v>
      </c>
      <c r="E564" s="731">
        <v>3282</v>
      </c>
    </row>
    <row r="565" spans="2:5">
      <c r="B565" s="830"/>
      <c r="C565" s="178" t="s">
        <v>1069</v>
      </c>
      <c r="D565" t="s">
        <v>1553</v>
      </c>
      <c r="E565" s="731">
        <v>238</v>
      </c>
    </row>
    <row r="566" spans="2:5">
      <c r="B566" s="830"/>
      <c r="C566" s="178" t="s">
        <v>8096</v>
      </c>
      <c r="D566" t="s">
        <v>8186</v>
      </c>
      <c r="E566" s="731">
        <v>1788</v>
      </c>
    </row>
    <row r="567" spans="2:5">
      <c r="B567" s="830"/>
      <c r="C567" s="178" t="s">
        <v>8102</v>
      </c>
      <c r="D567" t="s">
        <v>8186</v>
      </c>
      <c r="E567" s="731">
        <v>9898</v>
      </c>
    </row>
    <row r="568" spans="2:5">
      <c r="B568" s="830"/>
      <c r="C568" s="178" t="s">
        <v>8100</v>
      </c>
      <c r="D568" t="s">
        <v>1553</v>
      </c>
      <c r="E568" s="731">
        <v>1030</v>
      </c>
    </row>
    <row r="569" spans="2:5">
      <c r="B569" s="830"/>
      <c r="C569" s="178" t="s">
        <v>8100</v>
      </c>
      <c r="D569" t="s">
        <v>8186</v>
      </c>
      <c r="E569" s="731">
        <v>1988</v>
      </c>
    </row>
    <row r="570" spans="2:5">
      <c r="B570" s="831" t="s">
        <v>10210</v>
      </c>
      <c r="C570" s="831"/>
      <c r="D570" s="831"/>
      <c r="E570" s="834">
        <v>18224</v>
      </c>
    </row>
    <row r="571" spans="2:5">
      <c r="B571" s="830" t="s">
        <v>6881</v>
      </c>
      <c r="C571" s="178" t="s">
        <v>1066</v>
      </c>
      <c r="D571" t="s">
        <v>1565</v>
      </c>
      <c r="E571" s="731">
        <v>15818</v>
      </c>
    </row>
    <row r="572" spans="2:5">
      <c r="B572" s="831" t="s">
        <v>10211</v>
      </c>
      <c r="C572" s="831"/>
      <c r="D572" s="831"/>
      <c r="E572" s="834">
        <v>15818</v>
      </c>
    </row>
    <row r="573" spans="2:5">
      <c r="B573" s="830" t="s">
        <v>8055</v>
      </c>
      <c r="C573" s="178" t="s">
        <v>8099</v>
      </c>
      <c r="D573" t="s">
        <v>8279</v>
      </c>
      <c r="E573" s="731">
        <v>3301</v>
      </c>
    </row>
    <row r="574" spans="2:5">
      <c r="B574" s="830"/>
      <c r="C574" s="178" t="s">
        <v>8099</v>
      </c>
      <c r="D574" t="s">
        <v>1601</v>
      </c>
      <c r="E574" s="731">
        <v>3723</v>
      </c>
    </row>
    <row r="575" spans="2:5">
      <c r="B575" s="830"/>
      <c r="C575" s="178" t="s">
        <v>8096</v>
      </c>
      <c r="D575" t="s">
        <v>1581</v>
      </c>
      <c r="E575" s="731">
        <v>8662</v>
      </c>
    </row>
    <row r="576" spans="2:5">
      <c r="B576" s="831" t="s">
        <v>8221</v>
      </c>
      <c r="C576" s="831"/>
      <c r="D576" s="831"/>
      <c r="E576" s="834">
        <v>15686</v>
      </c>
    </row>
    <row r="577" spans="2:5">
      <c r="B577" s="830" t="s">
        <v>7008</v>
      </c>
      <c r="C577" s="178" t="s">
        <v>8099</v>
      </c>
      <c r="D577" t="s">
        <v>8279</v>
      </c>
      <c r="E577" s="731">
        <v>1504</v>
      </c>
    </row>
    <row r="578" spans="2:5">
      <c r="B578" s="830"/>
      <c r="C578" s="178" t="s">
        <v>8099</v>
      </c>
      <c r="D578" t="s">
        <v>1601</v>
      </c>
      <c r="E578" s="731">
        <v>929</v>
      </c>
    </row>
    <row r="579" spans="2:5">
      <c r="B579" s="830"/>
      <c r="C579" s="178" t="s">
        <v>8099</v>
      </c>
      <c r="D579" t="s">
        <v>1604</v>
      </c>
      <c r="E579" s="731">
        <v>1372</v>
      </c>
    </row>
    <row r="580" spans="2:5">
      <c r="B580" s="830"/>
      <c r="C580" s="178" t="s">
        <v>8096</v>
      </c>
      <c r="D580" t="s">
        <v>1581</v>
      </c>
      <c r="E580" s="731">
        <v>11758</v>
      </c>
    </row>
    <row r="581" spans="2:5">
      <c r="B581" s="831" t="s">
        <v>8219</v>
      </c>
      <c r="C581" s="831"/>
      <c r="D581" s="831"/>
      <c r="E581" s="834">
        <v>15563</v>
      </c>
    </row>
    <row r="582" spans="2:5">
      <c r="B582" s="830" t="s">
        <v>7974</v>
      </c>
      <c r="C582" s="178" t="s">
        <v>1066</v>
      </c>
      <c r="D582" t="s">
        <v>1553</v>
      </c>
      <c r="E582" s="731">
        <v>12688</v>
      </c>
    </row>
    <row r="583" spans="2:5">
      <c r="B583" s="831" t="s">
        <v>10212</v>
      </c>
      <c r="C583" s="831"/>
      <c r="D583" s="831"/>
      <c r="E583" s="834">
        <v>12688</v>
      </c>
    </row>
    <row r="584" spans="2:5">
      <c r="B584" s="830" t="s">
        <v>6984</v>
      </c>
      <c r="C584" s="178" t="s">
        <v>8121</v>
      </c>
      <c r="D584" t="s">
        <v>1553</v>
      </c>
      <c r="E584" s="731">
        <v>240</v>
      </c>
    </row>
    <row r="585" spans="2:5">
      <c r="B585" s="830"/>
      <c r="C585" s="178" t="s">
        <v>1066</v>
      </c>
      <c r="D585" t="s">
        <v>1554</v>
      </c>
      <c r="E585" s="731">
        <v>3238</v>
      </c>
    </row>
    <row r="586" spans="2:5">
      <c r="B586" s="830"/>
      <c r="C586" s="178" t="s">
        <v>1069</v>
      </c>
      <c r="D586" t="s">
        <v>1553</v>
      </c>
      <c r="E586" s="731">
        <v>9073</v>
      </c>
    </row>
    <row r="587" spans="2:5">
      <c r="B587" s="831" t="s">
        <v>10213</v>
      </c>
      <c r="C587" s="831"/>
      <c r="D587" s="831"/>
      <c r="E587" s="834">
        <v>12551</v>
      </c>
    </row>
    <row r="588" spans="2:5">
      <c r="B588" s="830" t="s">
        <v>8041</v>
      </c>
      <c r="C588" s="178" t="s">
        <v>1066</v>
      </c>
      <c r="D588" t="s">
        <v>1553</v>
      </c>
      <c r="E588" s="731">
        <v>11366</v>
      </c>
    </row>
    <row r="589" spans="2:5">
      <c r="B589" s="831" t="s">
        <v>10214</v>
      </c>
      <c r="C589" s="831"/>
      <c r="D589" s="831"/>
      <c r="E589" s="834">
        <v>11366</v>
      </c>
    </row>
    <row r="590" spans="2:5">
      <c r="B590" s="830" t="s">
        <v>1033</v>
      </c>
      <c r="C590" s="178" t="s">
        <v>8124</v>
      </c>
      <c r="D590" t="s">
        <v>8186</v>
      </c>
      <c r="E590" s="731">
        <v>2530</v>
      </c>
    </row>
    <row r="591" spans="2:5">
      <c r="B591" s="830"/>
      <c r="C591" s="178" t="s">
        <v>8096</v>
      </c>
      <c r="D591" t="s">
        <v>8186</v>
      </c>
      <c r="E591" s="731">
        <v>1826</v>
      </c>
    </row>
    <row r="592" spans="2:5">
      <c r="B592" s="830"/>
      <c r="C592" s="178" t="s">
        <v>8102</v>
      </c>
      <c r="D592" t="s">
        <v>8186</v>
      </c>
      <c r="E592" s="731">
        <v>4720</v>
      </c>
    </row>
    <row r="593" spans="2:5">
      <c r="B593" s="830"/>
      <c r="C593" s="178" t="s">
        <v>8100</v>
      </c>
      <c r="D593" t="s">
        <v>8186</v>
      </c>
      <c r="E593" s="731">
        <v>2170</v>
      </c>
    </row>
    <row r="594" spans="2:5">
      <c r="B594" s="831" t="s">
        <v>10215</v>
      </c>
      <c r="C594" s="831"/>
      <c r="D594" s="831"/>
      <c r="E594" s="834">
        <v>11246</v>
      </c>
    </row>
    <row r="595" spans="2:5">
      <c r="B595" s="830" t="s">
        <v>1047</v>
      </c>
      <c r="C595" s="178" t="s">
        <v>8099</v>
      </c>
      <c r="D595" t="s">
        <v>1601</v>
      </c>
      <c r="E595" s="731">
        <v>4444</v>
      </c>
    </row>
    <row r="596" spans="2:5">
      <c r="B596" s="830"/>
      <c r="C596" s="178" t="s">
        <v>8096</v>
      </c>
      <c r="D596" t="s">
        <v>1581</v>
      </c>
      <c r="E596" s="731">
        <v>5230</v>
      </c>
    </row>
    <row r="597" spans="2:5">
      <c r="B597" s="831" t="s">
        <v>10216</v>
      </c>
      <c r="C597" s="831"/>
      <c r="D597" s="831"/>
      <c r="E597" s="834">
        <v>9674</v>
      </c>
    </row>
    <row r="598" spans="2:5">
      <c r="B598" s="830" t="s">
        <v>6987</v>
      </c>
      <c r="C598" s="178" t="s">
        <v>1066</v>
      </c>
      <c r="D598" t="s">
        <v>1554</v>
      </c>
      <c r="E598" s="731">
        <v>9625</v>
      </c>
    </row>
    <row r="599" spans="2:5">
      <c r="B599" s="831" t="s">
        <v>10217</v>
      </c>
      <c r="C599" s="831"/>
      <c r="D599" s="831"/>
      <c r="E599" s="834">
        <v>9625</v>
      </c>
    </row>
    <row r="600" spans="2:5">
      <c r="B600" s="830" t="s">
        <v>453</v>
      </c>
      <c r="C600" s="178" t="s">
        <v>1066</v>
      </c>
      <c r="D600" t="s">
        <v>1565</v>
      </c>
      <c r="E600" s="731">
        <v>9575</v>
      </c>
    </row>
    <row r="601" spans="2:5">
      <c r="B601" s="831" t="s">
        <v>10218</v>
      </c>
      <c r="C601" s="831"/>
      <c r="D601" s="831"/>
      <c r="E601" s="834">
        <v>9575</v>
      </c>
    </row>
    <row r="602" spans="2:5">
      <c r="B602" s="830" t="s">
        <v>7002</v>
      </c>
      <c r="C602" s="178" t="s">
        <v>1066</v>
      </c>
      <c r="D602" t="s">
        <v>1583</v>
      </c>
      <c r="E602" s="731">
        <v>8838</v>
      </c>
    </row>
    <row r="603" spans="2:5">
      <c r="B603" s="831" t="s">
        <v>8220</v>
      </c>
      <c r="C603" s="831"/>
      <c r="D603" s="831"/>
      <c r="E603" s="834">
        <v>8838</v>
      </c>
    </row>
    <row r="604" spans="2:5">
      <c r="B604" s="830" t="s">
        <v>7033</v>
      </c>
      <c r="C604" s="178" t="s">
        <v>1066</v>
      </c>
      <c r="D604" t="s">
        <v>1553</v>
      </c>
      <c r="E604" s="731">
        <v>6035</v>
      </c>
    </row>
    <row r="605" spans="2:5">
      <c r="B605" s="830"/>
      <c r="C605" s="178" t="s">
        <v>1066</v>
      </c>
      <c r="D605" t="s">
        <v>1554</v>
      </c>
      <c r="E605" s="731">
        <v>2578</v>
      </c>
    </row>
    <row r="606" spans="2:5">
      <c r="B606" s="831" t="s">
        <v>8222</v>
      </c>
      <c r="C606" s="831"/>
      <c r="D606" s="831"/>
      <c r="E606" s="834">
        <v>8613</v>
      </c>
    </row>
    <row r="607" spans="2:5">
      <c r="B607" s="830" t="s">
        <v>166</v>
      </c>
      <c r="C607" s="178" t="s">
        <v>1066</v>
      </c>
      <c r="D607" t="s">
        <v>1565</v>
      </c>
      <c r="E607" s="731">
        <v>6560</v>
      </c>
    </row>
    <row r="608" spans="2:5">
      <c r="B608" s="831" t="s">
        <v>10219</v>
      </c>
      <c r="C608" s="831"/>
      <c r="D608" s="831"/>
      <c r="E608" s="834">
        <v>6560</v>
      </c>
    </row>
    <row r="609" spans="2:5">
      <c r="B609" s="830" t="s">
        <v>8066</v>
      </c>
      <c r="C609" s="178" t="s">
        <v>1066</v>
      </c>
      <c r="D609" t="s">
        <v>1553</v>
      </c>
      <c r="E609" s="731">
        <v>5863</v>
      </c>
    </row>
    <row r="610" spans="2:5">
      <c r="B610" s="831" t="s">
        <v>10220</v>
      </c>
      <c r="C610" s="831"/>
      <c r="D610" s="831"/>
      <c r="E610" s="834">
        <v>5863</v>
      </c>
    </row>
    <row r="611" spans="2:5">
      <c r="B611" s="830" t="s">
        <v>7970</v>
      </c>
      <c r="C611" s="178" t="s">
        <v>10197</v>
      </c>
      <c r="D611" t="s">
        <v>1583</v>
      </c>
      <c r="E611" s="731">
        <v>540</v>
      </c>
    </row>
    <row r="612" spans="2:5">
      <c r="B612" s="830"/>
      <c r="C612" s="178" t="s">
        <v>1066</v>
      </c>
      <c r="D612" t="s">
        <v>1583</v>
      </c>
      <c r="E612" s="731">
        <v>3986</v>
      </c>
    </row>
    <row r="613" spans="2:5">
      <c r="B613" s="831" t="s">
        <v>8224</v>
      </c>
      <c r="C613" s="831"/>
      <c r="D613" s="831"/>
      <c r="E613" s="834">
        <v>4526</v>
      </c>
    </row>
    <row r="614" spans="2:5">
      <c r="B614" s="830" t="s">
        <v>1056</v>
      </c>
      <c r="C614" s="178" t="s">
        <v>8124</v>
      </c>
      <c r="D614" t="s">
        <v>8186</v>
      </c>
      <c r="E614" s="731">
        <v>744</v>
      </c>
    </row>
    <row r="615" spans="2:5">
      <c r="B615" s="830"/>
      <c r="C615" s="178" t="s">
        <v>8102</v>
      </c>
      <c r="D615" t="s">
        <v>8186</v>
      </c>
      <c r="E615" s="731">
        <v>2815</v>
      </c>
    </row>
    <row r="616" spans="2:5">
      <c r="B616" s="830"/>
      <c r="C616" s="178" t="s">
        <v>8100</v>
      </c>
      <c r="D616" t="s">
        <v>8186</v>
      </c>
      <c r="E616" s="731">
        <v>826</v>
      </c>
    </row>
    <row r="617" spans="2:5">
      <c r="B617" s="831" t="s">
        <v>10221</v>
      </c>
      <c r="C617" s="831"/>
      <c r="D617" s="831"/>
      <c r="E617" s="834">
        <v>4385</v>
      </c>
    </row>
    <row r="618" spans="2:5">
      <c r="B618" s="830" t="s">
        <v>988</v>
      </c>
      <c r="C618" s="178" t="s">
        <v>10197</v>
      </c>
      <c r="D618" t="s">
        <v>1581</v>
      </c>
      <c r="E618" s="731">
        <v>219</v>
      </c>
    </row>
    <row r="619" spans="2:5">
      <c r="B619" s="830"/>
      <c r="C619" s="178" t="s">
        <v>8099</v>
      </c>
      <c r="D619" t="s">
        <v>1601</v>
      </c>
      <c r="E619" s="731">
        <v>1411</v>
      </c>
    </row>
    <row r="620" spans="2:5">
      <c r="B620" s="830"/>
      <c r="C620" s="178" t="s">
        <v>8096</v>
      </c>
      <c r="D620" t="s">
        <v>1581</v>
      </c>
      <c r="E620" s="731">
        <v>2351</v>
      </c>
    </row>
    <row r="621" spans="2:5">
      <c r="B621" s="831" t="s">
        <v>8227</v>
      </c>
      <c r="C621" s="831"/>
      <c r="D621" s="831"/>
      <c r="E621" s="834">
        <v>3981</v>
      </c>
    </row>
    <row r="622" spans="2:5">
      <c r="B622" s="830" t="s">
        <v>7982</v>
      </c>
      <c r="C622" s="178" t="s">
        <v>1066</v>
      </c>
      <c r="D622" t="s">
        <v>1583</v>
      </c>
      <c r="E622" s="731">
        <v>3856</v>
      </c>
    </row>
    <row r="623" spans="2:5">
      <c r="B623" s="831" t="s">
        <v>8225</v>
      </c>
      <c r="C623" s="831"/>
      <c r="D623" s="831"/>
      <c r="E623" s="834">
        <v>3856</v>
      </c>
    </row>
    <row r="624" spans="2:5">
      <c r="B624" s="830" t="s">
        <v>993</v>
      </c>
      <c r="C624" s="178" t="s">
        <v>10197</v>
      </c>
      <c r="D624" t="s">
        <v>8205</v>
      </c>
      <c r="E624" s="731">
        <v>899</v>
      </c>
    </row>
    <row r="625" spans="2:5">
      <c r="B625" s="830"/>
      <c r="C625" s="178" t="s">
        <v>1066</v>
      </c>
      <c r="D625" t="s">
        <v>8205</v>
      </c>
      <c r="E625" s="731">
        <v>1544</v>
      </c>
    </row>
    <row r="626" spans="2:5">
      <c r="B626" s="830"/>
      <c r="C626" s="178" t="s">
        <v>8096</v>
      </c>
      <c r="D626" t="s">
        <v>8205</v>
      </c>
      <c r="E626" s="731">
        <v>1402</v>
      </c>
    </row>
    <row r="627" spans="2:5">
      <c r="B627" s="831" t="s">
        <v>10222</v>
      </c>
      <c r="C627" s="831"/>
      <c r="D627" s="831"/>
      <c r="E627" s="834">
        <v>3845</v>
      </c>
    </row>
    <row r="628" spans="2:5">
      <c r="B628" s="830" t="s">
        <v>998</v>
      </c>
      <c r="C628" s="178" t="s">
        <v>8099</v>
      </c>
      <c r="D628" t="s">
        <v>8279</v>
      </c>
      <c r="E628" s="731">
        <v>1495</v>
      </c>
    </row>
    <row r="629" spans="2:5">
      <c r="B629" s="830"/>
      <c r="C629" s="178" t="s">
        <v>8096</v>
      </c>
      <c r="D629" t="s">
        <v>1581</v>
      </c>
      <c r="E629" s="731">
        <v>1934</v>
      </c>
    </row>
    <row r="630" spans="2:5">
      <c r="B630" s="831" t="s">
        <v>8228</v>
      </c>
      <c r="C630" s="831"/>
      <c r="D630" s="831"/>
      <c r="E630" s="834">
        <v>3429</v>
      </c>
    </row>
    <row r="631" spans="2:5">
      <c r="B631" s="830" t="s">
        <v>1004</v>
      </c>
      <c r="C631" s="178" t="s">
        <v>8099</v>
      </c>
      <c r="D631" t="s">
        <v>1601</v>
      </c>
      <c r="E631" s="731">
        <v>1287</v>
      </c>
    </row>
    <row r="632" spans="2:5">
      <c r="B632" s="830"/>
      <c r="C632" s="178" t="s">
        <v>8096</v>
      </c>
      <c r="D632" t="s">
        <v>1581</v>
      </c>
      <c r="E632" s="731">
        <v>2134</v>
      </c>
    </row>
    <row r="633" spans="2:5">
      <c r="B633" s="831" t="s">
        <v>10223</v>
      </c>
      <c r="C633" s="831"/>
      <c r="D633" s="831"/>
      <c r="E633" s="834">
        <v>3421</v>
      </c>
    </row>
    <row r="634" spans="2:5">
      <c r="B634" s="830" t="s">
        <v>7013</v>
      </c>
      <c r="C634" s="178" t="s">
        <v>8121</v>
      </c>
      <c r="D634" t="s">
        <v>1553</v>
      </c>
      <c r="E634" s="731">
        <v>3396</v>
      </c>
    </row>
    <row r="635" spans="2:5">
      <c r="B635" s="831" t="s">
        <v>10224</v>
      </c>
      <c r="C635" s="831"/>
      <c r="D635" s="831"/>
      <c r="E635" s="834">
        <v>3396</v>
      </c>
    </row>
    <row r="636" spans="2:5">
      <c r="B636" s="830" t="s">
        <v>7969</v>
      </c>
      <c r="C636" s="178" t="s">
        <v>1066</v>
      </c>
      <c r="D636" t="s">
        <v>1553</v>
      </c>
      <c r="E636" s="731">
        <v>1575</v>
      </c>
    </row>
    <row r="637" spans="2:5">
      <c r="B637" s="830"/>
      <c r="C637" s="178" t="s">
        <v>1066</v>
      </c>
      <c r="D637" t="s">
        <v>1554</v>
      </c>
      <c r="E637" s="731">
        <v>1820</v>
      </c>
    </row>
    <row r="638" spans="2:5">
      <c r="B638" s="831" t="s">
        <v>8230</v>
      </c>
      <c r="C638" s="831"/>
      <c r="D638" s="831"/>
      <c r="E638" s="834">
        <v>3395</v>
      </c>
    </row>
    <row r="639" spans="2:5">
      <c r="B639" s="830" t="s">
        <v>162</v>
      </c>
      <c r="C639" s="178" t="s">
        <v>1066</v>
      </c>
      <c r="D639" t="s">
        <v>1553</v>
      </c>
      <c r="E639" s="731">
        <v>2888</v>
      </c>
    </row>
    <row r="640" spans="2:5">
      <c r="B640" s="831" t="s">
        <v>8226</v>
      </c>
      <c r="C640" s="831"/>
      <c r="D640" s="831"/>
      <c r="E640" s="834">
        <v>2888</v>
      </c>
    </row>
    <row r="641" spans="2:5">
      <c r="B641" s="830" t="s">
        <v>6971</v>
      </c>
      <c r="C641" s="178" t="s">
        <v>8123</v>
      </c>
      <c r="D641" t="s">
        <v>1553</v>
      </c>
      <c r="E641" s="731">
        <v>200</v>
      </c>
    </row>
    <row r="642" spans="2:5">
      <c r="B642" s="830"/>
      <c r="C642" s="178" t="s">
        <v>1066</v>
      </c>
      <c r="D642" t="s">
        <v>1553</v>
      </c>
      <c r="E642" s="731">
        <v>1745</v>
      </c>
    </row>
    <row r="643" spans="2:5">
      <c r="B643" s="831" t="s">
        <v>10225</v>
      </c>
      <c r="C643" s="831"/>
      <c r="D643" s="831"/>
      <c r="E643" s="834">
        <v>1945</v>
      </c>
    </row>
    <row r="644" spans="2:5">
      <c r="B644" s="830" t="s">
        <v>8053</v>
      </c>
      <c r="C644" s="178" t="s">
        <v>8099</v>
      </c>
      <c r="D644" t="s">
        <v>8279</v>
      </c>
      <c r="E644" s="731">
        <v>651</v>
      </c>
    </row>
    <row r="645" spans="2:5">
      <c r="B645" s="830"/>
      <c r="C645" s="178" t="s">
        <v>8096</v>
      </c>
      <c r="D645" t="s">
        <v>1581</v>
      </c>
      <c r="E645" s="731">
        <v>1085</v>
      </c>
    </row>
    <row r="646" spans="2:5">
      <c r="B646" s="831" t="s">
        <v>8232</v>
      </c>
      <c r="C646" s="831"/>
      <c r="D646" s="831"/>
      <c r="E646" s="834">
        <v>1736</v>
      </c>
    </row>
    <row r="647" spans="2:5">
      <c r="B647" s="830" t="s">
        <v>1405</v>
      </c>
      <c r="C647" s="178" t="s">
        <v>1066</v>
      </c>
      <c r="D647" t="s">
        <v>1583</v>
      </c>
      <c r="E647" s="731">
        <v>1603</v>
      </c>
    </row>
    <row r="648" spans="2:5">
      <c r="B648" s="831" t="s">
        <v>8229</v>
      </c>
      <c r="C648" s="831"/>
      <c r="D648" s="831"/>
      <c r="E648" s="834">
        <v>1603</v>
      </c>
    </row>
    <row r="649" spans="2:5">
      <c r="B649" s="830" t="s">
        <v>8077</v>
      </c>
      <c r="C649" s="178" t="s">
        <v>1066</v>
      </c>
      <c r="D649" t="s">
        <v>1553</v>
      </c>
      <c r="E649" s="731">
        <v>1387</v>
      </c>
    </row>
    <row r="650" spans="2:5">
      <c r="B650" s="831" t="s">
        <v>8231</v>
      </c>
      <c r="C650" s="831"/>
      <c r="D650" s="831"/>
      <c r="E650" s="834">
        <v>1387</v>
      </c>
    </row>
    <row r="651" spans="2:5">
      <c r="B651" s="830" t="s">
        <v>8010</v>
      </c>
      <c r="C651" s="178" t="s">
        <v>8099</v>
      </c>
      <c r="D651" t="s">
        <v>8278</v>
      </c>
      <c r="E651" s="731">
        <v>1270</v>
      </c>
    </row>
    <row r="652" spans="2:5">
      <c r="B652" s="831" t="s">
        <v>10226</v>
      </c>
      <c r="C652" s="831"/>
      <c r="D652" s="831"/>
      <c r="E652" s="834">
        <v>1270</v>
      </c>
    </row>
    <row r="653" spans="2:5">
      <c r="B653" s="830" t="s">
        <v>7004</v>
      </c>
      <c r="C653" s="178" t="s">
        <v>8099</v>
      </c>
      <c r="D653" t="s">
        <v>8279</v>
      </c>
      <c r="E653" s="731">
        <v>447</v>
      </c>
    </row>
    <row r="654" spans="2:5">
      <c r="B654" s="830"/>
      <c r="C654" s="178" t="s">
        <v>8096</v>
      </c>
      <c r="D654" t="s">
        <v>1581</v>
      </c>
      <c r="E654" s="731">
        <v>745</v>
      </c>
    </row>
    <row r="655" spans="2:5">
      <c r="B655" s="831" t="s">
        <v>10227</v>
      </c>
      <c r="C655" s="831"/>
      <c r="D655" s="831"/>
      <c r="E655" s="834">
        <v>1192</v>
      </c>
    </row>
    <row r="656" spans="2:5">
      <c r="B656" s="830" t="s">
        <v>6985</v>
      </c>
      <c r="C656" s="178" t="s">
        <v>8099</v>
      </c>
      <c r="D656" t="s">
        <v>8279</v>
      </c>
      <c r="E656" s="731">
        <v>394</v>
      </c>
    </row>
    <row r="657" spans="2:5">
      <c r="B657" s="830"/>
      <c r="C657" s="178" t="s">
        <v>8096</v>
      </c>
      <c r="D657" t="s">
        <v>1581</v>
      </c>
      <c r="E657" s="731">
        <v>596</v>
      </c>
    </row>
    <row r="658" spans="2:5">
      <c r="B658" s="831" t="s">
        <v>10228</v>
      </c>
      <c r="C658" s="831"/>
      <c r="D658" s="831"/>
      <c r="E658" s="834">
        <v>990</v>
      </c>
    </row>
    <row r="659" spans="2:5">
      <c r="B659" s="830" t="s">
        <v>6981</v>
      </c>
      <c r="C659" s="178" t="s">
        <v>1066</v>
      </c>
      <c r="D659" t="s">
        <v>1553</v>
      </c>
      <c r="E659" s="731">
        <v>525</v>
      </c>
    </row>
    <row r="660" spans="2:5">
      <c r="B660" s="830"/>
      <c r="C660" s="178" t="s">
        <v>1069</v>
      </c>
      <c r="D660" t="s">
        <v>1553</v>
      </c>
      <c r="E660" s="731">
        <v>417</v>
      </c>
    </row>
    <row r="661" spans="2:5">
      <c r="B661" s="831" t="s">
        <v>8233</v>
      </c>
      <c r="C661" s="831"/>
      <c r="D661" s="831"/>
      <c r="E661" s="834">
        <v>942</v>
      </c>
    </row>
    <row r="662" spans="2:5">
      <c r="B662" s="830" t="s">
        <v>331</v>
      </c>
      <c r="C662" s="178" t="s">
        <v>8100</v>
      </c>
      <c r="D662" t="s">
        <v>1553</v>
      </c>
      <c r="E662" s="731">
        <v>720</v>
      </c>
    </row>
    <row r="663" spans="2:5">
      <c r="B663" s="831" t="s">
        <v>10229</v>
      </c>
      <c r="C663" s="831"/>
      <c r="D663" s="831"/>
      <c r="E663" s="834">
        <v>720</v>
      </c>
    </row>
    <row r="664" spans="2:5">
      <c r="B664" s="830" t="s">
        <v>1036</v>
      </c>
      <c r="C664" s="178" t="s">
        <v>1066</v>
      </c>
      <c r="D664" t="s">
        <v>1553</v>
      </c>
      <c r="E664" s="731">
        <v>525</v>
      </c>
    </row>
    <row r="665" spans="2:5">
      <c r="B665" s="831" t="s">
        <v>8234</v>
      </c>
      <c r="C665" s="831"/>
      <c r="D665" s="831"/>
      <c r="E665" s="834">
        <v>525</v>
      </c>
    </row>
    <row r="666" spans="2:5">
      <c r="B666" s="830" t="s">
        <v>260</v>
      </c>
      <c r="C666" s="178" t="s">
        <v>1066</v>
      </c>
      <c r="D666" t="s">
        <v>1554</v>
      </c>
      <c r="E666" s="731">
        <v>490</v>
      </c>
    </row>
    <row r="667" spans="2:5">
      <c r="B667" s="831" t="s">
        <v>10230</v>
      </c>
      <c r="C667" s="831"/>
      <c r="D667" s="831"/>
      <c r="E667" s="834">
        <v>490</v>
      </c>
    </row>
    <row r="668" spans="2:5">
      <c r="B668" s="830" t="s">
        <v>7995</v>
      </c>
      <c r="C668" s="178" t="s">
        <v>1066</v>
      </c>
      <c r="D668" t="s">
        <v>1553</v>
      </c>
      <c r="E668" s="731">
        <v>420</v>
      </c>
    </row>
    <row r="669" spans="2:5">
      <c r="B669" s="831" t="s">
        <v>10231</v>
      </c>
      <c r="C669" s="831"/>
      <c r="D669" s="831"/>
      <c r="E669" s="834">
        <v>420</v>
      </c>
    </row>
    <row r="670" spans="2:5">
      <c r="B670" s="830" t="s">
        <v>7983</v>
      </c>
      <c r="C670" s="178" t="s">
        <v>1066</v>
      </c>
      <c r="D670" t="s">
        <v>1553</v>
      </c>
      <c r="E670" s="731">
        <v>263</v>
      </c>
    </row>
    <row r="671" spans="2:5">
      <c r="B671" s="831" t="s">
        <v>8236</v>
      </c>
      <c r="C671" s="831"/>
      <c r="D671" s="831"/>
      <c r="E671" s="834">
        <v>263</v>
      </c>
    </row>
    <row r="672" spans="2:5">
      <c r="B672" s="830" t="s">
        <v>714</v>
      </c>
      <c r="C672" s="178" t="s">
        <v>1069</v>
      </c>
      <c r="D672" t="s">
        <v>1553</v>
      </c>
      <c r="E672" s="731">
        <v>139</v>
      </c>
    </row>
    <row r="673" spans="2:5">
      <c r="B673" s="831" t="s">
        <v>8146</v>
      </c>
      <c r="C673" s="831"/>
      <c r="D673" s="831"/>
      <c r="E673" s="834">
        <v>139</v>
      </c>
    </row>
    <row r="674" spans="2:5">
      <c r="B674" s="830" t="s">
        <v>104</v>
      </c>
      <c r="C674" s="178" t="s">
        <v>1066</v>
      </c>
      <c r="D674" t="s">
        <v>1553</v>
      </c>
      <c r="E674" s="731">
        <v>97</v>
      </c>
    </row>
    <row r="675" spans="2:5">
      <c r="B675" s="831" t="s">
        <v>8237</v>
      </c>
      <c r="C675" s="831"/>
      <c r="D675" s="831"/>
      <c r="E675" s="834">
        <v>97</v>
      </c>
    </row>
    <row r="676" spans="2:5">
      <c r="B676" s="830" t="s">
        <v>8088</v>
      </c>
      <c r="C676" s="178" t="s">
        <v>1066</v>
      </c>
      <c r="D676" t="s">
        <v>1554</v>
      </c>
      <c r="E676" s="731">
        <v>87</v>
      </c>
    </row>
    <row r="677" spans="2:5">
      <c r="B677" s="831" t="s">
        <v>10232</v>
      </c>
      <c r="C677" s="831"/>
      <c r="D677" s="831"/>
      <c r="E677" s="834">
        <v>87</v>
      </c>
    </row>
    <row r="678" spans="2:5">
      <c r="B678" s="830" t="s">
        <v>783</v>
      </c>
      <c r="C678" s="178" t="s">
        <v>1066</v>
      </c>
      <c r="D678" t="s">
        <v>1553</v>
      </c>
      <c r="E678" s="731">
        <v>32</v>
      </c>
    </row>
    <row r="679" spans="2:5">
      <c r="B679" s="831" t="s">
        <v>10233</v>
      </c>
      <c r="C679" s="831"/>
      <c r="D679" s="831"/>
      <c r="E679" s="834">
        <v>32</v>
      </c>
    </row>
    <row r="680" spans="2:5">
      <c r="B680" s="830" t="s">
        <v>1052</v>
      </c>
      <c r="C680" s="178" t="s">
        <v>1066</v>
      </c>
      <c r="D680" t="s">
        <v>1565</v>
      </c>
      <c r="E680" s="731">
        <v>0</v>
      </c>
    </row>
    <row r="681" spans="2:5">
      <c r="B681" s="831" t="s">
        <v>10692</v>
      </c>
      <c r="C681" s="831"/>
      <c r="D681" s="831"/>
      <c r="E681" s="834">
        <v>0</v>
      </c>
    </row>
    <row r="682" spans="2:5" ht="14.5" thickBot="1">
      <c r="B682" s="832" t="s">
        <v>8062</v>
      </c>
      <c r="C682" s="832"/>
      <c r="D682" s="832"/>
      <c r="E682" s="835">
        <v>801713740</v>
      </c>
    </row>
  </sheetData>
  <autoFilter ref="B4:E682" xr:uid="{FFBA0241-5090-4956-B27B-7603DF5F4F20}"/>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ADE1F-7120-4D7F-8CF5-BAF765F59301}">
  <sheetPr filterMode="1">
    <tabColor rgb="FF92D050"/>
  </sheetPr>
  <dimension ref="A2:P139"/>
  <sheetViews>
    <sheetView showGridLines="0" topLeftCell="A61" zoomScale="80" zoomScaleNormal="80" workbookViewId="0">
      <selection activeCell="E71" sqref="E71"/>
    </sheetView>
  </sheetViews>
  <sheetFormatPr baseColWidth="10" defaultColWidth="11.5" defaultRowHeight="12"/>
  <cols>
    <col min="1" max="1" width="11.5" style="136"/>
    <col min="2" max="2" width="4.75" style="155" customWidth="1"/>
    <col min="3" max="3" width="25.25" style="136" customWidth="1"/>
    <col min="4" max="4" width="14.25" style="136" bestFit="1" customWidth="1"/>
    <col min="5" max="5" width="11.25" style="154" customWidth="1"/>
    <col min="6" max="6" width="19.25" style="154" bestFit="1" customWidth="1"/>
    <col min="7" max="7" width="14.25" style="154" customWidth="1"/>
    <col min="8" max="8" width="18" style="154" bestFit="1" customWidth="1"/>
    <col min="9" max="9" width="11.5" style="136"/>
    <col min="10" max="10" width="21.4140625" style="136" customWidth="1"/>
    <col min="11" max="11" width="11.5" style="136"/>
    <col min="12" max="12" width="18" style="136" bestFit="1" customWidth="1"/>
    <col min="13" max="13" width="22.75" style="136" bestFit="1" customWidth="1"/>
    <col min="14" max="14" width="15.75" style="266" customWidth="1"/>
    <col min="15" max="18" width="8.4140625" style="136" customWidth="1"/>
    <col min="19" max="19" width="10.5" style="136" customWidth="1"/>
    <col min="20" max="16384" width="11.5" style="136"/>
  </cols>
  <sheetData>
    <row r="2" spans="1:14" ht="15.5">
      <c r="A2" s="7" t="s">
        <v>7921</v>
      </c>
      <c r="B2" s="150"/>
      <c r="C2" s="148"/>
      <c r="D2" s="148"/>
    </row>
    <row r="3" spans="1:14" ht="15.5">
      <c r="A3" s="7"/>
      <c r="B3" s="150"/>
      <c r="C3" s="148"/>
      <c r="D3" s="148"/>
    </row>
    <row r="4" spans="1:14" ht="15.5">
      <c r="A4" s="7"/>
      <c r="B4" s="150"/>
      <c r="C4" s="148"/>
      <c r="D4" s="148"/>
    </row>
    <row r="5" spans="1:14" ht="27">
      <c r="A5" s="7"/>
      <c r="B5" s="150"/>
      <c r="C5" s="148"/>
      <c r="D5" s="521"/>
      <c r="E5" s="512" t="s">
        <v>1883</v>
      </c>
      <c r="F5" s="512" t="s">
        <v>2584</v>
      </c>
      <c r="G5" s="512" t="s">
        <v>1577</v>
      </c>
      <c r="H5" s="512" t="s">
        <v>1208</v>
      </c>
      <c r="I5" s="512" t="s">
        <v>7908</v>
      </c>
      <c r="J5" s="512" t="s">
        <v>1234</v>
      </c>
      <c r="K5" s="512" t="s">
        <v>516</v>
      </c>
    </row>
    <row r="6" spans="1:14" ht="15.5">
      <c r="A6" s="7"/>
      <c r="B6" s="150"/>
      <c r="C6" s="148"/>
      <c r="D6" s="522" t="s">
        <v>8296</v>
      </c>
      <c r="E6" s="523">
        <v>3</v>
      </c>
      <c r="F6" s="523">
        <v>9</v>
      </c>
      <c r="G6" s="523">
        <v>7</v>
      </c>
      <c r="H6" s="523">
        <v>8</v>
      </c>
      <c r="I6" s="523">
        <v>46</v>
      </c>
      <c r="J6" s="523">
        <v>39</v>
      </c>
      <c r="K6" s="524">
        <f>SUM(E6:J6)</f>
        <v>112</v>
      </c>
    </row>
    <row r="7" spans="1:14" ht="27">
      <c r="A7" s="7"/>
      <c r="B7" s="150"/>
      <c r="C7" s="148"/>
      <c r="D7" s="525" t="s">
        <v>8297</v>
      </c>
      <c r="E7" s="526">
        <v>3</v>
      </c>
      <c r="F7" s="526">
        <v>9</v>
      </c>
      <c r="G7" s="526">
        <v>7</v>
      </c>
      <c r="H7" s="526">
        <v>8</v>
      </c>
      <c r="I7" s="526">
        <v>43</v>
      </c>
      <c r="J7" s="526">
        <v>34</v>
      </c>
      <c r="K7" s="551">
        <f>SUM(E7:J7)</f>
        <v>104</v>
      </c>
    </row>
    <row r="8" spans="1:14" ht="27">
      <c r="A8" s="7"/>
      <c r="B8" s="150"/>
      <c r="C8" s="148"/>
      <c r="D8" s="527" t="s">
        <v>7909</v>
      </c>
      <c r="E8" s="528">
        <f>E7/E6</f>
        <v>1</v>
      </c>
      <c r="F8" s="528">
        <f t="shared" ref="F8:K8" si="0">F7/F6</f>
        <v>1</v>
      </c>
      <c r="G8" s="528">
        <f t="shared" si="0"/>
        <v>1</v>
      </c>
      <c r="H8" s="528">
        <f t="shared" si="0"/>
        <v>1</v>
      </c>
      <c r="I8" s="528">
        <f t="shared" si="0"/>
        <v>0.93478260869565222</v>
      </c>
      <c r="J8" s="528">
        <f t="shared" si="0"/>
        <v>0.87179487179487181</v>
      </c>
      <c r="K8" s="528">
        <f t="shared" si="0"/>
        <v>0.9285714285714286</v>
      </c>
    </row>
    <row r="9" spans="1:14" ht="15.5">
      <c r="A9" s="7"/>
      <c r="B9" s="150"/>
      <c r="C9" s="148"/>
      <c r="D9" s="148"/>
    </row>
    <row r="10" spans="1:14" ht="15.5">
      <c r="A10" s="7"/>
      <c r="B10" s="150"/>
      <c r="C10" s="148"/>
      <c r="D10" s="148"/>
    </row>
    <row r="11" spans="1:14" ht="15.5">
      <c r="A11" s="7"/>
      <c r="B11" s="150"/>
      <c r="C11" s="148"/>
      <c r="D11" s="148"/>
    </row>
    <row r="12" spans="1:14" ht="12.5">
      <c r="C12" s="149"/>
      <c r="D12" s="186"/>
      <c r="E12" s="1034" t="s">
        <v>1879</v>
      </c>
      <c r="F12" s="1035"/>
      <c r="G12" s="1032" t="s">
        <v>1882</v>
      </c>
      <c r="H12" s="1034"/>
      <c r="I12" s="1032" t="s">
        <v>2585</v>
      </c>
      <c r="J12" s="1034"/>
      <c r="K12" s="1032" t="s">
        <v>1880</v>
      </c>
      <c r="L12" s="1033"/>
      <c r="M12" s="161"/>
      <c r="N12" s="186"/>
    </row>
    <row r="13" spans="1:14" ht="24">
      <c r="C13" s="797" t="s">
        <v>7899</v>
      </c>
      <c r="D13" s="500" t="s">
        <v>1870</v>
      </c>
      <c r="E13" s="500" t="s">
        <v>1872</v>
      </c>
      <c r="F13" s="500" t="s">
        <v>1903</v>
      </c>
      <c r="G13" s="501" t="s">
        <v>1872</v>
      </c>
      <c r="H13" s="500" t="s">
        <v>1903</v>
      </c>
      <c r="I13" s="501" t="s">
        <v>1872</v>
      </c>
      <c r="J13" s="500" t="s">
        <v>1903</v>
      </c>
      <c r="K13" s="501" t="s">
        <v>1872</v>
      </c>
      <c r="L13" s="500" t="s">
        <v>1903</v>
      </c>
      <c r="M13" s="500" t="s">
        <v>1903</v>
      </c>
      <c r="N13" s="500" t="s">
        <v>1873</v>
      </c>
    </row>
    <row r="14" spans="1:14" ht="12.5">
      <c r="C14" s="798" t="s">
        <v>1883</v>
      </c>
      <c r="D14" s="799">
        <v>3</v>
      </c>
      <c r="E14" s="799">
        <v>3</v>
      </c>
      <c r="F14" s="800">
        <v>0.73895013301796508</v>
      </c>
      <c r="G14" s="801">
        <v>2</v>
      </c>
      <c r="H14" s="802">
        <v>0.53331731512284974</v>
      </c>
      <c r="I14" s="803" t="s">
        <v>1575</v>
      </c>
      <c r="J14" s="803" t="s">
        <v>1575</v>
      </c>
      <c r="K14" s="803" t="s">
        <v>1575</v>
      </c>
      <c r="L14" s="803" t="s">
        <v>1575</v>
      </c>
      <c r="M14" s="800">
        <v>0.73895013301796508</v>
      </c>
      <c r="N14" s="499" t="s">
        <v>1881</v>
      </c>
    </row>
    <row r="15" spans="1:14" ht="12.5">
      <c r="C15" s="804" t="s">
        <v>1137</v>
      </c>
      <c r="D15" s="690">
        <v>1</v>
      </c>
      <c r="E15" s="690">
        <v>1</v>
      </c>
      <c r="F15" s="691">
        <v>0.39335297449915269</v>
      </c>
      <c r="G15" s="805">
        <v>1</v>
      </c>
      <c r="H15" s="691">
        <v>0.39335297449915269</v>
      </c>
      <c r="I15" s="692" t="s">
        <v>1575</v>
      </c>
      <c r="J15" s="692" t="s">
        <v>1575</v>
      </c>
      <c r="K15" s="692" t="s">
        <v>1575</v>
      </c>
      <c r="L15" s="692" t="s">
        <v>1575</v>
      </c>
      <c r="M15" s="691">
        <v>0.39335297449915269</v>
      </c>
      <c r="N15" s="499" t="s">
        <v>1881</v>
      </c>
    </row>
    <row r="16" spans="1:14" ht="12.5">
      <c r="C16" s="804" t="s">
        <v>1</v>
      </c>
      <c r="D16" s="690">
        <v>1</v>
      </c>
      <c r="E16" s="690">
        <v>1</v>
      </c>
      <c r="F16" s="691">
        <v>0.13996434062369706</v>
      </c>
      <c r="G16" s="805">
        <v>1</v>
      </c>
      <c r="H16" s="691">
        <v>0.13996434062369706</v>
      </c>
      <c r="I16" s="692" t="s">
        <v>1575</v>
      </c>
      <c r="J16" s="692" t="s">
        <v>1575</v>
      </c>
      <c r="K16" s="692" t="s">
        <v>1575</v>
      </c>
      <c r="L16" s="692" t="s">
        <v>1575</v>
      </c>
      <c r="M16" s="691">
        <v>0.13996434062369706</v>
      </c>
      <c r="N16" s="499" t="s">
        <v>1881</v>
      </c>
    </row>
    <row r="17" spans="2:16" ht="12.5">
      <c r="C17" s="804" t="s">
        <v>1147</v>
      </c>
      <c r="D17" s="690">
        <v>1</v>
      </c>
      <c r="E17" s="690">
        <v>1</v>
      </c>
      <c r="F17" s="691">
        <v>0.20563281789511526</v>
      </c>
      <c r="G17" s="806">
        <v>0</v>
      </c>
      <c r="H17" s="807"/>
      <c r="I17" s="692" t="s">
        <v>1575</v>
      </c>
      <c r="J17" s="692" t="s">
        <v>1575</v>
      </c>
      <c r="K17" s="692" t="s">
        <v>1575</v>
      </c>
      <c r="L17" s="692" t="s">
        <v>1575</v>
      </c>
      <c r="M17" s="838">
        <v>0.20563281789511526</v>
      </c>
      <c r="N17" s="685" t="s">
        <v>1902</v>
      </c>
      <c r="P17" s="505"/>
    </row>
    <row r="18" spans="2:16" s="97" customFormat="1">
      <c r="B18" s="808"/>
      <c r="C18" s="809" t="s">
        <v>2584</v>
      </c>
      <c r="D18" s="810">
        <v>9</v>
      </c>
      <c r="E18" s="810">
        <v>8</v>
      </c>
      <c r="F18" s="811">
        <v>8.4229788789688537E-2</v>
      </c>
      <c r="G18" s="812" t="s">
        <v>1575</v>
      </c>
      <c r="H18" s="812" t="s">
        <v>1575</v>
      </c>
      <c r="I18" s="813">
        <v>7</v>
      </c>
      <c r="J18" s="814">
        <v>7.4499999999999997E-2</v>
      </c>
      <c r="K18" s="812" t="s">
        <v>1575</v>
      </c>
      <c r="L18" s="812" t="s">
        <v>1575</v>
      </c>
      <c r="M18" s="814">
        <v>8.4229788789688537E-2</v>
      </c>
      <c r="N18" s="815" t="s">
        <v>1881</v>
      </c>
    </row>
    <row r="19" spans="2:16" ht="12.5">
      <c r="C19" s="816" t="s">
        <v>1577</v>
      </c>
      <c r="D19" s="817">
        <v>7</v>
      </c>
      <c r="E19" s="818">
        <v>7</v>
      </c>
      <c r="F19" s="819">
        <v>3.8258367487688287E-2</v>
      </c>
      <c r="G19" s="803" t="s">
        <v>1575</v>
      </c>
      <c r="H19" s="803" t="s">
        <v>1575</v>
      </c>
      <c r="I19" s="818">
        <v>4</v>
      </c>
      <c r="J19" s="819">
        <v>3.6883518741441079E-2</v>
      </c>
      <c r="K19" s="803" t="s">
        <v>1575</v>
      </c>
      <c r="L19" s="803" t="s">
        <v>1575</v>
      </c>
      <c r="M19" s="819">
        <v>3.8258367487688287E-2</v>
      </c>
      <c r="N19" s="499" t="s">
        <v>1881</v>
      </c>
    </row>
    <row r="20" spans="2:16" ht="12.5">
      <c r="C20" s="820" t="s">
        <v>1208</v>
      </c>
      <c r="D20" s="821">
        <v>8</v>
      </c>
      <c r="E20" s="822">
        <v>8</v>
      </c>
      <c r="F20" s="823">
        <v>9.2085171576613722E-2</v>
      </c>
      <c r="G20" s="812" t="s">
        <v>1575</v>
      </c>
      <c r="H20" s="812" t="s">
        <v>1575</v>
      </c>
      <c r="I20" s="812" t="s">
        <v>1575</v>
      </c>
      <c r="J20" s="812" t="s">
        <v>1575</v>
      </c>
      <c r="K20" s="824">
        <f>D20</f>
        <v>8</v>
      </c>
      <c r="L20" s="823">
        <f>F20</f>
        <v>9.2085171576613722E-2</v>
      </c>
      <c r="M20" s="823">
        <v>9.2085171576613722E-2</v>
      </c>
      <c r="N20" s="499" t="s">
        <v>1881</v>
      </c>
    </row>
    <row r="21" spans="2:16" ht="12.5">
      <c r="C21" s="825" t="s">
        <v>1234</v>
      </c>
      <c r="D21" s="817">
        <v>34</v>
      </c>
      <c r="E21" s="818">
        <v>33</v>
      </c>
      <c r="F21" s="819">
        <v>2.8526881958477246E-2</v>
      </c>
      <c r="G21" s="803" t="s">
        <v>1575</v>
      </c>
      <c r="H21" s="803" t="s">
        <v>1575</v>
      </c>
      <c r="I21" s="803" t="s">
        <v>1575</v>
      </c>
      <c r="J21" s="803" t="s">
        <v>1575</v>
      </c>
      <c r="K21" s="826">
        <f>D21</f>
        <v>34</v>
      </c>
      <c r="L21" s="819">
        <f t="shared" ref="L21:L22" si="1">F21</f>
        <v>2.8526881958477246E-2</v>
      </c>
      <c r="M21" s="819">
        <v>2.8526881958477246E-2</v>
      </c>
      <c r="N21" s="499" t="s">
        <v>1881</v>
      </c>
    </row>
    <row r="22" spans="2:16" ht="12.5">
      <c r="C22" s="820" t="s">
        <v>1607</v>
      </c>
      <c r="D22" s="821">
        <v>43</v>
      </c>
      <c r="E22" s="822">
        <v>42</v>
      </c>
      <c r="F22" s="823">
        <v>1.7949657169567236E-2</v>
      </c>
      <c r="G22" s="812" t="s">
        <v>1575</v>
      </c>
      <c r="H22" s="812" t="s">
        <v>1575</v>
      </c>
      <c r="I22" s="827" t="s">
        <v>1575</v>
      </c>
      <c r="J22" s="827" t="s">
        <v>1575</v>
      </c>
      <c r="K22" s="824">
        <f>D22</f>
        <v>43</v>
      </c>
      <c r="L22" s="823">
        <f t="shared" si="1"/>
        <v>1.7949657169567236E-2</v>
      </c>
      <c r="M22" s="823">
        <v>1.7949657169567236E-2</v>
      </c>
      <c r="N22" s="499" t="s">
        <v>1881</v>
      </c>
    </row>
    <row r="23" spans="2:16" ht="12.5">
      <c r="C23" s="502" t="s">
        <v>1904</v>
      </c>
      <c r="D23" s="503">
        <f t="shared" ref="D23:M23" si="2">SUM(D15:D22)</f>
        <v>104</v>
      </c>
      <c r="E23" s="503">
        <f t="shared" si="2"/>
        <v>101</v>
      </c>
      <c r="F23" s="504">
        <f t="shared" si="2"/>
        <v>1</v>
      </c>
      <c r="G23" s="503">
        <f t="shared" si="2"/>
        <v>2</v>
      </c>
      <c r="H23" s="504">
        <f t="shared" si="2"/>
        <v>0.53331731512284974</v>
      </c>
      <c r="I23" s="503">
        <f t="shared" si="2"/>
        <v>11</v>
      </c>
      <c r="J23" s="504">
        <f t="shared" si="2"/>
        <v>0.11138351874144108</v>
      </c>
      <c r="K23" s="503">
        <f t="shared" si="2"/>
        <v>85</v>
      </c>
      <c r="L23" s="504">
        <f t="shared" si="2"/>
        <v>0.1385617107046582</v>
      </c>
      <c r="M23" s="504">
        <f t="shared" si="2"/>
        <v>1</v>
      </c>
      <c r="N23" s="843" t="s">
        <v>1881</v>
      </c>
    </row>
    <row r="25" spans="2:16">
      <c r="M25" s="505"/>
    </row>
    <row r="26" spans="2:16" ht="15" customHeight="1">
      <c r="E26" s="1036" t="s">
        <v>1567</v>
      </c>
      <c r="F26" s="1036"/>
      <c r="G26" s="1036"/>
      <c r="H26" s="1036"/>
      <c r="I26" s="1036"/>
      <c r="M26" s="505"/>
    </row>
    <row r="27" spans="2:16" ht="48">
      <c r="E27" s="1029" t="s">
        <v>2830</v>
      </c>
      <c r="F27" s="267" t="s">
        <v>1568</v>
      </c>
      <c r="G27" s="267" t="s">
        <v>7900</v>
      </c>
      <c r="H27" s="267" t="s">
        <v>2831</v>
      </c>
      <c r="I27" s="1030" t="s">
        <v>1569</v>
      </c>
      <c r="J27" s="1030" t="s">
        <v>7896</v>
      </c>
      <c r="N27" s="136"/>
    </row>
    <row r="28" spans="2:16" ht="36">
      <c r="E28" s="1029"/>
      <c r="F28" s="506" t="s">
        <v>2832</v>
      </c>
      <c r="G28" s="506" t="s">
        <v>10242</v>
      </c>
      <c r="H28" s="268" t="s">
        <v>2833</v>
      </c>
      <c r="I28" s="1031"/>
      <c r="J28" s="1031"/>
      <c r="N28" s="136"/>
    </row>
    <row r="29" spans="2:16">
      <c r="B29" s="269" t="s">
        <v>786</v>
      </c>
      <c r="C29" s="269" t="s">
        <v>1570</v>
      </c>
      <c r="D29" s="270" t="s">
        <v>794</v>
      </c>
      <c r="E29" s="271" t="s">
        <v>1571</v>
      </c>
      <c r="F29" s="271" t="s">
        <v>1571</v>
      </c>
      <c r="G29" s="271"/>
      <c r="H29" s="272" t="s">
        <v>1571</v>
      </c>
      <c r="I29" s="1031"/>
      <c r="J29" s="1031"/>
      <c r="N29" s="136"/>
    </row>
    <row r="30" spans="2:16" hidden="1">
      <c r="B30" s="273" t="s">
        <v>1572</v>
      </c>
      <c r="C30" s="274"/>
      <c r="D30" s="274"/>
      <c r="E30" s="275"/>
      <c r="F30" s="275"/>
      <c r="G30" s="275"/>
      <c r="H30" s="275"/>
      <c r="I30" s="275"/>
      <c r="J30" s="275"/>
      <c r="N30" s="136"/>
    </row>
    <row r="31" spans="2:16" hidden="1">
      <c r="B31" s="276" t="s">
        <v>1573</v>
      </c>
      <c r="C31" s="277"/>
      <c r="D31" s="277"/>
      <c r="E31" s="278"/>
      <c r="F31" s="278"/>
      <c r="G31" s="278"/>
      <c r="H31" s="278"/>
      <c r="I31" s="278"/>
      <c r="J31" s="278"/>
      <c r="N31" s="136"/>
    </row>
    <row r="32" spans="2:16">
      <c r="B32" s="155">
        <v>1</v>
      </c>
      <c r="C32" s="279" t="s">
        <v>1147</v>
      </c>
      <c r="D32" s="280" t="s">
        <v>1574</v>
      </c>
      <c r="E32" s="282" t="s">
        <v>1574</v>
      </c>
      <c r="F32" s="282" t="s">
        <v>1574</v>
      </c>
      <c r="G32" s="507" t="s">
        <v>1575</v>
      </c>
      <c r="H32" s="507" t="s">
        <v>1575</v>
      </c>
      <c r="I32" s="847" t="s">
        <v>1902</v>
      </c>
      <c r="J32" s="136" t="s">
        <v>10694</v>
      </c>
      <c r="N32" s="136"/>
    </row>
    <row r="33" spans="2:14">
      <c r="B33" s="155">
        <v>2</v>
      </c>
      <c r="C33" s="279" t="s">
        <v>1137</v>
      </c>
      <c r="D33" s="280" t="s">
        <v>1574</v>
      </c>
      <c r="E33" s="271" t="s">
        <v>1574</v>
      </c>
      <c r="F33" s="282" t="s">
        <v>1574</v>
      </c>
      <c r="G33" s="507" t="s">
        <v>1575</v>
      </c>
      <c r="H33" s="507" t="s">
        <v>1575</v>
      </c>
      <c r="I33" s="736" t="s">
        <v>1881</v>
      </c>
      <c r="N33" s="136"/>
    </row>
    <row r="34" spans="2:14">
      <c r="B34" s="155">
        <v>3</v>
      </c>
      <c r="C34" s="279" t="s">
        <v>1</v>
      </c>
      <c r="D34" s="280" t="s">
        <v>1574</v>
      </c>
      <c r="E34" s="282" t="s">
        <v>1574</v>
      </c>
      <c r="F34" s="282" t="s">
        <v>1574</v>
      </c>
      <c r="G34" s="507" t="s">
        <v>1575</v>
      </c>
      <c r="H34" s="507" t="s">
        <v>1575</v>
      </c>
      <c r="I34" s="736" t="s">
        <v>1881</v>
      </c>
    </row>
    <row r="35" spans="2:14" hidden="1">
      <c r="B35" s="276" t="s">
        <v>1577</v>
      </c>
      <c r="C35" s="277"/>
      <c r="D35" s="277"/>
      <c r="E35" s="283"/>
      <c r="F35" s="278"/>
      <c r="G35" s="278"/>
      <c r="H35" s="278"/>
      <c r="I35" s="278"/>
      <c r="J35" s="278"/>
    </row>
    <row r="36" spans="2:14">
      <c r="B36" s="155">
        <v>1</v>
      </c>
      <c r="C36" s="284" t="s">
        <v>947</v>
      </c>
      <c r="D36" s="280" t="s">
        <v>1574</v>
      </c>
      <c r="E36" s="282" t="s">
        <v>1574</v>
      </c>
      <c r="F36" s="507" t="s">
        <v>1575</v>
      </c>
      <c r="G36" s="281" t="s">
        <v>850</v>
      </c>
      <c r="H36" s="507" t="s">
        <v>1575</v>
      </c>
      <c r="I36" s="508" t="s">
        <v>1902</v>
      </c>
      <c r="J36" s="509" t="s">
        <v>7901</v>
      </c>
    </row>
    <row r="37" spans="2:14">
      <c r="B37" s="155">
        <v>2</v>
      </c>
      <c r="C37" s="284" t="s">
        <v>1227</v>
      </c>
      <c r="D37" s="280" t="s">
        <v>1574</v>
      </c>
      <c r="E37" s="282" t="s">
        <v>1574</v>
      </c>
      <c r="F37" s="507" t="s">
        <v>1575</v>
      </c>
      <c r="G37" s="282" t="s">
        <v>1574</v>
      </c>
      <c r="H37" s="507" t="s">
        <v>1575</v>
      </c>
      <c r="I37" s="736" t="s">
        <v>1881</v>
      </c>
    </row>
    <row r="38" spans="2:14">
      <c r="B38" s="155">
        <v>3</v>
      </c>
      <c r="C38" s="284" t="s">
        <v>1229</v>
      </c>
      <c r="D38" s="280" t="s">
        <v>1574</v>
      </c>
      <c r="E38" s="271" t="s">
        <v>1574</v>
      </c>
      <c r="F38" s="507" t="s">
        <v>1575</v>
      </c>
      <c r="G38" s="282" t="s">
        <v>1574</v>
      </c>
      <c r="H38" s="507" t="s">
        <v>1575</v>
      </c>
      <c r="I38" s="736" t="s">
        <v>1881</v>
      </c>
    </row>
    <row r="39" spans="2:14">
      <c r="B39" s="155">
        <v>4</v>
      </c>
      <c r="C39" s="284" t="s">
        <v>1224</v>
      </c>
      <c r="D39" s="280" t="s">
        <v>1574</v>
      </c>
      <c r="E39" s="282" t="s">
        <v>1574</v>
      </c>
      <c r="F39" s="507" t="s">
        <v>1575</v>
      </c>
      <c r="G39" s="282" t="s">
        <v>1574</v>
      </c>
      <c r="H39" s="507" t="s">
        <v>1575</v>
      </c>
      <c r="I39" s="736" t="s">
        <v>1881</v>
      </c>
    </row>
    <row r="40" spans="2:14">
      <c r="B40" s="155">
        <v>5</v>
      </c>
      <c r="C40" s="284" t="s">
        <v>1232</v>
      </c>
      <c r="D40" s="280" t="s">
        <v>1574</v>
      </c>
      <c r="E40" s="282" t="s">
        <v>1574</v>
      </c>
      <c r="F40" s="507" t="s">
        <v>1575</v>
      </c>
      <c r="G40" s="282" t="s">
        <v>1574</v>
      </c>
      <c r="H40" s="507" t="s">
        <v>1575</v>
      </c>
      <c r="I40" s="736" t="s">
        <v>1881</v>
      </c>
    </row>
    <row r="41" spans="2:14">
      <c r="B41" s="155">
        <v>6</v>
      </c>
      <c r="C41" s="284" t="s">
        <v>1218</v>
      </c>
      <c r="D41" s="280" t="s">
        <v>1574</v>
      </c>
      <c r="E41" s="271" t="s">
        <v>1574</v>
      </c>
      <c r="F41" s="507" t="s">
        <v>1575</v>
      </c>
      <c r="G41" s="507" t="s">
        <v>1575</v>
      </c>
      <c r="H41" s="507" t="s">
        <v>1575</v>
      </c>
      <c r="I41" s="736" t="s">
        <v>1881</v>
      </c>
      <c r="J41" s="509" t="s">
        <v>7901</v>
      </c>
    </row>
    <row r="42" spans="2:14">
      <c r="B42" s="155">
        <v>7</v>
      </c>
      <c r="C42" s="284" t="s">
        <v>2834</v>
      </c>
      <c r="D42" s="280" t="s">
        <v>1574</v>
      </c>
      <c r="E42" s="282" t="s">
        <v>1574</v>
      </c>
      <c r="F42" s="507" t="s">
        <v>1575</v>
      </c>
      <c r="G42" s="281" t="s">
        <v>850</v>
      </c>
      <c r="H42" s="507" t="s">
        <v>1575</v>
      </c>
      <c r="I42" s="508" t="s">
        <v>1902</v>
      </c>
    </row>
    <row r="43" spans="2:14" hidden="1">
      <c r="B43" s="273" t="s">
        <v>1578</v>
      </c>
      <c r="C43" s="273"/>
      <c r="D43" s="273"/>
      <c r="E43" s="286"/>
      <c r="F43" s="286"/>
      <c r="G43" s="286"/>
      <c r="H43" s="286"/>
      <c r="I43" s="286"/>
      <c r="J43" s="286"/>
    </row>
    <row r="44" spans="2:14" hidden="1">
      <c r="B44" s="276" t="s">
        <v>1579</v>
      </c>
      <c r="C44" s="277"/>
      <c r="D44" s="277"/>
      <c r="E44" s="278"/>
      <c r="F44" s="278"/>
      <c r="G44" s="278"/>
      <c r="H44" s="278"/>
      <c r="I44" s="278"/>
      <c r="J44" s="278"/>
    </row>
    <row r="45" spans="2:14">
      <c r="B45" s="155">
        <v>1</v>
      </c>
      <c r="C45" s="284" t="s">
        <v>1553</v>
      </c>
      <c r="D45" s="280" t="s">
        <v>1574</v>
      </c>
      <c r="E45" s="282" t="s">
        <v>1574</v>
      </c>
      <c r="F45" s="507" t="s">
        <v>1575</v>
      </c>
      <c r="G45" s="507" t="s">
        <v>1575</v>
      </c>
      <c r="H45" s="282" t="s">
        <v>1574</v>
      </c>
      <c r="I45" s="736" t="s">
        <v>1881</v>
      </c>
    </row>
    <row r="46" spans="2:14">
      <c r="B46" s="155">
        <f>B45+1</f>
        <v>2</v>
      </c>
      <c r="C46" s="284" t="s">
        <v>1580</v>
      </c>
      <c r="D46" s="280" t="s">
        <v>1574</v>
      </c>
      <c r="E46" s="282" t="s">
        <v>1574</v>
      </c>
      <c r="F46" s="507" t="s">
        <v>1575</v>
      </c>
      <c r="G46" s="507" t="s">
        <v>1575</v>
      </c>
      <c r="H46" s="282" t="s">
        <v>1574</v>
      </c>
      <c r="I46" s="736" t="s">
        <v>1881</v>
      </c>
    </row>
    <row r="47" spans="2:14">
      <c r="B47" s="155">
        <f t="shared" ref="B47:B52" si="3">B46+1</f>
        <v>3</v>
      </c>
      <c r="C47" s="284" t="s">
        <v>1554</v>
      </c>
      <c r="D47" s="280" t="s">
        <v>1574</v>
      </c>
      <c r="E47" s="282" t="s">
        <v>1574</v>
      </c>
      <c r="F47" s="507" t="s">
        <v>1575</v>
      </c>
      <c r="G47" s="507" t="s">
        <v>1575</v>
      </c>
      <c r="H47" s="282" t="s">
        <v>1574</v>
      </c>
      <c r="I47" s="736" t="s">
        <v>1881</v>
      </c>
    </row>
    <row r="48" spans="2:14">
      <c r="B48" s="155">
        <f t="shared" si="3"/>
        <v>4</v>
      </c>
      <c r="C48" s="284" t="s">
        <v>1581</v>
      </c>
      <c r="D48" s="280" t="s">
        <v>1574</v>
      </c>
      <c r="E48" s="282" t="s">
        <v>1574</v>
      </c>
      <c r="F48" s="507" t="s">
        <v>1575</v>
      </c>
      <c r="G48" s="507" t="s">
        <v>1575</v>
      </c>
      <c r="H48" s="282" t="s">
        <v>1574</v>
      </c>
      <c r="I48" s="736" t="s">
        <v>1881</v>
      </c>
    </row>
    <row r="49" spans="2:10">
      <c r="B49" s="155">
        <f t="shared" si="3"/>
        <v>5</v>
      </c>
      <c r="C49" s="284" t="s">
        <v>1565</v>
      </c>
      <c r="D49" s="280" t="s">
        <v>1574</v>
      </c>
      <c r="E49" s="282" t="s">
        <v>1574</v>
      </c>
      <c r="F49" s="507" t="s">
        <v>1575</v>
      </c>
      <c r="G49" s="507" t="s">
        <v>1575</v>
      </c>
      <c r="H49" s="282" t="s">
        <v>1574</v>
      </c>
      <c r="I49" s="736" t="s">
        <v>1881</v>
      </c>
    </row>
    <row r="50" spans="2:10">
      <c r="B50" s="155">
        <f t="shared" si="3"/>
        <v>6</v>
      </c>
      <c r="C50" s="284" t="s">
        <v>1582</v>
      </c>
      <c r="D50" s="280" t="s">
        <v>1574</v>
      </c>
      <c r="E50" s="282" t="s">
        <v>1574</v>
      </c>
      <c r="F50" s="507" t="s">
        <v>1575</v>
      </c>
      <c r="G50" s="507" t="s">
        <v>1575</v>
      </c>
      <c r="H50" s="282" t="s">
        <v>1574</v>
      </c>
      <c r="I50" s="736" t="s">
        <v>1881</v>
      </c>
    </row>
    <row r="51" spans="2:10">
      <c r="B51" s="155">
        <f t="shared" si="3"/>
        <v>7</v>
      </c>
      <c r="C51" s="284" t="s">
        <v>1583</v>
      </c>
      <c r="D51" s="280" t="s">
        <v>1574</v>
      </c>
      <c r="E51" s="282" t="s">
        <v>1574</v>
      </c>
      <c r="F51" s="507" t="s">
        <v>1575</v>
      </c>
      <c r="G51" s="507" t="s">
        <v>1575</v>
      </c>
      <c r="H51" s="282" t="s">
        <v>1574</v>
      </c>
      <c r="I51" s="736" t="s">
        <v>1881</v>
      </c>
    </row>
    <row r="52" spans="2:10">
      <c r="B52" s="155">
        <f t="shared" si="3"/>
        <v>8</v>
      </c>
      <c r="C52" s="284" t="s">
        <v>1584</v>
      </c>
      <c r="D52" s="280" t="s">
        <v>1574</v>
      </c>
      <c r="E52" s="282" t="s">
        <v>1574</v>
      </c>
      <c r="F52" s="507" t="s">
        <v>1575</v>
      </c>
      <c r="G52" s="507" t="s">
        <v>1575</v>
      </c>
      <c r="H52" s="282" t="s">
        <v>1574</v>
      </c>
      <c r="I52" s="736" t="s">
        <v>1881</v>
      </c>
      <c r="J52" s="509" t="s">
        <v>7901</v>
      </c>
    </row>
    <row r="53" spans="2:10" hidden="1">
      <c r="B53" s="276" t="s">
        <v>1234</v>
      </c>
      <c r="C53" s="276"/>
      <c r="D53" s="276"/>
      <c r="E53" s="288"/>
      <c r="F53" s="288"/>
      <c r="G53" s="288"/>
      <c r="H53" s="288"/>
      <c r="I53" s="288"/>
      <c r="J53" s="288"/>
    </row>
    <row r="54" spans="2:10">
      <c r="B54" s="155">
        <v>1</v>
      </c>
      <c r="C54" s="284" t="s">
        <v>1585</v>
      </c>
      <c r="D54" s="280" t="s">
        <v>1574</v>
      </c>
      <c r="E54" s="282" t="s">
        <v>1574</v>
      </c>
      <c r="F54" s="507" t="s">
        <v>1575</v>
      </c>
      <c r="G54" s="507" t="s">
        <v>1575</v>
      </c>
      <c r="H54" s="282" t="s">
        <v>1574</v>
      </c>
      <c r="I54" s="736" t="s">
        <v>1881</v>
      </c>
    </row>
    <row r="55" spans="2:10">
      <c r="B55" s="155">
        <f>B54+1</f>
        <v>2</v>
      </c>
      <c r="C55" s="284" t="s">
        <v>1552</v>
      </c>
      <c r="D55" s="280" t="s">
        <v>1574</v>
      </c>
      <c r="E55" s="282" t="s">
        <v>1574</v>
      </c>
      <c r="F55" s="507" t="s">
        <v>1575</v>
      </c>
      <c r="G55" s="507" t="s">
        <v>1575</v>
      </c>
      <c r="H55" s="282" t="s">
        <v>1574</v>
      </c>
      <c r="I55" s="736" t="s">
        <v>1881</v>
      </c>
    </row>
    <row r="56" spans="2:10">
      <c r="B56" s="155">
        <f t="shared" ref="B56:B92" si="4">B55+1</f>
        <v>3</v>
      </c>
      <c r="C56" s="284" t="s">
        <v>1559</v>
      </c>
      <c r="D56" s="280" t="s">
        <v>1574</v>
      </c>
      <c r="E56" s="282" t="s">
        <v>1574</v>
      </c>
      <c r="F56" s="507" t="s">
        <v>1575</v>
      </c>
      <c r="G56" s="507" t="s">
        <v>1575</v>
      </c>
      <c r="H56" s="282" t="s">
        <v>1574</v>
      </c>
      <c r="I56" s="736" t="s">
        <v>1881</v>
      </c>
    </row>
    <row r="57" spans="2:10">
      <c r="B57" s="155">
        <f t="shared" si="4"/>
        <v>4</v>
      </c>
      <c r="C57" s="284" t="s">
        <v>1560</v>
      </c>
      <c r="D57" s="280" t="s">
        <v>1574</v>
      </c>
      <c r="E57" s="282" t="s">
        <v>1574</v>
      </c>
      <c r="F57" s="507" t="s">
        <v>1575</v>
      </c>
      <c r="G57" s="507" t="s">
        <v>1575</v>
      </c>
      <c r="H57" s="282" t="s">
        <v>1574</v>
      </c>
      <c r="I57" s="736" t="s">
        <v>1881</v>
      </c>
    </row>
    <row r="58" spans="2:10">
      <c r="B58" s="155">
        <f t="shared" si="4"/>
        <v>5</v>
      </c>
      <c r="C58" s="284" t="s">
        <v>1561</v>
      </c>
      <c r="D58" s="280" t="s">
        <v>1574</v>
      </c>
      <c r="E58" s="282" t="s">
        <v>1574</v>
      </c>
      <c r="F58" s="507" t="s">
        <v>1575</v>
      </c>
      <c r="G58" s="507" t="s">
        <v>1575</v>
      </c>
      <c r="H58" s="282" t="s">
        <v>1574</v>
      </c>
      <c r="I58" s="736" t="s">
        <v>1881</v>
      </c>
    </row>
    <row r="59" spans="2:10">
      <c r="B59" s="155">
        <f t="shared" si="4"/>
        <v>6</v>
      </c>
      <c r="C59" s="284" t="s">
        <v>1586</v>
      </c>
      <c r="D59" s="280" t="s">
        <v>1574</v>
      </c>
      <c r="E59" s="282" t="s">
        <v>1574</v>
      </c>
      <c r="F59" s="507" t="s">
        <v>1575</v>
      </c>
      <c r="G59" s="507" t="s">
        <v>1575</v>
      </c>
      <c r="H59" s="282" t="s">
        <v>1574</v>
      </c>
      <c r="I59" s="736" t="s">
        <v>1881</v>
      </c>
    </row>
    <row r="60" spans="2:10">
      <c r="B60" s="155">
        <f t="shared" si="4"/>
        <v>7</v>
      </c>
      <c r="C60" s="284" t="s">
        <v>1557</v>
      </c>
      <c r="D60" s="280" t="s">
        <v>1574</v>
      </c>
      <c r="E60" s="282" t="s">
        <v>1574</v>
      </c>
      <c r="F60" s="507" t="s">
        <v>1575</v>
      </c>
      <c r="G60" s="507" t="s">
        <v>1575</v>
      </c>
      <c r="H60" s="282" t="s">
        <v>1574</v>
      </c>
      <c r="I60" s="736" t="s">
        <v>1881</v>
      </c>
    </row>
    <row r="61" spans="2:10">
      <c r="B61" s="155">
        <f t="shared" si="4"/>
        <v>8</v>
      </c>
      <c r="C61" s="284" t="s">
        <v>1562</v>
      </c>
      <c r="D61" s="280" t="s">
        <v>1574</v>
      </c>
      <c r="E61" s="282" t="s">
        <v>1574</v>
      </c>
      <c r="F61" s="507" t="s">
        <v>1575</v>
      </c>
      <c r="G61" s="507" t="s">
        <v>1575</v>
      </c>
      <c r="H61" s="282" t="s">
        <v>1574</v>
      </c>
      <c r="I61" s="736" t="s">
        <v>1881</v>
      </c>
    </row>
    <row r="62" spans="2:10">
      <c r="B62" s="155">
        <f t="shared" si="4"/>
        <v>9</v>
      </c>
      <c r="C62" s="284" t="s">
        <v>855</v>
      </c>
      <c r="D62" s="280" t="s">
        <v>1574</v>
      </c>
      <c r="E62" s="282" t="s">
        <v>1574</v>
      </c>
      <c r="F62" s="507" t="s">
        <v>1575</v>
      </c>
      <c r="G62" s="507" t="s">
        <v>1575</v>
      </c>
      <c r="H62" s="282" t="s">
        <v>1574</v>
      </c>
      <c r="I62" s="736" t="s">
        <v>1881</v>
      </c>
    </row>
    <row r="63" spans="2:10">
      <c r="B63" s="155">
        <f t="shared" si="4"/>
        <v>10</v>
      </c>
      <c r="C63" s="284" t="s">
        <v>1558</v>
      </c>
      <c r="D63" s="280" t="s">
        <v>1574</v>
      </c>
      <c r="E63" s="282" t="s">
        <v>1574</v>
      </c>
      <c r="F63" s="507" t="s">
        <v>1575</v>
      </c>
      <c r="G63" s="507" t="s">
        <v>1575</v>
      </c>
      <c r="H63" s="282" t="s">
        <v>1574</v>
      </c>
      <c r="I63" s="736" t="s">
        <v>1881</v>
      </c>
    </row>
    <row r="64" spans="2:10">
      <c r="B64" s="155">
        <f t="shared" si="4"/>
        <v>11</v>
      </c>
      <c r="C64" s="284" t="s">
        <v>1587</v>
      </c>
      <c r="D64" s="280" t="s">
        <v>1574</v>
      </c>
      <c r="E64" s="282" t="s">
        <v>1574</v>
      </c>
      <c r="F64" s="507" t="s">
        <v>1575</v>
      </c>
      <c r="G64" s="507" t="s">
        <v>1575</v>
      </c>
      <c r="H64" s="282" t="s">
        <v>1574</v>
      </c>
      <c r="I64" s="736" t="s">
        <v>1881</v>
      </c>
    </row>
    <row r="65" spans="2:10">
      <c r="B65" s="155">
        <f t="shared" si="4"/>
        <v>12</v>
      </c>
      <c r="C65" s="284" t="s">
        <v>2835</v>
      </c>
      <c r="D65" s="280" t="s">
        <v>1574</v>
      </c>
      <c r="E65" s="282" t="s">
        <v>1574</v>
      </c>
      <c r="F65" s="507" t="s">
        <v>1575</v>
      </c>
      <c r="G65" s="507" t="s">
        <v>1575</v>
      </c>
      <c r="H65" s="282" t="s">
        <v>1574</v>
      </c>
      <c r="I65" s="736" t="s">
        <v>1881</v>
      </c>
      <c r="J65" s="136" t="s">
        <v>7903</v>
      </c>
    </row>
    <row r="66" spans="2:10">
      <c r="B66" s="155">
        <f t="shared" si="4"/>
        <v>13</v>
      </c>
      <c r="C66" s="284" t="s">
        <v>2836</v>
      </c>
      <c r="D66" s="280" t="s">
        <v>1574</v>
      </c>
      <c r="E66" s="282" t="s">
        <v>1574</v>
      </c>
      <c r="F66" s="507" t="s">
        <v>1575</v>
      </c>
      <c r="G66" s="507" t="s">
        <v>1575</v>
      </c>
      <c r="H66" s="282" t="s">
        <v>1574</v>
      </c>
      <c r="I66" s="736" t="s">
        <v>1881</v>
      </c>
    </row>
    <row r="67" spans="2:10" hidden="1">
      <c r="B67" s="155">
        <f t="shared" si="4"/>
        <v>14</v>
      </c>
      <c r="C67" s="284" t="s">
        <v>2837</v>
      </c>
      <c r="D67" s="285" t="s">
        <v>850</v>
      </c>
      <c r="E67" s="507" t="s">
        <v>1575</v>
      </c>
      <c r="F67" s="507" t="s">
        <v>1575</v>
      </c>
      <c r="G67" s="507" t="s">
        <v>1575</v>
      </c>
      <c r="H67" s="507" t="s">
        <v>1575</v>
      </c>
      <c r="I67" s="510" t="s">
        <v>7897</v>
      </c>
      <c r="J67" s="136" t="s">
        <v>7902</v>
      </c>
    </row>
    <row r="68" spans="2:10" hidden="1">
      <c r="B68" s="155">
        <f t="shared" si="4"/>
        <v>15</v>
      </c>
      <c r="C68" s="284" t="s">
        <v>1588</v>
      </c>
      <c r="D68" s="285" t="s">
        <v>850</v>
      </c>
      <c r="E68" s="507" t="s">
        <v>1575</v>
      </c>
      <c r="F68" s="507" t="s">
        <v>1575</v>
      </c>
      <c r="G68" s="507" t="s">
        <v>1575</v>
      </c>
      <c r="H68" s="507" t="s">
        <v>1575</v>
      </c>
      <c r="I68" s="510" t="s">
        <v>7897</v>
      </c>
      <c r="J68" s="136" t="s">
        <v>7902</v>
      </c>
    </row>
    <row r="69" spans="2:10" hidden="1">
      <c r="B69" s="155">
        <f t="shared" si="4"/>
        <v>16</v>
      </c>
      <c r="C69" s="284" t="s">
        <v>1589</v>
      </c>
      <c r="D69" s="285" t="s">
        <v>850</v>
      </c>
      <c r="E69" s="507" t="s">
        <v>1575</v>
      </c>
      <c r="F69" s="507" t="s">
        <v>1575</v>
      </c>
      <c r="G69" s="507" t="s">
        <v>1575</v>
      </c>
      <c r="H69" s="507" t="s">
        <v>1575</v>
      </c>
      <c r="I69" s="510" t="s">
        <v>7897</v>
      </c>
      <c r="J69" s="136" t="s">
        <v>7902</v>
      </c>
    </row>
    <row r="70" spans="2:10">
      <c r="B70" s="155">
        <f t="shared" si="4"/>
        <v>17</v>
      </c>
      <c r="C70" s="284" t="s">
        <v>10243</v>
      </c>
      <c r="D70" s="280" t="s">
        <v>1574</v>
      </c>
      <c r="E70" s="282" t="s">
        <v>1574</v>
      </c>
      <c r="F70" s="507" t="s">
        <v>1575</v>
      </c>
      <c r="G70" s="507" t="s">
        <v>1575</v>
      </c>
      <c r="H70" s="282" t="s">
        <v>1574</v>
      </c>
      <c r="I70" s="736" t="s">
        <v>1881</v>
      </c>
      <c r="J70" s="136" t="s">
        <v>7903</v>
      </c>
    </row>
    <row r="71" spans="2:10">
      <c r="B71" s="155">
        <f t="shared" si="4"/>
        <v>18</v>
      </c>
      <c r="C71" s="284" t="s">
        <v>1590</v>
      </c>
      <c r="D71" s="280" t="s">
        <v>1574</v>
      </c>
      <c r="E71" s="281" t="s">
        <v>850</v>
      </c>
      <c r="F71" s="507" t="s">
        <v>1575</v>
      </c>
      <c r="G71" s="507" t="s">
        <v>1575</v>
      </c>
      <c r="H71" s="282" t="s">
        <v>1574</v>
      </c>
      <c r="I71" s="736" t="s">
        <v>1881</v>
      </c>
    </row>
    <row r="72" spans="2:10">
      <c r="B72" s="155">
        <f t="shared" si="4"/>
        <v>19</v>
      </c>
      <c r="C72" s="284" t="s">
        <v>1564</v>
      </c>
      <c r="D72" s="280" t="s">
        <v>1574</v>
      </c>
      <c r="E72" s="271" t="s">
        <v>1574</v>
      </c>
      <c r="F72" s="507" t="s">
        <v>1575</v>
      </c>
      <c r="G72" s="507" t="s">
        <v>1575</v>
      </c>
      <c r="H72" s="282" t="s">
        <v>1574</v>
      </c>
      <c r="I72" s="736" t="s">
        <v>1881</v>
      </c>
    </row>
    <row r="73" spans="2:10">
      <c r="B73" s="155">
        <f t="shared" si="4"/>
        <v>20</v>
      </c>
      <c r="C73" s="284" t="s">
        <v>1591</v>
      </c>
      <c r="D73" s="280" t="s">
        <v>1574</v>
      </c>
      <c r="E73" s="271" t="s">
        <v>1574</v>
      </c>
      <c r="F73" s="507" t="s">
        <v>1575</v>
      </c>
      <c r="G73" s="507" t="s">
        <v>1575</v>
      </c>
      <c r="H73" s="282" t="s">
        <v>1574</v>
      </c>
      <c r="I73" s="736" t="s">
        <v>1881</v>
      </c>
    </row>
    <row r="74" spans="2:10">
      <c r="B74" s="155">
        <f t="shared" si="4"/>
        <v>21</v>
      </c>
      <c r="C74" s="284" t="s">
        <v>1592</v>
      </c>
      <c r="D74" s="280" t="s">
        <v>1574</v>
      </c>
      <c r="E74" s="282" t="s">
        <v>1574</v>
      </c>
      <c r="F74" s="507" t="s">
        <v>1575</v>
      </c>
      <c r="G74" s="507" t="s">
        <v>1575</v>
      </c>
      <c r="H74" s="282" t="s">
        <v>1574</v>
      </c>
      <c r="I74" s="736" t="s">
        <v>1881</v>
      </c>
    </row>
    <row r="75" spans="2:10">
      <c r="B75" s="155">
        <f t="shared" si="4"/>
        <v>22</v>
      </c>
      <c r="C75" s="284" t="s">
        <v>1593</v>
      </c>
      <c r="D75" s="280" t="s">
        <v>1574</v>
      </c>
      <c r="E75" s="271" t="s">
        <v>1574</v>
      </c>
      <c r="F75" s="507" t="s">
        <v>1575</v>
      </c>
      <c r="G75" s="507" t="s">
        <v>1575</v>
      </c>
      <c r="H75" s="282" t="s">
        <v>1574</v>
      </c>
      <c r="I75" s="736" t="s">
        <v>1881</v>
      </c>
    </row>
    <row r="76" spans="2:10">
      <c r="B76" s="155">
        <f t="shared" si="4"/>
        <v>23</v>
      </c>
      <c r="C76" s="284" t="s">
        <v>1594</v>
      </c>
      <c r="D76" s="280" t="s">
        <v>1574</v>
      </c>
      <c r="E76" s="271" t="s">
        <v>1574</v>
      </c>
      <c r="F76" s="507" t="s">
        <v>1575</v>
      </c>
      <c r="G76" s="507" t="s">
        <v>1575</v>
      </c>
      <c r="H76" s="282" t="s">
        <v>1574</v>
      </c>
      <c r="I76" s="736" t="s">
        <v>1881</v>
      </c>
      <c r="J76" s="136" t="s">
        <v>7903</v>
      </c>
    </row>
    <row r="77" spans="2:10">
      <c r="B77" s="155">
        <f t="shared" si="4"/>
        <v>24</v>
      </c>
      <c r="C77" s="284" t="s">
        <v>1595</v>
      </c>
      <c r="D77" s="280" t="s">
        <v>1574</v>
      </c>
      <c r="E77" s="282" t="s">
        <v>1574</v>
      </c>
      <c r="F77" s="507" t="s">
        <v>1575</v>
      </c>
      <c r="G77" s="507" t="s">
        <v>1575</v>
      </c>
      <c r="H77" s="282" t="s">
        <v>1574</v>
      </c>
      <c r="I77" s="736" t="s">
        <v>1881</v>
      </c>
      <c r="J77" s="136" t="s">
        <v>7903</v>
      </c>
    </row>
    <row r="78" spans="2:10">
      <c r="B78" s="155">
        <f t="shared" si="4"/>
        <v>25</v>
      </c>
      <c r="C78" s="284" t="s">
        <v>1596</v>
      </c>
      <c r="D78" s="280" t="s">
        <v>1574</v>
      </c>
      <c r="E78" s="282" t="s">
        <v>1574</v>
      </c>
      <c r="F78" s="507" t="s">
        <v>1575</v>
      </c>
      <c r="G78" s="507" t="s">
        <v>1575</v>
      </c>
      <c r="H78" s="282" t="s">
        <v>1574</v>
      </c>
      <c r="I78" s="736" t="s">
        <v>1881</v>
      </c>
      <c r="J78" s="136" t="s">
        <v>7903</v>
      </c>
    </row>
    <row r="79" spans="2:10">
      <c r="B79" s="155">
        <f t="shared" si="4"/>
        <v>26</v>
      </c>
      <c r="C79" s="284" t="s">
        <v>1597</v>
      </c>
      <c r="D79" s="280" t="s">
        <v>1574</v>
      </c>
      <c r="E79" s="282" t="s">
        <v>1574</v>
      </c>
      <c r="F79" s="507" t="s">
        <v>1575</v>
      </c>
      <c r="G79" s="507" t="s">
        <v>1575</v>
      </c>
      <c r="H79" s="282" t="s">
        <v>1574</v>
      </c>
      <c r="I79" s="736" t="s">
        <v>1881</v>
      </c>
      <c r="J79" s="136" t="s">
        <v>7903</v>
      </c>
    </row>
    <row r="80" spans="2:10">
      <c r="B80" s="155">
        <f t="shared" si="4"/>
        <v>27</v>
      </c>
      <c r="C80" s="284" t="s">
        <v>1563</v>
      </c>
      <c r="D80" s="280" t="s">
        <v>1574</v>
      </c>
      <c r="E80" s="282" t="s">
        <v>1574</v>
      </c>
      <c r="F80" s="507" t="s">
        <v>1575</v>
      </c>
      <c r="G80" s="507" t="s">
        <v>1575</v>
      </c>
      <c r="H80" s="282" t="s">
        <v>1574</v>
      </c>
      <c r="I80" s="736" t="s">
        <v>1881</v>
      </c>
    </row>
    <row r="81" spans="2:10">
      <c r="B81" s="155">
        <f t="shared" si="4"/>
        <v>28</v>
      </c>
      <c r="C81" s="284" t="s">
        <v>1555</v>
      </c>
      <c r="D81" s="280" t="s">
        <v>1574</v>
      </c>
      <c r="E81" s="282" t="s">
        <v>1574</v>
      </c>
      <c r="F81" s="507" t="s">
        <v>1575</v>
      </c>
      <c r="G81" s="507" t="s">
        <v>1575</v>
      </c>
      <c r="H81" s="282" t="s">
        <v>1574</v>
      </c>
      <c r="I81" s="736" t="s">
        <v>1881</v>
      </c>
    </row>
    <row r="82" spans="2:10">
      <c r="B82" s="155">
        <f t="shared" si="4"/>
        <v>29</v>
      </c>
      <c r="C82" s="284" t="s">
        <v>1598</v>
      </c>
      <c r="D82" s="280" t="s">
        <v>1574</v>
      </c>
      <c r="E82" s="282" t="s">
        <v>1574</v>
      </c>
      <c r="F82" s="507" t="s">
        <v>1575</v>
      </c>
      <c r="G82" s="507" t="s">
        <v>1575</v>
      </c>
      <c r="H82" s="282" t="s">
        <v>1574</v>
      </c>
      <c r="I82" s="736" t="s">
        <v>1881</v>
      </c>
    </row>
    <row r="83" spans="2:10">
      <c r="B83" s="155">
        <f t="shared" si="4"/>
        <v>30</v>
      </c>
      <c r="C83" s="284" t="s">
        <v>1556</v>
      </c>
      <c r="D83" s="280" t="s">
        <v>1574</v>
      </c>
      <c r="E83" s="282" t="s">
        <v>1574</v>
      </c>
      <c r="F83" s="507" t="s">
        <v>1575</v>
      </c>
      <c r="G83" s="507" t="s">
        <v>1575</v>
      </c>
      <c r="H83" s="282" t="s">
        <v>1574</v>
      </c>
      <c r="I83" s="736" t="s">
        <v>1881</v>
      </c>
      <c r="J83" s="136" t="s">
        <v>7903</v>
      </c>
    </row>
    <row r="84" spans="2:10">
      <c r="B84" s="155">
        <f t="shared" si="4"/>
        <v>31</v>
      </c>
      <c r="C84" s="284" t="s">
        <v>1566</v>
      </c>
      <c r="D84" s="280" t="s">
        <v>1574</v>
      </c>
      <c r="E84" s="282" t="s">
        <v>1574</v>
      </c>
      <c r="F84" s="507" t="s">
        <v>1575</v>
      </c>
      <c r="G84" s="507" t="s">
        <v>1575</v>
      </c>
      <c r="H84" s="282" t="s">
        <v>1574</v>
      </c>
      <c r="I84" s="736" t="s">
        <v>1881</v>
      </c>
    </row>
    <row r="85" spans="2:10">
      <c r="B85" s="155">
        <f t="shared" si="4"/>
        <v>32</v>
      </c>
      <c r="C85" s="284" t="s">
        <v>1599</v>
      </c>
      <c r="D85" s="280" t="s">
        <v>1574</v>
      </c>
      <c r="E85" s="282" t="s">
        <v>1574</v>
      </c>
      <c r="F85" s="507" t="s">
        <v>1575</v>
      </c>
      <c r="G85" s="507" t="s">
        <v>1575</v>
      </c>
      <c r="H85" s="282" t="s">
        <v>1574</v>
      </c>
      <c r="I85" s="736" t="s">
        <v>1881</v>
      </c>
      <c r="J85" s="136" t="s">
        <v>7903</v>
      </c>
    </row>
    <row r="86" spans="2:10">
      <c r="B86" s="155">
        <f t="shared" si="4"/>
        <v>33</v>
      </c>
      <c r="C86" s="284" t="s">
        <v>1600</v>
      </c>
      <c r="D86" s="280" t="s">
        <v>1574</v>
      </c>
      <c r="E86" s="282" t="s">
        <v>1574</v>
      </c>
      <c r="F86" s="507" t="s">
        <v>1575</v>
      </c>
      <c r="G86" s="507" t="s">
        <v>1575</v>
      </c>
      <c r="H86" s="282" t="s">
        <v>1574</v>
      </c>
      <c r="I86" s="736" t="s">
        <v>1881</v>
      </c>
    </row>
    <row r="87" spans="2:10">
      <c r="B87" s="155">
        <f t="shared" si="4"/>
        <v>34</v>
      </c>
      <c r="C87" s="284" t="s">
        <v>1601</v>
      </c>
      <c r="D87" s="280" t="s">
        <v>1574</v>
      </c>
      <c r="E87" s="282" t="s">
        <v>1574</v>
      </c>
      <c r="F87" s="507" t="s">
        <v>1575</v>
      </c>
      <c r="G87" s="507" t="s">
        <v>1575</v>
      </c>
      <c r="H87" s="282" t="s">
        <v>1574</v>
      </c>
      <c r="I87" s="736" t="s">
        <v>1881</v>
      </c>
    </row>
    <row r="88" spans="2:10" hidden="1">
      <c r="B88" s="155">
        <f t="shared" si="4"/>
        <v>35</v>
      </c>
      <c r="C88" s="284" t="s">
        <v>1602</v>
      </c>
      <c r="D88" s="285" t="s">
        <v>850</v>
      </c>
      <c r="E88" s="507" t="s">
        <v>1575</v>
      </c>
      <c r="F88" s="507" t="s">
        <v>1575</v>
      </c>
      <c r="G88" s="507" t="s">
        <v>1575</v>
      </c>
      <c r="H88" s="507" t="s">
        <v>1575</v>
      </c>
      <c r="I88" s="510" t="s">
        <v>7897</v>
      </c>
      <c r="J88" s="136" t="s">
        <v>7902</v>
      </c>
    </row>
    <row r="89" spans="2:10">
      <c r="B89" s="155">
        <f t="shared" si="4"/>
        <v>36</v>
      </c>
      <c r="C89" s="284" t="s">
        <v>1603</v>
      </c>
      <c r="D89" s="280" t="s">
        <v>1574</v>
      </c>
      <c r="E89" s="282" t="s">
        <v>1574</v>
      </c>
      <c r="F89" s="507" t="s">
        <v>1575</v>
      </c>
      <c r="G89" s="507" t="s">
        <v>1575</v>
      </c>
      <c r="H89" s="282" t="s">
        <v>1574</v>
      </c>
      <c r="I89" s="736" t="s">
        <v>1881</v>
      </c>
    </row>
    <row r="90" spans="2:10">
      <c r="B90" s="155">
        <f t="shared" si="4"/>
        <v>37</v>
      </c>
      <c r="C90" s="284" t="s">
        <v>1604</v>
      </c>
      <c r="D90" s="280" t="s">
        <v>1574</v>
      </c>
      <c r="E90" s="282" t="s">
        <v>1574</v>
      </c>
      <c r="F90" s="507" t="s">
        <v>1575</v>
      </c>
      <c r="G90" s="507" t="s">
        <v>1575</v>
      </c>
      <c r="H90" s="282" t="s">
        <v>1574</v>
      </c>
      <c r="I90" s="736" t="s">
        <v>1881</v>
      </c>
    </row>
    <row r="91" spans="2:10">
      <c r="B91" s="155">
        <f t="shared" si="4"/>
        <v>38</v>
      </c>
      <c r="C91" s="284" t="s">
        <v>1605</v>
      </c>
      <c r="D91" s="280" t="s">
        <v>1574</v>
      </c>
      <c r="E91" s="282" t="s">
        <v>1574</v>
      </c>
      <c r="F91" s="507" t="s">
        <v>1575</v>
      </c>
      <c r="G91" s="507" t="s">
        <v>1575</v>
      </c>
      <c r="H91" s="282" t="s">
        <v>1574</v>
      </c>
      <c r="I91" s="736" t="s">
        <v>1881</v>
      </c>
    </row>
    <row r="92" spans="2:10" hidden="1">
      <c r="B92" s="155">
        <f t="shared" si="4"/>
        <v>39</v>
      </c>
      <c r="C92" s="284" t="s">
        <v>1606</v>
      </c>
      <c r="D92" s="285" t="s">
        <v>850</v>
      </c>
      <c r="E92" s="507" t="s">
        <v>1575</v>
      </c>
      <c r="F92" s="507" t="s">
        <v>1575</v>
      </c>
      <c r="G92" s="507" t="s">
        <v>1575</v>
      </c>
      <c r="H92" s="507" t="s">
        <v>1575</v>
      </c>
      <c r="I92" s="510" t="s">
        <v>7897</v>
      </c>
      <c r="J92" s="136" t="s">
        <v>7902</v>
      </c>
    </row>
    <row r="93" spans="2:10" hidden="1">
      <c r="B93" s="276" t="s">
        <v>1607</v>
      </c>
      <c r="C93" s="276"/>
      <c r="D93" s="276"/>
      <c r="E93" s="288"/>
      <c r="F93" s="288"/>
      <c r="G93" s="288"/>
      <c r="H93" s="288"/>
    </row>
    <row r="94" spans="2:10">
      <c r="B94" s="155">
        <v>1</v>
      </c>
      <c r="C94" s="284" t="s">
        <v>1608</v>
      </c>
      <c r="D94" s="280" t="s">
        <v>1574</v>
      </c>
      <c r="E94" s="282" t="s">
        <v>1574</v>
      </c>
      <c r="F94" s="507" t="s">
        <v>1575</v>
      </c>
      <c r="G94" s="507" t="s">
        <v>1575</v>
      </c>
      <c r="H94" s="305" t="s">
        <v>1574</v>
      </c>
      <c r="I94" s="736" t="s">
        <v>1881</v>
      </c>
    </row>
    <row r="95" spans="2:10">
      <c r="B95" s="155">
        <f>B94+1</f>
        <v>2</v>
      </c>
      <c r="C95" s="284" t="s">
        <v>1609</v>
      </c>
      <c r="D95" s="280" t="s">
        <v>1574</v>
      </c>
      <c r="E95" s="282" t="s">
        <v>1574</v>
      </c>
      <c r="F95" s="507" t="s">
        <v>1575</v>
      </c>
      <c r="G95" s="507" t="s">
        <v>1575</v>
      </c>
      <c r="H95" s="305" t="s">
        <v>1574</v>
      </c>
      <c r="I95" s="736" t="s">
        <v>1881</v>
      </c>
    </row>
    <row r="96" spans="2:10">
      <c r="B96" s="155">
        <f t="shared" ref="B96:B139" si="5">B95+1</f>
        <v>3</v>
      </c>
      <c r="C96" s="284" t="s">
        <v>1610</v>
      </c>
      <c r="D96" s="280" t="s">
        <v>1574</v>
      </c>
      <c r="E96" s="282" t="s">
        <v>1574</v>
      </c>
      <c r="F96" s="507" t="s">
        <v>1575</v>
      </c>
      <c r="G96" s="507" t="s">
        <v>1575</v>
      </c>
      <c r="H96" s="305" t="s">
        <v>1574</v>
      </c>
      <c r="I96" s="736" t="s">
        <v>1881</v>
      </c>
    </row>
    <row r="97" spans="2:10">
      <c r="B97" s="155">
        <f t="shared" si="5"/>
        <v>4</v>
      </c>
      <c r="C97" s="284" t="s">
        <v>1611</v>
      </c>
      <c r="D97" s="280" t="s">
        <v>1574</v>
      </c>
      <c r="E97" s="282" t="s">
        <v>1574</v>
      </c>
      <c r="F97" s="507" t="s">
        <v>1575</v>
      </c>
      <c r="G97" s="507" t="s">
        <v>1575</v>
      </c>
      <c r="H97" s="305" t="s">
        <v>1574</v>
      </c>
      <c r="I97" s="736" t="s">
        <v>1881</v>
      </c>
    </row>
    <row r="98" spans="2:10" hidden="1">
      <c r="B98" s="155">
        <f t="shared" si="5"/>
        <v>5</v>
      </c>
      <c r="C98" s="284" t="s">
        <v>1612</v>
      </c>
      <c r="D98" s="285" t="s">
        <v>850</v>
      </c>
      <c r="E98" s="507" t="s">
        <v>1575</v>
      </c>
      <c r="F98" s="507" t="s">
        <v>1575</v>
      </c>
      <c r="G98" s="507" t="s">
        <v>1575</v>
      </c>
      <c r="H98" s="507" t="s">
        <v>1575</v>
      </c>
      <c r="I98" s="510" t="s">
        <v>7897</v>
      </c>
      <c r="J98" s="136" t="s">
        <v>7902</v>
      </c>
    </row>
    <row r="99" spans="2:10">
      <c r="B99" s="155">
        <f t="shared" si="5"/>
        <v>6</v>
      </c>
      <c r="C99" s="284" t="s">
        <v>1613</v>
      </c>
      <c r="D99" s="280" t="s">
        <v>1574</v>
      </c>
      <c r="E99" s="282" t="s">
        <v>1574</v>
      </c>
      <c r="F99" s="507" t="s">
        <v>1575</v>
      </c>
      <c r="G99" s="507" t="s">
        <v>1575</v>
      </c>
      <c r="H99" s="305" t="s">
        <v>1574</v>
      </c>
      <c r="I99" s="736" t="s">
        <v>1881</v>
      </c>
    </row>
    <row r="100" spans="2:10">
      <c r="B100" s="155">
        <f t="shared" si="5"/>
        <v>7</v>
      </c>
      <c r="C100" s="284" t="s">
        <v>1614</v>
      </c>
      <c r="D100" s="280" t="s">
        <v>1574</v>
      </c>
      <c r="E100" s="282" t="s">
        <v>1574</v>
      </c>
      <c r="F100" s="507" t="s">
        <v>1575</v>
      </c>
      <c r="G100" s="507" t="s">
        <v>1575</v>
      </c>
      <c r="H100" s="305" t="s">
        <v>1574</v>
      </c>
      <c r="I100" s="736" t="s">
        <v>1881</v>
      </c>
    </row>
    <row r="101" spans="2:10">
      <c r="B101" s="155">
        <f t="shared" si="5"/>
        <v>8</v>
      </c>
      <c r="C101" s="284" t="s">
        <v>1615</v>
      </c>
      <c r="D101" s="280" t="s">
        <v>1574</v>
      </c>
      <c r="E101" s="282" t="s">
        <v>1574</v>
      </c>
      <c r="F101" s="507" t="s">
        <v>1575</v>
      </c>
      <c r="G101" s="507" t="s">
        <v>1575</v>
      </c>
      <c r="H101" s="305" t="s">
        <v>1574</v>
      </c>
      <c r="I101" s="736" t="s">
        <v>1881</v>
      </c>
    </row>
    <row r="102" spans="2:10">
      <c r="B102" s="155">
        <f t="shared" si="5"/>
        <v>9</v>
      </c>
      <c r="C102" s="284" t="s">
        <v>1616</v>
      </c>
      <c r="D102" s="280" t="s">
        <v>1574</v>
      </c>
      <c r="E102" s="282" t="s">
        <v>1574</v>
      </c>
      <c r="F102" s="507" t="s">
        <v>1575</v>
      </c>
      <c r="G102" s="507" t="s">
        <v>1575</v>
      </c>
      <c r="H102" s="305" t="s">
        <v>1574</v>
      </c>
      <c r="I102" s="736" t="s">
        <v>1881</v>
      </c>
    </row>
    <row r="103" spans="2:10">
      <c r="B103" s="155">
        <f t="shared" si="5"/>
        <v>10</v>
      </c>
      <c r="C103" s="284" t="s">
        <v>1617</v>
      </c>
      <c r="D103" s="280" t="s">
        <v>1574</v>
      </c>
      <c r="E103" s="282" t="s">
        <v>1574</v>
      </c>
      <c r="F103" s="507" t="s">
        <v>1575</v>
      </c>
      <c r="G103" s="507" t="s">
        <v>1575</v>
      </c>
      <c r="H103" s="305" t="s">
        <v>1574</v>
      </c>
      <c r="I103" s="736" t="s">
        <v>1881</v>
      </c>
    </row>
    <row r="104" spans="2:10">
      <c r="B104" s="155">
        <f t="shared" si="5"/>
        <v>11</v>
      </c>
      <c r="C104" s="284" t="s">
        <v>1618</v>
      </c>
      <c r="D104" s="280" t="s">
        <v>1574</v>
      </c>
      <c r="E104" s="282" t="s">
        <v>1574</v>
      </c>
      <c r="F104" s="507" t="s">
        <v>1575</v>
      </c>
      <c r="G104" s="507" t="s">
        <v>1575</v>
      </c>
      <c r="H104" s="305" t="s">
        <v>1574</v>
      </c>
      <c r="I104" s="736" t="s">
        <v>1881</v>
      </c>
    </row>
    <row r="105" spans="2:10">
      <c r="B105" s="155">
        <f t="shared" si="5"/>
        <v>12</v>
      </c>
      <c r="C105" s="284" t="s">
        <v>1619</v>
      </c>
      <c r="D105" s="280" t="s">
        <v>1574</v>
      </c>
      <c r="E105" s="282" t="s">
        <v>1574</v>
      </c>
      <c r="F105" s="507" t="s">
        <v>1575</v>
      </c>
      <c r="G105" s="507" t="s">
        <v>1575</v>
      </c>
      <c r="H105" s="305" t="s">
        <v>1574</v>
      </c>
      <c r="I105" s="736" t="s">
        <v>1881</v>
      </c>
    </row>
    <row r="106" spans="2:10">
      <c r="B106" s="155">
        <f t="shared" si="5"/>
        <v>13</v>
      </c>
      <c r="C106" s="284" t="s">
        <v>1620</v>
      </c>
      <c r="D106" s="280" t="s">
        <v>1574</v>
      </c>
      <c r="E106" s="282" t="s">
        <v>1574</v>
      </c>
      <c r="F106" s="507" t="s">
        <v>1575</v>
      </c>
      <c r="G106" s="507" t="s">
        <v>1575</v>
      </c>
      <c r="H106" s="305" t="s">
        <v>1574</v>
      </c>
      <c r="I106" s="736" t="s">
        <v>1881</v>
      </c>
    </row>
    <row r="107" spans="2:10">
      <c r="B107" s="155">
        <f t="shared" si="5"/>
        <v>14</v>
      </c>
      <c r="C107" s="284" t="s">
        <v>2838</v>
      </c>
      <c r="D107" s="280" t="s">
        <v>1574</v>
      </c>
      <c r="E107" s="282" t="s">
        <v>1574</v>
      </c>
      <c r="F107" s="507" t="s">
        <v>1575</v>
      </c>
      <c r="G107" s="507" t="s">
        <v>1575</v>
      </c>
      <c r="H107" s="305" t="s">
        <v>1574</v>
      </c>
      <c r="I107" s="736" t="s">
        <v>1881</v>
      </c>
    </row>
    <row r="108" spans="2:10">
      <c r="B108" s="155">
        <f t="shared" si="5"/>
        <v>15</v>
      </c>
      <c r="C108" s="284" t="s">
        <v>2839</v>
      </c>
      <c r="D108" s="280" t="s">
        <v>1574</v>
      </c>
      <c r="E108" s="282" t="s">
        <v>1574</v>
      </c>
      <c r="F108" s="507" t="s">
        <v>1575</v>
      </c>
      <c r="G108" s="507" t="s">
        <v>1575</v>
      </c>
      <c r="H108" s="305" t="s">
        <v>1574</v>
      </c>
      <c r="I108" s="736" t="s">
        <v>1881</v>
      </c>
    </row>
    <row r="109" spans="2:10">
      <c r="B109" s="155">
        <f t="shared" si="5"/>
        <v>16</v>
      </c>
      <c r="C109" s="284" t="s">
        <v>2840</v>
      </c>
      <c r="D109" s="280" t="s">
        <v>1574</v>
      </c>
      <c r="E109" s="282" t="s">
        <v>1574</v>
      </c>
      <c r="F109" s="507" t="s">
        <v>1575</v>
      </c>
      <c r="G109" s="507" t="s">
        <v>1575</v>
      </c>
      <c r="H109" s="305" t="s">
        <v>1574</v>
      </c>
      <c r="I109" s="736" t="s">
        <v>1881</v>
      </c>
    </row>
    <row r="110" spans="2:10">
      <c r="B110" s="155">
        <f t="shared" si="5"/>
        <v>17</v>
      </c>
      <c r="C110" s="284" t="s">
        <v>2841</v>
      </c>
      <c r="D110" s="280" t="s">
        <v>1574</v>
      </c>
      <c r="E110" s="282" t="s">
        <v>1574</v>
      </c>
      <c r="F110" s="507" t="s">
        <v>1575</v>
      </c>
      <c r="G110" s="507" t="s">
        <v>1575</v>
      </c>
      <c r="H110" s="305" t="s">
        <v>1574</v>
      </c>
      <c r="I110" s="736" t="s">
        <v>1881</v>
      </c>
    </row>
    <row r="111" spans="2:10">
      <c r="B111" s="155">
        <f t="shared" si="5"/>
        <v>18</v>
      </c>
      <c r="C111" s="284" t="s">
        <v>2842</v>
      </c>
      <c r="D111" s="280" t="s">
        <v>1574</v>
      </c>
      <c r="E111" s="282" t="s">
        <v>1574</v>
      </c>
      <c r="F111" s="507" t="s">
        <v>1575</v>
      </c>
      <c r="G111" s="507" t="s">
        <v>1575</v>
      </c>
      <c r="H111" s="305" t="s">
        <v>1574</v>
      </c>
      <c r="I111" s="736" t="s">
        <v>1881</v>
      </c>
    </row>
    <row r="112" spans="2:10">
      <c r="B112" s="155">
        <f t="shared" si="5"/>
        <v>19</v>
      </c>
      <c r="C112" s="284" t="s">
        <v>2843</v>
      </c>
      <c r="D112" s="280" t="s">
        <v>1574</v>
      </c>
      <c r="E112" s="282" t="s">
        <v>1574</v>
      </c>
      <c r="F112" s="507" t="s">
        <v>1575</v>
      </c>
      <c r="G112" s="507" t="s">
        <v>1575</v>
      </c>
      <c r="H112" s="305" t="s">
        <v>1574</v>
      </c>
      <c r="I112" s="736" t="s">
        <v>1881</v>
      </c>
    </row>
    <row r="113" spans="2:10">
      <c r="B113" s="155">
        <f t="shared" si="5"/>
        <v>20</v>
      </c>
      <c r="C113" s="284" t="s">
        <v>2844</v>
      </c>
      <c r="D113" s="280" t="s">
        <v>1574</v>
      </c>
      <c r="E113" s="282" t="s">
        <v>1574</v>
      </c>
      <c r="F113" s="507" t="s">
        <v>1575</v>
      </c>
      <c r="G113" s="507" t="s">
        <v>1575</v>
      </c>
      <c r="H113" s="305" t="s">
        <v>1574</v>
      </c>
      <c r="I113" s="736" t="s">
        <v>1881</v>
      </c>
    </row>
    <row r="114" spans="2:10">
      <c r="B114" s="155">
        <f t="shared" si="5"/>
        <v>21</v>
      </c>
      <c r="C114" s="284" t="s">
        <v>2845</v>
      </c>
      <c r="D114" s="280" t="s">
        <v>1574</v>
      </c>
      <c r="E114" s="282" t="s">
        <v>1574</v>
      </c>
      <c r="F114" s="507" t="s">
        <v>1575</v>
      </c>
      <c r="G114" s="507" t="s">
        <v>1575</v>
      </c>
      <c r="H114" s="305" t="s">
        <v>1574</v>
      </c>
      <c r="I114" s="736" t="s">
        <v>1881</v>
      </c>
    </row>
    <row r="115" spans="2:10">
      <c r="B115" s="155">
        <f t="shared" si="5"/>
        <v>22</v>
      </c>
      <c r="C115" s="284" t="s">
        <v>2846</v>
      </c>
      <c r="D115" s="280" t="s">
        <v>1574</v>
      </c>
      <c r="E115" s="282" t="s">
        <v>1574</v>
      </c>
      <c r="F115" s="507" t="s">
        <v>1575</v>
      </c>
      <c r="G115" s="507" t="s">
        <v>1575</v>
      </c>
      <c r="H115" s="305" t="s">
        <v>1574</v>
      </c>
      <c r="I115" s="736" t="s">
        <v>1881</v>
      </c>
    </row>
    <row r="116" spans="2:10">
      <c r="B116" s="155">
        <f t="shared" si="5"/>
        <v>23</v>
      </c>
      <c r="C116" s="284" t="s">
        <v>2847</v>
      </c>
      <c r="D116" s="280" t="s">
        <v>1574</v>
      </c>
      <c r="E116" s="282" t="s">
        <v>1574</v>
      </c>
      <c r="F116" s="507" t="s">
        <v>1575</v>
      </c>
      <c r="G116" s="507" t="s">
        <v>1575</v>
      </c>
      <c r="H116" s="305" t="s">
        <v>1574</v>
      </c>
      <c r="I116" s="736" t="s">
        <v>1881</v>
      </c>
    </row>
    <row r="117" spans="2:10">
      <c r="B117" s="155">
        <f t="shared" si="5"/>
        <v>24</v>
      </c>
      <c r="C117" s="284" t="s">
        <v>2848</v>
      </c>
      <c r="D117" s="280" t="s">
        <v>1574</v>
      </c>
      <c r="E117" s="282" t="s">
        <v>1574</v>
      </c>
      <c r="F117" s="507" t="s">
        <v>1575</v>
      </c>
      <c r="G117" s="507" t="s">
        <v>1575</v>
      </c>
      <c r="H117" s="305" t="s">
        <v>1574</v>
      </c>
      <c r="I117" s="736" t="s">
        <v>1881</v>
      </c>
    </row>
    <row r="118" spans="2:10">
      <c r="B118" s="155">
        <f t="shared" si="5"/>
        <v>25</v>
      </c>
      <c r="C118" s="284" t="s">
        <v>2849</v>
      </c>
      <c r="D118" s="280" t="s">
        <v>1574</v>
      </c>
      <c r="E118" s="281" t="s">
        <v>850</v>
      </c>
      <c r="F118" s="507" t="s">
        <v>1575</v>
      </c>
      <c r="G118" s="507" t="s">
        <v>1575</v>
      </c>
      <c r="H118" s="305" t="s">
        <v>1574</v>
      </c>
      <c r="I118" s="508" t="s">
        <v>1902</v>
      </c>
    </row>
    <row r="119" spans="2:10">
      <c r="B119" s="155">
        <f t="shared" si="5"/>
        <v>26</v>
      </c>
      <c r="C119" s="284" t="s">
        <v>2850</v>
      </c>
      <c r="D119" s="280" t="s">
        <v>1574</v>
      </c>
      <c r="E119" s="282" t="s">
        <v>1574</v>
      </c>
      <c r="F119" s="507" t="s">
        <v>1575</v>
      </c>
      <c r="G119" s="507" t="s">
        <v>1575</v>
      </c>
      <c r="H119" s="305" t="s">
        <v>1574</v>
      </c>
      <c r="I119" s="736" t="s">
        <v>1881</v>
      </c>
    </row>
    <row r="120" spans="2:10">
      <c r="B120" s="155">
        <f t="shared" si="5"/>
        <v>27</v>
      </c>
      <c r="C120" s="284" t="s">
        <v>2851</v>
      </c>
      <c r="D120" s="280" t="s">
        <v>1574</v>
      </c>
      <c r="E120" s="282" t="s">
        <v>1574</v>
      </c>
      <c r="F120" s="507" t="s">
        <v>1575</v>
      </c>
      <c r="G120" s="507" t="s">
        <v>1575</v>
      </c>
      <c r="H120" s="305" t="s">
        <v>1574</v>
      </c>
      <c r="I120" s="736" t="s">
        <v>1881</v>
      </c>
    </row>
    <row r="121" spans="2:10">
      <c r="B121" s="155">
        <f t="shared" si="5"/>
        <v>28</v>
      </c>
      <c r="C121" s="284" t="s">
        <v>2852</v>
      </c>
      <c r="D121" s="280" t="s">
        <v>1574</v>
      </c>
      <c r="E121" s="282" t="s">
        <v>1574</v>
      </c>
      <c r="F121" s="507" t="s">
        <v>1575</v>
      </c>
      <c r="G121" s="507" t="s">
        <v>1575</v>
      </c>
      <c r="H121" s="305" t="s">
        <v>1574</v>
      </c>
      <c r="I121" s="736" t="s">
        <v>1881</v>
      </c>
    </row>
    <row r="122" spans="2:10">
      <c r="B122" s="155">
        <f t="shared" si="5"/>
        <v>29</v>
      </c>
      <c r="C122" s="284" t="s">
        <v>2853</v>
      </c>
      <c r="D122" s="280" t="s">
        <v>1574</v>
      </c>
      <c r="E122" s="282" t="s">
        <v>1574</v>
      </c>
      <c r="F122" s="507" t="s">
        <v>1575</v>
      </c>
      <c r="G122" s="507" t="s">
        <v>1575</v>
      </c>
      <c r="H122" s="305" t="s">
        <v>1574</v>
      </c>
      <c r="I122" s="736" t="s">
        <v>1881</v>
      </c>
    </row>
    <row r="123" spans="2:10">
      <c r="B123" s="155">
        <f t="shared" si="5"/>
        <v>30</v>
      </c>
      <c r="C123" s="284" t="s">
        <v>2854</v>
      </c>
      <c r="D123" s="280" t="s">
        <v>1574</v>
      </c>
      <c r="E123" s="282" t="s">
        <v>1574</v>
      </c>
      <c r="F123" s="507" t="s">
        <v>1575</v>
      </c>
      <c r="G123" s="507" t="s">
        <v>1575</v>
      </c>
      <c r="H123" s="305" t="s">
        <v>1574</v>
      </c>
      <c r="I123" s="736" t="s">
        <v>1881</v>
      </c>
    </row>
    <row r="124" spans="2:10">
      <c r="B124" s="155">
        <f t="shared" si="5"/>
        <v>31</v>
      </c>
      <c r="C124" s="284" t="s">
        <v>7904</v>
      </c>
      <c r="D124" s="280" t="s">
        <v>1574</v>
      </c>
      <c r="E124" s="282" t="s">
        <v>1574</v>
      </c>
      <c r="F124" s="507" t="s">
        <v>1575</v>
      </c>
      <c r="G124" s="507" t="s">
        <v>1575</v>
      </c>
      <c r="H124" s="305" t="s">
        <v>1574</v>
      </c>
      <c r="I124" s="736" t="s">
        <v>1881</v>
      </c>
      <c r="J124" s="136" t="s">
        <v>7903</v>
      </c>
    </row>
    <row r="125" spans="2:10">
      <c r="B125" s="155">
        <f t="shared" si="5"/>
        <v>32</v>
      </c>
      <c r="C125" s="284" t="s">
        <v>2855</v>
      </c>
      <c r="D125" s="280" t="s">
        <v>1574</v>
      </c>
      <c r="E125" s="282" t="s">
        <v>1574</v>
      </c>
      <c r="F125" s="507" t="s">
        <v>1575</v>
      </c>
      <c r="G125" s="507" t="s">
        <v>1575</v>
      </c>
      <c r="H125" s="305" t="s">
        <v>1574</v>
      </c>
      <c r="I125" s="736" t="s">
        <v>1881</v>
      </c>
    </row>
    <row r="126" spans="2:10">
      <c r="B126" s="155">
        <f t="shared" si="5"/>
        <v>33</v>
      </c>
      <c r="C126" s="284" t="s">
        <v>2856</v>
      </c>
      <c r="D126" s="280" t="s">
        <v>1574</v>
      </c>
      <c r="E126" s="282" t="s">
        <v>1574</v>
      </c>
      <c r="F126" s="507" t="s">
        <v>1575</v>
      </c>
      <c r="G126" s="507" t="s">
        <v>1575</v>
      </c>
      <c r="H126" s="305" t="s">
        <v>1574</v>
      </c>
      <c r="I126" s="736" t="s">
        <v>1881</v>
      </c>
    </row>
    <row r="127" spans="2:10">
      <c r="B127" s="155">
        <f t="shared" si="5"/>
        <v>34</v>
      </c>
      <c r="C127" s="284" t="s">
        <v>2857</v>
      </c>
      <c r="D127" s="280" t="s">
        <v>1574</v>
      </c>
      <c r="E127" s="282" t="s">
        <v>1574</v>
      </c>
      <c r="F127" s="507" t="s">
        <v>1575</v>
      </c>
      <c r="G127" s="507" t="s">
        <v>1575</v>
      </c>
      <c r="H127" s="305" t="s">
        <v>1574</v>
      </c>
      <c r="I127" s="736" t="s">
        <v>1881</v>
      </c>
    </row>
    <row r="128" spans="2:10">
      <c r="B128" s="155">
        <f t="shared" si="5"/>
        <v>35</v>
      </c>
      <c r="C128" s="284" t="s">
        <v>2858</v>
      </c>
      <c r="D128" s="280" t="s">
        <v>1574</v>
      </c>
      <c r="E128" s="282" t="s">
        <v>1574</v>
      </c>
      <c r="F128" s="507" t="s">
        <v>1575</v>
      </c>
      <c r="G128" s="507" t="s">
        <v>1575</v>
      </c>
      <c r="H128" s="305" t="s">
        <v>1574</v>
      </c>
      <c r="I128" s="736" t="s">
        <v>1881</v>
      </c>
    </row>
    <row r="129" spans="2:10">
      <c r="B129" s="155">
        <f t="shared" si="5"/>
        <v>36</v>
      </c>
      <c r="C129" s="284" t="s">
        <v>2859</v>
      </c>
      <c r="D129" s="280" t="s">
        <v>1574</v>
      </c>
      <c r="E129" s="282" t="s">
        <v>1574</v>
      </c>
      <c r="F129" s="507" t="s">
        <v>1575</v>
      </c>
      <c r="G129" s="507" t="s">
        <v>1575</v>
      </c>
      <c r="H129" s="305" t="s">
        <v>1574</v>
      </c>
      <c r="I129" s="736" t="s">
        <v>1881</v>
      </c>
    </row>
    <row r="130" spans="2:10">
      <c r="B130" s="155">
        <f t="shared" si="5"/>
        <v>37</v>
      </c>
      <c r="C130" s="284" t="s">
        <v>2860</v>
      </c>
      <c r="D130" s="280" t="s">
        <v>1574</v>
      </c>
      <c r="E130" s="282" t="s">
        <v>1574</v>
      </c>
      <c r="F130" s="507" t="s">
        <v>1575</v>
      </c>
      <c r="G130" s="507" t="s">
        <v>1575</v>
      </c>
      <c r="H130" s="305" t="s">
        <v>1574</v>
      </c>
      <c r="I130" s="736" t="s">
        <v>1881</v>
      </c>
    </row>
    <row r="131" spans="2:10">
      <c r="B131" s="155">
        <f t="shared" si="5"/>
        <v>38</v>
      </c>
      <c r="C131" s="284" t="s">
        <v>2861</v>
      </c>
      <c r="D131" s="280" t="s">
        <v>1574</v>
      </c>
      <c r="E131" s="282" t="s">
        <v>1574</v>
      </c>
      <c r="F131" s="507" t="s">
        <v>1575</v>
      </c>
      <c r="G131" s="507" t="s">
        <v>1575</v>
      </c>
      <c r="H131" s="305" t="s">
        <v>1574</v>
      </c>
      <c r="I131" s="736" t="s">
        <v>1881</v>
      </c>
    </row>
    <row r="132" spans="2:10">
      <c r="B132" s="155">
        <f t="shared" si="5"/>
        <v>39</v>
      </c>
      <c r="C132" s="284" t="s">
        <v>2862</v>
      </c>
      <c r="D132" s="280" t="s">
        <v>1574</v>
      </c>
      <c r="E132" s="282" t="s">
        <v>1574</v>
      </c>
      <c r="F132" s="507" t="s">
        <v>1575</v>
      </c>
      <c r="G132" s="507" t="s">
        <v>1575</v>
      </c>
      <c r="H132" s="305" t="s">
        <v>1574</v>
      </c>
      <c r="I132" s="736" t="s">
        <v>1881</v>
      </c>
    </row>
    <row r="133" spans="2:10">
      <c r="B133" s="155">
        <f t="shared" si="5"/>
        <v>40</v>
      </c>
      <c r="C133" s="284" t="s">
        <v>2863</v>
      </c>
      <c r="D133" s="280" t="s">
        <v>1574</v>
      </c>
      <c r="E133" s="282" t="s">
        <v>1574</v>
      </c>
      <c r="F133" s="507" t="s">
        <v>1575</v>
      </c>
      <c r="G133" s="507" t="s">
        <v>1575</v>
      </c>
      <c r="H133" s="305" t="s">
        <v>1574</v>
      </c>
      <c r="I133" s="736" t="s">
        <v>1881</v>
      </c>
    </row>
    <row r="134" spans="2:10">
      <c r="B134" s="155">
        <f t="shared" si="5"/>
        <v>41</v>
      </c>
      <c r="C134" s="284" t="s">
        <v>2864</v>
      </c>
      <c r="D134" s="280" t="s">
        <v>1574</v>
      </c>
      <c r="E134" s="282" t="s">
        <v>1574</v>
      </c>
      <c r="F134" s="507" t="s">
        <v>1575</v>
      </c>
      <c r="G134" s="507" t="s">
        <v>1575</v>
      </c>
      <c r="H134" s="305" t="s">
        <v>1574</v>
      </c>
      <c r="I134" s="736" t="s">
        <v>1881</v>
      </c>
    </row>
    <row r="135" spans="2:10">
      <c r="B135" s="155">
        <f t="shared" si="5"/>
        <v>42</v>
      </c>
      <c r="C135" s="284" t="s">
        <v>2865</v>
      </c>
      <c r="D135" s="280" t="s">
        <v>1574</v>
      </c>
      <c r="E135" s="282" t="s">
        <v>1574</v>
      </c>
      <c r="F135" s="507" t="s">
        <v>1575</v>
      </c>
      <c r="G135" s="507" t="s">
        <v>1575</v>
      </c>
      <c r="H135" s="305" t="s">
        <v>1574</v>
      </c>
      <c r="I135" s="736" t="s">
        <v>1881</v>
      </c>
    </row>
    <row r="136" spans="2:10">
      <c r="B136" s="155">
        <f t="shared" si="5"/>
        <v>43</v>
      </c>
      <c r="C136" s="284" t="s">
        <v>2866</v>
      </c>
      <c r="D136" s="280" t="s">
        <v>1574</v>
      </c>
      <c r="E136" s="282" t="s">
        <v>1574</v>
      </c>
      <c r="F136" s="507" t="s">
        <v>1575</v>
      </c>
      <c r="G136" s="507" t="s">
        <v>1575</v>
      </c>
      <c r="H136" s="305" t="s">
        <v>1574</v>
      </c>
      <c r="I136" s="736" t="s">
        <v>1881</v>
      </c>
    </row>
    <row r="137" spans="2:10">
      <c r="B137" s="155">
        <f t="shared" si="5"/>
        <v>44</v>
      </c>
      <c r="C137" s="284" t="s">
        <v>2867</v>
      </c>
      <c r="D137" s="280" t="s">
        <v>1574</v>
      </c>
      <c r="E137" s="282" t="s">
        <v>1574</v>
      </c>
      <c r="F137" s="507" t="s">
        <v>1575</v>
      </c>
      <c r="G137" s="507" t="s">
        <v>1575</v>
      </c>
      <c r="H137" s="305" t="s">
        <v>1574</v>
      </c>
      <c r="I137" s="736" t="s">
        <v>1881</v>
      </c>
    </row>
    <row r="138" spans="2:10" hidden="1">
      <c r="B138" s="155">
        <f t="shared" si="5"/>
        <v>45</v>
      </c>
      <c r="C138" s="284" t="s">
        <v>2868</v>
      </c>
      <c r="D138" s="285" t="s">
        <v>850</v>
      </c>
      <c r="E138" s="507" t="s">
        <v>1575</v>
      </c>
      <c r="F138" s="507" t="s">
        <v>1575</v>
      </c>
      <c r="G138" s="507" t="s">
        <v>1575</v>
      </c>
      <c r="H138" s="507" t="s">
        <v>1575</v>
      </c>
      <c r="I138" s="510" t="s">
        <v>7897</v>
      </c>
      <c r="J138" s="136" t="s">
        <v>7902</v>
      </c>
    </row>
    <row r="139" spans="2:10" hidden="1">
      <c r="B139" s="155">
        <f t="shared" si="5"/>
        <v>46</v>
      </c>
      <c r="C139" s="284" t="s">
        <v>2869</v>
      </c>
      <c r="D139" s="285" t="s">
        <v>850</v>
      </c>
      <c r="E139" s="507" t="s">
        <v>1575</v>
      </c>
      <c r="F139" s="507" t="s">
        <v>1575</v>
      </c>
      <c r="G139" s="507" t="s">
        <v>1575</v>
      </c>
      <c r="H139" s="507" t="s">
        <v>1575</v>
      </c>
      <c r="I139" s="510" t="s">
        <v>7897</v>
      </c>
      <c r="J139" s="136" t="s">
        <v>7902</v>
      </c>
    </row>
  </sheetData>
  <autoFilter ref="A29:S139" xr:uid="{D47ADE1F-7120-4D7F-8CF5-BAF765F59301}">
    <filterColumn colId="3">
      <filters>
        <filter val="Oui"/>
      </filters>
    </filterColumn>
  </autoFilter>
  <mergeCells count="8">
    <mergeCell ref="E27:E28"/>
    <mergeCell ref="I27:I29"/>
    <mergeCell ref="J27:J29"/>
    <mergeCell ref="K12:L12"/>
    <mergeCell ref="E12:F12"/>
    <mergeCell ref="G12:H12"/>
    <mergeCell ref="I12:J12"/>
    <mergeCell ref="E26:I26"/>
  </mergeCells>
  <dataValidations count="1">
    <dataValidation type="list" allowBlank="1" showInputMessage="1" showErrorMessage="1" sqref="I43:J44 I35:J35 I53:J53 E32:H139" xr:uid="{E78DCED9-32D2-429A-853A-6449AF7D8A03}">
      <formula1>"Oui,Non,N/a,NC"</formula1>
    </dataValidation>
  </dataValidation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287FA-3373-45F8-8790-0525449E71E4}">
  <sheetPr>
    <tabColor rgb="FF92D050"/>
  </sheetPr>
  <dimension ref="A3:Q78"/>
  <sheetViews>
    <sheetView showGridLines="0" zoomScale="80" zoomScaleNormal="80" workbookViewId="0">
      <selection activeCell="F19" sqref="F19"/>
    </sheetView>
  </sheetViews>
  <sheetFormatPr baseColWidth="10" defaultColWidth="11.5" defaultRowHeight="12"/>
  <cols>
    <col min="1" max="1" width="7.5" style="136" customWidth="1"/>
    <col min="2" max="2" width="64.83203125" style="136" bestFit="1" customWidth="1"/>
    <col min="3" max="3" width="15.5" style="136" bestFit="1" customWidth="1"/>
    <col min="4" max="4" width="10.75" style="136" customWidth="1"/>
    <col min="5" max="5" width="15.83203125" style="155" customWidth="1"/>
    <col min="6" max="6" width="12.75" style="154" customWidth="1"/>
    <col min="7" max="7" width="17" style="154" customWidth="1"/>
    <col min="8" max="10" width="11.5" style="154"/>
    <col min="11" max="11" width="20.1640625" style="154" customWidth="1"/>
    <col min="12" max="12" width="39.1640625" style="154" customWidth="1"/>
    <col min="13" max="13" width="17.25" style="154" customWidth="1"/>
    <col min="14" max="14" width="14" style="154" customWidth="1"/>
    <col min="15" max="15" width="18" style="154" customWidth="1"/>
    <col min="16" max="16" width="18.25" style="495" bestFit="1" customWidth="1"/>
    <col min="17" max="17" width="12.75" style="136" customWidth="1"/>
    <col min="18" max="16384" width="11.5" style="136"/>
  </cols>
  <sheetData>
    <row r="3" spans="1:17" ht="15.5">
      <c r="A3" s="7" t="s">
        <v>7922</v>
      </c>
      <c r="B3" s="153"/>
      <c r="C3" s="157"/>
    </row>
    <row r="6" spans="1:17" ht="15.5">
      <c r="B6" s="1043" t="s">
        <v>1873</v>
      </c>
      <c r="C6" s="1045" t="s">
        <v>1875</v>
      </c>
      <c r="D6" s="1045"/>
      <c r="E6" s="1045" t="s">
        <v>1876</v>
      </c>
      <c r="F6" s="1045"/>
      <c r="G6" s="1045" t="s">
        <v>1906</v>
      </c>
      <c r="H6" s="1045"/>
      <c r="K6" s="511"/>
      <c r="L6" s="512" t="s">
        <v>1135</v>
      </c>
      <c r="M6" s="512" t="s">
        <v>1136</v>
      </c>
      <c r="N6" s="512" t="s">
        <v>516</v>
      </c>
    </row>
    <row r="7" spans="1:17" ht="36.5" thickBot="1">
      <c r="B7" s="1044"/>
      <c r="C7" s="1" t="s">
        <v>1872</v>
      </c>
      <c r="D7" s="159" t="s">
        <v>1905</v>
      </c>
      <c r="E7" s="1" t="s">
        <v>1872</v>
      </c>
      <c r="F7" s="159" t="s">
        <v>1905</v>
      </c>
      <c r="G7" s="159" t="s">
        <v>1872</v>
      </c>
      <c r="H7" s="159" t="s">
        <v>1905</v>
      </c>
      <c r="K7" s="513" t="s">
        <v>7905</v>
      </c>
      <c r="L7" s="514">
        <v>49</v>
      </c>
      <c r="M7" s="514">
        <v>7</v>
      </c>
      <c r="N7" s="515">
        <f>SUM(L7:M7)</f>
        <v>56</v>
      </c>
    </row>
    <row r="8" spans="1:17" ht="27.5" thickTop="1">
      <c r="B8" s="153" t="s">
        <v>1576</v>
      </c>
      <c r="C8" s="152">
        <f>COUNTIF($O$19:$O$25,"Faible")</f>
        <v>0</v>
      </c>
      <c r="D8" s="160">
        <f>(SUMIF($O$19:$O$25,"Faible",$P$19:$P$25))/$P$76</f>
        <v>0</v>
      </c>
      <c r="E8" s="152">
        <f>COUNTIF($O$27:$O$75,"Faible")</f>
        <v>2</v>
      </c>
      <c r="F8" s="160">
        <f>SUMIF($O$27:$O$75,"Faible",$P$27:$P$75)/$P$76</f>
        <v>8.576134122102055E-3</v>
      </c>
      <c r="G8" s="163">
        <f>C8+E8</f>
        <v>2</v>
      </c>
      <c r="H8" s="158">
        <f>D8+F8</f>
        <v>8.576134122102055E-3</v>
      </c>
      <c r="K8" s="516" t="s">
        <v>7906</v>
      </c>
      <c r="L8" s="517">
        <v>49</v>
      </c>
      <c r="M8" s="517">
        <v>7</v>
      </c>
      <c r="N8" s="518">
        <f>SUM(L8:M8)</f>
        <v>56</v>
      </c>
    </row>
    <row r="9" spans="1:17" ht="27">
      <c r="B9" s="153" t="s">
        <v>1902</v>
      </c>
      <c r="C9" s="152">
        <f>COUNTIF($O$19:$O$25,"Moyen")</f>
        <v>1</v>
      </c>
      <c r="D9" s="160">
        <f>SUMIF($O$19:$O$25,"Moyen",$P$19:$P$25)/$P$76</f>
        <v>0</v>
      </c>
      <c r="E9" s="152">
        <f>COUNTIF($O$27:$O$75,"Moyen")</f>
        <v>4</v>
      </c>
      <c r="F9" s="160">
        <f>SUMIF($O$27:$O$75,"Moyen",$P$27:$P$75)/$P$76</f>
        <v>5.6117055168725651E-2</v>
      </c>
      <c r="G9" s="163">
        <f t="shared" ref="G9:H11" si="0">C9+E9</f>
        <v>5</v>
      </c>
      <c r="H9" s="158">
        <f t="shared" si="0"/>
        <v>5.6117055168725651E-2</v>
      </c>
      <c r="K9" s="519" t="s">
        <v>7907</v>
      </c>
      <c r="L9" s="520">
        <f>L8/L7</f>
        <v>1</v>
      </c>
      <c r="M9" s="520">
        <f t="shared" ref="M9:N9" si="1">M8/M7</f>
        <v>1</v>
      </c>
      <c r="N9" s="520">
        <f t="shared" si="1"/>
        <v>1</v>
      </c>
    </row>
    <row r="10" spans="1:17">
      <c r="B10" s="153" t="s">
        <v>1881</v>
      </c>
      <c r="C10" s="152">
        <f>COUNTIF($O$19:$O$25,"Elevé")</f>
        <v>6</v>
      </c>
      <c r="D10" s="160">
        <f>SUMIF($O$19:$O$25,"Elevé",$P$19:$P$25)/$P$76</f>
        <v>4.0558570041874235E-2</v>
      </c>
      <c r="E10" s="152">
        <f>COUNTIF($O$27:$O$75,"Elevé")</f>
        <v>43</v>
      </c>
      <c r="F10" s="160">
        <f>SUMIF($O$27:$O$75,"Elevé",$P$27:$P$75)/$P$76</f>
        <v>0.89474824066729808</v>
      </c>
      <c r="G10" s="163">
        <f t="shared" si="0"/>
        <v>49</v>
      </c>
      <c r="H10" s="158">
        <f t="shared" si="0"/>
        <v>0.93530681070917232</v>
      </c>
    </row>
    <row r="11" spans="1:17" ht="12.5">
      <c r="B11" s="165" t="s">
        <v>1904</v>
      </c>
      <c r="C11" s="164">
        <f>SUM(C8:C10)</f>
        <v>7</v>
      </c>
      <c r="D11" s="166">
        <f>SUM(D8:D10)</f>
        <v>4.0558570041874235E-2</v>
      </c>
      <c r="E11" s="164">
        <f>SUM(E8:E10)</f>
        <v>49</v>
      </c>
      <c r="F11" s="166">
        <f>SUM(F8:F10)</f>
        <v>0.95944142995812576</v>
      </c>
      <c r="G11" s="164">
        <f t="shared" si="0"/>
        <v>56</v>
      </c>
      <c r="H11" s="499" t="s">
        <v>1881</v>
      </c>
    </row>
    <row r="13" spans="1:17">
      <c r="E13" s="1036" t="s">
        <v>1567</v>
      </c>
      <c r="F13" s="1036"/>
      <c r="G13" s="1036"/>
      <c r="H13" s="1036"/>
      <c r="I13" s="1036"/>
      <c r="J13" s="1036"/>
      <c r="K13" s="1036"/>
      <c r="L13" s="1036"/>
      <c r="M13" s="1036"/>
      <c r="N13" s="1036"/>
      <c r="O13" s="1036"/>
    </row>
    <row r="14" spans="1:17" ht="46.15" customHeight="1">
      <c r="E14" s="1037" t="s">
        <v>1863</v>
      </c>
      <c r="F14" s="1039" t="s">
        <v>1864</v>
      </c>
      <c r="G14" s="1040"/>
      <c r="H14" s="1041" t="s">
        <v>1863</v>
      </c>
      <c r="I14" s="1042"/>
      <c r="J14" s="1042"/>
      <c r="K14" s="1042"/>
      <c r="L14" s="1042"/>
      <c r="M14" s="1042"/>
      <c r="N14" s="1042"/>
      <c r="O14" s="1030" t="s">
        <v>1569</v>
      </c>
      <c r="P14" s="1046" t="s">
        <v>10241</v>
      </c>
      <c r="Q14" s="1030" t="s">
        <v>7896</v>
      </c>
    </row>
    <row r="15" spans="1:17">
      <c r="E15" s="1038"/>
      <c r="F15" s="1048" t="s">
        <v>2830</v>
      </c>
      <c r="G15" s="1048" t="s">
        <v>2870</v>
      </c>
      <c r="H15" s="1048" t="s">
        <v>2830</v>
      </c>
      <c r="I15" s="1050" t="s">
        <v>2871</v>
      </c>
      <c r="J15" s="1050" t="s">
        <v>2872</v>
      </c>
      <c r="K15" s="1052" t="s">
        <v>2824</v>
      </c>
      <c r="L15" s="1053"/>
      <c r="M15" s="1056" t="s">
        <v>1865</v>
      </c>
      <c r="N15" s="1057"/>
      <c r="O15" s="1031"/>
      <c r="P15" s="1047"/>
      <c r="Q15" s="1031"/>
    </row>
    <row r="16" spans="1:17" ht="36">
      <c r="E16" s="1038"/>
      <c r="F16" s="1049"/>
      <c r="G16" s="1049"/>
      <c r="H16" s="1049"/>
      <c r="I16" s="1051"/>
      <c r="J16" s="1051"/>
      <c r="K16" s="1054"/>
      <c r="L16" s="1055"/>
      <c r="M16" s="289" t="s">
        <v>2873</v>
      </c>
      <c r="N16" s="289" t="s">
        <v>1866</v>
      </c>
      <c r="O16" s="1031"/>
      <c r="P16" s="1047"/>
      <c r="Q16" s="1031"/>
    </row>
    <row r="17" spans="1:17">
      <c r="A17" s="270" t="s">
        <v>786</v>
      </c>
      <c r="B17" s="270" t="s">
        <v>1867</v>
      </c>
      <c r="C17" s="270" t="s">
        <v>1868</v>
      </c>
      <c r="D17" s="270" t="s">
        <v>794</v>
      </c>
      <c r="E17" s="290" t="s">
        <v>1571</v>
      </c>
      <c r="F17" s="291" t="s">
        <v>1571</v>
      </c>
      <c r="G17" s="291" t="s">
        <v>1571</v>
      </c>
      <c r="H17" s="292" t="s">
        <v>1571</v>
      </c>
      <c r="I17" s="292" t="s">
        <v>1571</v>
      </c>
      <c r="J17" s="292" t="s">
        <v>1571</v>
      </c>
      <c r="K17" s="291" t="s">
        <v>1571</v>
      </c>
      <c r="L17" s="293" t="s">
        <v>1869</v>
      </c>
      <c r="M17" s="292" t="s">
        <v>1571</v>
      </c>
      <c r="N17" s="294"/>
      <c r="O17" s="1031"/>
      <c r="P17" s="1047"/>
      <c r="Q17" s="1031"/>
    </row>
    <row r="18" spans="1:17">
      <c r="A18" s="295" t="s">
        <v>1874</v>
      </c>
      <c r="B18" s="296"/>
      <c r="C18" s="296"/>
      <c r="D18" s="296"/>
      <c r="E18" s="297"/>
      <c r="F18" s="296"/>
      <c r="G18" s="296"/>
      <c r="H18" s="296"/>
      <c r="I18" s="296"/>
      <c r="J18" s="296"/>
      <c r="K18" s="296"/>
      <c r="L18" s="296"/>
      <c r="M18" s="296"/>
      <c r="N18" s="296"/>
      <c r="O18" s="296"/>
      <c r="P18" s="296"/>
    </row>
    <row r="19" spans="1:17">
      <c r="A19" s="98">
        <v>1</v>
      </c>
      <c r="B19" s="97" t="s">
        <v>755</v>
      </c>
      <c r="C19" s="97" t="s">
        <v>1871</v>
      </c>
      <c r="D19" s="280" t="s">
        <v>1574</v>
      </c>
      <c r="E19" s="298" t="s">
        <v>1574</v>
      </c>
      <c r="F19" s="299"/>
      <c r="G19" s="299"/>
      <c r="H19" s="282" t="s">
        <v>1574</v>
      </c>
      <c r="I19" s="281" t="s">
        <v>850</v>
      </c>
      <c r="J19" s="282" t="s">
        <v>1574</v>
      </c>
      <c r="K19" s="282" t="s">
        <v>1574</v>
      </c>
      <c r="L19" s="300" t="s">
        <v>2826</v>
      </c>
      <c r="M19" s="272" t="s">
        <v>1575</v>
      </c>
      <c r="N19" s="272"/>
      <c r="O19" s="499" t="s">
        <v>1881</v>
      </c>
      <c r="P19" s="684">
        <v>69520599</v>
      </c>
    </row>
    <row r="20" spans="1:17">
      <c r="A20" s="98">
        <v>2</v>
      </c>
      <c r="B20" s="97" t="s">
        <v>759</v>
      </c>
      <c r="C20" s="97" t="s">
        <v>1871</v>
      </c>
      <c r="D20" s="280" t="s">
        <v>1574</v>
      </c>
      <c r="E20" s="298" t="s">
        <v>1574</v>
      </c>
      <c r="F20" s="299"/>
      <c r="G20" s="299"/>
      <c r="H20" s="282" t="s">
        <v>1574</v>
      </c>
      <c r="I20" s="281" t="s">
        <v>850</v>
      </c>
      <c r="J20" s="282" t="s">
        <v>1574</v>
      </c>
      <c r="K20" s="282" t="s">
        <v>1574</v>
      </c>
      <c r="L20" s="300" t="s">
        <v>2826</v>
      </c>
      <c r="M20" s="272" t="s">
        <v>1575</v>
      </c>
      <c r="N20" s="272"/>
      <c r="O20" s="499" t="s">
        <v>1881</v>
      </c>
      <c r="P20" s="684">
        <v>44899488</v>
      </c>
    </row>
    <row r="21" spans="1:17">
      <c r="A21" s="98">
        <v>3</v>
      </c>
      <c r="B21" s="97" t="s">
        <v>1877</v>
      </c>
      <c r="C21" s="97" t="s">
        <v>1871</v>
      </c>
      <c r="D21" s="280" t="s">
        <v>1574</v>
      </c>
      <c r="E21" s="298" t="s">
        <v>1574</v>
      </c>
      <c r="F21" s="301"/>
      <c r="G21" s="301"/>
      <c r="H21" s="282" t="s">
        <v>1574</v>
      </c>
      <c r="I21" s="281" t="s">
        <v>850</v>
      </c>
      <c r="J21" s="282" t="s">
        <v>1574</v>
      </c>
      <c r="K21" s="282" t="s">
        <v>1574</v>
      </c>
      <c r="L21" s="300" t="s">
        <v>2826</v>
      </c>
      <c r="M21" s="272" t="s">
        <v>1575</v>
      </c>
      <c r="N21" s="272"/>
      <c r="O21" s="499" t="s">
        <v>1881</v>
      </c>
      <c r="P21" s="684">
        <v>22925811</v>
      </c>
    </row>
    <row r="22" spans="1:17">
      <c r="A22" s="98">
        <v>4</v>
      </c>
      <c r="B22" s="97" t="s">
        <v>763</v>
      </c>
      <c r="C22" s="97" t="s">
        <v>1871</v>
      </c>
      <c r="D22" s="280" t="s">
        <v>1574</v>
      </c>
      <c r="E22" s="298" t="s">
        <v>1574</v>
      </c>
      <c r="F22" s="299"/>
      <c r="G22" s="299"/>
      <c r="H22" s="282" t="s">
        <v>1574</v>
      </c>
      <c r="I22" s="281" t="s">
        <v>850</v>
      </c>
      <c r="J22" s="282" t="s">
        <v>1574</v>
      </c>
      <c r="K22" s="282" t="s">
        <v>1574</v>
      </c>
      <c r="L22" s="300" t="s">
        <v>2826</v>
      </c>
      <c r="M22" s="272" t="s">
        <v>1575</v>
      </c>
      <c r="N22" s="272"/>
      <c r="O22" s="499" t="s">
        <v>1881</v>
      </c>
      <c r="P22" s="684">
        <v>47289404</v>
      </c>
    </row>
    <row r="23" spans="1:17">
      <c r="A23" s="98">
        <v>5</v>
      </c>
      <c r="B23" s="97" t="s">
        <v>765</v>
      </c>
      <c r="C23" s="97" t="s">
        <v>1871</v>
      </c>
      <c r="D23" s="280" t="s">
        <v>1574</v>
      </c>
      <c r="E23" s="298" t="s">
        <v>1574</v>
      </c>
      <c r="F23" s="299"/>
      <c r="G23" s="299"/>
      <c r="H23" s="282" t="s">
        <v>1574</v>
      </c>
      <c r="I23" s="281" t="s">
        <v>850</v>
      </c>
      <c r="J23" s="282" t="s">
        <v>1574</v>
      </c>
      <c r="K23" s="282" t="s">
        <v>1574</v>
      </c>
      <c r="L23" s="300" t="s">
        <v>2826</v>
      </c>
      <c r="M23" s="272" t="s">
        <v>1575</v>
      </c>
      <c r="N23" s="272"/>
      <c r="O23" s="499" t="s">
        <v>1881</v>
      </c>
      <c r="P23" s="684">
        <v>43758302</v>
      </c>
    </row>
    <row r="24" spans="1:17">
      <c r="A24" s="98">
        <v>6</v>
      </c>
      <c r="B24" s="97" t="s">
        <v>767</v>
      </c>
      <c r="C24" s="97" t="s">
        <v>1871</v>
      </c>
      <c r="D24" s="280" t="s">
        <v>1574</v>
      </c>
      <c r="E24" s="298" t="s">
        <v>1575</v>
      </c>
      <c r="F24" s="299"/>
      <c r="G24" s="299"/>
      <c r="H24" s="271" t="s">
        <v>1574</v>
      </c>
      <c r="I24" s="281" t="s">
        <v>850</v>
      </c>
      <c r="J24" s="281" t="s">
        <v>850</v>
      </c>
      <c r="K24" s="281" t="s">
        <v>850</v>
      </c>
      <c r="L24" s="300"/>
      <c r="M24" s="272" t="s">
        <v>1575</v>
      </c>
      <c r="N24" s="272"/>
      <c r="O24" s="685" t="s">
        <v>1902</v>
      </c>
      <c r="P24" s="687">
        <v>0</v>
      </c>
    </row>
    <row r="25" spans="1:17" ht="14">
      <c r="A25" s="303">
        <v>7</v>
      </c>
      <c r="B25" s="304" t="s">
        <v>1060</v>
      </c>
      <c r="C25" s="304" t="s">
        <v>1188</v>
      </c>
      <c r="D25" s="280" t="s">
        <v>1574</v>
      </c>
      <c r="E25" s="298" t="s">
        <v>1574</v>
      </c>
      <c r="F25" s="299"/>
      <c r="G25" s="299"/>
      <c r="H25" s="305" t="s">
        <v>1574</v>
      </c>
      <c r="I25" s="281" t="s">
        <v>850</v>
      </c>
      <c r="J25" s="282" t="s">
        <v>1574</v>
      </c>
      <c r="K25" s="271" t="s">
        <v>1574</v>
      </c>
      <c r="L25" s="300" t="s">
        <v>2520</v>
      </c>
      <c r="M25" s="272" t="s">
        <v>1574</v>
      </c>
      <c r="N25" s="496" t="s">
        <v>2820</v>
      </c>
      <c r="O25" s="499" t="s">
        <v>1881</v>
      </c>
      <c r="P25" s="684">
        <v>48307</v>
      </c>
    </row>
    <row r="26" spans="1:17">
      <c r="A26" s="306" t="s">
        <v>1876</v>
      </c>
      <c r="B26" s="296"/>
      <c r="C26" s="296"/>
      <c r="D26" s="296"/>
      <c r="E26" s="297"/>
      <c r="F26" s="296"/>
      <c r="G26" s="296"/>
      <c r="H26" s="296"/>
      <c r="I26" s="296"/>
      <c r="J26" s="296"/>
      <c r="K26" s="296"/>
      <c r="L26" s="296"/>
      <c r="M26" s="296"/>
      <c r="N26" s="296"/>
      <c r="O26" s="683"/>
      <c r="P26" s="689"/>
      <c r="Q26" s="497"/>
    </row>
    <row r="27" spans="1:17">
      <c r="A27" s="303">
        <v>1</v>
      </c>
      <c r="B27" s="304" t="s">
        <v>959</v>
      </c>
      <c r="C27" s="304" t="s">
        <v>1188</v>
      </c>
      <c r="D27" s="280" t="s">
        <v>1574</v>
      </c>
      <c r="E27" s="298" t="s">
        <v>1574</v>
      </c>
      <c r="F27" s="299"/>
      <c r="G27" s="299"/>
      <c r="H27" s="282" t="s">
        <v>1574</v>
      </c>
      <c r="I27" s="281" t="s">
        <v>850</v>
      </c>
      <c r="J27" s="282" t="s">
        <v>1574</v>
      </c>
      <c r="K27" s="271" t="s">
        <v>1574</v>
      </c>
      <c r="L27" s="307" t="s">
        <v>2520</v>
      </c>
      <c r="M27" s="272" t="s">
        <v>1574</v>
      </c>
      <c r="N27" s="498" t="s">
        <v>2820</v>
      </c>
      <c r="O27" s="499" t="s">
        <v>1881</v>
      </c>
      <c r="P27" s="684">
        <v>17397065</v>
      </c>
    </row>
    <row r="28" spans="1:17" ht="14">
      <c r="A28" s="303">
        <v>2</v>
      </c>
      <c r="B28" s="304" t="s">
        <v>979</v>
      </c>
      <c r="C28" s="304" t="s">
        <v>1188</v>
      </c>
      <c r="D28" s="280" t="s">
        <v>1574</v>
      </c>
      <c r="E28" s="298" t="s">
        <v>1574</v>
      </c>
      <c r="F28" s="299"/>
      <c r="G28" s="299"/>
      <c r="H28" s="282" t="s">
        <v>1574</v>
      </c>
      <c r="I28" s="281" t="s">
        <v>850</v>
      </c>
      <c r="J28" s="282" t="s">
        <v>1574</v>
      </c>
      <c r="K28" s="271" t="s">
        <v>1574</v>
      </c>
      <c r="L28" s="300" t="s">
        <v>2520</v>
      </c>
      <c r="M28" s="272" t="s">
        <v>1574</v>
      </c>
      <c r="N28" s="496" t="s">
        <v>2820</v>
      </c>
      <c r="O28" s="499" t="s">
        <v>1881</v>
      </c>
      <c r="P28" s="684">
        <v>681409</v>
      </c>
    </row>
    <row r="29" spans="1:17">
      <c r="A29" s="303">
        <v>3</v>
      </c>
      <c r="B29" s="304" t="s">
        <v>977</v>
      </c>
      <c r="C29" s="304" t="s">
        <v>1188</v>
      </c>
      <c r="D29" s="280" t="s">
        <v>1574</v>
      </c>
      <c r="E29" s="298" t="s">
        <v>1574</v>
      </c>
      <c r="F29" s="299"/>
      <c r="G29" s="299"/>
      <c r="H29" s="282" t="s">
        <v>1574</v>
      </c>
      <c r="I29" s="271" t="s">
        <v>1574</v>
      </c>
      <c r="J29" s="282" t="s">
        <v>1574</v>
      </c>
      <c r="K29" s="271" t="s">
        <v>1574</v>
      </c>
      <c r="L29" s="300" t="s">
        <v>2520</v>
      </c>
      <c r="M29" s="287" t="s">
        <v>850</v>
      </c>
      <c r="N29" s="272"/>
      <c r="O29" s="499" t="s">
        <v>1881</v>
      </c>
      <c r="P29" s="684">
        <v>2393826</v>
      </c>
      <c r="Q29" s="505"/>
    </row>
    <row r="30" spans="1:17">
      <c r="A30" s="303">
        <v>4</v>
      </c>
      <c r="B30" s="304" t="s">
        <v>987</v>
      </c>
      <c r="C30" s="304" t="s">
        <v>1188</v>
      </c>
      <c r="D30" s="280" t="s">
        <v>1574</v>
      </c>
      <c r="E30" s="298" t="s">
        <v>1574</v>
      </c>
      <c r="F30" s="301"/>
      <c r="G30" s="301"/>
      <c r="H30" s="282" t="s">
        <v>1574</v>
      </c>
      <c r="I30" s="281" t="s">
        <v>850</v>
      </c>
      <c r="J30" s="281" t="s">
        <v>850</v>
      </c>
      <c r="K30" s="281" t="s">
        <v>850</v>
      </c>
      <c r="L30" s="302"/>
      <c r="M30" s="287" t="s">
        <v>850</v>
      </c>
      <c r="N30" s="272"/>
      <c r="O30" s="685" t="s">
        <v>1902</v>
      </c>
      <c r="P30" s="684">
        <v>326607</v>
      </c>
    </row>
    <row r="31" spans="1:17">
      <c r="A31" s="303">
        <v>5</v>
      </c>
      <c r="B31" s="304" t="s">
        <v>989</v>
      </c>
      <c r="C31" s="304" t="s">
        <v>1188</v>
      </c>
      <c r="D31" s="280" t="s">
        <v>1574</v>
      </c>
      <c r="E31" s="298" t="s">
        <v>1574</v>
      </c>
      <c r="F31" s="299"/>
      <c r="G31" s="299"/>
      <c r="H31" s="281" t="s">
        <v>850</v>
      </c>
      <c r="I31" s="281" t="s">
        <v>850</v>
      </c>
      <c r="J31" s="281" t="s">
        <v>850</v>
      </c>
      <c r="K31" s="281" t="s">
        <v>850</v>
      </c>
      <c r="L31" s="300"/>
      <c r="M31" s="287" t="s">
        <v>850</v>
      </c>
      <c r="N31" s="272"/>
      <c r="O31" s="686" t="s">
        <v>1576</v>
      </c>
      <c r="P31" s="684">
        <v>94572</v>
      </c>
    </row>
    <row r="32" spans="1:17" ht="14">
      <c r="A32" s="303">
        <v>6</v>
      </c>
      <c r="B32" s="304" t="s">
        <v>992</v>
      </c>
      <c r="C32" s="304" t="s">
        <v>1188</v>
      </c>
      <c r="D32" s="280" t="s">
        <v>1574</v>
      </c>
      <c r="E32" s="298" t="s">
        <v>1574</v>
      </c>
      <c r="F32" s="299"/>
      <c r="G32" s="299"/>
      <c r="H32" s="282" t="s">
        <v>1574</v>
      </c>
      <c r="I32" s="281" t="s">
        <v>850</v>
      </c>
      <c r="J32" s="282" t="s">
        <v>1574</v>
      </c>
      <c r="K32" s="282" t="s">
        <v>1574</v>
      </c>
      <c r="L32" s="300" t="s">
        <v>2520</v>
      </c>
      <c r="M32" s="272" t="s">
        <v>1574</v>
      </c>
      <c r="N32" s="496" t="s">
        <v>2820</v>
      </c>
      <c r="O32" s="499" t="s">
        <v>1881</v>
      </c>
      <c r="P32" s="684">
        <v>100257</v>
      </c>
    </row>
    <row r="33" spans="1:16" ht="14">
      <c r="A33" s="303">
        <v>7</v>
      </c>
      <c r="B33" s="304" t="s">
        <v>999</v>
      </c>
      <c r="C33" s="304" t="s">
        <v>1188</v>
      </c>
      <c r="D33" s="280" t="s">
        <v>1574</v>
      </c>
      <c r="E33" s="298" t="s">
        <v>1574</v>
      </c>
      <c r="F33" s="299"/>
      <c r="G33" s="299"/>
      <c r="H33" s="282" t="s">
        <v>1574</v>
      </c>
      <c r="I33" s="281" t="s">
        <v>850</v>
      </c>
      <c r="J33" s="282" t="s">
        <v>1574</v>
      </c>
      <c r="K33" s="281" t="s">
        <v>850</v>
      </c>
      <c r="L33" s="300"/>
      <c r="M33" s="272" t="s">
        <v>1574</v>
      </c>
      <c r="N33" s="496" t="s">
        <v>2820</v>
      </c>
      <c r="O33" s="499" t="s">
        <v>1881</v>
      </c>
      <c r="P33" s="684">
        <v>300430</v>
      </c>
    </row>
    <row r="34" spans="1:16">
      <c r="A34" s="303">
        <v>8</v>
      </c>
      <c r="B34" s="304" t="s">
        <v>980</v>
      </c>
      <c r="C34" s="304" t="s">
        <v>1188</v>
      </c>
      <c r="D34" s="280" t="s">
        <v>1574</v>
      </c>
      <c r="E34" s="298" t="s">
        <v>1574</v>
      </c>
      <c r="F34" s="299"/>
      <c r="G34" s="308"/>
      <c r="H34" s="282" t="s">
        <v>1574</v>
      </c>
      <c r="I34" s="271" t="s">
        <v>1574</v>
      </c>
      <c r="J34" s="281" t="s">
        <v>850</v>
      </c>
      <c r="K34" s="281" t="s">
        <v>850</v>
      </c>
      <c r="L34" s="300"/>
      <c r="M34" s="272" t="s">
        <v>850</v>
      </c>
      <c r="N34" s="272"/>
      <c r="O34" s="499" t="s">
        <v>1881</v>
      </c>
      <c r="P34" s="684">
        <v>762874</v>
      </c>
    </row>
    <row r="35" spans="1:16">
      <c r="A35" s="98">
        <v>9</v>
      </c>
      <c r="B35" s="97" t="s">
        <v>951</v>
      </c>
      <c r="C35" s="97" t="s">
        <v>1871</v>
      </c>
      <c r="D35" s="280" t="s">
        <v>1574</v>
      </c>
      <c r="E35" s="298" t="s">
        <v>1574</v>
      </c>
      <c r="F35" s="299"/>
      <c r="G35" s="308"/>
      <c r="H35" s="282" t="s">
        <v>1574</v>
      </c>
      <c r="I35" s="281" t="s">
        <v>850</v>
      </c>
      <c r="J35" s="282" t="s">
        <v>1574</v>
      </c>
      <c r="K35" s="282" t="s">
        <v>1574</v>
      </c>
      <c r="L35" s="300"/>
      <c r="M35" s="272" t="s">
        <v>1575</v>
      </c>
      <c r="N35" s="272"/>
      <c r="O35" s="499" t="s">
        <v>1881</v>
      </c>
      <c r="P35" s="684">
        <v>655807389</v>
      </c>
    </row>
    <row r="36" spans="1:16">
      <c r="A36" s="98">
        <f>+A35+1</f>
        <v>10</v>
      </c>
      <c r="B36" s="97" t="s">
        <v>952</v>
      </c>
      <c r="C36" s="97" t="s">
        <v>1871</v>
      </c>
      <c r="D36" s="280" t="s">
        <v>1574</v>
      </c>
      <c r="E36" s="298" t="s">
        <v>1574</v>
      </c>
      <c r="F36" s="299"/>
      <c r="G36" s="308"/>
      <c r="H36" s="282" t="s">
        <v>1574</v>
      </c>
      <c r="I36" s="271" t="s">
        <v>1574</v>
      </c>
      <c r="J36" s="282" t="s">
        <v>1574</v>
      </c>
      <c r="K36" s="271" t="s">
        <v>1574</v>
      </c>
      <c r="L36" s="300" t="s">
        <v>2520</v>
      </c>
      <c r="M36" s="272" t="s">
        <v>1575</v>
      </c>
      <c r="N36" s="272"/>
      <c r="O36" s="499" t="s">
        <v>1881</v>
      </c>
      <c r="P36" s="684">
        <v>1148645655</v>
      </c>
    </row>
    <row r="37" spans="1:16">
      <c r="A37" s="98">
        <f t="shared" ref="A37:A75" si="2">+A36+1</f>
        <v>11</v>
      </c>
      <c r="B37" s="97" t="s">
        <v>953</v>
      </c>
      <c r="C37" s="97" t="s">
        <v>1871</v>
      </c>
      <c r="D37" s="280" t="s">
        <v>1574</v>
      </c>
      <c r="E37" s="298" t="s">
        <v>1574</v>
      </c>
      <c r="F37" s="299"/>
      <c r="G37" s="308"/>
      <c r="H37" s="282" t="s">
        <v>1574</v>
      </c>
      <c r="I37" s="281" t="s">
        <v>850</v>
      </c>
      <c r="J37" s="282" t="s">
        <v>1574</v>
      </c>
      <c r="K37" s="271" t="s">
        <v>1574</v>
      </c>
      <c r="L37" s="300" t="s">
        <v>2520</v>
      </c>
      <c r="M37" s="272" t="s">
        <v>1575</v>
      </c>
      <c r="N37" s="272"/>
      <c r="O37" s="499" t="s">
        <v>1881</v>
      </c>
      <c r="P37" s="684">
        <v>288553303</v>
      </c>
    </row>
    <row r="38" spans="1:16">
      <c r="A38" s="98">
        <f t="shared" si="2"/>
        <v>12</v>
      </c>
      <c r="B38" s="97" t="s">
        <v>954</v>
      </c>
      <c r="C38" s="97" t="s">
        <v>1871</v>
      </c>
      <c r="D38" s="280" t="s">
        <v>1574</v>
      </c>
      <c r="E38" s="298" t="s">
        <v>1574</v>
      </c>
      <c r="F38" s="299"/>
      <c r="G38" s="308"/>
      <c r="H38" s="282" t="s">
        <v>1574</v>
      </c>
      <c r="I38" s="281" t="s">
        <v>850</v>
      </c>
      <c r="J38" s="282" t="s">
        <v>1574</v>
      </c>
      <c r="K38" s="271" t="s">
        <v>1574</v>
      </c>
      <c r="L38" s="300" t="s">
        <v>2825</v>
      </c>
      <c r="M38" s="272" t="s">
        <v>1575</v>
      </c>
      <c r="N38" s="272"/>
      <c r="O38" s="499" t="s">
        <v>1881</v>
      </c>
      <c r="P38" s="684">
        <v>242165676</v>
      </c>
    </row>
    <row r="39" spans="1:16">
      <c r="A39" s="98">
        <f t="shared" si="2"/>
        <v>13</v>
      </c>
      <c r="B39" s="97" t="s">
        <v>1878</v>
      </c>
      <c r="C39" s="97" t="s">
        <v>1871</v>
      </c>
      <c r="D39" s="280" t="s">
        <v>1574</v>
      </c>
      <c r="E39" s="298" t="s">
        <v>1574</v>
      </c>
      <c r="F39" s="299"/>
      <c r="G39" s="308"/>
      <c r="H39" s="282" t="s">
        <v>1574</v>
      </c>
      <c r="I39" s="271" t="s">
        <v>1574</v>
      </c>
      <c r="J39" s="282" t="s">
        <v>1574</v>
      </c>
      <c r="K39" s="271" t="s">
        <v>1574</v>
      </c>
      <c r="L39" s="300" t="s">
        <v>2826</v>
      </c>
      <c r="M39" s="272" t="s">
        <v>1575</v>
      </c>
      <c r="N39" s="272"/>
      <c r="O39" s="499" t="s">
        <v>1881</v>
      </c>
      <c r="P39" s="684">
        <v>233003853</v>
      </c>
    </row>
    <row r="40" spans="1:16">
      <c r="A40" s="98">
        <f t="shared" si="2"/>
        <v>14</v>
      </c>
      <c r="B40" s="97" t="s">
        <v>157</v>
      </c>
      <c r="C40" s="97" t="s">
        <v>1871</v>
      </c>
      <c r="D40" s="280" t="s">
        <v>1574</v>
      </c>
      <c r="E40" s="298" t="s">
        <v>1574</v>
      </c>
      <c r="F40" s="299"/>
      <c r="G40" s="308"/>
      <c r="H40" s="282" t="s">
        <v>1574</v>
      </c>
      <c r="I40" s="281" t="s">
        <v>850</v>
      </c>
      <c r="J40" s="282" t="s">
        <v>1574</v>
      </c>
      <c r="K40" s="271" t="s">
        <v>1574</v>
      </c>
      <c r="L40" s="300" t="s">
        <v>2826</v>
      </c>
      <c r="M40" s="272" t="s">
        <v>1575</v>
      </c>
      <c r="N40" s="272"/>
      <c r="O40" s="499" t="s">
        <v>1881</v>
      </c>
      <c r="P40" s="684">
        <v>512057520</v>
      </c>
    </row>
    <row r="41" spans="1:16">
      <c r="A41" s="98">
        <f t="shared" si="2"/>
        <v>15</v>
      </c>
      <c r="B41" s="97" t="s">
        <v>956</v>
      </c>
      <c r="C41" s="97" t="s">
        <v>1871</v>
      </c>
      <c r="D41" s="280" t="s">
        <v>1574</v>
      </c>
      <c r="E41" s="298" t="s">
        <v>1574</v>
      </c>
      <c r="F41" s="299"/>
      <c r="G41" s="308"/>
      <c r="H41" s="282" t="s">
        <v>1574</v>
      </c>
      <c r="I41" s="281" t="s">
        <v>850</v>
      </c>
      <c r="J41" s="282" t="s">
        <v>1574</v>
      </c>
      <c r="K41" s="271" t="s">
        <v>1574</v>
      </c>
      <c r="L41" s="300" t="s">
        <v>2826</v>
      </c>
      <c r="M41" s="272" t="s">
        <v>1575</v>
      </c>
      <c r="N41" s="272"/>
      <c r="O41" s="499" t="s">
        <v>1881</v>
      </c>
      <c r="P41" s="684">
        <v>93597239</v>
      </c>
    </row>
    <row r="42" spans="1:16">
      <c r="A42" s="98">
        <f t="shared" si="2"/>
        <v>16</v>
      </c>
      <c r="B42" s="97" t="s">
        <v>564</v>
      </c>
      <c r="C42" s="97" t="s">
        <v>1871</v>
      </c>
      <c r="D42" s="280" t="s">
        <v>1574</v>
      </c>
      <c r="E42" s="298" t="s">
        <v>1574</v>
      </c>
      <c r="F42" s="299"/>
      <c r="G42" s="308"/>
      <c r="H42" s="282" t="s">
        <v>1574</v>
      </c>
      <c r="I42" s="281" t="s">
        <v>850</v>
      </c>
      <c r="J42" s="282" t="s">
        <v>1574</v>
      </c>
      <c r="K42" s="271" t="s">
        <v>1574</v>
      </c>
      <c r="L42" s="300" t="s">
        <v>2520</v>
      </c>
      <c r="M42" s="272" t="s">
        <v>1575</v>
      </c>
      <c r="N42" s="272"/>
      <c r="O42" s="499" t="s">
        <v>1881</v>
      </c>
      <c r="P42" s="684">
        <v>194954327</v>
      </c>
    </row>
    <row r="43" spans="1:16">
      <c r="A43" s="98">
        <f t="shared" si="2"/>
        <v>17</v>
      </c>
      <c r="B43" s="97" t="s">
        <v>957</v>
      </c>
      <c r="C43" s="97" t="s">
        <v>1871</v>
      </c>
      <c r="D43" s="280" t="s">
        <v>1574</v>
      </c>
      <c r="E43" s="298" t="s">
        <v>1574</v>
      </c>
      <c r="F43" s="299"/>
      <c r="G43" s="308"/>
      <c r="H43" s="282" t="s">
        <v>1574</v>
      </c>
      <c r="I43" s="281" t="s">
        <v>850</v>
      </c>
      <c r="J43" s="282" t="s">
        <v>1574</v>
      </c>
      <c r="K43" s="282" t="s">
        <v>1574</v>
      </c>
      <c r="L43" s="300" t="s">
        <v>2520</v>
      </c>
      <c r="M43" s="272" t="s">
        <v>1575</v>
      </c>
      <c r="N43" s="272"/>
      <c r="O43" s="499" t="s">
        <v>1881</v>
      </c>
      <c r="P43" s="684">
        <v>231116296</v>
      </c>
    </row>
    <row r="44" spans="1:16">
      <c r="A44" s="98">
        <f t="shared" si="2"/>
        <v>18</v>
      </c>
      <c r="B44" s="97" t="s">
        <v>958</v>
      </c>
      <c r="C44" s="97" t="s">
        <v>1871</v>
      </c>
      <c r="D44" s="280" t="s">
        <v>1574</v>
      </c>
      <c r="E44" s="298" t="s">
        <v>1574</v>
      </c>
      <c r="F44" s="299"/>
      <c r="G44" s="308"/>
      <c r="H44" s="282" t="s">
        <v>1574</v>
      </c>
      <c r="I44" s="281" t="s">
        <v>850</v>
      </c>
      <c r="J44" s="281" t="s">
        <v>850</v>
      </c>
      <c r="K44" s="281" t="s">
        <v>850</v>
      </c>
      <c r="L44" s="300"/>
      <c r="M44" s="272" t="s">
        <v>1575</v>
      </c>
      <c r="N44" s="272"/>
      <c r="O44" s="685" t="s">
        <v>1902</v>
      </c>
      <c r="P44" s="684">
        <v>182328449</v>
      </c>
    </row>
    <row r="45" spans="1:16">
      <c r="A45" s="98">
        <f t="shared" si="2"/>
        <v>19</v>
      </c>
      <c r="B45" s="97" t="s">
        <v>960</v>
      </c>
      <c r="C45" s="97" t="s">
        <v>1871</v>
      </c>
      <c r="D45" s="280" t="s">
        <v>1574</v>
      </c>
      <c r="E45" s="298" t="s">
        <v>1574</v>
      </c>
      <c r="F45" s="299"/>
      <c r="G45" s="308"/>
      <c r="H45" s="282" t="s">
        <v>1574</v>
      </c>
      <c r="I45" s="281" t="s">
        <v>850</v>
      </c>
      <c r="J45" s="282" t="s">
        <v>1574</v>
      </c>
      <c r="K45" s="271" t="s">
        <v>1574</v>
      </c>
      <c r="L45" s="300" t="s">
        <v>2520</v>
      </c>
      <c r="M45" s="272" t="s">
        <v>1575</v>
      </c>
      <c r="N45" s="272"/>
      <c r="O45" s="499" t="s">
        <v>1881</v>
      </c>
      <c r="P45" s="684">
        <v>80058049</v>
      </c>
    </row>
    <row r="46" spans="1:16">
      <c r="A46" s="98">
        <f t="shared" si="2"/>
        <v>20</v>
      </c>
      <c r="B46" s="97" t="s">
        <v>961</v>
      </c>
      <c r="C46" s="97" t="s">
        <v>1871</v>
      </c>
      <c r="D46" s="280" t="s">
        <v>1574</v>
      </c>
      <c r="E46" s="298" t="s">
        <v>1574</v>
      </c>
      <c r="F46" s="299"/>
      <c r="G46" s="308"/>
      <c r="H46" s="282" t="s">
        <v>1574</v>
      </c>
      <c r="I46" s="281" t="s">
        <v>850</v>
      </c>
      <c r="J46" s="282" t="s">
        <v>1574</v>
      </c>
      <c r="K46" s="271" t="s">
        <v>1574</v>
      </c>
      <c r="L46" s="300" t="s">
        <v>2520</v>
      </c>
      <c r="M46" s="272" t="s">
        <v>1575</v>
      </c>
      <c r="N46" s="272"/>
      <c r="O46" s="499" t="s">
        <v>1881</v>
      </c>
      <c r="P46" s="684">
        <v>89280765</v>
      </c>
    </row>
    <row r="47" spans="1:16">
      <c r="A47" s="98">
        <f t="shared" si="2"/>
        <v>21</v>
      </c>
      <c r="B47" s="97" t="s">
        <v>68</v>
      </c>
      <c r="C47" s="97" t="s">
        <v>1871</v>
      </c>
      <c r="D47" s="280" t="s">
        <v>1574</v>
      </c>
      <c r="E47" s="298" t="s">
        <v>1574</v>
      </c>
      <c r="F47" s="299"/>
      <c r="G47" s="308"/>
      <c r="H47" s="282" t="s">
        <v>1574</v>
      </c>
      <c r="I47" s="271" t="s">
        <v>1574</v>
      </c>
      <c r="J47" s="282" t="s">
        <v>1574</v>
      </c>
      <c r="K47" s="282" t="s">
        <v>1574</v>
      </c>
      <c r="L47" s="300" t="s">
        <v>2826</v>
      </c>
      <c r="M47" s="272" t="s">
        <v>1575</v>
      </c>
      <c r="N47" s="272"/>
      <c r="O47" s="499" t="s">
        <v>1881</v>
      </c>
      <c r="P47" s="684">
        <v>72234236</v>
      </c>
    </row>
    <row r="48" spans="1:16">
      <c r="A48" s="98">
        <f t="shared" si="2"/>
        <v>22</v>
      </c>
      <c r="B48" s="97" t="s">
        <v>71</v>
      </c>
      <c r="C48" s="97" t="s">
        <v>1871</v>
      </c>
      <c r="D48" s="280" t="s">
        <v>1574</v>
      </c>
      <c r="E48" s="298" t="s">
        <v>1574</v>
      </c>
      <c r="F48" s="299"/>
      <c r="G48" s="308"/>
      <c r="H48" s="282" t="s">
        <v>1574</v>
      </c>
      <c r="I48" s="281" t="s">
        <v>850</v>
      </c>
      <c r="J48" s="282" t="s">
        <v>1574</v>
      </c>
      <c r="K48" s="271" t="s">
        <v>1574</v>
      </c>
      <c r="L48" s="300" t="s">
        <v>2826</v>
      </c>
      <c r="M48" s="272" t="s">
        <v>1575</v>
      </c>
      <c r="N48" s="272"/>
      <c r="O48" s="499" t="s">
        <v>1881</v>
      </c>
      <c r="P48" s="684">
        <v>54808561</v>
      </c>
    </row>
    <row r="49" spans="1:16">
      <c r="A49" s="98">
        <f t="shared" si="2"/>
        <v>23</v>
      </c>
      <c r="B49" s="97" t="s">
        <v>962</v>
      </c>
      <c r="C49" s="97" t="s">
        <v>1871</v>
      </c>
      <c r="D49" s="280" t="s">
        <v>1574</v>
      </c>
      <c r="E49" s="298" t="s">
        <v>1574</v>
      </c>
      <c r="F49" s="299"/>
      <c r="G49" s="308"/>
      <c r="H49" s="281" t="s">
        <v>850</v>
      </c>
      <c r="I49" s="281" t="s">
        <v>850</v>
      </c>
      <c r="J49" s="282" t="s">
        <v>1574</v>
      </c>
      <c r="K49" s="282" t="s">
        <v>1574</v>
      </c>
      <c r="L49" s="300" t="s">
        <v>2520</v>
      </c>
      <c r="M49" s="272" t="s">
        <v>1575</v>
      </c>
      <c r="N49" s="272"/>
      <c r="O49" s="685" t="s">
        <v>1902</v>
      </c>
      <c r="P49" s="684">
        <v>47176415</v>
      </c>
    </row>
    <row r="50" spans="1:16">
      <c r="A50" s="98">
        <f t="shared" si="2"/>
        <v>24</v>
      </c>
      <c r="B50" s="97" t="s">
        <v>74</v>
      </c>
      <c r="C50" s="97" t="s">
        <v>1871</v>
      </c>
      <c r="D50" s="280" t="s">
        <v>1574</v>
      </c>
      <c r="E50" s="298" t="s">
        <v>1574</v>
      </c>
      <c r="F50" s="299"/>
      <c r="G50" s="308"/>
      <c r="H50" s="282" t="s">
        <v>1574</v>
      </c>
      <c r="I50" s="281" t="s">
        <v>850</v>
      </c>
      <c r="J50" s="282" t="s">
        <v>1574</v>
      </c>
      <c r="K50" s="271" t="s">
        <v>1574</v>
      </c>
      <c r="L50" s="300" t="s">
        <v>2520</v>
      </c>
      <c r="M50" s="272" t="s">
        <v>1575</v>
      </c>
      <c r="N50" s="272"/>
      <c r="O50" s="499" t="s">
        <v>1881</v>
      </c>
      <c r="P50" s="684">
        <v>62198694</v>
      </c>
    </row>
    <row r="51" spans="1:16">
      <c r="A51" s="98">
        <f t="shared" si="2"/>
        <v>25</v>
      </c>
      <c r="B51" s="97" t="s">
        <v>17</v>
      </c>
      <c r="C51" s="97" t="s">
        <v>1871</v>
      </c>
      <c r="D51" s="280" t="s">
        <v>1574</v>
      </c>
      <c r="E51" s="298" t="s">
        <v>1574</v>
      </c>
      <c r="F51" s="301"/>
      <c r="G51" s="308"/>
      <c r="H51" s="282" t="s">
        <v>1574</v>
      </c>
      <c r="I51" s="281" t="s">
        <v>850</v>
      </c>
      <c r="J51" s="282" t="s">
        <v>1574</v>
      </c>
      <c r="K51" s="271" t="s">
        <v>1574</v>
      </c>
      <c r="L51" s="300" t="s">
        <v>2520</v>
      </c>
      <c r="M51" s="272" t="s">
        <v>1575</v>
      </c>
      <c r="N51" s="272"/>
      <c r="O51" s="499" t="s">
        <v>1881</v>
      </c>
      <c r="P51" s="684">
        <v>131853287</v>
      </c>
    </row>
    <row r="52" spans="1:16">
      <c r="A52" s="98">
        <f t="shared" si="2"/>
        <v>26</v>
      </c>
      <c r="B52" s="97" t="s">
        <v>190</v>
      </c>
      <c r="C52" s="97" t="s">
        <v>1871</v>
      </c>
      <c r="D52" s="280" t="s">
        <v>1574</v>
      </c>
      <c r="E52" s="298" t="s">
        <v>850</v>
      </c>
      <c r="F52" s="282" t="s">
        <v>1574</v>
      </c>
      <c r="G52" s="309"/>
      <c r="H52" s="309"/>
      <c r="I52" s="309"/>
      <c r="J52" s="309"/>
      <c r="K52" s="310"/>
      <c r="L52" s="311"/>
      <c r="M52" s="312"/>
      <c r="N52" s="312"/>
      <c r="O52" s="499" t="s">
        <v>1881</v>
      </c>
      <c r="P52" s="684">
        <v>56084334</v>
      </c>
    </row>
    <row r="53" spans="1:16">
      <c r="A53" s="98">
        <f t="shared" si="2"/>
        <v>27</v>
      </c>
      <c r="B53" s="97" t="s">
        <v>44</v>
      </c>
      <c r="C53" s="97" t="s">
        <v>1871</v>
      </c>
      <c r="D53" s="280" t="s">
        <v>1574</v>
      </c>
      <c r="E53" s="298" t="s">
        <v>850</v>
      </c>
      <c r="F53" s="282" t="s">
        <v>1574</v>
      </c>
      <c r="G53" s="309"/>
      <c r="H53" s="309"/>
      <c r="I53" s="309"/>
      <c r="J53" s="309" t="s">
        <v>1574</v>
      </c>
      <c r="K53" s="310" t="s">
        <v>1574</v>
      </c>
      <c r="L53" s="311" t="s">
        <v>2826</v>
      </c>
      <c r="M53" s="312"/>
      <c r="N53" s="312"/>
      <c r="O53" s="499" t="s">
        <v>1881</v>
      </c>
      <c r="P53" s="684">
        <v>81536702</v>
      </c>
    </row>
    <row r="54" spans="1:16">
      <c r="A54" s="98">
        <f t="shared" si="2"/>
        <v>28</v>
      </c>
      <c r="B54" s="97" t="s">
        <v>618</v>
      </c>
      <c r="C54" s="97" t="s">
        <v>1871</v>
      </c>
      <c r="D54" s="280" t="s">
        <v>1574</v>
      </c>
      <c r="E54" s="298" t="s">
        <v>1574</v>
      </c>
      <c r="F54" s="299"/>
      <c r="G54" s="308"/>
      <c r="H54" s="282" t="s">
        <v>1574</v>
      </c>
      <c r="I54" s="281" t="s">
        <v>850</v>
      </c>
      <c r="J54" s="282" t="s">
        <v>1574</v>
      </c>
      <c r="K54" s="271" t="s">
        <v>1574</v>
      </c>
      <c r="L54" s="300" t="s">
        <v>2520</v>
      </c>
      <c r="M54" s="272" t="s">
        <v>1575</v>
      </c>
      <c r="N54" s="272"/>
      <c r="O54" s="499" t="s">
        <v>1881</v>
      </c>
      <c r="P54" s="684">
        <v>60518060</v>
      </c>
    </row>
    <row r="55" spans="1:16">
      <c r="A55" s="98">
        <f t="shared" si="2"/>
        <v>29</v>
      </c>
      <c r="B55" s="97" t="s">
        <v>622</v>
      </c>
      <c r="C55" s="97" t="s">
        <v>1871</v>
      </c>
      <c r="D55" s="280" t="s">
        <v>1574</v>
      </c>
      <c r="E55" s="298" t="s">
        <v>1574</v>
      </c>
      <c r="F55" s="299"/>
      <c r="G55" s="308"/>
      <c r="H55" s="281" t="s">
        <v>850</v>
      </c>
      <c r="I55" s="281" t="s">
        <v>850</v>
      </c>
      <c r="J55" s="281" t="s">
        <v>850</v>
      </c>
      <c r="K55" s="281" t="s">
        <v>850</v>
      </c>
      <c r="L55" s="300"/>
      <c r="M55" s="272" t="s">
        <v>1575</v>
      </c>
      <c r="N55" s="272"/>
      <c r="O55" s="686" t="s">
        <v>1576</v>
      </c>
      <c r="P55" s="684">
        <v>48209608</v>
      </c>
    </row>
    <row r="56" spans="1:16">
      <c r="A56" s="98">
        <f t="shared" si="2"/>
        <v>30</v>
      </c>
      <c r="B56" s="97" t="s">
        <v>965</v>
      </c>
      <c r="C56" s="97" t="s">
        <v>1871</v>
      </c>
      <c r="D56" s="280" t="s">
        <v>1574</v>
      </c>
      <c r="E56" s="298" t="s">
        <v>1574</v>
      </c>
      <c r="F56" s="299"/>
      <c r="G56" s="308"/>
      <c r="H56" s="282" t="s">
        <v>1574</v>
      </c>
      <c r="I56" s="281" t="s">
        <v>850</v>
      </c>
      <c r="J56" s="282" t="s">
        <v>1574</v>
      </c>
      <c r="K56" s="271" t="s">
        <v>1574</v>
      </c>
      <c r="L56" s="300" t="s">
        <v>2826</v>
      </c>
      <c r="M56" s="272" t="s">
        <v>1575</v>
      </c>
      <c r="N56" s="272"/>
      <c r="O56" s="499" t="s">
        <v>1881</v>
      </c>
      <c r="P56" s="684">
        <v>29845694</v>
      </c>
    </row>
    <row r="57" spans="1:16">
      <c r="A57" s="98">
        <f t="shared" si="2"/>
        <v>31</v>
      </c>
      <c r="B57" s="97" t="s">
        <v>964</v>
      </c>
      <c r="C57" s="97" t="s">
        <v>1871</v>
      </c>
      <c r="D57" s="280" t="s">
        <v>1574</v>
      </c>
      <c r="E57" s="298" t="s">
        <v>1574</v>
      </c>
      <c r="F57" s="299"/>
      <c r="G57" s="308"/>
      <c r="H57" s="282" t="s">
        <v>1574</v>
      </c>
      <c r="I57" s="281" t="s">
        <v>850</v>
      </c>
      <c r="J57" s="282" t="s">
        <v>1574</v>
      </c>
      <c r="K57" s="271" t="s">
        <v>1574</v>
      </c>
      <c r="L57" s="300" t="s">
        <v>2520</v>
      </c>
      <c r="M57" s="272" t="s">
        <v>1575</v>
      </c>
      <c r="N57" s="272"/>
      <c r="O57" s="499" t="s">
        <v>1881</v>
      </c>
      <c r="P57" s="684">
        <v>38139686</v>
      </c>
    </row>
    <row r="58" spans="1:16">
      <c r="A58" s="98">
        <f t="shared" si="2"/>
        <v>32</v>
      </c>
      <c r="B58" s="97" t="s">
        <v>966</v>
      </c>
      <c r="C58" s="97" t="s">
        <v>1871</v>
      </c>
      <c r="D58" s="280" t="s">
        <v>1574</v>
      </c>
      <c r="E58" s="298" t="s">
        <v>1574</v>
      </c>
      <c r="F58" s="299"/>
      <c r="G58" s="308"/>
      <c r="H58" s="282" t="s">
        <v>1574</v>
      </c>
      <c r="I58" s="281" t="s">
        <v>850</v>
      </c>
      <c r="J58" s="282" t="s">
        <v>1574</v>
      </c>
      <c r="K58" s="271" t="s">
        <v>1574</v>
      </c>
      <c r="L58" s="300" t="s">
        <v>2520</v>
      </c>
      <c r="M58" s="272" t="s">
        <v>1575</v>
      </c>
      <c r="N58" s="272"/>
      <c r="O58" s="499" t="s">
        <v>1881</v>
      </c>
      <c r="P58" s="684">
        <v>40685227</v>
      </c>
    </row>
    <row r="59" spans="1:16">
      <c r="A59" s="98">
        <f t="shared" si="2"/>
        <v>33</v>
      </c>
      <c r="B59" s="97" t="s">
        <v>969</v>
      </c>
      <c r="C59" s="97" t="s">
        <v>1871</v>
      </c>
      <c r="D59" s="280" t="s">
        <v>1574</v>
      </c>
      <c r="E59" s="298" t="s">
        <v>1574</v>
      </c>
      <c r="F59" s="299"/>
      <c r="G59" s="308"/>
      <c r="H59" s="282" t="s">
        <v>1574</v>
      </c>
      <c r="I59" s="271" t="s">
        <v>1574</v>
      </c>
      <c r="J59" s="281" t="s">
        <v>850</v>
      </c>
      <c r="K59" s="281" t="s">
        <v>850</v>
      </c>
      <c r="L59" s="300"/>
      <c r="M59" s="272" t="s">
        <v>1575</v>
      </c>
      <c r="N59" s="272"/>
      <c r="O59" s="499" t="s">
        <v>1881</v>
      </c>
      <c r="P59" s="684">
        <v>40665293</v>
      </c>
    </row>
    <row r="60" spans="1:16">
      <c r="A60" s="98">
        <f t="shared" si="2"/>
        <v>34</v>
      </c>
      <c r="B60" s="97" t="s">
        <v>646</v>
      </c>
      <c r="C60" s="97" t="s">
        <v>1871</v>
      </c>
      <c r="D60" s="280" t="s">
        <v>1574</v>
      </c>
      <c r="E60" s="298" t="s">
        <v>1574</v>
      </c>
      <c r="F60" s="299"/>
      <c r="G60" s="308"/>
      <c r="H60" s="282" t="s">
        <v>1574</v>
      </c>
      <c r="I60" s="281" t="s">
        <v>850</v>
      </c>
      <c r="J60" s="282" t="s">
        <v>1574</v>
      </c>
      <c r="K60" s="271" t="s">
        <v>1574</v>
      </c>
      <c r="L60" s="300" t="s">
        <v>2826</v>
      </c>
      <c r="M60" s="272" t="s">
        <v>1575</v>
      </c>
      <c r="N60" s="272"/>
      <c r="O60" s="499" t="s">
        <v>1881</v>
      </c>
      <c r="P60" s="684">
        <v>29436887</v>
      </c>
    </row>
    <row r="61" spans="1:16">
      <c r="A61" s="98">
        <f t="shared" si="2"/>
        <v>35</v>
      </c>
      <c r="B61" s="97" t="s">
        <v>963</v>
      </c>
      <c r="C61" s="97" t="s">
        <v>1871</v>
      </c>
      <c r="D61" s="280" t="s">
        <v>1574</v>
      </c>
      <c r="E61" s="298" t="s">
        <v>1574</v>
      </c>
      <c r="F61" s="299"/>
      <c r="G61" s="308"/>
      <c r="H61" s="282" t="s">
        <v>1574</v>
      </c>
      <c r="I61" s="281" t="s">
        <v>850</v>
      </c>
      <c r="J61" s="281" t="s">
        <v>850</v>
      </c>
      <c r="K61" s="281" t="s">
        <v>850</v>
      </c>
      <c r="L61" s="300"/>
      <c r="M61" s="272" t="s">
        <v>1575</v>
      </c>
      <c r="N61" s="272"/>
      <c r="O61" s="685" t="s">
        <v>1902</v>
      </c>
      <c r="P61" s="684">
        <v>86241983</v>
      </c>
    </row>
    <row r="62" spans="1:16">
      <c r="A62" s="98">
        <f t="shared" si="2"/>
        <v>36</v>
      </c>
      <c r="B62" s="97" t="s">
        <v>102</v>
      </c>
      <c r="C62" s="97" t="s">
        <v>1871</v>
      </c>
      <c r="D62" s="280" t="s">
        <v>1574</v>
      </c>
      <c r="E62" s="298" t="s">
        <v>1574</v>
      </c>
      <c r="F62" s="308"/>
      <c r="G62" s="308"/>
      <c r="H62" s="282" t="s">
        <v>1574</v>
      </c>
      <c r="I62" s="281" t="s">
        <v>850</v>
      </c>
      <c r="J62" s="282" t="s">
        <v>1574</v>
      </c>
      <c r="K62" s="281" t="s">
        <v>850</v>
      </c>
      <c r="L62" s="313"/>
      <c r="M62" s="272" t="s">
        <v>1575</v>
      </c>
      <c r="N62" s="305"/>
      <c r="O62" s="499" t="s">
        <v>1881</v>
      </c>
      <c r="P62" s="684">
        <v>31029166</v>
      </c>
    </row>
    <row r="63" spans="1:16">
      <c r="A63" s="98">
        <f t="shared" si="2"/>
        <v>37</v>
      </c>
      <c r="B63" s="97" t="s">
        <v>970</v>
      </c>
      <c r="C63" s="97" t="s">
        <v>1871</v>
      </c>
      <c r="D63" s="280" t="s">
        <v>1574</v>
      </c>
      <c r="E63" s="298" t="s">
        <v>1574</v>
      </c>
      <c r="F63" s="299"/>
      <c r="G63" s="308"/>
      <c r="H63" s="282" t="s">
        <v>1574</v>
      </c>
      <c r="I63" s="271" t="s">
        <v>1574</v>
      </c>
      <c r="J63" s="282" t="s">
        <v>1574</v>
      </c>
      <c r="K63" s="281" t="s">
        <v>850</v>
      </c>
      <c r="L63" s="300"/>
      <c r="M63" s="272" t="s">
        <v>1575</v>
      </c>
      <c r="N63" s="272"/>
      <c r="O63" s="499" t="s">
        <v>1881</v>
      </c>
      <c r="P63" s="684">
        <v>26165987</v>
      </c>
    </row>
    <row r="64" spans="1:16">
      <c r="A64" s="98">
        <f t="shared" si="2"/>
        <v>38</v>
      </c>
      <c r="B64" s="97" t="s">
        <v>971</v>
      </c>
      <c r="C64" s="97" t="s">
        <v>1871</v>
      </c>
      <c r="D64" s="280" t="s">
        <v>1574</v>
      </c>
      <c r="E64" s="298" t="s">
        <v>1574</v>
      </c>
      <c r="F64" s="299"/>
      <c r="G64" s="308"/>
      <c r="H64" s="282" t="s">
        <v>1574</v>
      </c>
      <c r="I64" s="271" t="s">
        <v>1574</v>
      </c>
      <c r="J64" s="281" t="s">
        <v>850</v>
      </c>
      <c r="K64" s="281" t="s">
        <v>850</v>
      </c>
      <c r="L64" s="300"/>
      <c r="M64" s="272" t="s">
        <v>1575</v>
      </c>
      <c r="N64" s="272"/>
      <c r="O64" s="499" t="s">
        <v>1881</v>
      </c>
      <c r="P64" s="684">
        <v>42109143</v>
      </c>
    </row>
    <row r="65" spans="1:17">
      <c r="A65" s="98">
        <f t="shared" si="2"/>
        <v>39</v>
      </c>
      <c r="B65" s="97" t="s">
        <v>968</v>
      </c>
      <c r="C65" s="97" t="s">
        <v>1871</v>
      </c>
      <c r="D65" s="280" t="s">
        <v>1574</v>
      </c>
      <c r="E65" s="298" t="s">
        <v>1574</v>
      </c>
      <c r="F65" s="299"/>
      <c r="G65" s="308"/>
      <c r="H65" s="282" t="s">
        <v>1574</v>
      </c>
      <c r="I65" s="281" t="s">
        <v>850</v>
      </c>
      <c r="J65" s="282" t="s">
        <v>1574</v>
      </c>
      <c r="K65" s="281" t="s">
        <v>850</v>
      </c>
      <c r="L65" s="300"/>
      <c r="M65" s="272" t="s">
        <v>1575</v>
      </c>
      <c r="N65" s="272"/>
      <c r="O65" s="499" t="s">
        <v>1881</v>
      </c>
      <c r="P65" s="684">
        <v>164622255</v>
      </c>
    </row>
    <row r="66" spans="1:17">
      <c r="A66" s="98">
        <f t="shared" si="2"/>
        <v>40</v>
      </c>
      <c r="B66" s="97" t="s">
        <v>972</v>
      </c>
      <c r="C66" s="97" t="s">
        <v>1871</v>
      </c>
      <c r="D66" s="280" t="s">
        <v>1574</v>
      </c>
      <c r="E66" s="298" t="s">
        <v>1574</v>
      </c>
      <c r="F66" s="299"/>
      <c r="G66" s="308"/>
      <c r="H66" s="282" t="s">
        <v>1574</v>
      </c>
      <c r="I66" s="281" t="s">
        <v>850</v>
      </c>
      <c r="J66" s="282" t="s">
        <v>1574</v>
      </c>
      <c r="K66" s="281" t="s">
        <v>850</v>
      </c>
      <c r="L66" s="300"/>
      <c r="M66" s="272" t="s">
        <v>1575</v>
      </c>
      <c r="N66" s="272"/>
      <c r="O66" s="499" t="s">
        <v>1881</v>
      </c>
      <c r="P66" s="684">
        <v>28172699</v>
      </c>
    </row>
    <row r="67" spans="1:17">
      <c r="A67" s="98">
        <f t="shared" si="2"/>
        <v>41</v>
      </c>
      <c r="B67" s="97" t="s">
        <v>676</v>
      </c>
      <c r="C67" s="97" t="s">
        <v>1871</v>
      </c>
      <c r="D67" s="280" t="s">
        <v>1574</v>
      </c>
      <c r="E67" s="298" t="s">
        <v>1574</v>
      </c>
      <c r="F67" s="299"/>
      <c r="G67" s="308"/>
      <c r="H67" s="282" t="s">
        <v>1574</v>
      </c>
      <c r="I67" s="271" t="s">
        <v>1574</v>
      </c>
      <c r="J67" s="282" t="s">
        <v>1574</v>
      </c>
      <c r="K67" s="271" t="s">
        <v>1574</v>
      </c>
      <c r="L67" s="300" t="s">
        <v>2520</v>
      </c>
      <c r="M67" s="272" t="s">
        <v>1575</v>
      </c>
      <c r="N67" s="272"/>
      <c r="O67" s="499" t="s">
        <v>1881</v>
      </c>
      <c r="P67" s="684">
        <v>22038729</v>
      </c>
    </row>
    <row r="68" spans="1:17">
      <c r="A68" s="98">
        <f t="shared" si="2"/>
        <v>42</v>
      </c>
      <c r="B68" s="97" t="s">
        <v>973</v>
      </c>
      <c r="C68" s="97" t="s">
        <v>1871</v>
      </c>
      <c r="D68" s="280" t="s">
        <v>1574</v>
      </c>
      <c r="E68" s="298" t="s">
        <v>1574</v>
      </c>
      <c r="F68" s="299"/>
      <c r="G68" s="308"/>
      <c r="H68" s="282" t="s">
        <v>1574</v>
      </c>
      <c r="I68" s="281" t="s">
        <v>850</v>
      </c>
      <c r="J68" s="282" t="s">
        <v>1574</v>
      </c>
      <c r="K68" s="282" t="s">
        <v>1574</v>
      </c>
      <c r="L68" s="300" t="s">
        <v>2826</v>
      </c>
      <c r="M68" s="272" t="s">
        <v>1575</v>
      </c>
      <c r="N68" s="272"/>
      <c r="O68" s="499" t="s">
        <v>1881</v>
      </c>
      <c r="P68" s="684">
        <v>44865661</v>
      </c>
    </row>
    <row r="69" spans="1:17">
      <c r="A69" s="98">
        <f t="shared" si="2"/>
        <v>43</v>
      </c>
      <c r="B69" s="97" t="s">
        <v>462</v>
      </c>
      <c r="C69" s="97" t="s">
        <v>1871</v>
      </c>
      <c r="D69" s="280" t="s">
        <v>1574</v>
      </c>
      <c r="E69" s="298" t="s">
        <v>1574</v>
      </c>
      <c r="F69" s="299"/>
      <c r="G69" s="308"/>
      <c r="H69" s="282" t="s">
        <v>1574</v>
      </c>
      <c r="I69" s="281" t="s">
        <v>850</v>
      </c>
      <c r="J69" s="282" t="s">
        <v>1574</v>
      </c>
      <c r="K69" s="282" t="s">
        <v>1574</v>
      </c>
      <c r="L69" s="300" t="s">
        <v>2826</v>
      </c>
      <c r="M69" s="272" t="s">
        <v>1575</v>
      </c>
      <c r="N69" s="272"/>
      <c r="O69" s="499" t="s">
        <v>1881</v>
      </c>
      <c r="P69" s="684">
        <v>25051140</v>
      </c>
    </row>
    <row r="70" spans="1:17">
      <c r="A70" s="98">
        <f t="shared" si="2"/>
        <v>44</v>
      </c>
      <c r="B70" s="97" t="s">
        <v>1248</v>
      </c>
      <c r="C70" s="97" t="s">
        <v>1871</v>
      </c>
      <c r="D70" s="280" t="s">
        <v>1574</v>
      </c>
      <c r="E70" s="298" t="s">
        <v>1574</v>
      </c>
      <c r="F70" s="301"/>
      <c r="G70" s="308"/>
      <c r="H70" s="282" t="s">
        <v>1574</v>
      </c>
      <c r="I70" s="281" t="s">
        <v>850</v>
      </c>
      <c r="J70" s="282" t="s">
        <v>1574</v>
      </c>
      <c r="K70" s="282" t="s">
        <v>1574</v>
      </c>
      <c r="L70" s="300" t="s">
        <v>2520</v>
      </c>
      <c r="M70" s="272" t="s">
        <v>1575</v>
      </c>
      <c r="N70" s="272"/>
      <c r="O70" s="499" t="s">
        <v>1881</v>
      </c>
      <c r="P70" s="684">
        <v>30052112</v>
      </c>
    </row>
    <row r="71" spans="1:17">
      <c r="A71" s="98">
        <f t="shared" si="2"/>
        <v>45</v>
      </c>
      <c r="B71" s="97" t="s">
        <v>188</v>
      </c>
      <c r="C71" s="97" t="s">
        <v>1871</v>
      </c>
      <c r="D71" s="280" t="s">
        <v>1574</v>
      </c>
      <c r="E71" s="298" t="s">
        <v>1574</v>
      </c>
      <c r="F71" s="299"/>
      <c r="G71" s="308"/>
      <c r="H71" s="282" t="s">
        <v>1574</v>
      </c>
      <c r="I71" s="281" t="s">
        <v>850</v>
      </c>
      <c r="J71" s="282" t="s">
        <v>1574</v>
      </c>
      <c r="K71" s="282" t="s">
        <v>1574</v>
      </c>
      <c r="L71" s="300" t="s">
        <v>2826</v>
      </c>
      <c r="M71" s="272" t="s">
        <v>1575</v>
      </c>
      <c r="N71" s="272"/>
      <c r="O71" s="499" t="s">
        <v>1881</v>
      </c>
      <c r="P71" s="684">
        <v>24807388</v>
      </c>
    </row>
    <row r="72" spans="1:17">
      <c r="A72" s="98">
        <f t="shared" si="2"/>
        <v>46</v>
      </c>
      <c r="B72" s="97" t="s">
        <v>974</v>
      </c>
      <c r="C72" s="97" t="s">
        <v>1871</v>
      </c>
      <c r="D72" s="280" t="s">
        <v>1574</v>
      </c>
      <c r="E72" s="298" t="s">
        <v>1574</v>
      </c>
      <c r="F72" s="301"/>
      <c r="G72" s="308"/>
      <c r="H72" s="282" t="s">
        <v>1574</v>
      </c>
      <c r="I72" s="281" t="s">
        <v>850</v>
      </c>
      <c r="J72" s="282" t="s">
        <v>1574</v>
      </c>
      <c r="K72" s="271" t="s">
        <v>1574</v>
      </c>
      <c r="L72" s="300" t="s">
        <v>2826</v>
      </c>
      <c r="M72" s="272" t="s">
        <v>1575</v>
      </c>
      <c r="N72" s="272"/>
      <c r="O72" s="499" t="s">
        <v>1881</v>
      </c>
      <c r="P72" s="684">
        <v>34724770</v>
      </c>
    </row>
    <row r="73" spans="1:17">
      <c r="A73" s="98">
        <f t="shared" si="2"/>
        <v>47</v>
      </c>
      <c r="B73" s="97" t="s">
        <v>976</v>
      </c>
      <c r="C73" s="97" t="s">
        <v>1871</v>
      </c>
      <c r="D73" s="280" t="s">
        <v>1574</v>
      </c>
      <c r="E73" s="314" t="s">
        <v>850</v>
      </c>
      <c r="F73" s="282" t="s">
        <v>1574</v>
      </c>
      <c r="G73" s="309"/>
      <c r="H73" s="309" t="s">
        <v>1574</v>
      </c>
      <c r="I73" s="309" t="s">
        <v>1574</v>
      </c>
      <c r="J73" s="309"/>
      <c r="K73" s="310" t="s">
        <v>1574</v>
      </c>
      <c r="L73" s="311" t="s">
        <v>10234</v>
      </c>
      <c r="M73" s="312"/>
      <c r="N73" s="312"/>
      <c r="O73" s="688" t="s">
        <v>1881</v>
      </c>
      <c r="P73" s="684">
        <v>27819297</v>
      </c>
    </row>
    <row r="74" spans="1:17">
      <c r="A74" s="98">
        <f t="shared" si="2"/>
        <v>48</v>
      </c>
      <c r="B74" s="97" t="s">
        <v>975</v>
      </c>
      <c r="C74" s="97" t="s">
        <v>1871</v>
      </c>
      <c r="D74" s="280" t="s">
        <v>1574</v>
      </c>
      <c r="E74" s="298" t="s">
        <v>1574</v>
      </c>
      <c r="F74" s="299"/>
      <c r="G74" s="308"/>
      <c r="H74" s="282" t="s">
        <v>1574</v>
      </c>
      <c r="I74" s="281" t="s">
        <v>850</v>
      </c>
      <c r="J74" s="282" t="s">
        <v>1574</v>
      </c>
      <c r="K74" s="281" t="s">
        <v>850</v>
      </c>
      <c r="L74" s="300"/>
      <c r="M74" s="272" t="s">
        <v>1575</v>
      </c>
      <c r="N74" s="272"/>
      <c r="O74" s="499" t="s">
        <v>1881</v>
      </c>
      <c r="P74" s="684">
        <v>28220485</v>
      </c>
    </row>
    <row r="75" spans="1:17">
      <c r="A75" s="98">
        <f t="shared" si="2"/>
        <v>49</v>
      </c>
      <c r="B75" s="97" t="s">
        <v>140</v>
      </c>
      <c r="C75" s="97" t="s">
        <v>1871</v>
      </c>
      <c r="D75" s="280" t="s">
        <v>1574</v>
      </c>
      <c r="E75" s="298" t="s">
        <v>1574</v>
      </c>
      <c r="F75" s="299"/>
      <c r="G75" s="308"/>
      <c r="H75" s="315" t="s">
        <v>1574</v>
      </c>
      <c r="I75" s="281" t="s">
        <v>850</v>
      </c>
      <c r="J75" s="282" t="s">
        <v>1574</v>
      </c>
      <c r="K75" s="281" t="s">
        <v>850</v>
      </c>
      <c r="L75" s="300"/>
      <c r="M75" s="272" t="s">
        <v>1575</v>
      </c>
      <c r="N75" s="272"/>
      <c r="O75" s="499" t="s">
        <v>1881</v>
      </c>
      <c r="P75" s="684">
        <v>21014618</v>
      </c>
    </row>
    <row r="76" spans="1:17">
      <c r="P76" s="828">
        <f>SUM(P19:P75)</f>
        <v>5632395589</v>
      </c>
      <c r="Q76" s="154"/>
    </row>
    <row r="77" spans="1:17">
      <c r="P77" s="154"/>
      <c r="Q77" s="154"/>
    </row>
    <row r="78" spans="1:17">
      <c r="P78" s="154"/>
      <c r="Q78" s="154"/>
    </row>
  </sheetData>
  <mergeCells count="18">
    <mergeCell ref="P14:P17"/>
    <mergeCell ref="Q14:Q17"/>
    <mergeCell ref="F15:F16"/>
    <mergeCell ref="G15:G16"/>
    <mergeCell ref="H15:H16"/>
    <mergeCell ref="I15:I16"/>
    <mergeCell ref="J15:J16"/>
    <mergeCell ref="K15:L16"/>
    <mergeCell ref="M15:N15"/>
    <mergeCell ref="E14:E16"/>
    <mergeCell ref="F14:G14"/>
    <mergeCell ref="H14:N14"/>
    <mergeCell ref="O14:O17"/>
    <mergeCell ref="B6:B7"/>
    <mergeCell ref="C6:D6"/>
    <mergeCell ref="E6:F6"/>
    <mergeCell ref="G6:H6"/>
    <mergeCell ref="E13:O13"/>
  </mergeCells>
  <dataValidations count="1">
    <dataValidation type="list" allowBlank="1" showInputMessage="1" showErrorMessage="1" sqref="E19:K25 M27:M75 I75:K75 M19:M25 E27:G75 H27:K74" xr:uid="{9FB17AD0-9023-47B7-BC45-462FE78EF1AD}">
      <formula1>"Oui,Non,N/a"</formula1>
    </dataValidation>
  </dataValidations>
  <hyperlinks>
    <hyperlink ref="N27" r:id="rId1" xr:uid="{96391D89-76BD-4699-9B98-80EEAE474BDC}"/>
    <hyperlink ref="N32" r:id="rId2" xr:uid="{465C23E7-4D52-4F9B-A33D-90AC4BB79000}"/>
    <hyperlink ref="N33" r:id="rId3" xr:uid="{BD02E638-D203-4AE4-86D7-8BF0E27D499E}"/>
    <hyperlink ref="N25" r:id="rId4" xr:uid="{402B4876-59DA-49AD-8BE8-E1441604D466}"/>
    <hyperlink ref="N28" r:id="rId5" xr:uid="{71F0460A-2FE1-4B94-BC10-E807A90467CF}"/>
  </hyperlinks>
  <pageMargins left="0.7" right="0.7" top="0.75" bottom="0.75" header="0.3" footer="0.3"/>
  <pageSetup paperSize="9" orientation="portrait" r:id="rId6"/>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C176B-CCE9-4091-B447-9E9644250B4D}">
  <sheetPr>
    <tabColor rgb="FF92D050"/>
  </sheetPr>
  <dimension ref="A2:C24"/>
  <sheetViews>
    <sheetView workbookViewId="0">
      <selection activeCell="E6" sqref="E6"/>
    </sheetView>
  </sheetViews>
  <sheetFormatPr baseColWidth="10" defaultColWidth="10.83203125" defaultRowHeight="14"/>
  <cols>
    <col min="1" max="1" width="22.25" style="77" customWidth="1"/>
    <col min="2" max="2" width="81.83203125" style="77" customWidth="1"/>
    <col min="3" max="3" width="17.75" style="77" customWidth="1"/>
    <col min="4" max="16384" width="10.83203125" style="77"/>
  </cols>
  <sheetData>
    <row r="2" spans="1:3" ht="14.5">
      <c r="A2" s="173" t="s">
        <v>7923</v>
      </c>
    </row>
    <row r="3" spans="1:3">
      <c r="A3" s="80"/>
      <c r="C3" s="182"/>
    </row>
    <row r="4" spans="1:3" ht="24">
      <c r="A4" s="180" t="s">
        <v>2522</v>
      </c>
      <c r="B4" s="180" t="s">
        <v>2521</v>
      </c>
      <c r="C4" s="180" t="s">
        <v>2583</v>
      </c>
    </row>
    <row r="5" spans="1:3" ht="112">
      <c r="A5" s="184" t="s">
        <v>2523</v>
      </c>
      <c r="B5" s="184" t="s">
        <v>2524</v>
      </c>
      <c r="C5" s="185" t="s">
        <v>2525</v>
      </c>
    </row>
    <row r="6" spans="1:3" ht="196">
      <c r="A6" s="80" t="s">
        <v>2526</v>
      </c>
      <c r="B6" s="80" t="s">
        <v>2527</v>
      </c>
      <c r="C6" s="183" t="s">
        <v>2528</v>
      </c>
    </row>
    <row r="7" spans="1:3" ht="70">
      <c r="A7" s="184" t="s">
        <v>2529</v>
      </c>
      <c r="B7" s="184" t="s">
        <v>2530</v>
      </c>
      <c r="C7" s="185" t="s">
        <v>2531</v>
      </c>
    </row>
    <row r="8" spans="1:3" ht="406">
      <c r="A8" s="80" t="s">
        <v>2532</v>
      </c>
      <c r="B8" s="80" t="s">
        <v>2533</v>
      </c>
      <c r="C8" s="183" t="s">
        <v>2534</v>
      </c>
    </row>
    <row r="9" spans="1:3" ht="154">
      <c r="A9" s="184" t="s">
        <v>2535</v>
      </c>
      <c r="B9" s="184" t="s">
        <v>2536</v>
      </c>
      <c r="C9" s="185" t="s">
        <v>2537</v>
      </c>
    </row>
    <row r="10" spans="1:3" ht="28">
      <c r="A10" s="80" t="s">
        <v>2538</v>
      </c>
      <c r="B10" s="80" t="s">
        <v>2539</v>
      </c>
      <c r="C10" s="183" t="s">
        <v>2540</v>
      </c>
    </row>
    <row r="11" spans="1:3" ht="98">
      <c r="A11" s="184" t="s">
        <v>2541</v>
      </c>
      <c r="B11" s="184" t="s">
        <v>2542</v>
      </c>
      <c r="C11" s="185" t="s">
        <v>2543</v>
      </c>
    </row>
    <row r="12" spans="1:3" ht="70">
      <c r="A12" s="80" t="s">
        <v>2544</v>
      </c>
      <c r="B12" s="80" t="s">
        <v>2545</v>
      </c>
      <c r="C12" s="183" t="s">
        <v>2546</v>
      </c>
    </row>
    <row r="13" spans="1:3" ht="56">
      <c r="A13" s="184" t="s">
        <v>2547</v>
      </c>
      <c r="B13" s="184" t="s">
        <v>2548</v>
      </c>
      <c r="C13" s="185" t="s">
        <v>2549</v>
      </c>
    </row>
    <row r="14" spans="1:3" ht="70">
      <c r="A14" s="80" t="s">
        <v>2550</v>
      </c>
      <c r="B14" s="80" t="s">
        <v>2551</v>
      </c>
      <c r="C14" s="183" t="s">
        <v>2552</v>
      </c>
    </row>
    <row r="15" spans="1:3" ht="168">
      <c r="A15" s="184" t="s">
        <v>2553</v>
      </c>
      <c r="B15" s="184" t="s">
        <v>2554</v>
      </c>
      <c r="C15" s="185" t="s">
        <v>2555</v>
      </c>
    </row>
    <row r="16" spans="1:3" ht="154">
      <c r="A16" s="80" t="s">
        <v>2556</v>
      </c>
      <c r="B16" s="80" t="s">
        <v>2557</v>
      </c>
      <c r="C16" s="183" t="s">
        <v>2558</v>
      </c>
    </row>
    <row r="17" spans="1:3" ht="56">
      <c r="A17" s="184" t="s">
        <v>2559</v>
      </c>
      <c r="B17" s="184" t="s">
        <v>2560</v>
      </c>
      <c r="C17" s="185" t="s">
        <v>2561</v>
      </c>
    </row>
    <row r="18" spans="1:3" ht="112">
      <c r="A18" s="80" t="s">
        <v>2562</v>
      </c>
      <c r="B18" s="80" t="s">
        <v>2563</v>
      </c>
      <c r="C18" s="183" t="s">
        <v>2564</v>
      </c>
    </row>
    <row r="19" spans="1:3" ht="112">
      <c r="A19" s="184" t="s">
        <v>2565</v>
      </c>
      <c r="B19" s="184" t="s">
        <v>2566</v>
      </c>
      <c r="C19" s="185" t="s">
        <v>2567</v>
      </c>
    </row>
    <row r="20" spans="1:3" ht="70">
      <c r="A20" s="80" t="s">
        <v>2568</v>
      </c>
      <c r="B20" s="80" t="s">
        <v>2569</v>
      </c>
      <c r="C20" s="183" t="s">
        <v>2570</v>
      </c>
    </row>
    <row r="21" spans="1:3" ht="154">
      <c r="A21" s="184" t="s">
        <v>2571</v>
      </c>
      <c r="B21" s="184" t="s">
        <v>2572</v>
      </c>
      <c r="C21" s="185" t="s">
        <v>2573</v>
      </c>
    </row>
    <row r="22" spans="1:3" ht="98">
      <c r="A22" s="80" t="s">
        <v>2574</v>
      </c>
      <c r="B22" s="80" t="s">
        <v>2575</v>
      </c>
      <c r="C22" s="183" t="s">
        <v>2576</v>
      </c>
    </row>
    <row r="23" spans="1:3" ht="56">
      <c r="A23" s="184" t="s">
        <v>2577</v>
      </c>
      <c r="B23" s="184" t="s">
        <v>2578</v>
      </c>
      <c r="C23" s="185" t="s">
        <v>2579</v>
      </c>
    </row>
    <row r="24" spans="1:3" ht="70">
      <c r="A24" s="80" t="s">
        <v>2580</v>
      </c>
      <c r="B24" s="80" t="s">
        <v>2581</v>
      </c>
      <c r="C24" s="183" t="s">
        <v>2582</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53916-BD1F-4D6C-92C2-A29E8CB04153}">
  <sheetPr>
    <tabColor rgb="FF92D050"/>
  </sheetPr>
  <dimension ref="A2:N1294"/>
  <sheetViews>
    <sheetView zoomScaleNormal="80" workbookViewId="0">
      <pane xSplit="1" ySplit="5" topLeftCell="B814" activePane="bottomRight" state="frozen"/>
      <selection pane="topRight" activeCell="B1" sqref="B1"/>
      <selection pane="bottomLeft" activeCell="A6" sqref="A6"/>
      <selection pane="bottomRight" activeCell="A2" sqref="A2"/>
    </sheetView>
  </sheetViews>
  <sheetFormatPr baseColWidth="10" defaultColWidth="8.83203125" defaultRowHeight="12"/>
  <cols>
    <col min="1" max="1" width="22" style="136" customWidth="1"/>
    <col min="2" max="2" width="14.75" style="136" customWidth="1"/>
    <col min="3" max="3" width="88.1640625" style="136" bestFit="1" customWidth="1"/>
    <col min="4" max="4" width="20.83203125" style="136" bestFit="1" customWidth="1"/>
    <col min="5" max="5" width="35.25" style="136" bestFit="1" customWidth="1"/>
    <col min="6" max="6" width="57.25" style="136" bestFit="1" customWidth="1"/>
    <col min="7" max="7" width="15.4140625" style="136" bestFit="1" customWidth="1"/>
    <col min="8" max="8" width="14.1640625" style="136" bestFit="1" customWidth="1"/>
    <col min="9" max="9" width="17.75" style="136" bestFit="1" customWidth="1"/>
    <col min="10" max="10" width="14.1640625" style="136" bestFit="1" customWidth="1"/>
    <col min="11" max="11" width="28" style="136" bestFit="1" customWidth="1"/>
    <col min="12" max="12" width="13.25" style="136" customWidth="1"/>
    <col min="13" max="13" width="35.25" style="136" bestFit="1" customWidth="1"/>
    <col min="14" max="14" width="22.25" style="136" bestFit="1" customWidth="1"/>
    <col min="15" max="16384" width="8.83203125" style="136"/>
  </cols>
  <sheetData>
    <row r="2" spans="1:14" ht="14.5">
      <c r="A2" s="173" t="s">
        <v>10516</v>
      </c>
    </row>
    <row r="4" spans="1:14" ht="47.5" customHeight="1">
      <c r="A4" s="1059" t="s">
        <v>1234</v>
      </c>
      <c r="B4" s="1060" t="s">
        <v>8629</v>
      </c>
      <c r="C4" s="1061" t="s">
        <v>8630</v>
      </c>
      <c r="D4" s="1060" t="s">
        <v>8631</v>
      </c>
      <c r="E4" s="1060" t="s">
        <v>8632</v>
      </c>
      <c r="F4" s="1061" t="s">
        <v>10239</v>
      </c>
      <c r="G4" s="1062" t="s">
        <v>8633</v>
      </c>
      <c r="H4" s="1063"/>
      <c r="I4" s="1064" t="s">
        <v>8634</v>
      </c>
      <c r="J4" s="1064"/>
      <c r="K4" s="1065" t="s">
        <v>8635</v>
      </c>
      <c r="L4" s="1065" t="s">
        <v>8636</v>
      </c>
      <c r="M4" s="1065" t="s">
        <v>8637</v>
      </c>
      <c r="N4" s="1058" t="s">
        <v>8638</v>
      </c>
    </row>
    <row r="5" spans="1:14">
      <c r="A5" s="1059"/>
      <c r="B5" s="1060"/>
      <c r="C5" s="1061"/>
      <c r="D5" s="1060"/>
      <c r="E5" s="1060"/>
      <c r="F5" s="1061"/>
      <c r="G5" s="667" t="s">
        <v>8639</v>
      </c>
      <c r="H5" s="668" t="s">
        <v>8134</v>
      </c>
      <c r="I5" s="669" t="s">
        <v>8639</v>
      </c>
      <c r="J5" s="667" t="s">
        <v>8134</v>
      </c>
      <c r="K5" s="1065"/>
      <c r="L5" s="1065"/>
      <c r="M5" s="1065"/>
      <c r="N5" s="1058"/>
    </row>
    <row r="6" spans="1:14">
      <c r="A6" s="1067" t="s">
        <v>8694</v>
      </c>
      <c r="B6" s="674" t="s">
        <v>2875</v>
      </c>
      <c r="C6" s="674" t="s">
        <v>8695</v>
      </c>
      <c r="D6" s="674" t="s">
        <v>8696</v>
      </c>
      <c r="E6" s="674" t="s">
        <v>8697</v>
      </c>
      <c r="F6" s="674" t="s">
        <v>8698</v>
      </c>
      <c r="G6" s="675"/>
      <c r="H6" s="675">
        <v>198947.4</v>
      </c>
      <c r="I6" s="675"/>
      <c r="J6" s="675">
        <v>198723.35</v>
      </c>
      <c r="K6" s="674" t="s">
        <v>8699</v>
      </c>
      <c r="L6" s="674" t="s">
        <v>8700</v>
      </c>
      <c r="M6" s="674"/>
      <c r="N6" s="674"/>
    </row>
    <row r="7" spans="1:14">
      <c r="A7" s="1067"/>
      <c r="B7" s="674" t="s">
        <v>2875</v>
      </c>
      <c r="C7" s="674" t="s">
        <v>8701</v>
      </c>
      <c r="D7" s="674" t="s">
        <v>8696</v>
      </c>
      <c r="E7" s="674" t="s">
        <v>8702</v>
      </c>
      <c r="F7" s="674" t="s">
        <v>8698</v>
      </c>
      <c r="G7" s="675"/>
      <c r="H7" s="675">
        <v>199271.93</v>
      </c>
      <c r="I7" s="675"/>
      <c r="J7" s="675">
        <v>199271.93</v>
      </c>
      <c r="K7" s="674" t="s">
        <v>8703</v>
      </c>
      <c r="L7" s="674" t="s">
        <v>8700</v>
      </c>
      <c r="M7" s="674"/>
      <c r="N7" s="674"/>
    </row>
    <row r="8" spans="1:14">
      <c r="A8" s="1067"/>
      <c r="B8" s="674" t="s">
        <v>2875</v>
      </c>
      <c r="C8" s="674" t="s">
        <v>8704</v>
      </c>
      <c r="D8" s="674" t="s">
        <v>8696</v>
      </c>
      <c r="E8" s="674" t="s">
        <v>8705</v>
      </c>
      <c r="F8" s="674" t="s">
        <v>8698</v>
      </c>
      <c r="G8" s="675"/>
      <c r="H8" s="675">
        <v>189247.37</v>
      </c>
      <c r="I8" s="675"/>
      <c r="J8" s="675">
        <v>176005.25</v>
      </c>
      <c r="K8" s="674" t="s">
        <v>8706</v>
      </c>
      <c r="L8" s="674" t="s">
        <v>8700</v>
      </c>
      <c r="M8" s="674"/>
      <c r="N8" s="674"/>
    </row>
    <row r="9" spans="1:14">
      <c r="A9" s="1067"/>
      <c r="B9" s="674" t="s">
        <v>2875</v>
      </c>
      <c r="C9" s="674" t="s">
        <v>8707</v>
      </c>
      <c r="D9" s="674" t="s">
        <v>8696</v>
      </c>
      <c r="E9" s="674" t="s">
        <v>8708</v>
      </c>
      <c r="F9" s="674" t="s">
        <v>8698</v>
      </c>
      <c r="G9" s="675"/>
      <c r="H9" s="675">
        <v>74922.45</v>
      </c>
      <c r="I9" s="675"/>
      <c r="J9" s="675">
        <v>74861.58</v>
      </c>
      <c r="K9" s="674" t="s">
        <v>8709</v>
      </c>
      <c r="L9" s="674" t="s">
        <v>8700</v>
      </c>
      <c r="M9" s="674"/>
      <c r="N9" s="674"/>
    </row>
    <row r="10" spans="1:14">
      <c r="A10" s="1067"/>
      <c r="B10" s="674" t="s">
        <v>2875</v>
      </c>
      <c r="C10" s="674" t="s">
        <v>8710</v>
      </c>
      <c r="D10" s="674" t="s">
        <v>8696</v>
      </c>
      <c r="E10" s="674" t="s">
        <v>8711</v>
      </c>
      <c r="F10" s="674" t="s">
        <v>8712</v>
      </c>
      <c r="G10" s="675"/>
      <c r="H10" s="675">
        <v>499960</v>
      </c>
      <c r="I10" s="675"/>
      <c r="J10" s="675">
        <v>405847.92</v>
      </c>
      <c r="K10" s="674" t="s">
        <v>8713</v>
      </c>
      <c r="L10" s="674" t="s">
        <v>8700</v>
      </c>
      <c r="M10" s="674"/>
      <c r="N10" s="674"/>
    </row>
    <row r="11" spans="1:14">
      <c r="A11" s="1067"/>
      <c r="B11" s="674" t="s">
        <v>2875</v>
      </c>
      <c r="C11" s="674" t="s">
        <v>8714</v>
      </c>
      <c r="D11" s="674" t="s">
        <v>8696</v>
      </c>
      <c r="E11" s="674" t="s">
        <v>8715</v>
      </c>
      <c r="F11" s="674" t="s">
        <v>8716</v>
      </c>
      <c r="G11" s="675"/>
      <c r="H11" s="675">
        <v>387500.65</v>
      </c>
      <c r="I11" s="675"/>
      <c r="J11" s="675">
        <v>387500.65</v>
      </c>
      <c r="K11" s="674" t="s">
        <v>8717</v>
      </c>
      <c r="L11" s="674" t="s">
        <v>8700</v>
      </c>
      <c r="M11" s="674"/>
      <c r="N11" s="674"/>
    </row>
    <row r="12" spans="1:14">
      <c r="A12" s="1067"/>
      <c r="B12" s="674" t="s">
        <v>2875</v>
      </c>
      <c r="C12" s="674" t="s">
        <v>8718</v>
      </c>
      <c r="D12" s="674" t="s">
        <v>8696</v>
      </c>
      <c r="E12" s="674" t="s">
        <v>8719</v>
      </c>
      <c r="F12" s="674" t="s">
        <v>8720</v>
      </c>
      <c r="G12" s="675"/>
      <c r="H12" s="675">
        <v>1570015</v>
      </c>
      <c r="I12" s="675"/>
      <c r="J12" s="675">
        <v>1570014.8</v>
      </c>
      <c r="K12" s="674" t="s">
        <v>8721</v>
      </c>
      <c r="L12" s="674" t="s">
        <v>8700</v>
      </c>
      <c r="M12" s="674"/>
      <c r="N12" s="674"/>
    </row>
    <row r="13" spans="1:14">
      <c r="A13" s="1067"/>
      <c r="B13" s="674" t="s">
        <v>2875</v>
      </c>
      <c r="C13" s="674" t="s">
        <v>8722</v>
      </c>
      <c r="D13" s="674" t="s">
        <v>8696</v>
      </c>
      <c r="E13" s="674" t="s">
        <v>8723</v>
      </c>
      <c r="F13" s="674" t="s">
        <v>8724</v>
      </c>
      <c r="G13" s="675"/>
      <c r="H13" s="675">
        <v>1570426.15</v>
      </c>
      <c r="I13" s="675"/>
      <c r="J13" s="675">
        <v>1470649.88</v>
      </c>
      <c r="K13" s="674" t="s">
        <v>8725</v>
      </c>
      <c r="L13" s="674" t="s">
        <v>8700</v>
      </c>
      <c r="M13" s="674"/>
      <c r="N13" s="674"/>
    </row>
    <row r="14" spans="1:14">
      <c r="A14" s="1067"/>
      <c r="B14" s="674" t="s">
        <v>2875</v>
      </c>
      <c r="C14" s="674" t="s">
        <v>8726</v>
      </c>
      <c r="D14" s="674" t="s">
        <v>8696</v>
      </c>
      <c r="E14" s="674" t="s">
        <v>8727</v>
      </c>
      <c r="F14" s="674" t="s">
        <v>8728</v>
      </c>
      <c r="G14" s="675"/>
      <c r="H14" s="675">
        <v>1506169</v>
      </c>
      <c r="I14" s="675"/>
      <c r="J14" s="675">
        <v>1128298</v>
      </c>
      <c r="K14" s="674" t="s">
        <v>8729</v>
      </c>
      <c r="L14" s="674" t="s">
        <v>8700</v>
      </c>
      <c r="M14" s="674"/>
      <c r="N14" s="674"/>
    </row>
    <row r="15" spans="1:14">
      <c r="A15" s="1067"/>
      <c r="B15" s="674" t="s">
        <v>2875</v>
      </c>
      <c r="C15" s="674" t="s">
        <v>8730</v>
      </c>
      <c r="D15" s="674" t="s">
        <v>8696</v>
      </c>
      <c r="E15" s="674" t="s">
        <v>8731</v>
      </c>
      <c r="F15" s="674" t="s">
        <v>8732</v>
      </c>
      <c r="G15" s="675"/>
      <c r="H15" s="675">
        <v>1105806.1299999999</v>
      </c>
      <c r="I15" s="675"/>
      <c r="J15" s="675">
        <v>884644.8</v>
      </c>
      <c r="K15" s="674" t="s">
        <v>8733</v>
      </c>
      <c r="L15" s="674" t="s">
        <v>8700</v>
      </c>
      <c r="M15" s="674"/>
      <c r="N15" s="674"/>
    </row>
    <row r="16" spans="1:14">
      <c r="A16" s="1067"/>
      <c r="B16" s="674" t="s">
        <v>2875</v>
      </c>
      <c r="C16" s="674" t="s">
        <v>8734</v>
      </c>
      <c r="D16" s="674" t="s">
        <v>8696</v>
      </c>
      <c r="E16" s="674" t="s">
        <v>8731</v>
      </c>
      <c r="F16" s="674" t="s">
        <v>8735</v>
      </c>
      <c r="G16" s="675"/>
      <c r="H16" s="675">
        <v>1103100.3999999999</v>
      </c>
      <c r="I16" s="675"/>
      <c r="J16" s="675">
        <v>1007487.55</v>
      </c>
      <c r="K16" s="674" t="s">
        <v>8736</v>
      </c>
      <c r="L16" s="674" t="s">
        <v>8700</v>
      </c>
      <c r="M16" s="674"/>
      <c r="N16" s="674"/>
    </row>
    <row r="17" spans="1:14">
      <c r="A17" s="1067"/>
      <c r="B17" s="674" t="s">
        <v>2875</v>
      </c>
      <c r="C17" s="674" t="s">
        <v>8737</v>
      </c>
      <c r="D17" s="674" t="s">
        <v>8696</v>
      </c>
      <c r="E17" s="674" t="s">
        <v>8738</v>
      </c>
      <c r="F17" s="674" t="s">
        <v>8739</v>
      </c>
      <c r="G17" s="675"/>
      <c r="H17" s="675">
        <v>486156</v>
      </c>
      <c r="I17" s="675"/>
      <c r="J17" s="675">
        <v>486156</v>
      </c>
      <c r="K17" s="674" t="s">
        <v>8740</v>
      </c>
      <c r="L17" s="674" t="s">
        <v>8700</v>
      </c>
      <c r="M17" s="674"/>
      <c r="N17" s="674"/>
    </row>
    <row r="18" spans="1:14">
      <c r="A18" s="1067"/>
      <c r="B18" s="674" t="s">
        <v>2875</v>
      </c>
      <c r="C18" s="674" t="s">
        <v>8741</v>
      </c>
      <c r="D18" s="674" t="s">
        <v>8696</v>
      </c>
      <c r="E18" s="674" t="s">
        <v>8696</v>
      </c>
      <c r="F18" s="674" t="s">
        <v>8742</v>
      </c>
      <c r="G18" s="675"/>
      <c r="H18" s="675">
        <v>360000</v>
      </c>
      <c r="I18" s="675"/>
      <c r="J18" s="675">
        <v>360000</v>
      </c>
      <c r="K18" s="674" t="s">
        <v>8743</v>
      </c>
      <c r="L18" s="674" t="s">
        <v>8700</v>
      </c>
      <c r="M18" s="674"/>
      <c r="N18" s="674"/>
    </row>
    <row r="19" spans="1:14">
      <c r="A19" s="1067"/>
      <c r="B19" s="674" t="s">
        <v>2875</v>
      </c>
      <c r="C19" s="674" t="s">
        <v>8744</v>
      </c>
      <c r="D19" s="674" t="s">
        <v>8696</v>
      </c>
      <c r="E19" s="674" t="s">
        <v>8696</v>
      </c>
      <c r="F19" s="674" t="s">
        <v>8742</v>
      </c>
      <c r="G19" s="675"/>
      <c r="H19" s="675">
        <v>109999.32</v>
      </c>
      <c r="I19" s="675"/>
      <c r="J19" s="675">
        <v>109999</v>
      </c>
      <c r="K19" s="674" t="s">
        <v>8743</v>
      </c>
      <c r="L19" s="674" t="s">
        <v>8700</v>
      </c>
      <c r="M19" s="674"/>
      <c r="N19" s="674"/>
    </row>
    <row r="20" spans="1:14">
      <c r="A20" s="1067"/>
      <c r="B20" s="674" t="s">
        <v>2875</v>
      </c>
      <c r="C20" s="674" t="s">
        <v>8745</v>
      </c>
      <c r="D20" s="674" t="s">
        <v>8696</v>
      </c>
      <c r="E20" s="674" t="s">
        <v>8746</v>
      </c>
      <c r="F20" s="674" t="s">
        <v>8747</v>
      </c>
      <c r="G20" s="675"/>
      <c r="H20" s="675">
        <v>138040</v>
      </c>
      <c r="I20" s="675"/>
      <c r="J20" s="675">
        <v>138040</v>
      </c>
      <c r="K20" s="674" t="s">
        <v>8721</v>
      </c>
      <c r="L20" s="674" t="s">
        <v>8700</v>
      </c>
      <c r="M20" s="674"/>
      <c r="N20" s="674"/>
    </row>
    <row r="21" spans="1:14">
      <c r="A21" s="1067"/>
      <c r="B21" s="674" t="s">
        <v>2875</v>
      </c>
      <c r="C21" s="674" t="s">
        <v>8748</v>
      </c>
      <c r="D21" s="674" t="s">
        <v>8696</v>
      </c>
      <c r="E21" s="674" t="s">
        <v>8696</v>
      </c>
      <c r="F21" s="674" t="s">
        <v>8742</v>
      </c>
      <c r="G21" s="675"/>
      <c r="H21" s="675">
        <v>99992</v>
      </c>
      <c r="I21" s="675"/>
      <c r="J21" s="675">
        <v>99992</v>
      </c>
      <c r="K21" s="674" t="s">
        <v>8703</v>
      </c>
      <c r="L21" s="674" t="s">
        <v>8700</v>
      </c>
      <c r="M21" s="674"/>
      <c r="N21" s="674"/>
    </row>
    <row r="22" spans="1:14">
      <c r="A22" s="1067"/>
      <c r="B22" s="674" t="s">
        <v>2875</v>
      </c>
      <c r="C22" s="674" t="s">
        <v>8749</v>
      </c>
      <c r="D22" s="674" t="s">
        <v>8696</v>
      </c>
      <c r="E22" s="674" t="s">
        <v>8750</v>
      </c>
      <c r="F22" s="674" t="s">
        <v>8751</v>
      </c>
      <c r="G22" s="675"/>
      <c r="H22" s="675">
        <v>864720</v>
      </c>
      <c r="I22" s="675"/>
      <c r="J22" s="675">
        <v>863937.84</v>
      </c>
      <c r="K22" s="674" t="s">
        <v>8713</v>
      </c>
      <c r="L22" s="674" t="s">
        <v>8700</v>
      </c>
      <c r="M22" s="674"/>
      <c r="N22" s="674"/>
    </row>
    <row r="23" spans="1:14">
      <c r="A23" s="1067"/>
      <c r="B23" s="674" t="s">
        <v>2875</v>
      </c>
      <c r="C23" s="674" t="s">
        <v>8752</v>
      </c>
      <c r="D23" s="674" t="s">
        <v>8696</v>
      </c>
      <c r="E23" s="674" t="s">
        <v>8696</v>
      </c>
      <c r="F23" s="674" t="s">
        <v>8753</v>
      </c>
      <c r="G23" s="675"/>
      <c r="H23" s="675">
        <v>7161.84</v>
      </c>
      <c r="I23" s="675"/>
      <c r="J23" s="675">
        <v>0</v>
      </c>
      <c r="K23" s="674" t="s">
        <v>8754</v>
      </c>
      <c r="L23" s="674" t="s">
        <v>8700</v>
      </c>
      <c r="M23" s="674" t="s">
        <v>8755</v>
      </c>
      <c r="N23" s="674"/>
    </row>
    <row r="24" spans="1:14">
      <c r="A24" s="1067"/>
      <c r="B24" s="674" t="s">
        <v>2875</v>
      </c>
      <c r="C24" s="674" t="s">
        <v>8756</v>
      </c>
      <c r="D24" s="674" t="s">
        <v>8696</v>
      </c>
      <c r="E24" s="674" t="s">
        <v>8696</v>
      </c>
      <c r="F24" s="674" t="s">
        <v>8757</v>
      </c>
      <c r="G24" s="675"/>
      <c r="H24" s="675">
        <v>81186</v>
      </c>
      <c r="I24" s="675"/>
      <c r="J24" s="675">
        <v>81186</v>
      </c>
      <c r="K24" s="674" t="s">
        <v>8758</v>
      </c>
      <c r="L24" s="674" t="s">
        <v>8700</v>
      </c>
      <c r="M24" s="674"/>
      <c r="N24" s="674"/>
    </row>
    <row r="25" spans="1:14">
      <c r="A25" s="1067"/>
      <c r="B25" s="674" t="s">
        <v>2875</v>
      </c>
      <c r="C25" s="674" t="s">
        <v>8759</v>
      </c>
      <c r="D25" s="674" t="s">
        <v>8696</v>
      </c>
      <c r="E25" s="674" t="s">
        <v>8750</v>
      </c>
      <c r="F25" s="674" t="s">
        <v>8760</v>
      </c>
      <c r="G25" s="675"/>
      <c r="H25" s="675">
        <v>1221244.8</v>
      </c>
      <c r="I25" s="675"/>
      <c r="J25" s="675">
        <v>1080771</v>
      </c>
      <c r="K25" s="674" t="s">
        <v>8761</v>
      </c>
      <c r="L25" s="674" t="s">
        <v>8700</v>
      </c>
      <c r="M25" s="674"/>
      <c r="N25" s="674"/>
    </row>
    <row r="26" spans="1:14">
      <c r="A26" s="1067"/>
      <c r="B26" s="674" t="s">
        <v>2875</v>
      </c>
      <c r="C26" s="674" t="s">
        <v>8762</v>
      </c>
      <c r="D26" s="674" t="s">
        <v>8696</v>
      </c>
      <c r="E26" s="674" t="s">
        <v>8696</v>
      </c>
      <c r="F26" s="674" t="s">
        <v>8763</v>
      </c>
      <c r="G26" s="675"/>
      <c r="H26" s="675">
        <v>36656</v>
      </c>
      <c r="I26" s="675"/>
      <c r="J26" s="675">
        <v>36656</v>
      </c>
      <c r="K26" s="674" t="s">
        <v>8764</v>
      </c>
      <c r="L26" s="674" t="s">
        <v>8700</v>
      </c>
      <c r="M26" s="674"/>
      <c r="N26" s="674"/>
    </row>
    <row r="27" spans="1:14">
      <c r="A27" s="1067"/>
      <c r="B27" s="674" t="s">
        <v>2875</v>
      </c>
      <c r="C27" s="674" t="s">
        <v>8765</v>
      </c>
      <c r="D27" s="674" t="s">
        <v>8696</v>
      </c>
      <c r="E27" s="674" t="s">
        <v>8731</v>
      </c>
      <c r="F27" s="674" t="s">
        <v>8766</v>
      </c>
      <c r="G27" s="675"/>
      <c r="H27" s="675">
        <v>0</v>
      </c>
      <c r="I27" s="675"/>
      <c r="J27" s="675">
        <v>0</v>
      </c>
      <c r="K27" s="674" t="s">
        <v>8767</v>
      </c>
      <c r="L27" s="674" t="s">
        <v>8700</v>
      </c>
      <c r="M27" s="674"/>
      <c r="N27" s="674"/>
    </row>
    <row r="28" spans="1:14">
      <c r="A28" s="1067"/>
      <c r="B28" s="674" t="s">
        <v>2875</v>
      </c>
      <c r="C28" s="674" t="s">
        <v>8768</v>
      </c>
      <c r="D28" s="674" t="s">
        <v>8696</v>
      </c>
      <c r="E28" s="674" t="s">
        <v>8769</v>
      </c>
      <c r="F28" s="674"/>
      <c r="G28" s="675"/>
      <c r="H28" s="675">
        <v>23789.360000000001</v>
      </c>
      <c r="I28" s="675"/>
      <c r="J28" s="675">
        <v>19031.490000000002</v>
      </c>
      <c r="K28" s="674" t="s">
        <v>8770</v>
      </c>
      <c r="L28" s="674" t="s">
        <v>8700</v>
      </c>
      <c r="M28" s="674"/>
      <c r="N28" s="674"/>
    </row>
    <row r="29" spans="1:14">
      <c r="A29" s="1067"/>
      <c r="B29" s="674" t="s">
        <v>2875</v>
      </c>
      <c r="C29" s="674" t="s">
        <v>8771</v>
      </c>
      <c r="D29" s="674" t="s">
        <v>8696</v>
      </c>
      <c r="E29" s="674" t="s">
        <v>8731</v>
      </c>
      <c r="F29" s="674"/>
      <c r="G29" s="675"/>
      <c r="H29" s="675">
        <v>31463.09</v>
      </c>
      <c r="I29" s="675"/>
      <c r="J29" s="675">
        <v>31463.09</v>
      </c>
      <c r="K29" s="674" t="s">
        <v>8772</v>
      </c>
      <c r="L29" s="674" t="s">
        <v>8700</v>
      </c>
      <c r="M29" s="674"/>
      <c r="N29" s="674"/>
    </row>
    <row r="30" spans="1:14">
      <c r="A30" s="672" t="s">
        <v>8773</v>
      </c>
      <c r="B30" s="672"/>
      <c r="C30" s="672"/>
      <c r="D30" s="672"/>
      <c r="E30" s="672"/>
      <c r="F30" s="676"/>
      <c r="G30" s="677">
        <f>+SUM(G6:G29)</f>
        <v>0</v>
      </c>
      <c r="H30" s="677">
        <f t="shared" ref="H30:J30" si="0">+SUM(H6:H29)</f>
        <v>11865774.889999999</v>
      </c>
      <c r="I30" s="677">
        <f t="shared" si="0"/>
        <v>0</v>
      </c>
      <c r="J30" s="677">
        <f t="shared" si="0"/>
        <v>10810538.130000001</v>
      </c>
      <c r="K30" s="673"/>
      <c r="L30" s="673"/>
      <c r="M30" s="673"/>
      <c r="N30" s="673"/>
    </row>
    <row r="31" spans="1:14">
      <c r="A31" s="1066" t="s">
        <v>1563</v>
      </c>
      <c r="B31" s="678">
        <v>44929</v>
      </c>
      <c r="C31" s="670" t="s">
        <v>8774</v>
      </c>
      <c r="D31" s="670" t="s">
        <v>2077</v>
      </c>
      <c r="E31" s="738" t="s">
        <v>1599</v>
      </c>
      <c r="F31" s="670" t="s">
        <v>8775</v>
      </c>
      <c r="G31" s="671" t="s">
        <v>529</v>
      </c>
      <c r="H31" s="671" t="s">
        <v>529</v>
      </c>
      <c r="I31" s="671"/>
      <c r="J31" s="671">
        <v>59309.51</v>
      </c>
      <c r="K31" s="670"/>
      <c r="L31" s="670" t="s">
        <v>8776</v>
      </c>
      <c r="M31" s="670" t="s">
        <v>8777</v>
      </c>
      <c r="N31" s="670" t="s">
        <v>8776</v>
      </c>
    </row>
    <row r="32" spans="1:14">
      <c r="A32" s="1066"/>
      <c r="B32" s="678">
        <v>44933</v>
      </c>
      <c r="C32" s="670" t="s">
        <v>8774</v>
      </c>
      <c r="D32" s="670" t="s">
        <v>2077</v>
      </c>
      <c r="E32" s="738" t="s">
        <v>1599</v>
      </c>
      <c r="F32" s="670" t="s">
        <v>8775</v>
      </c>
      <c r="G32" s="671" t="s">
        <v>529</v>
      </c>
      <c r="H32" s="671" t="s">
        <v>529</v>
      </c>
      <c r="I32" s="671"/>
      <c r="J32" s="671">
        <v>119824.54</v>
      </c>
      <c r="K32" s="670"/>
      <c r="L32" s="670" t="s">
        <v>8776</v>
      </c>
      <c r="M32" s="670" t="s">
        <v>8777</v>
      </c>
      <c r="N32" s="670" t="s">
        <v>8776</v>
      </c>
    </row>
    <row r="33" spans="1:14">
      <c r="A33" s="1066"/>
      <c r="B33" s="678">
        <v>44933</v>
      </c>
      <c r="C33" s="670" t="s">
        <v>8774</v>
      </c>
      <c r="D33" s="670" t="s">
        <v>2077</v>
      </c>
      <c r="E33" s="738" t="s">
        <v>1599</v>
      </c>
      <c r="F33" s="670" t="s">
        <v>8775</v>
      </c>
      <c r="G33" s="671" t="s">
        <v>529</v>
      </c>
      <c r="H33" s="671" t="s">
        <v>529</v>
      </c>
      <c r="I33" s="671"/>
      <c r="J33" s="671">
        <v>112712.93</v>
      </c>
      <c r="K33" s="670"/>
      <c r="L33" s="670" t="s">
        <v>8776</v>
      </c>
      <c r="M33" s="670" t="s">
        <v>8777</v>
      </c>
      <c r="N33" s="670" t="s">
        <v>8776</v>
      </c>
    </row>
    <row r="34" spans="1:14">
      <c r="A34" s="1066"/>
      <c r="B34" s="678">
        <v>44949</v>
      </c>
      <c r="C34" s="670" t="s">
        <v>8774</v>
      </c>
      <c r="D34" s="670" t="s">
        <v>2077</v>
      </c>
      <c r="E34" s="738" t="s">
        <v>1599</v>
      </c>
      <c r="F34" s="670" t="s">
        <v>8775</v>
      </c>
      <c r="G34" s="671" t="s">
        <v>529</v>
      </c>
      <c r="H34" s="671" t="s">
        <v>529</v>
      </c>
      <c r="I34" s="671"/>
      <c r="J34" s="671">
        <v>41062.32</v>
      </c>
      <c r="K34" s="670"/>
      <c r="L34" s="670" t="s">
        <v>8776</v>
      </c>
      <c r="M34" s="670" t="s">
        <v>8777</v>
      </c>
      <c r="N34" s="670" t="s">
        <v>8776</v>
      </c>
    </row>
    <row r="35" spans="1:14">
      <c r="A35" s="1066"/>
      <c r="B35" s="678">
        <v>45002</v>
      </c>
      <c r="C35" s="670" t="s">
        <v>8774</v>
      </c>
      <c r="D35" s="670" t="s">
        <v>2077</v>
      </c>
      <c r="E35" s="738" t="s">
        <v>1599</v>
      </c>
      <c r="F35" s="670" t="s">
        <v>8775</v>
      </c>
      <c r="G35" s="671" t="s">
        <v>529</v>
      </c>
      <c r="H35" s="671" t="s">
        <v>529</v>
      </c>
      <c r="I35" s="671"/>
      <c r="J35" s="671">
        <v>896828.74</v>
      </c>
      <c r="K35" s="670"/>
      <c r="L35" s="670" t="s">
        <v>8776</v>
      </c>
      <c r="M35" s="670" t="s">
        <v>8777</v>
      </c>
      <c r="N35" s="670" t="s">
        <v>8776</v>
      </c>
    </row>
    <row r="36" spans="1:14">
      <c r="A36" s="1066"/>
      <c r="B36" s="678">
        <v>45013</v>
      </c>
      <c r="C36" s="670" t="s">
        <v>8774</v>
      </c>
      <c r="D36" s="670" t="s">
        <v>2077</v>
      </c>
      <c r="E36" s="738" t="s">
        <v>1599</v>
      </c>
      <c r="F36" s="670" t="s">
        <v>8775</v>
      </c>
      <c r="G36" s="671" t="s">
        <v>529</v>
      </c>
      <c r="H36" s="671" t="s">
        <v>529</v>
      </c>
      <c r="I36" s="671"/>
      <c r="J36" s="671">
        <v>126543.64</v>
      </c>
      <c r="K36" s="670"/>
      <c r="L36" s="670" t="s">
        <v>8776</v>
      </c>
      <c r="M36" s="670" t="s">
        <v>8777</v>
      </c>
      <c r="N36" s="670" t="s">
        <v>8776</v>
      </c>
    </row>
    <row r="37" spans="1:14">
      <c r="A37" s="1066"/>
      <c r="B37" s="678">
        <v>45016</v>
      </c>
      <c r="C37" s="670" t="s">
        <v>8774</v>
      </c>
      <c r="D37" s="670" t="s">
        <v>2077</v>
      </c>
      <c r="E37" s="738" t="s">
        <v>1599</v>
      </c>
      <c r="F37" s="670" t="s">
        <v>8775</v>
      </c>
      <c r="G37" s="671" t="s">
        <v>529</v>
      </c>
      <c r="H37" s="671" t="s">
        <v>529</v>
      </c>
      <c r="I37" s="671"/>
      <c r="J37" s="671">
        <v>123902.09</v>
      </c>
      <c r="K37" s="670"/>
      <c r="L37" s="670" t="s">
        <v>8776</v>
      </c>
      <c r="M37" s="670" t="s">
        <v>8777</v>
      </c>
      <c r="N37" s="670" t="s">
        <v>8776</v>
      </c>
    </row>
    <row r="38" spans="1:14">
      <c r="A38" s="1066"/>
      <c r="B38" s="678">
        <v>45019</v>
      </c>
      <c r="C38" s="670" t="s">
        <v>8774</v>
      </c>
      <c r="D38" s="670" t="s">
        <v>2077</v>
      </c>
      <c r="E38" s="738" t="s">
        <v>1599</v>
      </c>
      <c r="F38" s="670" t="s">
        <v>8775</v>
      </c>
      <c r="G38" s="671" t="s">
        <v>529</v>
      </c>
      <c r="H38" s="671" t="s">
        <v>529</v>
      </c>
      <c r="I38" s="671"/>
      <c r="J38" s="671">
        <v>8535.93</v>
      </c>
      <c r="K38" s="670"/>
      <c r="L38" s="670" t="s">
        <v>8776</v>
      </c>
      <c r="M38" s="670" t="s">
        <v>8777</v>
      </c>
      <c r="N38" s="670" t="s">
        <v>8776</v>
      </c>
    </row>
    <row r="39" spans="1:14">
      <c r="A39" s="1066"/>
      <c r="B39" s="678">
        <v>45021</v>
      </c>
      <c r="C39" s="670" t="s">
        <v>8774</v>
      </c>
      <c r="D39" s="670" t="s">
        <v>2077</v>
      </c>
      <c r="E39" s="738" t="s">
        <v>1599</v>
      </c>
      <c r="F39" s="670" t="s">
        <v>8775</v>
      </c>
      <c r="G39" s="671" t="s">
        <v>529</v>
      </c>
      <c r="H39" s="671" t="s">
        <v>529</v>
      </c>
      <c r="I39" s="671"/>
      <c r="J39" s="671">
        <v>163793.04</v>
      </c>
      <c r="K39" s="670"/>
      <c r="L39" s="670" t="s">
        <v>8776</v>
      </c>
      <c r="M39" s="670" t="s">
        <v>8777</v>
      </c>
      <c r="N39" s="670" t="s">
        <v>8776</v>
      </c>
    </row>
    <row r="40" spans="1:14">
      <c r="A40" s="1066"/>
      <c r="B40" s="678">
        <v>45037</v>
      </c>
      <c r="C40" s="670" t="s">
        <v>8774</v>
      </c>
      <c r="D40" s="670" t="s">
        <v>2077</v>
      </c>
      <c r="E40" s="738" t="s">
        <v>1599</v>
      </c>
      <c r="F40" s="670" t="s">
        <v>8775</v>
      </c>
      <c r="G40" s="671" t="s">
        <v>529</v>
      </c>
      <c r="H40" s="671" t="s">
        <v>529</v>
      </c>
      <c r="I40" s="671"/>
      <c r="J40" s="671">
        <v>31542.46</v>
      </c>
      <c r="K40" s="670"/>
      <c r="L40" s="670" t="s">
        <v>8776</v>
      </c>
      <c r="M40" s="670" t="s">
        <v>8777</v>
      </c>
      <c r="N40" s="670" t="s">
        <v>8776</v>
      </c>
    </row>
    <row r="41" spans="1:14">
      <c r="A41" s="1066"/>
      <c r="B41" s="678">
        <v>45044</v>
      </c>
      <c r="C41" s="670" t="s">
        <v>8774</v>
      </c>
      <c r="D41" s="670" t="s">
        <v>2077</v>
      </c>
      <c r="E41" s="738" t="s">
        <v>1599</v>
      </c>
      <c r="F41" s="670" t="s">
        <v>8775</v>
      </c>
      <c r="G41" s="671" t="s">
        <v>529</v>
      </c>
      <c r="H41" s="671" t="s">
        <v>529</v>
      </c>
      <c r="I41" s="671"/>
      <c r="J41" s="671">
        <v>74006.25</v>
      </c>
      <c r="K41" s="670"/>
      <c r="L41" s="670" t="s">
        <v>8776</v>
      </c>
      <c r="M41" s="670" t="s">
        <v>8777</v>
      </c>
      <c r="N41" s="670" t="s">
        <v>8776</v>
      </c>
    </row>
    <row r="42" spans="1:14">
      <c r="A42" s="1066"/>
      <c r="B42" s="678">
        <v>45048</v>
      </c>
      <c r="C42" s="670" t="s">
        <v>8774</v>
      </c>
      <c r="D42" s="670" t="s">
        <v>2077</v>
      </c>
      <c r="E42" s="738" t="s">
        <v>1599</v>
      </c>
      <c r="F42" s="670" t="s">
        <v>8775</v>
      </c>
      <c r="G42" s="671" t="s">
        <v>529</v>
      </c>
      <c r="H42" s="671" t="s">
        <v>529</v>
      </c>
      <c r="I42" s="671"/>
      <c r="J42" s="671">
        <v>78649.56</v>
      </c>
      <c r="K42" s="670"/>
      <c r="L42" s="670" t="s">
        <v>8776</v>
      </c>
      <c r="M42" s="670" t="s">
        <v>8777</v>
      </c>
      <c r="N42" s="670" t="s">
        <v>8776</v>
      </c>
    </row>
    <row r="43" spans="1:14">
      <c r="A43" s="1066"/>
      <c r="B43" s="678">
        <v>45054</v>
      </c>
      <c r="C43" s="670" t="s">
        <v>8774</v>
      </c>
      <c r="D43" s="670" t="s">
        <v>2077</v>
      </c>
      <c r="E43" s="738" t="s">
        <v>1599</v>
      </c>
      <c r="F43" s="670" t="s">
        <v>8775</v>
      </c>
      <c r="G43" s="671" t="s">
        <v>529</v>
      </c>
      <c r="H43" s="671" t="s">
        <v>529</v>
      </c>
      <c r="I43" s="671"/>
      <c r="J43" s="671">
        <v>153524</v>
      </c>
      <c r="K43" s="670"/>
      <c r="L43" s="670" t="s">
        <v>8776</v>
      </c>
      <c r="M43" s="670" t="s">
        <v>8777</v>
      </c>
      <c r="N43" s="670" t="s">
        <v>8776</v>
      </c>
    </row>
    <row r="44" spans="1:14">
      <c r="A44" s="1066"/>
      <c r="B44" s="678">
        <v>45065</v>
      </c>
      <c r="C44" s="670" t="s">
        <v>8774</v>
      </c>
      <c r="D44" s="670" t="s">
        <v>2077</v>
      </c>
      <c r="E44" s="738" t="s">
        <v>1599</v>
      </c>
      <c r="F44" s="670" t="s">
        <v>8775</v>
      </c>
      <c r="G44" s="671" t="s">
        <v>529</v>
      </c>
      <c r="H44" s="671" t="s">
        <v>529</v>
      </c>
      <c r="I44" s="671"/>
      <c r="J44" s="671">
        <v>18115.38</v>
      </c>
      <c r="K44" s="670"/>
      <c r="L44" s="670" t="s">
        <v>8776</v>
      </c>
      <c r="M44" s="670" t="s">
        <v>8777</v>
      </c>
      <c r="N44" s="670" t="s">
        <v>8776</v>
      </c>
    </row>
    <row r="45" spans="1:14">
      <c r="A45" s="1066"/>
      <c r="B45" s="678">
        <v>45069</v>
      </c>
      <c r="C45" s="670" t="s">
        <v>8774</v>
      </c>
      <c r="D45" s="670" t="s">
        <v>2077</v>
      </c>
      <c r="E45" s="738" t="s">
        <v>1599</v>
      </c>
      <c r="F45" s="670" t="s">
        <v>8775</v>
      </c>
      <c r="G45" s="671" t="s">
        <v>529</v>
      </c>
      <c r="H45" s="671" t="s">
        <v>529</v>
      </c>
      <c r="I45" s="671"/>
      <c r="J45" s="671">
        <v>24395.33</v>
      </c>
      <c r="K45" s="670"/>
      <c r="L45" s="670" t="s">
        <v>8776</v>
      </c>
      <c r="M45" s="670" t="s">
        <v>8777</v>
      </c>
      <c r="N45" s="670" t="s">
        <v>8776</v>
      </c>
    </row>
    <row r="46" spans="1:14">
      <c r="A46" s="1066"/>
      <c r="B46" s="678">
        <v>45079</v>
      </c>
      <c r="C46" s="670" t="s">
        <v>8774</v>
      </c>
      <c r="D46" s="670" t="s">
        <v>2077</v>
      </c>
      <c r="E46" s="738" t="s">
        <v>1599</v>
      </c>
      <c r="F46" s="670" t="s">
        <v>8775</v>
      </c>
      <c r="G46" s="671" t="s">
        <v>529</v>
      </c>
      <c r="H46" s="671" t="s">
        <v>529</v>
      </c>
      <c r="I46" s="671"/>
      <c r="J46" s="671">
        <v>18274.75</v>
      </c>
      <c r="K46" s="670"/>
      <c r="L46" s="670" t="s">
        <v>8776</v>
      </c>
      <c r="M46" s="670" t="s">
        <v>8777</v>
      </c>
      <c r="N46" s="670" t="s">
        <v>8776</v>
      </c>
    </row>
    <row r="47" spans="1:14">
      <c r="A47" s="1066"/>
      <c r="B47" s="678">
        <v>45079</v>
      </c>
      <c r="C47" s="670" t="s">
        <v>8774</v>
      </c>
      <c r="D47" s="670" t="s">
        <v>2077</v>
      </c>
      <c r="E47" s="738" t="s">
        <v>1599</v>
      </c>
      <c r="F47" s="670" t="s">
        <v>8775</v>
      </c>
      <c r="G47" s="671" t="s">
        <v>529</v>
      </c>
      <c r="H47" s="671" t="s">
        <v>529</v>
      </c>
      <c r="I47" s="671"/>
      <c r="J47" s="671">
        <v>124652.74</v>
      </c>
      <c r="K47" s="670"/>
      <c r="L47" s="670" t="s">
        <v>8776</v>
      </c>
      <c r="M47" s="670" t="s">
        <v>8777</v>
      </c>
      <c r="N47" s="670" t="s">
        <v>8776</v>
      </c>
    </row>
    <row r="48" spans="1:14">
      <c r="A48" s="1066"/>
      <c r="B48" s="678">
        <v>45090</v>
      </c>
      <c r="C48" s="670" t="s">
        <v>8774</v>
      </c>
      <c r="D48" s="670" t="s">
        <v>2077</v>
      </c>
      <c r="E48" s="738" t="s">
        <v>1599</v>
      </c>
      <c r="F48" s="670" t="s">
        <v>8775</v>
      </c>
      <c r="G48" s="671" t="s">
        <v>529</v>
      </c>
      <c r="H48" s="671" t="s">
        <v>529</v>
      </c>
      <c r="I48" s="671"/>
      <c r="J48" s="671">
        <v>45932.67</v>
      </c>
      <c r="K48" s="670"/>
      <c r="L48" s="670" t="s">
        <v>8776</v>
      </c>
      <c r="M48" s="670" t="s">
        <v>8777</v>
      </c>
      <c r="N48" s="670" t="s">
        <v>8776</v>
      </c>
    </row>
    <row r="49" spans="1:14">
      <c r="A49" s="1066"/>
      <c r="B49" s="678">
        <v>45111</v>
      </c>
      <c r="C49" s="670" t="s">
        <v>8774</v>
      </c>
      <c r="D49" s="670" t="s">
        <v>2077</v>
      </c>
      <c r="E49" s="738" t="s">
        <v>1599</v>
      </c>
      <c r="F49" s="670" t="s">
        <v>8775</v>
      </c>
      <c r="G49" s="671" t="s">
        <v>529</v>
      </c>
      <c r="H49" s="671" t="s">
        <v>529</v>
      </c>
      <c r="I49" s="671"/>
      <c r="J49" s="671">
        <v>52024.93</v>
      </c>
      <c r="K49" s="670"/>
      <c r="L49" s="670" t="s">
        <v>8776</v>
      </c>
      <c r="M49" s="670" t="s">
        <v>8777</v>
      </c>
      <c r="N49" s="670" t="s">
        <v>8776</v>
      </c>
    </row>
    <row r="50" spans="1:14">
      <c r="A50" s="1066"/>
      <c r="B50" s="678">
        <v>45114</v>
      </c>
      <c r="C50" s="670" t="s">
        <v>8774</v>
      </c>
      <c r="D50" s="670" t="s">
        <v>2077</v>
      </c>
      <c r="E50" s="738" t="s">
        <v>1599</v>
      </c>
      <c r="F50" s="670" t="s">
        <v>8775</v>
      </c>
      <c r="G50" s="671" t="s">
        <v>529</v>
      </c>
      <c r="H50" s="671" t="s">
        <v>529</v>
      </c>
      <c r="I50" s="671"/>
      <c r="J50" s="671">
        <v>222318.62</v>
      </c>
      <c r="K50" s="670"/>
      <c r="L50" s="670" t="s">
        <v>8776</v>
      </c>
      <c r="M50" s="670" t="s">
        <v>8777</v>
      </c>
      <c r="N50" s="670" t="s">
        <v>8776</v>
      </c>
    </row>
    <row r="51" spans="1:14">
      <c r="A51" s="1066"/>
      <c r="B51" s="678">
        <v>45121</v>
      </c>
      <c r="C51" s="670" t="s">
        <v>8774</v>
      </c>
      <c r="D51" s="670" t="s">
        <v>2077</v>
      </c>
      <c r="E51" s="738" t="s">
        <v>1599</v>
      </c>
      <c r="F51" s="670" t="s">
        <v>8775</v>
      </c>
      <c r="G51" s="671" t="s">
        <v>529</v>
      </c>
      <c r="H51" s="671" t="s">
        <v>529</v>
      </c>
      <c r="I51" s="671"/>
      <c r="J51" s="671">
        <v>39063.74</v>
      </c>
      <c r="K51" s="670"/>
      <c r="L51" s="670" t="s">
        <v>8776</v>
      </c>
      <c r="M51" s="670" t="s">
        <v>8777</v>
      </c>
      <c r="N51" s="670" t="s">
        <v>8776</v>
      </c>
    </row>
    <row r="52" spans="1:14">
      <c r="A52" s="1066"/>
      <c r="B52" s="678">
        <v>45127</v>
      </c>
      <c r="C52" s="670" t="s">
        <v>8774</v>
      </c>
      <c r="D52" s="670" t="s">
        <v>2077</v>
      </c>
      <c r="E52" s="738" t="s">
        <v>1599</v>
      </c>
      <c r="F52" s="670" t="s">
        <v>8775</v>
      </c>
      <c r="G52" s="671" t="s">
        <v>529</v>
      </c>
      <c r="H52" s="671" t="s">
        <v>529</v>
      </c>
      <c r="I52" s="671"/>
      <c r="J52" s="671">
        <v>26237.32</v>
      </c>
      <c r="K52" s="670"/>
      <c r="L52" s="670" t="s">
        <v>8776</v>
      </c>
      <c r="M52" s="670" t="s">
        <v>8777</v>
      </c>
      <c r="N52" s="670" t="s">
        <v>8776</v>
      </c>
    </row>
    <row r="53" spans="1:14">
      <c r="A53" s="1066"/>
      <c r="B53" s="678">
        <v>45143</v>
      </c>
      <c r="C53" s="670" t="s">
        <v>8774</v>
      </c>
      <c r="D53" s="670" t="s">
        <v>2077</v>
      </c>
      <c r="E53" s="738" t="s">
        <v>1599</v>
      </c>
      <c r="F53" s="670" t="s">
        <v>8775</v>
      </c>
      <c r="G53" s="671" t="s">
        <v>529</v>
      </c>
      <c r="H53" s="671" t="s">
        <v>529</v>
      </c>
      <c r="I53" s="671"/>
      <c r="J53" s="671">
        <v>93827.19</v>
      </c>
      <c r="K53" s="670"/>
      <c r="L53" s="670" t="s">
        <v>8776</v>
      </c>
      <c r="M53" s="670" t="s">
        <v>8777</v>
      </c>
      <c r="N53" s="670" t="s">
        <v>8776</v>
      </c>
    </row>
    <row r="54" spans="1:14">
      <c r="A54" s="1066"/>
      <c r="B54" s="678">
        <v>45152</v>
      </c>
      <c r="C54" s="670" t="s">
        <v>8774</v>
      </c>
      <c r="D54" s="670" t="s">
        <v>2077</v>
      </c>
      <c r="E54" s="738" t="s">
        <v>1599</v>
      </c>
      <c r="F54" s="670" t="s">
        <v>8775</v>
      </c>
      <c r="G54" s="671" t="s">
        <v>529</v>
      </c>
      <c r="H54" s="671" t="s">
        <v>529</v>
      </c>
      <c r="I54" s="671"/>
      <c r="J54" s="671">
        <v>46772.72</v>
      </c>
      <c r="K54" s="670"/>
      <c r="L54" s="670" t="s">
        <v>8776</v>
      </c>
      <c r="M54" s="670" t="s">
        <v>8777</v>
      </c>
      <c r="N54" s="670" t="s">
        <v>8776</v>
      </c>
    </row>
    <row r="55" spans="1:14">
      <c r="A55" s="1066"/>
      <c r="B55" s="678">
        <v>45152</v>
      </c>
      <c r="C55" s="670" t="s">
        <v>8774</v>
      </c>
      <c r="D55" s="670" t="s">
        <v>2077</v>
      </c>
      <c r="E55" s="738" t="s">
        <v>1599</v>
      </c>
      <c r="F55" s="670" t="s">
        <v>8775</v>
      </c>
      <c r="G55" s="671" t="s">
        <v>529</v>
      </c>
      <c r="H55" s="671" t="s">
        <v>529</v>
      </c>
      <c r="I55" s="671"/>
      <c r="J55" s="671">
        <v>91946.86</v>
      </c>
      <c r="K55" s="670"/>
      <c r="L55" s="670" t="s">
        <v>8776</v>
      </c>
      <c r="M55" s="670" t="s">
        <v>8777</v>
      </c>
      <c r="N55" s="670" t="s">
        <v>8776</v>
      </c>
    </row>
    <row r="56" spans="1:14">
      <c r="A56" s="1066"/>
      <c r="B56" s="678">
        <v>45173</v>
      </c>
      <c r="C56" s="670" t="s">
        <v>8774</v>
      </c>
      <c r="D56" s="670" t="s">
        <v>2077</v>
      </c>
      <c r="E56" s="738" t="s">
        <v>1599</v>
      </c>
      <c r="F56" s="670" t="s">
        <v>8775</v>
      </c>
      <c r="G56" s="671" t="s">
        <v>529</v>
      </c>
      <c r="H56" s="671" t="s">
        <v>529</v>
      </c>
      <c r="I56" s="671"/>
      <c r="J56" s="671">
        <v>49275.13</v>
      </c>
      <c r="K56" s="670"/>
      <c r="L56" s="670" t="s">
        <v>8776</v>
      </c>
      <c r="M56" s="670" t="s">
        <v>8777</v>
      </c>
      <c r="N56" s="670" t="s">
        <v>8776</v>
      </c>
    </row>
    <row r="57" spans="1:14">
      <c r="A57" s="1066"/>
      <c r="B57" s="678">
        <v>45177</v>
      </c>
      <c r="C57" s="670" t="s">
        <v>8774</v>
      </c>
      <c r="D57" s="670" t="s">
        <v>2077</v>
      </c>
      <c r="E57" s="738" t="s">
        <v>1599</v>
      </c>
      <c r="F57" s="670" t="s">
        <v>8775</v>
      </c>
      <c r="G57" s="671" t="s">
        <v>529</v>
      </c>
      <c r="H57" s="671" t="s">
        <v>529</v>
      </c>
      <c r="I57" s="671"/>
      <c r="J57" s="671">
        <v>167560.57999999999</v>
      </c>
      <c r="K57" s="670"/>
      <c r="L57" s="670" t="s">
        <v>8776</v>
      </c>
      <c r="M57" s="670" t="s">
        <v>8777</v>
      </c>
      <c r="N57" s="670" t="s">
        <v>8776</v>
      </c>
    </row>
    <row r="58" spans="1:14">
      <c r="A58" s="1066"/>
      <c r="B58" s="678">
        <v>45184</v>
      </c>
      <c r="C58" s="670" t="s">
        <v>8774</v>
      </c>
      <c r="D58" s="670" t="s">
        <v>2077</v>
      </c>
      <c r="E58" s="738" t="s">
        <v>1599</v>
      </c>
      <c r="F58" s="670" t="s">
        <v>8775</v>
      </c>
      <c r="G58" s="671" t="s">
        <v>529</v>
      </c>
      <c r="H58" s="671" t="s">
        <v>529</v>
      </c>
      <c r="I58" s="671"/>
      <c r="J58" s="671">
        <v>23100.58</v>
      </c>
      <c r="K58" s="670"/>
      <c r="L58" s="670" t="s">
        <v>8776</v>
      </c>
      <c r="M58" s="670" t="s">
        <v>8777</v>
      </c>
      <c r="N58" s="670" t="s">
        <v>8776</v>
      </c>
    </row>
    <row r="59" spans="1:14">
      <c r="A59" s="1066"/>
      <c r="B59" s="678">
        <v>45198</v>
      </c>
      <c r="C59" s="670" t="s">
        <v>8774</v>
      </c>
      <c r="D59" s="670" t="s">
        <v>2077</v>
      </c>
      <c r="E59" s="738" t="s">
        <v>1599</v>
      </c>
      <c r="F59" s="670" t="s">
        <v>8775</v>
      </c>
      <c r="G59" s="671" t="s">
        <v>529</v>
      </c>
      <c r="H59" s="671" t="s">
        <v>529</v>
      </c>
      <c r="I59" s="671"/>
      <c r="J59" s="671">
        <v>89885.49</v>
      </c>
      <c r="K59" s="670"/>
      <c r="L59" s="670" t="s">
        <v>8776</v>
      </c>
      <c r="M59" s="670" t="s">
        <v>8777</v>
      </c>
      <c r="N59" s="670" t="s">
        <v>8776</v>
      </c>
    </row>
    <row r="60" spans="1:14">
      <c r="A60" s="1066"/>
      <c r="B60" s="678">
        <v>45219</v>
      </c>
      <c r="C60" s="670" t="s">
        <v>8774</v>
      </c>
      <c r="D60" s="670" t="s">
        <v>2077</v>
      </c>
      <c r="E60" s="738" t="s">
        <v>1599</v>
      </c>
      <c r="F60" s="670" t="s">
        <v>8775</v>
      </c>
      <c r="G60" s="671" t="s">
        <v>529</v>
      </c>
      <c r="H60" s="671" t="s">
        <v>529</v>
      </c>
      <c r="I60" s="671"/>
      <c r="J60" s="671">
        <v>27565.67</v>
      </c>
      <c r="K60" s="670"/>
      <c r="L60" s="670" t="s">
        <v>8776</v>
      </c>
      <c r="M60" s="670" t="s">
        <v>8777</v>
      </c>
      <c r="N60" s="670" t="s">
        <v>8776</v>
      </c>
    </row>
    <row r="61" spans="1:14">
      <c r="A61" s="1066"/>
      <c r="B61" s="678">
        <v>45236</v>
      </c>
      <c r="C61" s="670" t="s">
        <v>8774</v>
      </c>
      <c r="D61" s="670" t="s">
        <v>2077</v>
      </c>
      <c r="E61" s="738" t="s">
        <v>1599</v>
      </c>
      <c r="F61" s="670" t="s">
        <v>8775</v>
      </c>
      <c r="G61" s="671" t="s">
        <v>529</v>
      </c>
      <c r="H61" s="671" t="s">
        <v>529</v>
      </c>
      <c r="I61" s="671"/>
      <c r="J61" s="671">
        <v>66220.960000000006</v>
      </c>
      <c r="K61" s="670"/>
      <c r="L61" s="670" t="s">
        <v>8776</v>
      </c>
      <c r="M61" s="670" t="s">
        <v>8777</v>
      </c>
      <c r="N61" s="670" t="s">
        <v>8776</v>
      </c>
    </row>
    <row r="62" spans="1:14">
      <c r="A62" s="1066"/>
      <c r="B62" s="678">
        <v>45239</v>
      </c>
      <c r="C62" s="670" t="s">
        <v>8774</v>
      </c>
      <c r="D62" s="670" t="s">
        <v>2077</v>
      </c>
      <c r="E62" s="738" t="s">
        <v>1599</v>
      </c>
      <c r="F62" s="670" t="s">
        <v>8775</v>
      </c>
      <c r="G62" s="671" t="s">
        <v>529</v>
      </c>
      <c r="H62" s="671" t="s">
        <v>529</v>
      </c>
      <c r="I62" s="671"/>
      <c r="J62" s="671">
        <v>1548.55</v>
      </c>
      <c r="K62" s="670"/>
      <c r="L62" s="670" t="s">
        <v>8776</v>
      </c>
      <c r="M62" s="670" t="s">
        <v>8777</v>
      </c>
      <c r="N62" s="670" t="s">
        <v>8776</v>
      </c>
    </row>
    <row r="63" spans="1:14">
      <c r="A63" s="1066"/>
      <c r="B63" s="678">
        <v>45240</v>
      </c>
      <c r="C63" s="670" t="s">
        <v>8774</v>
      </c>
      <c r="D63" s="670" t="s">
        <v>2077</v>
      </c>
      <c r="E63" s="738" t="s">
        <v>1599</v>
      </c>
      <c r="F63" s="670" t="s">
        <v>8775</v>
      </c>
      <c r="G63" s="671" t="s">
        <v>529</v>
      </c>
      <c r="H63" s="671" t="s">
        <v>529</v>
      </c>
      <c r="I63" s="671"/>
      <c r="J63" s="671">
        <v>113820.43</v>
      </c>
      <c r="K63" s="670"/>
      <c r="L63" s="670" t="s">
        <v>8776</v>
      </c>
      <c r="M63" s="670" t="s">
        <v>8777</v>
      </c>
      <c r="N63" s="670" t="s">
        <v>8776</v>
      </c>
    </row>
    <row r="64" spans="1:14">
      <c r="A64" s="1066"/>
      <c r="B64" s="678">
        <v>45240</v>
      </c>
      <c r="C64" s="670" t="s">
        <v>8774</v>
      </c>
      <c r="D64" s="670" t="s">
        <v>2077</v>
      </c>
      <c r="E64" s="738" t="s">
        <v>1599</v>
      </c>
      <c r="F64" s="670" t="s">
        <v>8775</v>
      </c>
      <c r="G64" s="671" t="s">
        <v>529</v>
      </c>
      <c r="H64" s="671" t="s">
        <v>529</v>
      </c>
      <c r="I64" s="671"/>
      <c r="J64" s="671">
        <v>117566.98</v>
      </c>
      <c r="K64" s="670"/>
      <c r="L64" s="670" t="s">
        <v>8776</v>
      </c>
      <c r="M64" s="670" t="s">
        <v>8777</v>
      </c>
      <c r="N64" s="670" t="s">
        <v>8776</v>
      </c>
    </row>
    <row r="65" spans="1:14">
      <c r="A65" s="1066"/>
      <c r="B65" s="678">
        <v>45257</v>
      </c>
      <c r="C65" s="670" t="s">
        <v>8774</v>
      </c>
      <c r="D65" s="670" t="s">
        <v>2077</v>
      </c>
      <c r="E65" s="738" t="s">
        <v>1599</v>
      </c>
      <c r="F65" s="670" t="s">
        <v>8775</v>
      </c>
      <c r="G65" s="671" t="s">
        <v>529</v>
      </c>
      <c r="H65" s="671" t="s">
        <v>529</v>
      </c>
      <c r="I65" s="671"/>
      <c r="J65" s="671">
        <v>69676.350000000006</v>
      </c>
      <c r="K65" s="670"/>
      <c r="L65" s="670" t="s">
        <v>8776</v>
      </c>
      <c r="M65" s="670" t="s">
        <v>8777</v>
      </c>
      <c r="N65" s="670" t="s">
        <v>8776</v>
      </c>
    </row>
    <row r="66" spans="1:14">
      <c r="A66" s="1066"/>
      <c r="B66" s="678">
        <v>45267</v>
      </c>
      <c r="C66" s="670" t="s">
        <v>8774</v>
      </c>
      <c r="D66" s="670" t="s">
        <v>2077</v>
      </c>
      <c r="E66" s="738" t="s">
        <v>1599</v>
      </c>
      <c r="F66" s="670" t="s">
        <v>8775</v>
      </c>
      <c r="G66" s="671" t="s">
        <v>529</v>
      </c>
      <c r="H66" s="671" t="s">
        <v>529</v>
      </c>
      <c r="I66" s="671"/>
      <c r="J66" s="671">
        <v>150184.99</v>
      </c>
      <c r="K66" s="670"/>
      <c r="L66" s="670" t="s">
        <v>8776</v>
      </c>
      <c r="M66" s="670" t="s">
        <v>8777</v>
      </c>
      <c r="N66" s="670" t="s">
        <v>8776</v>
      </c>
    </row>
    <row r="67" spans="1:14">
      <c r="A67" s="1066"/>
      <c r="B67" s="678">
        <v>45267</v>
      </c>
      <c r="C67" s="670" t="s">
        <v>8774</v>
      </c>
      <c r="D67" s="670" t="s">
        <v>2077</v>
      </c>
      <c r="E67" s="738" t="s">
        <v>1599</v>
      </c>
      <c r="F67" s="670" t="s">
        <v>8775</v>
      </c>
      <c r="G67" s="671" t="s">
        <v>529</v>
      </c>
      <c r="H67" s="671" t="s">
        <v>529</v>
      </c>
      <c r="I67" s="671"/>
      <c r="J67" s="671">
        <v>91343</v>
      </c>
      <c r="K67" s="670"/>
      <c r="L67" s="670" t="s">
        <v>8776</v>
      </c>
      <c r="M67" s="670" t="s">
        <v>8777</v>
      </c>
      <c r="N67" s="670" t="s">
        <v>8776</v>
      </c>
    </row>
    <row r="68" spans="1:14">
      <c r="A68" s="1066"/>
      <c r="B68" s="678">
        <v>45273</v>
      </c>
      <c r="C68" s="670" t="s">
        <v>8774</v>
      </c>
      <c r="D68" s="670" t="s">
        <v>2077</v>
      </c>
      <c r="E68" s="738" t="s">
        <v>1599</v>
      </c>
      <c r="F68" s="670" t="s">
        <v>8775</v>
      </c>
      <c r="G68" s="671" t="s">
        <v>529</v>
      </c>
      <c r="H68" s="671" t="s">
        <v>529</v>
      </c>
      <c r="I68" s="671"/>
      <c r="J68" s="671">
        <v>40234.17</v>
      </c>
      <c r="K68" s="670"/>
      <c r="L68" s="670" t="s">
        <v>8776</v>
      </c>
      <c r="M68" s="670" t="s">
        <v>8777</v>
      </c>
      <c r="N68" s="670" t="s">
        <v>8776</v>
      </c>
    </row>
    <row r="69" spans="1:14">
      <c r="A69" s="1066"/>
      <c r="B69" s="678">
        <v>45282</v>
      </c>
      <c r="C69" s="670" t="s">
        <v>8774</v>
      </c>
      <c r="D69" s="670" t="s">
        <v>2077</v>
      </c>
      <c r="E69" s="738" t="s">
        <v>1599</v>
      </c>
      <c r="F69" s="670" t="s">
        <v>8775</v>
      </c>
      <c r="G69" s="671" t="s">
        <v>529</v>
      </c>
      <c r="H69" s="671" t="s">
        <v>529</v>
      </c>
      <c r="I69" s="671"/>
      <c r="J69" s="671">
        <v>287619.76</v>
      </c>
      <c r="K69" s="670"/>
      <c r="L69" s="670" t="s">
        <v>8776</v>
      </c>
      <c r="M69" s="670" t="s">
        <v>8777</v>
      </c>
      <c r="N69" s="670" t="s">
        <v>8776</v>
      </c>
    </row>
    <row r="70" spans="1:14">
      <c r="A70" s="1066"/>
      <c r="B70" s="678">
        <v>45288</v>
      </c>
      <c r="C70" s="670" t="s">
        <v>8774</v>
      </c>
      <c r="D70" s="670" t="s">
        <v>2077</v>
      </c>
      <c r="E70" s="738" t="s">
        <v>1599</v>
      </c>
      <c r="F70" s="670" t="s">
        <v>8775</v>
      </c>
      <c r="G70" s="671" t="s">
        <v>529</v>
      </c>
      <c r="H70" s="671" t="s">
        <v>529</v>
      </c>
      <c r="I70" s="671"/>
      <c r="J70" s="671">
        <v>50765.65</v>
      </c>
      <c r="K70" s="670"/>
      <c r="L70" s="670" t="s">
        <v>8776</v>
      </c>
      <c r="M70" s="670" t="s">
        <v>8777</v>
      </c>
      <c r="N70" s="670" t="s">
        <v>8776</v>
      </c>
    </row>
    <row r="71" spans="1:14">
      <c r="A71" s="1066"/>
      <c r="B71" s="678">
        <v>45288</v>
      </c>
      <c r="C71" s="670" t="s">
        <v>8774</v>
      </c>
      <c r="D71" s="670" t="s">
        <v>2077</v>
      </c>
      <c r="E71" s="738" t="s">
        <v>1599</v>
      </c>
      <c r="F71" s="670" t="s">
        <v>8775</v>
      </c>
      <c r="G71" s="671" t="s">
        <v>529</v>
      </c>
      <c r="H71" s="671" t="s">
        <v>529</v>
      </c>
      <c r="I71" s="671"/>
      <c r="J71" s="671">
        <v>35836.730000000003</v>
      </c>
      <c r="K71" s="670"/>
      <c r="L71" s="670" t="s">
        <v>8776</v>
      </c>
      <c r="M71" s="670" t="s">
        <v>8777</v>
      </c>
      <c r="N71" s="670" t="s">
        <v>8776</v>
      </c>
    </row>
    <row r="72" spans="1:14">
      <c r="A72" s="1066"/>
      <c r="B72" s="678">
        <v>44929</v>
      </c>
      <c r="C72" s="670" t="s">
        <v>8778</v>
      </c>
      <c r="D72" s="670" t="s">
        <v>2077</v>
      </c>
      <c r="E72" s="738" t="s">
        <v>8255</v>
      </c>
      <c r="F72" s="670" t="s">
        <v>8779</v>
      </c>
      <c r="G72" s="671" t="s">
        <v>529</v>
      </c>
      <c r="H72" s="671" t="s">
        <v>529</v>
      </c>
      <c r="I72" s="671"/>
      <c r="J72" s="671">
        <v>39539.67</v>
      </c>
      <c r="K72" s="670"/>
      <c r="L72" s="670" t="s">
        <v>8776</v>
      </c>
      <c r="M72" s="670" t="s">
        <v>8780</v>
      </c>
      <c r="N72" s="670" t="s">
        <v>8776</v>
      </c>
    </row>
    <row r="73" spans="1:14">
      <c r="A73" s="1066"/>
      <c r="B73" s="678">
        <v>44932</v>
      </c>
      <c r="C73" s="670" t="s">
        <v>8778</v>
      </c>
      <c r="D73" s="670" t="s">
        <v>2077</v>
      </c>
      <c r="E73" s="738" t="s">
        <v>8255</v>
      </c>
      <c r="F73" s="670" t="s">
        <v>8779</v>
      </c>
      <c r="G73" s="671" t="s">
        <v>529</v>
      </c>
      <c r="H73" s="671" t="s">
        <v>529</v>
      </c>
      <c r="I73" s="671"/>
      <c r="J73" s="671">
        <v>79883.02</v>
      </c>
      <c r="K73" s="670"/>
      <c r="L73" s="670" t="s">
        <v>8776</v>
      </c>
      <c r="M73" s="670" t="s">
        <v>8780</v>
      </c>
      <c r="N73" s="670" t="s">
        <v>8776</v>
      </c>
    </row>
    <row r="74" spans="1:14">
      <c r="A74" s="1066"/>
      <c r="B74" s="678">
        <v>44933</v>
      </c>
      <c r="C74" s="670" t="s">
        <v>8778</v>
      </c>
      <c r="D74" s="670" t="s">
        <v>2077</v>
      </c>
      <c r="E74" s="738" t="s">
        <v>8255</v>
      </c>
      <c r="F74" s="670" t="s">
        <v>8779</v>
      </c>
      <c r="G74" s="671" t="s">
        <v>529</v>
      </c>
      <c r="H74" s="671" t="s">
        <v>529</v>
      </c>
      <c r="I74" s="671"/>
      <c r="J74" s="671">
        <v>75141.95</v>
      </c>
      <c r="K74" s="670"/>
      <c r="L74" s="670" t="s">
        <v>8776</v>
      </c>
      <c r="M74" s="670" t="s">
        <v>8780</v>
      </c>
      <c r="N74" s="670" t="s">
        <v>8776</v>
      </c>
    </row>
    <row r="75" spans="1:14">
      <c r="A75" s="1066"/>
      <c r="B75" s="678">
        <v>44949</v>
      </c>
      <c r="C75" s="670" t="s">
        <v>8778</v>
      </c>
      <c r="D75" s="670" t="s">
        <v>2077</v>
      </c>
      <c r="E75" s="738" t="s">
        <v>8255</v>
      </c>
      <c r="F75" s="670" t="s">
        <v>8779</v>
      </c>
      <c r="G75" s="671" t="s">
        <v>529</v>
      </c>
      <c r="H75" s="671" t="s">
        <v>529</v>
      </c>
      <c r="I75" s="671"/>
      <c r="J75" s="671">
        <v>27374.880000000001</v>
      </c>
      <c r="K75" s="670"/>
      <c r="L75" s="670" t="s">
        <v>8776</v>
      </c>
      <c r="M75" s="670" t="s">
        <v>8780</v>
      </c>
      <c r="N75" s="670" t="s">
        <v>8776</v>
      </c>
    </row>
    <row r="76" spans="1:14">
      <c r="A76" s="1066"/>
      <c r="B76" s="678">
        <v>45002</v>
      </c>
      <c r="C76" s="670" t="s">
        <v>8778</v>
      </c>
      <c r="D76" s="670" t="s">
        <v>2077</v>
      </c>
      <c r="E76" s="738" t="s">
        <v>8255</v>
      </c>
      <c r="F76" s="670" t="s">
        <v>8779</v>
      </c>
      <c r="G76" s="671" t="s">
        <v>529</v>
      </c>
      <c r="H76" s="671" t="s">
        <v>529</v>
      </c>
      <c r="I76" s="671"/>
      <c r="J76" s="671">
        <v>896828.74</v>
      </c>
      <c r="K76" s="670"/>
      <c r="L76" s="670" t="s">
        <v>8776</v>
      </c>
      <c r="M76" s="670" t="s">
        <v>8780</v>
      </c>
      <c r="N76" s="670" t="s">
        <v>8776</v>
      </c>
    </row>
    <row r="77" spans="1:14">
      <c r="A77" s="1066"/>
      <c r="B77" s="678">
        <v>45013</v>
      </c>
      <c r="C77" s="670" t="s">
        <v>8778</v>
      </c>
      <c r="D77" s="670" t="s">
        <v>2077</v>
      </c>
      <c r="E77" s="738" t="s">
        <v>8255</v>
      </c>
      <c r="F77" s="670" t="s">
        <v>8779</v>
      </c>
      <c r="G77" s="671" t="s">
        <v>529</v>
      </c>
      <c r="H77" s="671" t="s">
        <v>529</v>
      </c>
      <c r="I77" s="671"/>
      <c r="J77" s="671">
        <v>126543.43</v>
      </c>
      <c r="K77" s="670"/>
      <c r="L77" s="670" t="s">
        <v>8776</v>
      </c>
      <c r="M77" s="670" t="s">
        <v>8780</v>
      </c>
      <c r="N77" s="670" t="s">
        <v>8776</v>
      </c>
    </row>
    <row r="78" spans="1:14">
      <c r="A78" s="1066"/>
      <c r="B78" s="678">
        <v>45016</v>
      </c>
      <c r="C78" s="670" t="s">
        <v>8778</v>
      </c>
      <c r="D78" s="670" t="s">
        <v>2077</v>
      </c>
      <c r="E78" s="738" t="s">
        <v>8255</v>
      </c>
      <c r="F78" s="670" t="s">
        <v>8779</v>
      </c>
      <c r="G78" s="671" t="s">
        <v>529</v>
      </c>
      <c r="H78" s="671" t="s">
        <v>529</v>
      </c>
      <c r="I78" s="671"/>
      <c r="J78" s="671">
        <v>123902.09</v>
      </c>
      <c r="K78" s="670"/>
      <c r="L78" s="670" t="s">
        <v>8776</v>
      </c>
      <c r="M78" s="670" t="s">
        <v>8780</v>
      </c>
      <c r="N78" s="670" t="s">
        <v>8776</v>
      </c>
    </row>
    <row r="79" spans="1:14">
      <c r="A79" s="1066"/>
      <c r="B79" s="678">
        <v>45019</v>
      </c>
      <c r="C79" s="670" t="s">
        <v>8778</v>
      </c>
      <c r="D79" s="670" t="s">
        <v>2077</v>
      </c>
      <c r="E79" s="738" t="s">
        <v>8255</v>
      </c>
      <c r="F79" s="670" t="s">
        <v>8779</v>
      </c>
      <c r="G79" s="671" t="s">
        <v>529</v>
      </c>
      <c r="H79" s="671" t="s">
        <v>529</v>
      </c>
      <c r="I79" s="671"/>
      <c r="J79" s="671">
        <v>8535.93</v>
      </c>
      <c r="K79" s="670"/>
      <c r="L79" s="670" t="s">
        <v>8776</v>
      </c>
      <c r="M79" s="670" t="s">
        <v>8780</v>
      </c>
      <c r="N79" s="670" t="s">
        <v>8776</v>
      </c>
    </row>
    <row r="80" spans="1:14">
      <c r="A80" s="1066"/>
      <c r="B80" s="678">
        <v>45021</v>
      </c>
      <c r="C80" s="670" t="s">
        <v>8778</v>
      </c>
      <c r="D80" s="670" t="s">
        <v>2077</v>
      </c>
      <c r="E80" s="738" t="s">
        <v>8255</v>
      </c>
      <c r="F80" s="670" t="s">
        <v>8779</v>
      </c>
      <c r="G80" s="671" t="s">
        <v>529</v>
      </c>
      <c r="H80" s="671" t="s">
        <v>529</v>
      </c>
      <c r="I80" s="671"/>
      <c r="J80" s="671">
        <v>163793.04</v>
      </c>
      <c r="K80" s="670"/>
      <c r="L80" s="670" t="s">
        <v>8776</v>
      </c>
      <c r="M80" s="670" t="s">
        <v>8780</v>
      </c>
      <c r="N80" s="670" t="s">
        <v>8776</v>
      </c>
    </row>
    <row r="81" spans="1:14">
      <c r="A81" s="1066"/>
      <c r="B81" s="678">
        <v>45037</v>
      </c>
      <c r="C81" s="670" t="s">
        <v>8778</v>
      </c>
      <c r="D81" s="670" t="s">
        <v>2077</v>
      </c>
      <c r="E81" s="738" t="s">
        <v>8255</v>
      </c>
      <c r="F81" s="670" t="s">
        <v>8779</v>
      </c>
      <c r="G81" s="671" t="s">
        <v>529</v>
      </c>
      <c r="H81" s="671" t="s">
        <v>529</v>
      </c>
      <c r="I81" s="671"/>
      <c r="J81" s="671">
        <v>31542.46</v>
      </c>
      <c r="K81" s="670"/>
      <c r="L81" s="670" t="s">
        <v>8776</v>
      </c>
      <c r="M81" s="670" t="s">
        <v>8780</v>
      </c>
      <c r="N81" s="670" t="s">
        <v>8776</v>
      </c>
    </row>
    <row r="82" spans="1:14">
      <c r="A82" s="1066"/>
      <c r="B82" s="678">
        <v>45044</v>
      </c>
      <c r="C82" s="670" t="s">
        <v>8778</v>
      </c>
      <c r="D82" s="670" t="s">
        <v>2077</v>
      </c>
      <c r="E82" s="738" t="s">
        <v>8255</v>
      </c>
      <c r="F82" s="670" t="s">
        <v>8779</v>
      </c>
      <c r="G82" s="671" t="s">
        <v>529</v>
      </c>
      <c r="H82" s="671" t="s">
        <v>529</v>
      </c>
      <c r="I82" s="671"/>
      <c r="J82" s="671">
        <v>74006.25</v>
      </c>
      <c r="K82" s="670"/>
      <c r="L82" s="670" t="s">
        <v>8776</v>
      </c>
      <c r="M82" s="670" t="s">
        <v>8780</v>
      </c>
      <c r="N82" s="670" t="s">
        <v>8776</v>
      </c>
    </row>
    <row r="83" spans="1:14">
      <c r="A83" s="1066"/>
      <c r="B83" s="678">
        <v>45048</v>
      </c>
      <c r="C83" s="670" t="s">
        <v>8778</v>
      </c>
      <c r="D83" s="670" t="s">
        <v>2077</v>
      </c>
      <c r="E83" s="738" t="s">
        <v>8255</v>
      </c>
      <c r="F83" s="670" t="s">
        <v>8779</v>
      </c>
      <c r="G83" s="671" t="s">
        <v>529</v>
      </c>
      <c r="H83" s="671" t="s">
        <v>529</v>
      </c>
      <c r="I83" s="671"/>
      <c r="J83" s="671">
        <v>78649.56</v>
      </c>
      <c r="K83" s="670"/>
      <c r="L83" s="670" t="s">
        <v>8776</v>
      </c>
      <c r="M83" s="670" t="s">
        <v>8780</v>
      </c>
      <c r="N83" s="670" t="s">
        <v>8776</v>
      </c>
    </row>
    <row r="84" spans="1:14">
      <c r="A84" s="1066"/>
      <c r="B84" s="678">
        <v>45054</v>
      </c>
      <c r="C84" s="670" t="s">
        <v>8778</v>
      </c>
      <c r="D84" s="670" t="s">
        <v>2077</v>
      </c>
      <c r="E84" s="738" t="s">
        <v>8255</v>
      </c>
      <c r="F84" s="670" t="s">
        <v>8779</v>
      </c>
      <c r="G84" s="671" t="s">
        <v>529</v>
      </c>
      <c r="H84" s="671" t="s">
        <v>529</v>
      </c>
      <c r="I84" s="671"/>
      <c r="J84" s="671">
        <v>153524</v>
      </c>
      <c r="K84" s="670"/>
      <c r="L84" s="670" t="s">
        <v>8776</v>
      </c>
      <c r="M84" s="670" t="s">
        <v>8780</v>
      </c>
      <c r="N84" s="670" t="s">
        <v>8776</v>
      </c>
    </row>
    <row r="85" spans="1:14">
      <c r="A85" s="1066"/>
      <c r="B85" s="678">
        <v>45065</v>
      </c>
      <c r="C85" s="670" t="s">
        <v>8778</v>
      </c>
      <c r="D85" s="670" t="s">
        <v>2077</v>
      </c>
      <c r="E85" s="738" t="s">
        <v>8255</v>
      </c>
      <c r="F85" s="670" t="s">
        <v>8779</v>
      </c>
      <c r="G85" s="671" t="s">
        <v>529</v>
      </c>
      <c r="H85" s="671" t="s">
        <v>529</v>
      </c>
      <c r="I85" s="671"/>
      <c r="J85" s="671">
        <v>18115.38</v>
      </c>
      <c r="K85" s="670"/>
      <c r="L85" s="670" t="s">
        <v>8776</v>
      </c>
      <c r="M85" s="670" t="s">
        <v>8780</v>
      </c>
      <c r="N85" s="670" t="s">
        <v>8776</v>
      </c>
    </row>
    <row r="86" spans="1:14">
      <c r="A86" s="1066"/>
      <c r="B86" s="678">
        <v>45069</v>
      </c>
      <c r="C86" s="670" t="s">
        <v>8778</v>
      </c>
      <c r="D86" s="670" t="s">
        <v>2077</v>
      </c>
      <c r="E86" s="738" t="s">
        <v>8255</v>
      </c>
      <c r="F86" s="670" t="s">
        <v>8779</v>
      </c>
      <c r="G86" s="671" t="s">
        <v>529</v>
      </c>
      <c r="H86" s="671" t="s">
        <v>529</v>
      </c>
      <c r="I86" s="671"/>
      <c r="J86" s="671">
        <v>24395.33</v>
      </c>
      <c r="K86" s="670"/>
      <c r="L86" s="670" t="s">
        <v>8776</v>
      </c>
      <c r="M86" s="670" t="s">
        <v>8780</v>
      </c>
      <c r="N86" s="670" t="s">
        <v>8776</v>
      </c>
    </row>
    <row r="87" spans="1:14">
      <c r="A87" s="1066"/>
      <c r="B87" s="678">
        <v>45079</v>
      </c>
      <c r="C87" s="670" t="s">
        <v>8778</v>
      </c>
      <c r="D87" s="670" t="s">
        <v>2077</v>
      </c>
      <c r="E87" s="738" t="s">
        <v>8255</v>
      </c>
      <c r="F87" s="670" t="s">
        <v>8779</v>
      </c>
      <c r="G87" s="671" t="s">
        <v>529</v>
      </c>
      <c r="H87" s="671" t="s">
        <v>529</v>
      </c>
      <c r="I87" s="671"/>
      <c r="J87" s="671">
        <v>18274.75</v>
      </c>
      <c r="K87" s="670"/>
      <c r="L87" s="670" t="s">
        <v>8776</v>
      </c>
      <c r="M87" s="670" t="s">
        <v>8780</v>
      </c>
      <c r="N87" s="670" t="s">
        <v>8776</v>
      </c>
    </row>
    <row r="88" spans="1:14">
      <c r="A88" s="1066"/>
      <c r="B88" s="678">
        <v>45079</v>
      </c>
      <c r="C88" s="670" t="s">
        <v>8778</v>
      </c>
      <c r="D88" s="670" t="s">
        <v>2077</v>
      </c>
      <c r="E88" s="738" t="s">
        <v>8255</v>
      </c>
      <c r="F88" s="670" t="s">
        <v>8779</v>
      </c>
      <c r="G88" s="671" t="s">
        <v>529</v>
      </c>
      <c r="H88" s="671" t="s">
        <v>529</v>
      </c>
      <c r="I88" s="671"/>
      <c r="J88" s="671">
        <v>124652.74</v>
      </c>
      <c r="K88" s="670"/>
      <c r="L88" s="670" t="s">
        <v>8776</v>
      </c>
      <c r="M88" s="670" t="s">
        <v>8780</v>
      </c>
      <c r="N88" s="670" t="s">
        <v>8776</v>
      </c>
    </row>
    <row r="89" spans="1:14">
      <c r="A89" s="1066"/>
      <c r="B89" s="678">
        <v>45090</v>
      </c>
      <c r="C89" s="670" t="s">
        <v>8778</v>
      </c>
      <c r="D89" s="670" t="s">
        <v>2077</v>
      </c>
      <c r="E89" s="738" t="s">
        <v>8255</v>
      </c>
      <c r="F89" s="670" t="s">
        <v>8779</v>
      </c>
      <c r="G89" s="671" t="s">
        <v>529</v>
      </c>
      <c r="H89" s="671" t="s">
        <v>529</v>
      </c>
      <c r="I89" s="671"/>
      <c r="J89" s="671">
        <v>45932.67</v>
      </c>
      <c r="K89" s="670"/>
      <c r="L89" s="670" t="s">
        <v>8776</v>
      </c>
      <c r="M89" s="670" t="s">
        <v>8780</v>
      </c>
      <c r="N89" s="670" t="s">
        <v>8776</v>
      </c>
    </row>
    <row r="90" spans="1:14">
      <c r="A90" s="1066"/>
      <c r="B90" s="678">
        <v>45111</v>
      </c>
      <c r="C90" s="670" t="s">
        <v>8778</v>
      </c>
      <c r="D90" s="670" t="s">
        <v>2077</v>
      </c>
      <c r="E90" s="738" t="s">
        <v>8255</v>
      </c>
      <c r="F90" s="670" t="s">
        <v>8779</v>
      </c>
      <c r="G90" s="671" t="s">
        <v>529</v>
      </c>
      <c r="H90" s="671" t="s">
        <v>529</v>
      </c>
      <c r="I90" s="671"/>
      <c r="J90" s="671">
        <v>52024.93</v>
      </c>
      <c r="K90" s="670"/>
      <c r="L90" s="670" t="s">
        <v>8776</v>
      </c>
      <c r="M90" s="670" t="s">
        <v>8780</v>
      </c>
      <c r="N90" s="670" t="s">
        <v>8776</v>
      </c>
    </row>
    <row r="91" spans="1:14">
      <c r="A91" s="1066"/>
      <c r="B91" s="678">
        <v>45114</v>
      </c>
      <c r="C91" s="670" t="s">
        <v>8778</v>
      </c>
      <c r="D91" s="670" t="s">
        <v>2077</v>
      </c>
      <c r="E91" s="738" t="s">
        <v>8255</v>
      </c>
      <c r="F91" s="670" t="s">
        <v>8779</v>
      </c>
      <c r="G91" s="671" t="s">
        <v>529</v>
      </c>
      <c r="H91" s="671" t="s">
        <v>529</v>
      </c>
      <c r="I91" s="671"/>
      <c r="J91" s="671">
        <v>222318.62</v>
      </c>
      <c r="K91" s="670"/>
      <c r="L91" s="670" t="s">
        <v>8776</v>
      </c>
      <c r="M91" s="670" t="s">
        <v>8780</v>
      </c>
      <c r="N91" s="670" t="s">
        <v>8776</v>
      </c>
    </row>
    <row r="92" spans="1:14">
      <c r="A92" s="1066"/>
      <c r="B92" s="678">
        <v>45121</v>
      </c>
      <c r="C92" s="670" t="s">
        <v>8778</v>
      </c>
      <c r="D92" s="670" t="s">
        <v>2077</v>
      </c>
      <c r="E92" s="738" t="s">
        <v>8255</v>
      </c>
      <c r="F92" s="670" t="s">
        <v>8779</v>
      </c>
      <c r="G92" s="671" t="s">
        <v>529</v>
      </c>
      <c r="H92" s="671" t="s">
        <v>529</v>
      </c>
      <c r="I92" s="671"/>
      <c r="J92" s="671">
        <v>39063.74</v>
      </c>
      <c r="K92" s="670"/>
      <c r="L92" s="670" t="s">
        <v>8776</v>
      </c>
      <c r="M92" s="670" t="s">
        <v>8780</v>
      </c>
      <c r="N92" s="670" t="s">
        <v>8776</v>
      </c>
    </row>
    <row r="93" spans="1:14">
      <c r="A93" s="1066"/>
      <c r="B93" s="678">
        <v>45127</v>
      </c>
      <c r="C93" s="670" t="s">
        <v>8778</v>
      </c>
      <c r="D93" s="670" t="s">
        <v>2077</v>
      </c>
      <c r="E93" s="738" t="s">
        <v>8255</v>
      </c>
      <c r="F93" s="670" t="s">
        <v>8779</v>
      </c>
      <c r="G93" s="671" t="s">
        <v>529</v>
      </c>
      <c r="H93" s="671" t="s">
        <v>529</v>
      </c>
      <c r="I93" s="671"/>
      <c r="J93" s="671">
        <v>26237.32</v>
      </c>
      <c r="K93" s="670"/>
      <c r="L93" s="670" t="s">
        <v>8776</v>
      </c>
      <c r="M93" s="670" t="s">
        <v>8780</v>
      </c>
      <c r="N93" s="670" t="s">
        <v>8776</v>
      </c>
    </row>
    <row r="94" spans="1:14">
      <c r="A94" s="1066"/>
      <c r="B94" s="678">
        <v>45143</v>
      </c>
      <c r="C94" s="670" t="s">
        <v>8778</v>
      </c>
      <c r="D94" s="670" t="s">
        <v>2077</v>
      </c>
      <c r="E94" s="738" t="s">
        <v>8255</v>
      </c>
      <c r="F94" s="670" t="s">
        <v>8779</v>
      </c>
      <c r="G94" s="671" t="s">
        <v>529</v>
      </c>
      <c r="H94" s="671" t="s">
        <v>529</v>
      </c>
      <c r="I94" s="671"/>
      <c r="J94" s="671">
        <v>93827.19</v>
      </c>
      <c r="K94" s="670"/>
      <c r="L94" s="670" t="s">
        <v>8776</v>
      </c>
      <c r="M94" s="670" t="s">
        <v>8780</v>
      </c>
      <c r="N94" s="670" t="s">
        <v>8776</v>
      </c>
    </row>
    <row r="95" spans="1:14">
      <c r="A95" s="1066"/>
      <c r="B95" s="678">
        <v>45152</v>
      </c>
      <c r="C95" s="670" t="s">
        <v>8778</v>
      </c>
      <c r="D95" s="670" t="s">
        <v>2077</v>
      </c>
      <c r="E95" s="738" t="s">
        <v>8255</v>
      </c>
      <c r="F95" s="670" t="s">
        <v>8779</v>
      </c>
      <c r="G95" s="671" t="s">
        <v>529</v>
      </c>
      <c r="H95" s="671" t="s">
        <v>529</v>
      </c>
      <c r="I95" s="671"/>
      <c r="J95" s="671">
        <v>46772.72</v>
      </c>
      <c r="K95" s="670"/>
      <c r="L95" s="670" t="s">
        <v>8776</v>
      </c>
      <c r="M95" s="670" t="s">
        <v>8780</v>
      </c>
      <c r="N95" s="670" t="s">
        <v>8776</v>
      </c>
    </row>
    <row r="96" spans="1:14">
      <c r="A96" s="1066"/>
      <c r="B96" s="678">
        <v>45152</v>
      </c>
      <c r="C96" s="670" t="s">
        <v>8778</v>
      </c>
      <c r="D96" s="670" t="s">
        <v>2077</v>
      </c>
      <c r="E96" s="738" t="s">
        <v>8255</v>
      </c>
      <c r="F96" s="670" t="s">
        <v>8779</v>
      </c>
      <c r="G96" s="671" t="s">
        <v>529</v>
      </c>
      <c r="H96" s="671" t="s">
        <v>529</v>
      </c>
      <c r="I96" s="671"/>
      <c r="J96" s="671">
        <v>91946.86</v>
      </c>
      <c r="K96" s="670"/>
      <c r="L96" s="670" t="s">
        <v>8776</v>
      </c>
      <c r="M96" s="670" t="s">
        <v>8780</v>
      </c>
      <c r="N96" s="670" t="s">
        <v>8776</v>
      </c>
    </row>
    <row r="97" spans="1:14">
      <c r="A97" s="1066"/>
      <c r="B97" s="678">
        <v>45173</v>
      </c>
      <c r="C97" s="670" t="s">
        <v>8778</v>
      </c>
      <c r="D97" s="670" t="s">
        <v>2077</v>
      </c>
      <c r="E97" s="738" t="s">
        <v>8255</v>
      </c>
      <c r="F97" s="670" t="s">
        <v>8779</v>
      </c>
      <c r="G97" s="671" t="s">
        <v>529</v>
      </c>
      <c r="H97" s="671" t="s">
        <v>529</v>
      </c>
      <c r="I97" s="671"/>
      <c r="J97" s="671">
        <v>49275.13</v>
      </c>
      <c r="K97" s="670"/>
      <c r="L97" s="670" t="s">
        <v>8776</v>
      </c>
      <c r="M97" s="670" t="s">
        <v>8780</v>
      </c>
      <c r="N97" s="670" t="s">
        <v>8776</v>
      </c>
    </row>
    <row r="98" spans="1:14">
      <c r="A98" s="1066"/>
      <c r="B98" s="678">
        <v>45177</v>
      </c>
      <c r="C98" s="670" t="s">
        <v>8778</v>
      </c>
      <c r="D98" s="670" t="s">
        <v>2077</v>
      </c>
      <c r="E98" s="738" t="s">
        <v>8255</v>
      </c>
      <c r="F98" s="670" t="s">
        <v>8779</v>
      </c>
      <c r="G98" s="671" t="s">
        <v>529</v>
      </c>
      <c r="H98" s="671" t="s">
        <v>529</v>
      </c>
      <c r="I98" s="671"/>
      <c r="J98" s="671">
        <v>167560.57999999999</v>
      </c>
      <c r="K98" s="670"/>
      <c r="L98" s="670" t="s">
        <v>8776</v>
      </c>
      <c r="M98" s="670" t="s">
        <v>8780</v>
      </c>
      <c r="N98" s="670" t="s">
        <v>8776</v>
      </c>
    </row>
    <row r="99" spans="1:14">
      <c r="A99" s="1066"/>
      <c r="B99" s="678">
        <v>45184</v>
      </c>
      <c r="C99" s="670" t="s">
        <v>8778</v>
      </c>
      <c r="D99" s="670" t="s">
        <v>2077</v>
      </c>
      <c r="E99" s="738" t="s">
        <v>8255</v>
      </c>
      <c r="F99" s="670" t="s">
        <v>8779</v>
      </c>
      <c r="G99" s="671" t="s">
        <v>529</v>
      </c>
      <c r="H99" s="671" t="s">
        <v>529</v>
      </c>
      <c r="I99" s="671"/>
      <c r="J99" s="671">
        <v>23100.58</v>
      </c>
      <c r="K99" s="670"/>
      <c r="L99" s="670" t="s">
        <v>8776</v>
      </c>
      <c r="M99" s="670" t="s">
        <v>8780</v>
      </c>
      <c r="N99" s="670" t="s">
        <v>8776</v>
      </c>
    </row>
    <row r="100" spans="1:14">
      <c r="A100" s="1066"/>
      <c r="B100" s="678">
        <v>45198</v>
      </c>
      <c r="C100" s="670" t="s">
        <v>8778</v>
      </c>
      <c r="D100" s="670" t="s">
        <v>2077</v>
      </c>
      <c r="E100" s="738" t="s">
        <v>8255</v>
      </c>
      <c r="F100" s="670" t="s">
        <v>8779</v>
      </c>
      <c r="G100" s="671" t="s">
        <v>529</v>
      </c>
      <c r="H100" s="671" t="s">
        <v>529</v>
      </c>
      <c r="I100" s="671"/>
      <c r="J100" s="671">
        <v>89885.49</v>
      </c>
      <c r="K100" s="670"/>
      <c r="L100" s="670" t="s">
        <v>8776</v>
      </c>
      <c r="M100" s="670" t="s">
        <v>8780</v>
      </c>
      <c r="N100" s="670" t="s">
        <v>8776</v>
      </c>
    </row>
    <row r="101" spans="1:14">
      <c r="A101" s="1066"/>
      <c r="B101" s="678">
        <v>45219</v>
      </c>
      <c r="C101" s="670" t="s">
        <v>8778</v>
      </c>
      <c r="D101" s="670" t="s">
        <v>2077</v>
      </c>
      <c r="E101" s="738" t="s">
        <v>8255</v>
      </c>
      <c r="F101" s="670" t="s">
        <v>8779</v>
      </c>
      <c r="G101" s="671" t="s">
        <v>529</v>
      </c>
      <c r="H101" s="671" t="s">
        <v>529</v>
      </c>
      <c r="I101" s="671"/>
      <c r="J101" s="671">
        <v>27565.67</v>
      </c>
      <c r="K101" s="670"/>
      <c r="L101" s="670" t="s">
        <v>8776</v>
      </c>
      <c r="M101" s="670" t="s">
        <v>8780</v>
      </c>
      <c r="N101" s="670" t="s">
        <v>8776</v>
      </c>
    </row>
    <row r="102" spans="1:14">
      <c r="A102" s="1066"/>
      <c r="B102" s="678">
        <v>45236</v>
      </c>
      <c r="C102" s="670" t="s">
        <v>8778</v>
      </c>
      <c r="D102" s="670" t="s">
        <v>2077</v>
      </c>
      <c r="E102" s="738" t="s">
        <v>8255</v>
      </c>
      <c r="F102" s="670" t="s">
        <v>8779</v>
      </c>
      <c r="G102" s="671" t="s">
        <v>529</v>
      </c>
      <c r="H102" s="671" t="s">
        <v>529</v>
      </c>
      <c r="I102" s="671"/>
      <c r="J102" s="671">
        <v>66220.960000000006</v>
      </c>
      <c r="K102" s="670"/>
      <c r="L102" s="670" t="s">
        <v>8776</v>
      </c>
      <c r="M102" s="670" t="s">
        <v>8780</v>
      </c>
      <c r="N102" s="670" t="s">
        <v>8776</v>
      </c>
    </row>
    <row r="103" spans="1:14">
      <c r="A103" s="1066"/>
      <c r="B103" s="678">
        <v>45239</v>
      </c>
      <c r="C103" s="670" t="s">
        <v>8778</v>
      </c>
      <c r="D103" s="670" t="s">
        <v>2077</v>
      </c>
      <c r="E103" s="738" t="s">
        <v>8255</v>
      </c>
      <c r="F103" s="670" t="s">
        <v>8779</v>
      </c>
      <c r="G103" s="671" t="s">
        <v>529</v>
      </c>
      <c r="H103" s="671" t="s">
        <v>529</v>
      </c>
      <c r="I103" s="671"/>
      <c r="J103" s="671">
        <v>1548.55</v>
      </c>
      <c r="K103" s="670"/>
      <c r="L103" s="670" t="s">
        <v>8776</v>
      </c>
      <c r="M103" s="670" t="s">
        <v>8780</v>
      </c>
      <c r="N103" s="670" t="s">
        <v>8776</v>
      </c>
    </row>
    <row r="104" spans="1:14">
      <c r="A104" s="1066"/>
      <c r="B104" s="678">
        <v>45240</v>
      </c>
      <c r="C104" s="670" t="s">
        <v>8778</v>
      </c>
      <c r="D104" s="670" t="s">
        <v>2077</v>
      </c>
      <c r="E104" s="738" t="s">
        <v>8255</v>
      </c>
      <c r="F104" s="670" t="s">
        <v>8779</v>
      </c>
      <c r="G104" s="671" t="s">
        <v>529</v>
      </c>
      <c r="H104" s="671" t="s">
        <v>529</v>
      </c>
      <c r="I104" s="671"/>
      <c r="J104" s="671">
        <v>113820.43</v>
      </c>
      <c r="K104" s="670"/>
      <c r="L104" s="670" t="s">
        <v>8776</v>
      </c>
      <c r="M104" s="670" t="s">
        <v>8780</v>
      </c>
      <c r="N104" s="670" t="s">
        <v>8776</v>
      </c>
    </row>
    <row r="105" spans="1:14">
      <c r="A105" s="1066"/>
      <c r="B105" s="678">
        <v>45240</v>
      </c>
      <c r="C105" s="670" t="s">
        <v>8778</v>
      </c>
      <c r="D105" s="670" t="s">
        <v>2077</v>
      </c>
      <c r="E105" s="738" t="s">
        <v>8255</v>
      </c>
      <c r="F105" s="670" t="s">
        <v>8779</v>
      </c>
      <c r="G105" s="671" t="s">
        <v>529</v>
      </c>
      <c r="H105" s="671" t="s">
        <v>529</v>
      </c>
      <c r="I105" s="671"/>
      <c r="J105" s="671">
        <v>117566.98</v>
      </c>
      <c r="K105" s="670"/>
      <c r="L105" s="670" t="s">
        <v>8776</v>
      </c>
      <c r="M105" s="670" t="s">
        <v>8780</v>
      </c>
      <c r="N105" s="670" t="s">
        <v>8776</v>
      </c>
    </row>
    <row r="106" spans="1:14">
      <c r="A106" s="1066"/>
      <c r="B106" s="678">
        <v>45257</v>
      </c>
      <c r="C106" s="670" t="s">
        <v>8778</v>
      </c>
      <c r="D106" s="670" t="s">
        <v>2077</v>
      </c>
      <c r="E106" s="738" t="s">
        <v>8255</v>
      </c>
      <c r="F106" s="670" t="s">
        <v>8779</v>
      </c>
      <c r="G106" s="671" t="s">
        <v>529</v>
      </c>
      <c r="H106" s="671" t="s">
        <v>529</v>
      </c>
      <c r="I106" s="671"/>
      <c r="J106" s="671">
        <v>69676.350000000006</v>
      </c>
      <c r="K106" s="670"/>
      <c r="L106" s="670" t="s">
        <v>8776</v>
      </c>
      <c r="M106" s="670" t="s">
        <v>8780</v>
      </c>
      <c r="N106" s="670" t="s">
        <v>8776</v>
      </c>
    </row>
    <row r="107" spans="1:14">
      <c r="A107" s="1066"/>
      <c r="B107" s="678">
        <v>45267</v>
      </c>
      <c r="C107" s="670" t="s">
        <v>8778</v>
      </c>
      <c r="D107" s="670" t="s">
        <v>2077</v>
      </c>
      <c r="E107" s="738" t="s">
        <v>8255</v>
      </c>
      <c r="F107" s="670" t="s">
        <v>8779</v>
      </c>
      <c r="G107" s="671" t="s">
        <v>529</v>
      </c>
      <c r="H107" s="671" t="s">
        <v>529</v>
      </c>
      <c r="I107" s="671"/>
      <c r="J107" s="671">
        <v>150184.99</v>
      </c>
      <c r="K107" s="670"/>
      <c r="L107" s="670" t="s">
        <v>8776</v>
      </c>
      <c r="M107" s="670" t="s">
        <v>8780</v>
      </c>
      <c r="N107" s="670" t="s">
        <v>8776</v>
      </c>
    </row>
    <row r="108" spans="1:14">
      <c r="A108" s="1066"/>
      <c r="B108" s="678">
        <v>45267</v>
      </c>
      <c r="C108" s="670" t="s">
        <v>8778</v>
      </c>
      <c r="D108" s="670" t="s">
        <v>2077</v>
      </c>
      <c r="E108" s="738" t="s">
        <v>8255</v>
      </c>
      <c r="F108" s="670" t="s">
        <v>8779</v>
      </c>
      <c r="G108" s="671" t="s">
        <v>529</v>
      </c>
      <c r="H108" s="671" t="s">
        <v>529</v>
      </c>
      <c r="I108" s="671"/>
      <c r="J108" s="671">
        <v>91343</v>
      </c>
      <c r="K108" s="670"/>
      <c r="L108" s="670" t="s">
        <v>8776</v>
      </c>
      <c r="M108" s="670" t="s">
        <v>8780</v>
      </c>
      <c r="N108" s="670" t="s">
        <v>8776</v>
      </c>
    </row>
    <row r="109" spans="1:14">
      <c r="A109" s="1066"/>
      <c r="B109" s="678">
        <v>45273</v>
      </c>
      <c r="C109" s="670" t="s">
        <v>8778</v>
      </c>
      <c r="D109" s="670" t="s">
        <v>2077</v>
      </c>
      <c r="E109" s="738" t="s">
        <v>8255</v>
      </c>
      <c r="F109" s="670" t="s">
        <v>8779</v>
      </c>
      <c r="G109" s="671" t="s">
        <v>529</v>
      </c>
      <c r="H109" s="671" t="s">
        <v>529</v>
      </c>
      <c r="I109" s="671"/>
      <c r="J109" s="671">
        <v>40234.17</v>
      </c>
      <c r="K109" s="670"/>
      <c r="L109" s="670" t="s">
        <v>8776</v>
      </c>
      <c r="M109" s="670" t="s">
        <v>8780</v>
      </c>
      <c r="N109" s="670" t="s">
        <v>8776</v>
      </c>
    </row>
    <row r="110" spans="1:14">
      <c r="A110" s="1066"/>
      <c r="B110" s="678">
        <v>45282</v>
      </c>
      <c r="C110" s="670" t="s">
        <v>8778</v>
      </c>
      <c r="D110" s="670" t="s">
        <v>2077</v>
      </c>
      <c r="E110" s="738" t="s">
        <v>8255</v>
      </c>
      <c r="F110" s="670" t="s">
        <v>8779</v>
      </c>
      <c r="G110" s="671" t="s">
        <v>529</v>
      </c>
      <c r="H110" s="671" t="s">
        <v>529</v>
      </c>
      <c r="I110" s="671"/>
      <c r="J110" s="671">
        <v>287619.76</v>
      </c>
      <c r="K110" s="670"/>
      <c r="L110" s="670" t="s">
        <v>8776</v>
      </c>
      <c r="M110" s="670" t="s">
        <v>8780</v>
      </c>
      <c r="N110" s="670" t="s">
        <v>8776</v>
      </c>
    </row>
    <row r="111" spans="1:14">
      <c r="A111" s="1066"/>
      <c r="B111" s="678">
        <v>45288</v>
      </c>
      <c r="C111" s="670" t="s">
        <v>8778</v>
      </c>
      <c r="D111" s="670" t="s">
        <v>2077</v>
      </c>
      <c r="E111" s="738" t="s">
        <v>8255</v>
      </c>
      <c r="F111" s="670" t="s">
        <v>8779</v>
      </c>
      <c r="G111" s="671" t="s">
        <v>529</v>
      </c>
      <c r="H111" s="671" t="s">
        <v>529</v>
      </c>
      <c r="I111" s="671"/>
      <c r="J111" s="671">
        <v>50765.65</v>
      </c>
      <c r="K111" s="670"/>
      <c r="L111" s="670" t="s">
        <v>8776</v>
      </c>
      <c r="M111" s="670" t="s">
        <v>8780</v>
      </c>
      <c r="N111" s="670" t="s">
        <v>8776</v>
      </c>
    </row>
    <row r="112" spans="1:14">
      <c r="A112" s="1066"/>
      <c r="B112" s="678">
        <v>45288</v>
      </c>
      <c r="C112" s="670" t="s">
        <v>8778</v>
      </c>
      <c r="D112" s="670" t="s">
        <v>2077</v>
      </c>
      <c r="E112" s="738" t="s">
        <v>8255</v>
      </c>
      <c r="F112" s="670" t="s">
        <v>8779</v>
      </c>
      <c r="G112" s="671" t="s">
        <v>529</v>
      </c>
      <c r="H112" s="671" t="s">
        <v>529</v>
      </c>
      <c r="I112" s="671"/>
      <c r="J112" s="671">
        <v>35836.730000000003</v>
      </c>
      <c r="K112" s="670"/>
      <c r="L112" s="670" t="s">
        <v>8776</v>
      </c>
      <c r="M112" s="670" t="s">
        <v>8780</v>
      </c>
      <c r="N112" s="670" t="s">
        <v>8776</v>
      </c>
    </row>
    <row r="113" spans="1:14">
      <c r="A113" s="1066"/>
      <c r="B113" s="678">
        <v>45037</v>
      </c>
      <c r="C113" s="670" t="s">
        <v>8781</v>
      </c>
      <c r="D113" s="670" t="s">
        <v>2077</v>
      </c>
      <c r="E113" s="670" t="s">
        <v>8782</v>
      </c>
      <c r="F113" s="670" t="s">
        <v>8783</v>
      </c>
      <c r="G113" s="671" t="s">
        <v>529</v>
      </c>
      <c r="H113" s="671" t="s">
        <v>529</v>
      </c>
      <c r="I113" s="671"/>
      <c r="J113" s="671">
        <v>989702.58</v>
      </c>
      <c r="K113" s="670"/>
      <c r="L113" s="670" t="s">
        <v>8776</v>
      </c>
      <c r="M113" s="670" t="s">
        <v>8780</v>
      </c>
      <c r="N113" s="670" t="s">
        <v>8776</v>
      </c>
    </row>
    <row r="114" spans="1:14">
      <c r="A114" s="1066"/>
      <c r="B114" s="678">
        <v>45037</v>
      </c>
      <c r="C114" s="670" t="s">
        <v>8781</v>
      </c>
      <c r="D114" s="670" t="s">
        <v>2077</v>
      </c>
      <c r="E114" s="670" t="s">
        <v>8782</v>
      </c>
      <c r="F114" s="670" t="s">
        <v>8783</v>
      </c>
      <c r="G114" s="671" t="s">
        <v>529</v>
      </c>
      <c r="H114" s="671" t="s">
        <v>529</v>
      </c>
      <c r="I114" s="671"/>
      <c r="J114" s="671">
        <v>23656.85</v>
      </c>
      <c r="K114" s="670"/>
      <c r="L114" s="670" t="s">
        <v>8776</v>
      </c>
      <c r="M114" s="670" t="s">
        <v>8780</v>
      </c>
      <c r="N114" s="670" t="s">
        <v>8776</v>
      </c>
    </row>
    <row r="115" spans="1:14">
      <c r="A115" s="1066"/>
      <c r="B115" s="678">
        <v>45044</v>
      </c>
      <c r="C115" s="670" t="s">
        <v>8781</v>
      </c>
      <c r="D115" s="670" t="s">
        <v>2077</v>
      </c>
      <c r="E115" s="670" t="s">
        <v>8782</v>
      </c>
      <c r="F115" s="670" t="s">
        <v>8783</v>
      </c>
      <c r="G115" s="671" t="s">
        <v>529</v>
      </c>
      <c r="H115" s="671" t="s">
        <v>529</v>
      </c>
      <c r="I115" s="671"/>
      <c r="J115" s="671">
        <v>55504.69</v>
      </c>
      <c r="K115" s="670"/>
      <c r="L115" s="670" t="s">
        <v>8776</v>
      </c>
      <c r="M115" s="670" t="s">
        <v>8780</v>
      </c>
      <c r="N115" s="670" t="s">
        <v>8776</v>
      </c>
    </row>
    <row r="116" spans="1:14">
      <c r="A116" s="1066"/>
      <c r="B116" s="678">
        <v>45048</v>
      </c>
      <c r="C116" s="670" t="s">
        <v>8781</v>
      </c>
      <c r="D116" s="670" t="s">
        <v>2077</v>
      </c>
      <c r="E116" s="670" t="s">
        <v>8782</v>
      </c>
      <c r="F116" s="670" t="s">
        <v>8783</v>
      </c>
      <c r="G116" s="671" t="s">
        <v>529</v>
      </c>
      <c r="H116" s="671" t="s">
        <v>529</v>
      </c>
      <c r="I116" s="671"/>
      <c r="J116" s="671">
        <v>58987.17</v>
      </c>
      <c r="K116" s="670"/>
      <c r="L116" s="670" t="s">
        <v>8776</v>
      </c>
      <c r="M116" s="670" t="s">
        <v>8780</v>
      </c>
      <c r="N116" s="670" t="s">
        <v>8776</v>
      </c>
    </row>
    <row r="117" spans="1:14">
      <c r="A117" s="1066"/>
      <c r="B117" s="678">
        <v>45054</v>
      </c>
      <c r="C117" s="670" t="s">
        <v>8781</v>
      </c>
      <c r="D117" s="670" t="s">
        <v>2077</v>
      </c>
      <c r="E117" s="670" t="s">
        <v>8782</v>
      </c>
      <c r="F117" s="670" t="s">
        <v>8783</v>
      </c>
      <c r="G117" s="671" t="s">
        <v>529</v>
      </c>
      <c r="H117" s="671" t="s">
        <v>529</v>
      </c>
      <c r="I117" s="671"/>
      <c r="J117" s="671">
        <v>115143</v>
      </c>
      <c r="K117" s="670"/>
      <c r="L117" s="670" t="s">
        <v>8776</v>
      </c>
      <c r="M117" s="670" t="s">
        <v>8780</v>
      </c>
      <c r="N117" s="670" t="s">
        <v>8776</v>
      </c>
    </row>
    <row r="118" spans="1:14">
      <c r="A118" s="1066"/>
      <c r="B118" s="678">
        <v>45065</v>
      </c>
      <c r="C118" s="670" t="s">
        <v>8781</v>
      </c>
      <c r="D118" s="670" t="s">
        <v>2077</v>
      </c>
      <c r="E118" s="670" t="s">
        <v>8782</v>
      </c>
      <c r="F118" s="670" t="s">
        <v>8783</v>
      </c>
      <c r="G118" s="671" t="s">
        <v>529</v>
      </c>
      <c r="H118" s="671" t="s">
        <v>529</v>
      </c>
      <c r="I118" s="671"/>
      <c r="J118" s="671">
        <v>13586.53</v>
      </c>
      <c r="K118" s="670"/>
      <c r="L118" s="670" t="s">
        <v>8776</v>
      </c>
      <c r="M118" s="670" t="s">
        <v>8780</v>
      </c>
      <c r="N118" s="670" t="s">
        <v>8776</v>
      </c>
    </row>
    <row r="119" spans="1:14">
      <c r="A119" s="1066"/>
      <c r="B119" s="678">
        <v>45069</v>
      </c>
      <c r="C119" s="670" t="s">
        <v>8781</v>
      </c>
      <c r="D119" s="670" t="s">
        <v>2077</v>
      </c>
      <c r="E119" s="670" t="s">
        <v>8782</v>
      </c>
      <c r="F119" s="670" t="s">
        <v>8783</v>
      </c>
      <c r="G119" s="671" t="s">
        <v>529</v>
      </c>
      <c r="H119" s="671" t="s">
        <v>529</v>
      </c>
      <c r="I119" s="671"/>
      <c r="J119" s="671">
        <v>18296.5</v>
      </c>
      <c r="K119" s="670"/>
      <c r="L119" s="670" t="s">
        <v>8776</v>
      </c>
      <c r="M119" s="670" t="s">
        <v>8780</v>
      </c>
      <c r="N119" s="670" t="s">
        <v>8776</v>
      </c>
    </row>
    <row r="120" spans="1:14">
      <c r="A120" s="1066"/>
      <c r="B120" s="678">
        <v>45079</v>
      </c>
      <c r="C120" s="670" t="s">
        <v>8781</v>
      </c>
      <c r="D120" s="670" t="s">
        <v>2077</v>
      </c>
      <c r="E120" s="670" t="s">
        <v>8782</v>
      </c>
      <c r="F120" s="670" t="s">
        <v>8783</v>
      </c>
      <c r="G120" s="671" t="s">
        <v>529</v>
      </c>
      <c r="H120" s="671" t="s">
        <v>529</v>
      </c>
      <c r="I120" s="671"/>
      <c r="J120" s="671">
        <v>13706.06</v>
      </c>
      <c r="K120" s="670"/>
      <c r="L120" s="670" t="s">
        <v>8776</v>
      </c>
      <c r="M120" s="670" t="s">
        <v>8780</v>
      </c>
      <c r="N120" s="670" t="s">
        <v>8776</v>
      </c>
    </row>
    <row r="121" spans="1:14">
      <c r="A121" s="1066"/>
      <c r="B121" s="678">
        <v>45079</v>
      </c>
      <c r="C121" s="670" t="s">
        <v>8781</v>
      </c>
      <c r="D121" s="670" t="s">
        <v>2077</v>
      </c>
      <c r="E121" s="670" t="s">
        <v>8782</v>
      </c>
      <c r="F121" s="670" t="s">
        <v>8783</v>
      </c>
      <c r="G121" s="671" t="s">
        <v>529</v>
      </c>
      <c r="H121" s="671" t="s">
        <v>529</v>
      </c>
      <c r="I121" s="671"/>
      <c r="J121" s="671">
        <v>93489.55</v>
      </c>
      <c r="K121" s="670"/>
      <c r="L121" s="670" t="s">
        <v>8776</v>
      </c>
      <c r="M121" s="670" t="s">
        <v>8780</v>
      </c>
      <c r="N121" s="670" t="s">
        <v>8776</v>
      </c>
    </row>
    <row r="122" spans="1:14">
      <c r="A122" s="1066"/>
      <c r="B122" s="678">
        <v>45090</v>
      </c>
      <c r="C122" s="670" t="s">
        <v>8781</v>
      </c>
      <c r="D122" s="670" t="s">
        <v>2077</v>
      </c>
      <c r="E122" s="670" t="s">
        <v>8782</v>
      </c>
      <c r="F122" s="670" t="s">
        <v>8783</v>
      </c>
      <c r="G122" s="671" t="s">
        <v>529</v>
      </c>
      <c r="H122" s="671" t="s">
        <v>529</v>
      </c>
      <c r="I122" s="671"/>
      <c r="J122" s="671">
        <v>34449.5</v>
      </c>
      <c r="K122" s="670"/>
      <c r="L122" s="670" t="s">
        <v>8776</v>
      </c>
      <c r="M122" s="670" t="s">
        <v>8780</v>
      </c>
      <c r="N122" s="670" t="s">
        <v>8776</v>
      </c>
    </row>
    <row r="123" spans="1:14">
      <c r="A123" s="1066"/>
      <c r="B123" s="678">
        <v>45111</v>
      </c>
      <c r="C123" s="670" t="s">
        <v>8781</v>
      </c>
      <c r="D123" s="670" t="s">
        <v>2077</v>
      </c>
      <c r="E123" s="670" t="s">
        <v>8782</v>
      </c>
      <c r="F123" s="670" t="s">
        <v>8783</v>
      </c>
      <c r="G123" s="671" t="s">
        <v>529</v>
      </c>
      <c r="H123" s="671" t="s">
        <v>529</v>
      </c>
      <c r="I123" s="671"/>
      <c r="J123" s="671">
        <v>39018.699999999997</v>
      </c>
      <c r="K123" s="670"/>
      <c r="L123" s="670" t="s">
        <v>8776</v>
      </c>
      <c r="M123" s="670" t="s">
        <v>8780</v>
      </c>
      <c r="N123" s="670" t="s">
        <v>8776</v>
      </c>
    </row>
    <row r="124" spans="1:14">
      <c r="A124" s="1066"/>
      <c r="B124" s="678">
        <v>45114</v>
      </c>
      <c r="C124" s="670" t="s">
        <v>8781</v>
      </c>
      <c r="D124" s="670" t="s">
        <v>2077</v>
      </c>
      <c r="E124" s="670" t="s">
        <v>8782</v>
      </c>
      <c r="F124" s="670" t="s">
        <v>8783</v>
      </c>
      <c r="G124" s="671" t="s">
        <v>529</v>
      </c>
      <c r="H124" s="671" t="s">
        <v>529</v>
      </c>
      <c r="I124" s="671"/>
      <c r="J124" s="671">
        <v>166738.96</v>
      </c>
      <c r="K124" s="670"/>
      <c r="L124" s="670" t="s">
        <v>8776</v>
      </c>
      <c r="M124" s="670" t="s">
        <v>8780</v>
      </c>
      <c r="N124" s="670" t="s">
        <v>8776</v>
      </c>
    </row>
    <row r="125" spans="1:14">
      <c r="A125" s="1066"/>
      <c r="B125" s="678">
        <v>45121</v>
      </c>
      <c r="C125" s="670" t="s">
        <v>8781</v>
      </c>
      <c r="D125" s="670" t="s">
        <v>2077</v>
      </c>
      <c r="E125" s="670" t="s">
        <v>8782</v>
      </c>
      <c r="F125" s="670" t="s">
        <v>8783</v>
      </c>
      <c r="G125" s="671" t="s">
        <v>529</v>
      </c>
      <c r="H125" s="671" t="s">
        <v>529</v>
      </c>
      <c r="I125" s="671"/>
      <c r="J125" s="671">
        <v>29297.8</v>
      </c>
      <c r="K125" s="670"/>
      <c r="L125" s="670" t="s">
        <v>8776</v>
      </c>
      <c r="M125" s="670" t="s">
        <v>8780</v>
      </c>
      <c r="N125" s="670" t="s">
        <v>8776</v>
      </c>
    </row>
    <row r="126" spans="1:14">
      <c r="A126" s="1066"/>
      <c r="B126" s="678">
        <v>45127</v>
      </c>
      <c r="C126" s="670" t="s">
        <v>8781</v>
      </c>
      <c r="D126" s="670" t="s">
        <v>2077</v>
      </c>
      <c r="E126" s="670" t="s">
        <v>8782</v>
      </c>
      <c r="F126" s="670" t="s">
        <v>8783</v>
      </c>
      <c r="G126" s="671" t="s">
        <v>529</v>
      </c>
      <c r="H126" s="671" t="s">
        <v>529</v>
      </c>
      <c r="I126" s="671"/>
      <c r="J126" s="671">
        <v>19677.990000000002</v>
      </c>
      <c r="K126" s="670"/>
      <c r="L126" s="670" t="s">
        <v>8776</v>
      </c>
      <c r="M126" s="670" t="s">
        <v>8780</v>
      </c>
      <c r="N126" s="670" t="s">
        <v>8776</v>
      </c>
    </row>
    <row r="127" spans="1:14">
      <c r="A127" s="1066"/>
      <c r="B127" s="678">
        <v>45143</v>
      </c>
      <c r="C127" s="670" t="s">
        <v>8781</v>
      </c>
      <c r="D127" s="670" t="s">
        <v>2077</v>
      </c>
      <c r="E127" s="670" t="s">
        <v>8782</v>
      </c>
      <c r="F127" s="670" t="s">
        <v>8783</v>
      </c>
      <c r="G127" s="671" t="s">
        <v>529</v>
      </c>
      <c r="H127" s="671" t="s">
        <v>529</v>
      </c>
      <c r="I127" s="671"/>
      <c r="J127" s="671">
        <v>70370.39</v>
      </c>
      <c r="K127" s="670"/>
      <c r="L127" s="670" t="s">
        <v>8776</v>
      </c>
      <c r="M127" s="670" t="s">
        <v>8780</v>
      </c>
      <c r="N127" s="670" t="s">
        <v>8776</v>
      </c>
    </row>
    <row r="128" spans="1:14">
      <c r="A128" s="1066"/>
      <c r="B128" s="678">
        <v>45152</v>
      </c>
      <c r="C128" s="670" t="s">
        <v>8781</v>
      </c>
      <c r="D128" s="670" t="s">
        <v>2077</v>
      </c>
      <c r="E128" s="670" t="s">
        <v>8782</v>
      </c>
      <c r="F128" s="670" t="s">
        <v>8783</v>
      </c>
      <c r="G128" s="671" t="s">
        <v>529</v>
      </c>
      <c r="H128" s="671" t="s">
        <v>529</v>
      </c>
      <c r="I128" s="671"/>
      <c r="J128" s="671">
        <v>35079.54</v>
      </c>
      <c r="K128" s="670"/>
      <c r="L128" s="670" t="s">
        <v>8776</v>
      </c>
      <c r="M128" s="670" t="s">
        <v>8780</v>
      </c>
      <c r="N128" s="670" t="s">
        <v>8776</v>
      </c>
    </row>
    <row r="129" spans="1:14">
      <c r="A129" s="1066"/>
      <c r="B129" s="678">
        <v>45152</v>
      </c>
      <c r="C129" s="670" t="s">
        <v>8781</v>
      </c>
      <c r="D129" s="670" t="s">
        <v>2077</v>
      </c>
      <c r="E129" s="670" t="s">
        <v>8782</v>
      </c>
      <c r="F129" s="670" t="s">
        <v>8783</v>
      </c>
      <c r="G129" s="671" t="s">
        <v>529</v>
      </c>
      <c r="H129" s="671" t="s">
        <v>529</v>
      </c>
      <c r="I129" s="671"/>
      <c r="J129" s="671">
        <v>68960.14</v>
      </c>
      <c r="K129" s="670"/>
      <c r="L129" s="670" t="s">
        <v>8776</v>
      </c>
      <c r="M129" s="670" t="s">
        <v>8780</v>
      </c>
      <c r="N129" s="670" t="s">
        <v>8776</v>
      </c>
    </row>
    <row r="130" spans="1:14">
      <c r="A130" s="1066"/>
      <c r="B130" s="678">
        <v>45173</v>
      </c>
      <c r="C130" s="670" t="s">
        <v>8781</v>
      </c>
      <c r="D130" s="670" t="s">
        <v>2077</v>
      </c>
      <c r="E130" s="670" t="s">
        <v>8782</v>
      </c>
      <c r="F130" s="670" t="s">
        <v>8783</v>
      </c>
      <c r="G130" s="671" t="s">
        <v>529</v>
      </c>
      <c r="H130" s="671" t="s">
        <v>529</v>
      </c>
      <c r="I130" s="671"/>
      <c r="J130" s="671">
        <v>36956.35</v>
      </c>
      <c r="K130" s="670"/>
      <c r="L130" s="670" t="s">
        <v>8776</v>
      </c>
      <c r="M130" s="670" t="s">
        <v>8780</v>
      </c>
      <c r="N130" s="670" t="s">
        <v>8776</v>
      </c>
    </row>
    <row r="131" spans="1:14">
      <c r="A131" s="1066"/>
      <c r="B131" s="678">
        <v>45177</v>
      </c>
      <c r="C131" s="670" t="s">
        <v>8781</v>
      </c>
      <c r="D131" s="670" t="s">
        <v>2077</v>
      </c>
      <c r="E131" s="670" t="s">
        <v>8782</v>
      </c>
      <c r="F131" s="670" t="s">
        <v>8783</v>
      </c>
      <c r="G131" s="671" t="s">
        <v>529</v>
      </c>
      <c r="H131" s="671" t="s">
        <v>529</v>
      </c>
      <c r="I131" s="671"/>
      <c r="J131" s="671">
        <v>125670.43</v>
      </c>
      <c r="K131" s="670"/>
      <c r="L131" s="670" t="s">
        <v>8776</v>
      </c>
      <c r="M131" s="670" t="s">
        <v>8780</v>
      </c>
      <c r="N131" s="670" t="s">
        <v>8776</v>
      </c>
    </row>
    <row r="132" spans="1:14">
      <c r="A132" s="1066"/>
      <c r="B132" s="678">
        <v>45184</v>
      </c>
      <c r="C132" s="670" t="s">
        <v>8781</v>
      </c>
      <c r="D132" s="670" t="s">
        <v>2077</v>
      </c>
      <c r="E132" s="670" t="s">
        <v>8782</v>
      </c>
      <c r="F132" s="670" t="s">
        <v>8783</v>
      </c>
      <c r="G132" s="671" t="s">
        <v>529</v>
      </c>
      <c r="H132" s="671" t="s">
        <v>529</v>
      </c>
      <c r="I132" s="671"/>
      <c r="J132" s="671">
        <v>17325.43</v>
      </c>
      <c r="K132" s="670"/>
      <c r="L132" s="670" t="s">
        <v>8776</v>
      </c>
      <c r="M132" s="670" t="s">
        <v>8780</v>
      </c>
      <c r="N132" s="670" t="s">
        <v>8776</v>
      </c>
    </row>
    <row r="133" spans="1:14">
      <c r="A133" s="1066"/>
      <c r="B133" s="678">
        <v>45198</v>
      </c>
      <c r="C133" s="670" t="s">
        <v>8781</v>
      </c>
      <c r="D133" s="670" t="s">
        <v>2077</v>
      </c>
      <c r="E133" s="670" t="s">
        <v>8782</v>
      </c>
      <c r="F133" s="670" t="s">
        <v>8783</v>
      </c>
      <c r="G133" s="671" t="s">
        <v>529</v>
      </c>
      <c r="H133" s="671" t="s">
        <v>529</v>
      </c>
      <c r="I133" s="671"/>
      <c r="J133" s="671">
        <v>67414.12</v>
      </c>
      <c r="K133" s="670"/>
      <c r="L133" s="670" t="s">
        <v>8776</v>
      </c>
      <c r="M133" s="670" t="s">
        <v>8780</v>
      </c>
      <c r="N133" s="670" t="s">
        <v>8776</v>
      </c>
    </row>
    <row r="134" spans="1:14">
      <c r="A134" s="1066"/>
      <c r="B134" s="678">
        <v>45219</v>
      </c>
      <c r="C134" s="670" t="s">
        <v>8781</v>
      </c>
      <c r="D134" s="670" t="s">
        <v>2077</v>
      </c>
      <c r="E134" s="670" t="s">
        <v>8782</v>
      </c>
      <c r="F134" s="670" t="s">
        <v>8783</v>
      </c>
      <c r="G134" s="671" t="s">
        <v>529</v>
      </c>
      <c r="H134" s="671" t="s">
        <v>529</v>
      </c>
      <c r="I134" s="671"/>
      <c r="J134" s="671">
        <v>20674.25</v>
      </c>
      <c r="K134" s="670"/>
      <c r="L134" s="670" t="s">
        <v>8776</v>
      </c>
      <c r="M134" s="670" t="s">
        <v>8780</v>
      </c>
      <c r="N134" s="670" t="s">
        <v>8776</v>
      </c>
    </row>
    <row r="135" spans="1:14">
      <c r="A135" s="1066"/>
      <c r="B135" s="678">
        <v>45236</v>
      </c>
      <c r="C135" s="670" t="s">
        <v>8781</v>
      </c>
      <c r="D135" s="670" t="s">
        <v>2077</v>
      </c>
      <c r="E135" s="670" t="s">
        <v>8782</v>
      </c>
      <c r="F135" s="670" t="s">
        <v>8783</v>
      </c>
      <c r="G135" s="671" t="s">
        <v>529</v>
      </c>
      <c r="H135" s="671" t="s">
        <v>529</v>
      </c>
      <c r="I135" s="671"/>
      <c r="J135" s="671">
        <v>49665.72</v>
      </c>
      <c r="K135" s="670"/>
      <c r="L135" s="670" t="s">
        <v>8776</v>
      </c>
      <c r="M135" s="670" t="s">
        <v>8780</v>
      </c>
      <c r="N135" s="670" t="s">
        <v>8776</v>
      </c>
    </row>
    <row r="136" spans="1:14">
      <c r="A136" s="1066"/>
      <c r="B136" s="678">
        <v>45239</v>
      </c>
      <c r="C136" s="670" t="s">
        <v>8781</v>
      </c>
      <c r="D136" s="670" t="s">
        <v>2077</v>
      </c>
      <c r="E136" s="670" t="s">
        <v>8782</v>
      </c>
      <c r="F136" s="670" t="s">
        <v>8783</v>
      </c>
      <c r="G136" s="671" t="s">
        <v>529</v>
      </c>
      <c r="H136" s="671" t="s">
        <v>529</v>
      </c>
      <c r="I136" s="671"/>
      <c r="J136" s="671">
        <v>1161.4100000000001</v>
      </c>
      <c r="K136" s="670"/>
      <c r="L136" s="670" t="s">
        <v>8776</v>
      </c>
      <c r="M136" s="670" t="s">
        <v>8780</v>
      </c>
      <c r="N136" s="670" t="s">
        <v>8776</v>
      </c>
    </row>
    <row r="137" spans="1:14">
      <c r="A137" s="1066"/>
      <c r="B137" s="678">
        <v>45240</v>
      </c>
      <c r="C137" s="670" t="s">
        <v>8781</v>
      </c>
      <c r="D137" s="670" t="s">
        <v>2077</v>
      </c>
      <c r="E137" s="670" t="s">
        <v>8782</v>
      </c>
      <c r="F137" s="670" t="s">
        <v>8783</v>
      </c>
      <c r="G137" s="671" t="s">
        <v>529</v>
      </c>
      <c r="H137" s="671" t="s">
        <v>529</v>
      </c>
      <c r="I137" s="671"/>
      <c r="J137" s="671">
        <v>85365.32</v>
      </c>
      <c r="K137" s="670"/>
      <c r="L137" s="670" t="s">
        <v>8776</v>
      </c>
      <c r="M137" s="670" t="s">
        <v>8780</v>
      </c>
      <c r="N137" s="670" t="s">
        <v>8776</v>
      </c>
    </row>
    <row r="138" spans="1:14">
      <c r="A138" s="1066"/>
      <c r="B138" s="678">
        <v>45240</v>
      </c>
      <c r="C138" s="670" t="s">
        <v>8781</v>
      </c>
      <c r="D138" s="670" t="s">
        <v>2077</v>
      </c>
      <c r="E138" s="670" t="s">
        <v>8782</v>
      </c>
      <c r="F138" s="670" t="s">
        <v>8783</v>
      </c>
      <c r="G138" s="671" t="s">
        <v>529</v>
      </c>
      <c r="H138" s="671" t="s">
        <v>529</v>
      </c>
      <c r="I138" s="671"/>
      <c r="J138" s="671">
        <v>88175.23</v>
      </c>
      <c r="K138" s="670"/>
      <c r="L138" s="670" t="s">
        <v>8776</v>
      </c>
      <c r="M138" s="670" t="s">
        <v>8780</v>
      </c>
      <c r="N138" s="670" t="s">
        <v>8776</v>
      </c>
    </row>
    <row r="139" spans="1:14">
      <c r="A139" s="1066"/>
      <c r="B139" s="678">
        <v>45255</v>
      </c>
      <c r="C139" s="670" t="s">
        <v>8781</v>
      </c>
      <c r="D139" s="670" t="s">
        <v>2077</v>
      </c>
      <c r="E139" s="670" t="s">
        <v>8782</v>
      </c>
      <c r="F139" s="670" t="s">
        <v>8783</v>
      </c>
      <c r="G139" s="671" t="s">
        <v>529</v>
      </c>
      <c r="H139" s="671" t="s">
        <v>529</v>
      </c>
      <c r="I139" s="671"/>
      <c r="J139" s="671">
        <v>52257.26</v>
      </c>
      <c r="K139" s="670"/>
      <c r="L139" s="670" t="s">
        <v>8776</v>
      </c>
      <c r="M139" s="670" t="s">
        <v>8780</v>
      </c>
      <c r="N139" s="670" t="s">
        <v>8776</v>
      </c>
    </row>
    <row r="140" spans="1:14">
      <c r="A140" s="1066"/>
      <c r="B140" s="678">
        <v>45267</v>
      </c>
      <c r="C140" s="670" t="s">
        <v>8781</v>
      </c>
      <c r="D140" s="670" t="s">
        <v>2077</v>
      </c>
      <c r="E140" s="670" t="s">
        <v>8782</v>
      </c>
      <c r="F140" s="670" t="s">
        <v>8783</v>
      </c>
      <c r="G140" s="671" t="s">
        <v>529</v>
      </c>
      <c r="H140" s="671" t="s">
        <v>529</v>
      </c>
      <c r="I140" s="671"/>
      <c r="J140" s="671">
        <v>112638.74</v>
      </c>
      <c r="K140" s="670"/>
      <c r="L140" s="670" t="s">
        <v>8776</v>
      </c>
      <c r="M140" s="670" t="s">
        <v>8780</v>
      </c>
      <c r="N140" s="670" t="s">
        <v>8776</v>
      </c>
    </row>
    <row r="141" spans="1:14">
      <c r="A141" s="1066"/>
      <c r="B141" s="678">
        <v>45267</v>
      </c>
      <c r="C141" s="670" t="s">
        <v>8781</v>
      </c>
      <c r="D141" s="670" t="s">
        <v>2077</v>
      </c>
      <c r="E141" s="670" t="s">
        <v>8782</v>
      </c>
      <c r="F141" s="670" t="s">
        <v>8783</v>
      </c>
      <c r="G141" s="671" t="s">
        <v>529</v>
      </c>
      <c r="H141" s="671" t="s">
        <v>529</v>
      </c>
      <c r="I141" s="671"/>
      <c r="J141" s="671">
        <v>68507.25</v>
      </c>
      <c r="K141" s="670"/>
      <c r="L141" s="670" t="s">
        <v>8776</v>
      </c>
      <c r="M141" s="670" t="s">
        <v>8780</v>
      </c>
      <c r="N141" s="670" t="s">
        <v>8776</v>
      </c>
    </row>
    <row r="142" spans="1:14">
      <c r="A142" s="1066"/>
      <c r="B142" s="678">
        <v>45273</v>
      </c>
      <c r="C142" s="670" t="s">
        <v>8781</v>
      </c>
      <c r="D142" s="670" t="s">
        <v>2077</v>
      </c>
      <c r="E142" s="670" t="s">
        <v>8782</v>
      </c>
      <c r="F142" s="670" t="s">
        <v>8783</v>
      </c>
      <c r="G142" s="671" t="s">
        <v>529</v>
      </c>
      <c r="H142" s="671" t="s">
        <v>529</v>
      </c>
      <c r="I142" s="671"/>
      <c r="J142" s="671">
        <v>30175.63</v>
      </c>
      <c r="K142" s="670"/>
      <c r="L142" s="670" t="s">
        <v>8776</v>
      </c>
      <c r="M142" s="670" t="s">
        <v>8780</v>
      </c>
      <c r="N142" s="670" t="s">
        <v>8776</v>
      </c>
    </row>
    <row r="143" spans="1:14">
      <c r="A143" s="1066"/>
      <c r="B143" s="678">
        <v>45282</v>
      </c>
      <c r="C143" s="670" t="s">
        <v>8781</v>
      </c>
      <c r="D143" s="670" t="s">
        <v>2077</v>
      </c>
      <c r="E143" s="670" t="s">
        <v>8782</v>
      </c>
      <c r="F143" s="670" t="s">
        <v>8783</v>
      </c>
      <c r="G143" s="671" t="s">
        <v>529</v>
      </c>
      <c r="H143" s="671" t="s">
        <v>529</v>
      </c>
      <c r="I143" s="671"/>
      <c r="J143" s="671">
        <v>215714.82</v>
      </c>
      <c r="K143" s="670"/>
      <c r="L143" s="670" t="s">
        <v>8776</v>
      </c>
      <c r="M143" s="670" t="s">
        <v>8780</v>
      </c>
      <c r="N143" s="670" t="s">
        <v>8776</v>
      </c>
    </row>
    <row r="144" spans="1:14">
      <c r="A144" s="1066"/>
      <c r="B144" s="678">
        <v>45288</v>
      </c>
      <c r="C144" s="670" t="s">
        <v>8781</v>
      </c>
      <c r="D144" s="670" t="s">
        <v>2077</v>
      </c>
      <c r="E144" s="670" t="s">
        <v>8782</v>
      </c>
      <c r="F144" s="670" t="s">
        <v>8783</v>
      </c>
      <c r="G144" s="671" t="s">
        <v>529</v>
      </c>
      <c r="H144" s="671" t="s">
        <v>529</v>
      </c>
      <c r="I144" s="671"/>
      <c r="J144" s="671">
        <v>38074.239999999998</v>
      </c>
      <c r="K144" s="670"/>
      <c r="L144" s="670" t="s">
        <v>8776</v>
      </c>
      <c r="M144" s="670" t="s">
        <v>8780</v>
      </c>
      <c r="N144" s="670" t="s">
        <v>8776</v>
      </c>
    </row>
    <row r="145" spans="1:14">
      <c r="A145" s="1066"/>
      <c r="B145" s="678">
        <v>45288</v>
      </c>
      <c r="C145" s="670" t="s">
        <v>8781</v>
      </c>
      <c r="D145" s="670" t="s">
        <v>2077</v>
      </c>
      <c r="E145" s="670" t="s">
        <v>8782</v>
      </c>
      <c r="F145" s="670" t="s">
        <v>8783</v>
      </c>
      <c r="G145" s="671" t="s">
        <v>529</v>
      </c>
      <c r="H145" s="671" t="s">
        <v>529</v>
      </c>
      <c r="I145" s="671"/>
      <c r="J145" s="671">
        <v>26877.55</v>
      </c>
      <c r="K145" s="670"/>
      <c r="L145" s="670" t="s">
        <v>8776</v>
      </c>
      <c r="M145" s="670" t="s">
        <v>8780</v>
      </c>
      <c r="N145" s="670" t="s">
        <v>8776</v>
      </c>
    </row>
    <row r="146" spans="1:14">
      <c r="A146" s="1066"/>
      <c r="B146" s="678">
        <v>44929</v>
      </c>
      <c r="C146" s="670" t="s">
        <v>8784</v>
      </c>
      <c r="D146" s="670" t="s">
        <v>2077</v>
      </c>
      <c r="E146" s="670" t="s">
        <v>8785</v>
      </c>
      <c r="F146" s="670" t="s">
        <v>8786</v>
      </c>
      <c r="G146" s="671" t="s">
        <v>529</v>
      </c>
      <c r="H146" s="671" t="s">
        <v>529</v>
      </c>
      <c r="I146" s="671"/>
      <c r="J146" s="671">
        <v>19769.830000000002</v>
      </c>
      <c r="K146" s="670"/>
      <c r="L146" s="670" t="s">
        <v>8776</v>
      </c>
      <c r="M146" s="670" t="s">
        <v>8787</v>
      </c>
      <c r="N146" s="670" t="s">
        <v>8776</v>
      </c>
    </row>
    <row r="147" spans="1:14">
      <c r="A147" s="1066"/>
      <c r="B147" s="678">
        <v>44933</v>
      </c>
      <c r="C147" s="670" t="s">
        <v>8784</v>
      </c>
      <c r="D147" s="670" t="s">
        <v>2077</v>
      </c>
      <c r="E147" s="670" t="s">
        <v>8785</v>
      </c>
      <c r="F147" s="670" t="s">
        <v>8786</v>
      </c>
      <c r="G147" s="671" t="s">
        <v>529</v>
      </c>
      <c r="H147" s="671" t="s">
        <v>529</v>
      </c>
      <c r="I147" s="671"/>
      <c r="J147" s="671">
        <v>39941.51</v>
      </c>
      <c r="K147" s="670"/>
      <c r="L147" s="670" t="s">
        <v>8776</v>
      </c>
      <c r="M147" s="670" t="s">
        <v>8787</v>
      </c>
      <c r="N147" s="670" t="s">
        <v>8776</v>
      </c>
    </row>
    <row r="148" spans="1:14">
      <c r="A148" s="1066"/>
      <c r="B148" s="678">
        <v>44933</v>
      </c>
      <c r="C148" s="670" t="s">
        <v>8784</v>
      </c>
      <c r="D148" s="670" t="s">
        <v>2077</v>
      </c>
      <c r="E148" s="670" t="s">
        <v>8785</v>
      </c>
      <c r="F148" s="670" t="s">
        <v>8786</v>
      </c>
      <c r="G148" s="671" t="s">
        <v>529</v>
      </c>
      <c r="H148" s="671" t="s">
        <v>529</v>
      </c>
      <c r="I148" s="671"/>
      <c r="J148" s="671">
        <v>37570.97</v>
      </c>
      <c r="K148" s="670"/>
      <c r="L148" s="670" t="s">
        <v>8776</v>
      </c>
      <c r="M148" s="670" t="s">
        <v>8787</v>
      </c>
      <c r="N148" s="670" t="s">
        <v>8776</v>
      </c>
    </row>
    <row r="149" spans="1:14">
      <c r="A149" s="1066"/>
      <c r="B149" s="678">
        <v>44949</v>
      </c>
      <c r="C149" s="670" t="s">
        <v>8784</v>
      </c>
      <c r="D149" s="670" t="s">
        <v>2077</v>
      </c>
      <c r="E149" s="670" t="s">
        <v>8785</v>
      </c>
      <c r="F149" s="670" t="s">
        <v>8786</v>
      </c>
      <c r="G149" s="671" t="s">
        <v>529</v>
      </c>
      <c r="H149" s="671" t="s">
        <v>529</v>
      </c>
      <c r="I149" s="671"/>
      <c r="J149" s="671">
        <v>13687.44</v>
      </c>
      <c r="K149" s="670"/>
      <c r="L149" s="670" t="s">
        <v>8776</v>
      </c>
      <c r="M149" s="670" t="s">
        <v>8787</v>
      </c>
      <c r="N149" s="670" t="s">
        <v>8776</v>
      </c>
    </row>
    <row r="150" spans="1:14">
      <c r="A150" s="1066"/>
      <c r="B150" s="678">
        <v>45002</v>
      </c>
      <c r="C150" s="670" t="s">
        <v>8784</v>
      </c>
      <c r="D150" s="670" t="s">
        <v>2077</v>
      </c>
      <c r="E150" s="670" t="s">
        <v>8785</v>
      </c>
      <c r="F150" s="670" t="s">
        <v>8786</v>
      </c>
      <c r="G150" s="671" t="s">
        <v>529</v>
      </c>
      <c r="H150" s="671" t="s">
        <v>529</v>
      </c>
      <c r="I150" s="671"/>
      <c r="J150" s="671">
        <v>224207.18</v>
      </c>
      <c r="K150" s="670"/>
      <c r="L150" s="670" t="s">
        <v>8776</v>
      </c>
      <c r="M150" s="670" t="s">
        <v>8787</v>
      </c>
      <c r="N150" s="670" t="s">
        <v>8776</v>
      </c>
    </row>
    <row r="151" spans="1:14">
      <c r="A151" s="1066"/>
      <c r="B151" s="678">
        <v>45013</v>
      </c>
      <c r="C151" s="670" t="s">
        <v>8784</v>
      </c>
      <c r="D151" s="670" t="s">
        <v>2077</v>
      </c>
      <c r="E151" s="670" t="s">
        <v>8785</v>
      </c>
      <c r="F151" s="670" t="s">
        <v>8786</v>
      </c>
      <c r="G151" s="671" t="s">
        <v>529</v>
      </c>
      <c r="H151" s="671" t="s">
        <v>529</v>
      </c>
      <c r="I151" s="671"/>
      <c r="J151" s="671">
        <v>31635.91</v>
      </c>
      <c r="K151" s="670"/>
      <c r="L151" s="670" t="s">
        <v>8776</v>
      </c>
      <c r="M151" s="670" t="s">
        <v>8787</v>
      </c>
      <c r="N151" s="670" t="s">
        <v>8776</v>
      </c>
    </row>
    <row r="152" spans="1:14">
      <c r="A152" s="1066"/>
      <c r="B152" s="678">
        <v>45016</v>
      </c>
      <c r="C152" s="670" t="s">
        <v>8784</v>
      </c>
      <c r="D152" s="670" t="s">
        <v>2077</v>
      </c>
      <c r="E152" s="670" t="s">
        <v>8785</v>
      </c>
      <c r="F152" s="670" t="s">
        <v>8786</v>
      </c>
      <c r="G152" s="671" t="s">
        <v>529</v>
      </c>
      <c r="H152" s="671" t="s">
        <v>529</v>
      </c>
      <c r="I152" s="671"/>
      <c r="J152" s="671">
        <v>30975.52</v>
      </c>
      <c r="K152" s="670"/>
      <c r="L152" s="670" t="s">
        <v>8776</v>
      </c>
      <c r="M152" s="670" t="s">
        <v>8787</v>
      </c>
      <c r="N152" s="670" t="s">
        <v>8776</v>
      </c>
    </row>
    <row r="153" spans="1:14">
      <c r="A153" s="1066"/>
      <c r="B153" s="678">
        <v>45019</v>
      </c>
      <c r="C153" s="670" t="s">
        <v>8784</v>
      </c>
      <c r="D153" s="670" t="s">
        <v>2077</v>
      </c>
      <c r="E153" s="670" t="s">
        <v>8785</v>
      </c>
      <c r="F153" s="670" t="s">
        <v>8786</v>
      </c>
      <c r="G153" s="671" t="s">
        <v>529</v>
      </c>
      <c r="H153" s="671" t="s">
        <v>529</v>
      </c>
      <c r="I153" s="671"/>
      <c r="J153" s="671">
        <v>2133.98</v>
      </c>
      <c r="K153" s="670"/>
      <c r="L153" s="670" t="s">
        <v>8776</v>
      </c>
      <c r="M153" s="670" t="s">
        <v>8787</v>
      </c>
      <c r="N153" s="670" t="s">
        <v>8776</v>
      </c>
    </row>
    <row r="154" spans="1:14">
      <c r="A154" s="1066"/>
      <c r="B154" s="678">
        <v>45021</v>
      </c>
      <c r="C154" s="670" t="s">
        <v>8784</v>
      </c>
      <c r="D154" s="670" t="s">
        <v>2077</v>
      </c>
      <c r="E154" s="670" t="s">
        <v>8785</v>
      </c>
      <c r="F154" s="670" t="s">
        <v>8786</v>
      </c>
      <c r="G154" s="671" t="s">
        <v>529</v>
      </c>
      <c r="H154" s="671" t="s">
        <v>529</v>
      </c>
      <c r="I154" s="671"/>
      <c r="J154" s="671">
        <v>40948.26</v>
      </c>
      <c r="K154" s="670"/>
      <c r="L154" s="670" t="s">
        <v>8776</v>
      </c>
      <c r="M154" s="670" t="s">
        <v>8787</v>
      </c>
      <c r="N154" s="670" t="s">
        <v>8776</v>
      </c>
    </row>
    <row r="155" spans="1:14">
      <c r="A155" s="1066"/>
      <c r="B155" s="678">
        <v>45037</v>
      </c>
      <c r="C155" s="670" t="s">
        <v>8784</v>
      </c>
      <c r="D155" s="670" t="s">
        <v>2077</v>
      </c>
      <c r="E155" s="670" t="s">
        <v>8785</v>
      </c>
      <c r="F155" s="670" t="s">
        <v>8786</v>
      </c>
      <c r="G155" s="671" t="s">
        <v>529</v>
      </c>
      <c r="H155" s="671" t="s">
        <v>529</v>
      </c>
      <c r="I155" s="671"/>
      <c r="J155" s="671">
        <v>7885.61</v>
      </c>
      <c r="K155" s="670"/>
      <c r="L155" s="670" t="s">
        <v>8776</v>
      </c>
      <c r="M155" s="670" t="s">
        <v>8787</v>
      </c>
      <c r="N155" s="670" t="s">
        <v>8776</v>
      </c>
    </row>
    <row r="156" spans="1:14">
      <c r="A156" s="1066"/>
      <c r="B156" s="678">
        <v>45044</v>
      </c>
      <c r="C156" s="670" t="s">
        <v>8784</v>
      </c>
      <c r="D156" s="670" t="s">
        <v>2077</v>
      </c>
      <c r="E156" s="670" t="s">
        <v>8785</v>
      </c>
      <c r="F156" s="670" t="s">
        <v>8786</v>
      </c>
      <c r="G156" s="671" t="s">
        <v>529</v>
      </c>
      <c r="H156" s="671" t="s">
        <v>529</v>
      </c>
      <c r="I156" s="671"/>
      <c r="J156" s="671">
        <v>18501.560000000001</v>
      </c>
      <c r="K156" s="670"/>
      <c r="L156" s="670" t="s">
        <v>8776</v>
      </c>
      <c r="M156" s="670" t="s">
        <v>8787</v>
      </c>
      <c r="N156" s="670" t="s">
        <v>8776</v>
      </c>
    </row>
    <row r="157" spans="1:14">
      <c r="A157" s="1066"/>
      <c r="B157" s="678">
        <v>45044</v>
      </c>
      <c r="C157" s="670" t="s">
        <v>8784</v>
      </c>
      <c r="D157" s="670" t="s">
        <v>2077</v>
      </c>
      <c r="E157" s="670" t="s">
        <v>8785</v>
      </c>
      <c r="F157" s="670" t="s">
        <v>8786</v>
      </c>
      <c r="G157" s="671" t="s">
        <v>529</v>
      </c>
      <c r="H157" s="671" t="s">
        <v>529</v>
      </c>
      <c r="I157" s="671"/>
      <c r="J157" s="671">
        <v>19662.39</v>
      </c>
      <c r="K157" s="670"/>
      <c r="L157" s="670" t="s">
        <v>8776</v>
      </c>
      <c r="M157" s="670" t="s">
        <v>8787</v>
      </c>
      <c r="N157" s="670" t="s">
        <v>8776</v>
      </c>
    </row>
    <row r="158" spans="1:14">
      <c r="A158" s="1066"/>
      <c r="B158" s="678">
        <v>45054</v>
      </c>
      <c r="C158" s="670" t="s">
        <v>8784</v>
      </c>
      <c r="D158" s="670" t="s">
        <v>2077</v>
      </c>
      <c r="E158" s="670" t="s">
        <v>8785</v>
      </c>
      <c r="F158" s="670" t="s">
        <v>8786</v>
      </c>
      <c r="G158" s="671" t="s">
        <v>529</v>
      </c>
      <c r="H158" s="671" t="s">
        <v>529</v>
      </c>
      <c r="I158" s="671"/>
      <c r="J158" s="671">
        <v>38381</v>
      </c>
      <c r="K158" s="670"/>
      <c r="L158" s="670" t="s">
        <v>8776</v>
      </c>
      <c r="M158" s="670" t="s">
        <v>8787</v>
      </c>
      <c r="N158" s="670" t="s">
        <v>8776</v>
      </c>
    </row>
    <row r="159" spans="1:14">
      <c r="A159" s="1066"/>
      <c r="B159" s="678">
        <v>45065</v>
      </c>
      <c r="C159" s="670" t="s">
        <v>8784</v>
      </c>
      <c r="D159" s="670" t="s">
        <v>2077</v>
      </c>
      <c r="E159" s="670" t="s">
        <v>8785</v>
      </c>
      <c r="F159" s="670" t="s">
        <v>8786</v>
      </c>
      <c r="G159" s="671" t="s">
        <v>529</v>
      </c>
      <c r="H159" s="671" t="s">
        <v>529</v>
      </c>
      <c r="I159" s="671"/>
      <c r="J159" s="671">
        <v>4528.84</v>
      </c>
      <c r="K159" s="670"/>
      <c r="L159" s="670" t="s">
        <v>8776</v>
      </c>
      <c r="M159" s="670" t="s">
        <v>8787</v>
      </c>
      <c r="N159" s="670" t="s">
        <v>8776</v>
      </c>
    </row>
    <row r="160" spans="1:14">
      <c r="A160" s="1066"/>
      <c r="B160" s="678">
        <v>45069</v>
      </c>
      <c r="C160" s="670" t="s">
        <v>8784</v>
      </c>
      <c r="D160" s="670" t="s">
        <v>2077</v>
      </c>
      <c r="E160" s="670" t="s">
        <v>8785</v>
      </c>
      <c r="F160" s="670" t="s">
        <v>8786</v>
      </c>
      <c r="G160" s="671" t="s">
        <v>529</v>
      </c>
      <c r="H160" s="671" t="s">
        <v>529</v>
      </c>
      <c r="I160" s="671"/>
      <c r="J160" s="671">
        <v>6098.83</v>
      </c>
      <c r="K160" s="670"/>
      <c r="L160" s="670" t="s">
        <v>8776</v>
      </c>
      <c r="M160" s="670" t="s">
        <v>8787</v>
      </c>
      <c r="N160" s="670" t="s">
        <v>8776</v>
      </c>
    </row>
    <row r="161" spans="1:14">
      <c r="A161" s="1066"/>
      <c r="B161" s="678">
        <v>45079</v>
      </c>
      <c r="C161" s="670" t="s">
        <v>8784</v>
      </c>
      <c r="D161" s="670" t="s">
        <v>2077</v>
      </c>
      <c r="E161" s="670" t="s">
        <v>8785</v>
      </c>
      <c r="F161" s="670" t="s">
        <v>8786</v>
      </c>
      <c r="G161" s="671" t="s">
        <v>529</v>
      </c>
      <c r="H161" s="671" t="s">
        <v>529</v>
      </c>
      <c r="I161" s="671"/>
      <c r="J161" s="671">
        <v>4568.68</v>
      </c>
      <c r="K161" s="670"/>
      <c r="L161" s="670" t="s">
        <v>8776</v>
      </c>
      <c r="M161" s="670" t="s">
        <v>8787</v>
      </c>
      <c r="N161" s="670" t="s">
        <v>8776</v>
      </c>
    </row>
    <row r="162" spans="1:14">
      <c r="A162" s="1066"/>
      <c r="B162" s="678">
        <v>45079</v>
      </c>
      <c r="C162" s="670" t="s">
        <v>8784</v>
      </c>
      <c r="D162" s="670" t="s">
        <v>2077</v>
      </c>
      <c r="E162" s="670" t="s">
        <v>8785</v>
      </c>
      <c r="F162" s="670" t="s">
        <v>8786</v>
      </c>
      <c r="G162" s="671" t="s">
        <v>529</v>
      </c>
      <c r="H162" s="671" t="s">
        <v>529</v>
      </c>
      <c r="I162" s="671"/>
      <c r="J162" s="671">
        <v>31163.18</v>
      </c>
      <c r="K162" s="670"/>
      <c r="L162" s="670" t="s">
        <v>8776</v>
      </c>
      <c r="M162" s="670" t="s">
        <v>8787</v>
      </c>
      <c r="N162" s="670" t="s">
        <v>8776</v>
      </c>
    </row>
    <row r="163" spans="1:14">
      <c r="A163" s="1066"/>
      <c r="B163" s="678">
        <v>45090</v>
      </c>
      <c r="C163" s="670" t="s">
        <v>8784</v>
      </c>
      <c r="D163" s="670" t="s">
        <v>2077</v>
      </c>
      <c r="E163" s="670" t="s">
        <v>8785</v>
      </c>
      <c r="F163" s="670" t="s">
        <v>8786</v>
      </c>
      <c r="G163" s="671" t="s">
        <v>529</v>
      </c>
      <c r="H163" s="671" t="s">
        <v>529</v>
      </c>
      <c r="I163" s="671"/>
      <c r="J163" s="671">
        <v>11483.16</v>
      </c>
      <c r="K163" s="670"/>
      <c r="L163" s="670" t="s">
        <v>8776</v>
      </c>
      <c r="M163" s="670" t="s">
        <v>8787</v>
      </c>
      <c r="N163" s="670" t="s">
        <v>8776</v>
      </c>
    </row>
    <row r="164" spans="1:14">
      <c r="A164" s="1066"/>
      <c r="B164" s="678">
        <v>45111</v>
      </c>
      <c r="C164" s="670" t="s">
        <v>8784</v>
      </c>
      <c r="D164" s="670" t="s">
        <v>2077</v>
      </c>
      <c r="E164" s="670" t="s">
        <v>8785</v>
      </c>
      <c r="F164" s="670" t="s">
        <v>8786</v>
      </c>
      <c r="G164" s="671" t="s">
        <v>529</v>
      </c>
      <c r="H164" s="671" t="s">
        <v>529</v>
      </c>
      <c r="I164" s="671"/>
      <c r="J164" s="671">
        <v>13006.23</v>
      </c>
      <c r="K164" s="670"/>
      <c r="L164" s="670" t="s">
        <v>8776</v>
      </c>
      <c r="M164" s="670" t="s">
        <v>8787</v>
      </c>
      <c r="N164" s="670" t="s">
        <v>8776</v>
      </c>
    </row>
    <row r="165" spans="1:14">
      <c r="A165" s="1066"/>
      <c r="B165" s="678">
        <v>45114</v>
      </c>
      <c r="C165" s="670" t="s">
        <v>8784</v>
      </c>
      <c r="D165" s="670" t="s">
        <v>2077</v>
      </c>
      <c r="E165" s="670" t="s">
        <v>8785</v>
      </c>
      <c r="F165" s="670" t="s">
        <v>8786</v>
      </c>
      <c r="G165" s="671" t="s">
        <v>529</v>
      </c>
      <c r="H165" s="671" t="s">
        <v>529</v>
      </c>
      <c r="I165" s="671"/>
      <c r="J165" s="671">
        <v>55579.65</v>
      </c>
      <c r="K165" s="670"/>
      <c r="L165" s="670" t="s">
        <v>8776</v>
      </c>
      <c r="M165" s="670" t="s">
        <v>8787</v>
      </c>
      <c r="N165" s="670" t="s">
        <v>8776</v>
      </c>
    </row>
    <row r="166" spans="1:14">
      <c r="A166" s="1066"/>
      <c r="B166" s="678">
        <v>45121</v>
      </c>
      <c r="C166" s="670" t="s">
        <v>8784</v>
      </c>
      <c r="D166" s="670" t="s">
        <v>2077</v>
      </c>
      <c r="E166" s="670" t="s">
        <v>8785</v>
      </c>
      <c r="F166" s="670" t="s">
        <v>8786</v>
      </c>
      <c r="G166" s="671" t="s">
        <v>529</v>
      </c>
      <c r="H166" s="671" t="s">
        <v>529</v>
      </c>
      <c r="I166" s="671"/>
      <c r="J166" s="671">
        <v>9765.93</v>
      </c>
      <c r="K166" s="670"/>
      <c r="L166" s="670" t="s">
        <v>8776</v>
      </c>
      <c r="M166" s="670" t="s">
        <v>8787</v>
      </c>
      <c r="N166" s="670" t="s">
        <v>8776</v>
      </c>
    </row>
    <row r="167" spans="1:14">
      <c r="A167" s="1066"/>
      <c r="B167" s="678">
        <v>45127</v>
      </c>
      <c r="C167" s="670" t="s">
        <v>8784</v>
      </c>
      <c r="D167" s="670" t="s">
        <v>2077</v>
      </c>
      <c r="E167" s="670" t="s">
        <v>8785</v>
      </c>
      <c r="F167" s="670" t="s">
        <v>8786</v>
      </c>
      <c r="G167" s="671" t="s">
        <v>529</v>
      </c>
      <c r="H167" s="671" t="s">
        <v>529</v>
      </c>
      <c r="I167" s="671"/>
      <c r="J167" s="671">
        <v>6559.33</v>
      </c>
      <c r="K167" s="670"/>
      <c r="L167" s="670" t="s">
        <v>8776</v>
      </c>
      <c r="M167" s="670" t="s">
        <v>8787</v>
      </c>
      <c r="N167" s="670" t="s">
        <v>8776</v>
      </c>
    </row>
    <row r="168" spans="1:14">
      <c r="A168" s="1066"/>
      <c r="B168" s="678">
        <v>45143</v>
      </c>
      <c r="C168" s="670" t="s">
        <v>8784</v>
      </c>
      <c r="D168" s="670" t="s">
        <v>2077</v>
      </c>
      <c r="E168" s="670" t="s">
        <v>8785</v>
      </c>
      <c r="F168" s="670" t="s">
        <v>8786</v>
      </c>
      <c r="G168" s="671" t="s">
        <v>529</v>
      </c>
      <c r="H168" s="671" t="s">
        <v>529</v>
      </c>
      <c r="I168" s="671"/>
      <c r="J168" s="671">
        <v>23456.79</v>
      </c>
      <c r="K168" s="670"/>
      <c r="L168" s="670" t="s">
        <v>8776</v>
      </c>
      <c r="M168" s="670" t="s">
        <v>8787</v>
      </c>
      <c r="N168" s="670" t="s">
        <v>8776</v>
      </c>
    </row>
    <row r="169" spans="1:14">
      <c r="A169" s="1066"/>
      <c r="B169" s="678">
        <v>45152</v>
      </c>
      <c r="C169" s="670" t="s">
        <v>8784</v>
      </c>
      <c r="D169" s="670" t="s">
        <v>2077</v>
      </c>
      <c r="E169" s="670" t="s">
        <v>8785</v>
      </c>
      <c r="F169" s="670" t="s">
        <v>8786</v>
      </c>
      <c r="G169" s="671" t="s">
        <v>529</v>
      </c>
      <c r="H169" s="671" t="s">
        <v>529</v>
      </c>
      <c r="I169" s="671"/>
      <c r="J169" s="671">
        <v>11693.18</v>
      </c>
      <c r="K169" s="670"/>
      <c r="L169" s="670" t="s">
        <v>8776</v>
      </c>
      <c r="M169" s="670" t="s">
        <v>8787</v>
      </c>
      <c r="N169" s="670" t="s">
        <v>8776</v>
      </c>
    </row>
    <row r="170" spans="1:14">
      <c r="A170" s="1066"/>
      <c r="B170" s="678">
        <v>45152</v>
      </c>
      <c r="C170" s="670" t="s">
        <v>8784</v>
      </c>
      <c r="D170" s="670" t="s">
        <v>2077</v>
      </c>
      <c r="E170" s="670" t="s">
        <v>8785</v>
      </c>
      <c r="F170" s="670" t="s">
        <v>8786</v>
      </c>
      <c r="G170" s="671" t="s">
        <v>529</v>
      </c>
      <c r="H170" s="671" t="s">
        <v>529</v>
      </c>
      <c r="I170" s="671"/>
      <c r="J170" s="671">
        <v>22986.71</v>
      </c>
      <c r="K170" s="670"/>
      <c r="L170" s="670" t="s">
        <v>8776</v>
      </c>
      <c r="M170" s="670" t="s">
        <v>8787</v>
      </c>
      <c r="N170" s="670" t="s">
        <v>8776</v>
      </c>
    </row>
    <row r="171" spans="1:14">
      <c r="A171" s="1066"/>
      <c r="B171" s="678">
        <v>45173</v>
      </c>
      <c r="C171" s="670" t="s">
        <v>8784</v>
      </c>
      <c r="D171" s="670" t="s">
        <v>2077</v>
      </c>
      <c r="E171" s="670" t="s">
        <v>8785</v>
      </c>
      <c r="F171" s="670" t="s">
        <v>8786</v>
      </c>
      <c r="G171" s="671" t="s">
        <v>529</v>
      </c>
      <c r="H171" s="671" t="s">
        <v>529</v>
      </c>
      <c r="I171" s="671"/>
      <c r="J171" s="671">
        <v>12318.78</v>
      </c>
      <c r="K171" s="670"/>
      <c r="L171" s="670" t="s">
        <v>8776</v>
      </c>
      <c r="M171" s="670" t="s">
        <v>8787</v>
      </c>
      <c r="N171" s="670" t="s">
        <v>8776</v>
      </c>
    </row>
    <row r="172" spans="1:14">
      <c r="A172" s="1066"/>
      <c r="B172" s="678">
        <v>45177</v>
      </c>
      <c r="C172" s="670" t="s">
        <v>8784</v>
      </c>
      <c r="D172" s="670" t="s">
        <v>2077</v>
      </c>
      <c r="E172" s="670" t="s">
        <v>8785</v>
      </c>
      <c r="F172" s="670" t="s">
        <v>8786</v>
      </c>
      <c r="G172" s="671" t="s">
        <v>529</v>
      </c>
      <c r="H172" s="671" t="s">
        <v>529</v>
      </c>
      <c r="I172" s="671"/>
      <c r="J172" s="671">
        <v>41890.14</v>
      </c>
      <c r="K172" s="670"/>
      <c r="L172" s="670" t="s">
        <v>8776</v>
      </c>
      <c r="M172" s="670" t="s">
        <v>8787</v>
      </c>
      <c r="N172" s="670" t="s">
        <v>8776</v>
      </c>
    </row>
    <row r="173" spans="1:14">
      <c r="A173" s="1066"/>
      <c r="B173" s="678">
        <v>45184</v>
      </c>
      <c r="C173" s="670" t="s">
        <v>8784</v>
      </c>
      <c r="D173" s="670" t="s">
        <v>2077</v>
      </c>
      <c r="E173" s="670" t="s">
        <v>8785</v>
      </c>
      <c r="F173" s="670" t="s">
        <v>8786</v>
      </c>
      <c r="G173" s="671" t="s">
        <v>529</v>
      </c>
      <c r="H173" s="671" t="s">
        <v>529</v>
      </c>
      <c r="I173" s="671"/>
      <c r="J173" s="671">
        <v>5775.14</v>
      </c>
      <c r="K173" s="670"/>
      <c r="L173" s="670" t="s">
        <v>8776</v>
      </c>
      <c r="M173" s="670" t="s">
        <v>8787</v>
      </c>
      <c r="N173" s="670" t="s">
        <v>8776</v>
      </c>
    </row>
    <row r="174" spans="1:14">
      <c r="A174" s="1066"/>
      <c r="B174" s="678">
        <v>45198</v>
      </c>
      <c r="C174" s="670" t="s">
        <v>8784</v>
      </c>
      <c r="D174" s="670" t="s">
        <v>2077</v>
      </c>
      <c r="E174" s="670" t="s">
        <v>8785</v>
      </c>
      <c r="F174" s="670" t="s">
        <v>8786</v>
      </c>
      <c r="G174" s="671" t="s">
        <v>529</v>
      </c>
      <c r="H174" s="671" t="s">
        <v>529</v>
      </c>
      <c r="I174" s="671"/>
      <c r="J174" s="671">
        <v>22471.37</v>
      </c>
      <c r="K174" s="670"/>
      <c r="L174" s="670" t="s">
        <v>8776</v>
      </c>
      <c r="M174" s="670" t="s">
        <v>8787</v>
      </c>
      <c r="N174" s="670" t="s">
        <v>8776</v>
      </c>
    </row>
    <row r="175" spans="1:14">
      <c r="A175" s="1066"/>
      <c r="B175" s="678">
        <v>45219</v>
      </c>
      <c r="C175" s="670" t="s">
        <v>8784</v>
      </c>
      <c r="D175" s="670" t="s">
        <v>2077</v>
      </c>
      <c r="E175" s="670" t="s">
        <v>8785</v>
      </c>
      <c r="F175" s="670" t="s">
        <v>8786</v>
      </c>
      <c r="G175" s="671" t="s">
        <v>529</v>
      </c>
      <c r="H175" s="671" t="s">
        <v>529</v>
      </c>
      <c r="I175" s="671"/>
      <c r="J175" s="671">
        <v>6891.41</v>
      </c>
      <c r="K175" s="670"/>
      <c r="L175" s="670" t="s">
        <v>8776</v>
      </c>
      <c r="M175" s="670" t="s">
        <v>8787</v>
      </c>
      <c r="N175" s="670" t="s">
        <v>8776</v>
      </c>
    </row>
    <row r="176" spans="1:14">
      <c r="A176" s="1066"/>
      <c r="B176" s="678">
        <v>45236</v>
      </c>
      <c r="C176" s="670" t="s">
        <v>8784</v>
      </c>
      <c r="D176" s="670" t="s">
        <v>2077</v>
      </c>
      <c r="E176" s="670" t="s">
        <v>8785</v>
      </c>
      <c r="F176" s="670" t="s">
        <v>8786</v>
      </c>
      <c r="G176" s="671" t="s">
        <v>529</v>
      </c>
      <c r="H176" s="671" t="s">
        <v>529</v>
      </c>
      <c r="I176" s="671"/>
      <c r="J176" s="671">
        <v>16555.240000000002</v>
      </c>
      <c r="K176" s="670"/>
      <c r="L176" s="670" t="s">
        <v>8776</v>
      </c>
      <c r="M176" s="670" t="s">
        <v>8787</v>
      </c>
      <c r="N176" s="670" t="s">
        <v>8776</v>
      </c>
    </row>
    <row r="177" spans="1:14">
      <c r="A177" s="1066"/>
      <c r="B177" s="678">
        <v>45239</v>
      </c>
      <c r="C177" s="670" t="s">
        <v>8784</v>
      </c>
      <c r="D177" s="670" t="s">
        <v>2077</v>
      </c>
      <c r="E177" s="670" t="s">
        <v>8785</v>
      </c>
      <c r="F177" s="670" t="s">
        <v>8786</v>
      </c>
      <c r="G177" s="671" t="s">
        <v>529</v>
      </c>
      <c r="H177" s="671" t="s">
        <v>529</v>
      </c>
      <c r="I177" s="671"/>
      <c r="J177" s="671">
        <v>387.13</v>
      </c>
      <c r="K177" s="670"/>
      <c r="L177" s="670" t="s">
        <v>8776</v>
      </c>
      <c r="M177" s="670" t="s">
        <v>8787</v>
      </c>
      <c r="N177" s="670" t="s">
        <v>8776</v>
      </c>
    </row>
    <row r="178" spans="1:14">
      <c r="A178" s="1066"/>
      <c r="B178" s="678">
        <v>45240</v>
      </c>
      <c r="C178" s="670" t="s">
        <v>8784</v>
      </c>
      <c r="D178" s="670" t="s">
        <v>2077</v>
      </c>
      <c r="E178" s="670" t="s">
        <v>8785</v>
      </c>
      <c r="F178" s="670" t="s">
        <v>8786</v>
      </c>
      <c r="G178" s="671" t="s">
        <v>529</v>
      </c>
      <c r="H178" s="671" t="s">
        <v>529</v>
      </c>
      <c r="I178" s="671"/>
      <c r="J178" s="671">
        <v>28455.1</v>
      </c>
      <c r="K178" s="670"/>
      <c r="L178" s="670" t="s">
        <v>8776</v>
      </c>
      <c r="M178" s="670" t="s">
        <v>8787</v>
      </c>
      <c r="N178" s="670" t="s">
        <v>8776</v>
      </c>
    </row>
    <row r="179" spans="1:14">
      <c r="A179" s="1066"/>
      <c r="B179" s="678">
        <v>45240</v>
      </c>
      <c r="C179" s="670" t="s">
        <v>8784</v>
      </c>
      <c r="D179" s="670" t="s">
        <v>2077</v>
      </c>
      <c r="E179" s="670" t="s">
        <v>8785</v>
      </c>
      <c r="F179" s="670" t="s">
        <v>8786</v>
      </c>
      <c r="G179" s="671" t="s">
        <v>529</v>
      </c>
      <c r="H179" s="671" t="s">
        <v>529</v>
      </c>
      <c r="I179" s="671"/>
      <c r="J179" s="671">
        <v>29391.74</v>
      </c>
      <c r="K179" s="670"/>
      <c r="L179" s="670" t="s">
        <v>8776</v>
      </c>
      <c r="M179" s="670" t="s">
        <v>8787</v>
      </c>
      <c r="N179" s="670" t="s">
        <v>8776</v>
      </c>
    </row>
    <row r="180" spans="1:14">
      <c r="A180" s="1066"/>
      <c r="B180" s="678">
        <v>45257</v>
      </c>
      <c r="C180" s="670" t="s">
        <v>8784</v>
      </c>
      <c r="D180" s="670" t="s">
        <v>2077</v>
      </c>
      <c r="E180" s="670" t="s">
        <v>8785</v>
      </c>
      <c r="F180" s="670" t="s">
        <v>8786</v>
      </c>
      <c r="G180" s="671" t="s">
        <v>529</v>
      </c>
      <c r="H180" s="671" t="s">
        <v>529</v>
      </c>
      <c r="I180" s="671"/>
      <c r="J180" s="671">
        <v>17419.080000000002</v>
      </c>
      <c r="K180" s="670"/>
      <c r="L180" s="670" t="s">
        <v>8776</v>
      </c>
      <c r="M180" s="670" t="s">
        <v>8787</v>
      </c>
      <c r="N180" s="670" t="s">
        <v>8776</v>
      </c>
    </row>
    <row r="181" spans="1:14">
      <c r="A181" s="1066"/>
      <c r="B181" s="678">
        <v>45267</v>
      </c>
      <c r="C181" s="670" t="s">
        <v>8784</v>
      </c>
      <c r="D181" s="670" t="s">
        <v>2077</v>
      </c>
      <c r="E181" s="670" t="s">
        <v>8785</v>
      </c>
      <c r="F181" s="670" t="s">
        <v>8786</v>
      </c>
      <c r="G181" s="671" t="s">
        <v>529</v>
      </c>
      <c r="H181" s="671" t="s">
        <v>529</v>
      </c>
      <c r="I181" s="671"/>
      <c r="J181" s="671">
        <v>37546.239999999998</v>
      </c>
      <c r="K181" s="670"/>
      <c r="L181" s="670" t="s">
        <v>8776</v>
      </c>
      <c r="M181" s="670" t="s">
        <v>8787</v>
      </c>
      <c r="N181" s="670" t="s">
        <v>8776</v>
      </c>
    </row>
    <row r="182" spans="1:14">
      <c r="A182" s="1066"/>
      <c r="B182" s="678">
        <v>45267</v>
      </c>
      <c r="C182" s="670" t="s">
        <v>8784</v>
      </c>
      <c r="D182" s="670" t="s">
        <v>2077</v>
      </c>
      <c r="E182" s="670" t="s">
        <v>8785</v>
      </c>
      <c r="F182" s="670" t="s">
        <v>8786</v>
      </c>
      <c r="G182" s="671" t="s">
        <v>529</v>
      </c>
      <c r="H182" s="671" t="s">
        <v>529</v>
      </c>
      <c r="I182" s="671"/>
      <c r="J182" s="671">
        <v>22835.75</v>
      </c>
      <c r="K182" s="670"/>
      <c r="L182" s="670" t="s">
        <v>8776</v>
      </c>
      <c r="M182" s="670" t="s">
        <v>8787</v>
      </c>
      <c r="N182" s="670" t="s">
        <v>8776</v>
      </c>
    </row>
    <row r="183" spans="1:14">
      <c r="A183" s="1066"/>
      <c r="B183" s="678">
        <v>45273</v>
      </c>
      <c r="C183" s="670" t="s">
        <v>8784</v>
      </c>
      <c r="D183" s="670" t="s">
        <v>2077</v>
      </c>
      <c r="E183" s="670" t="s">
        <v>8785</v>
      </c>
      <c r="F183" s="670" t="s">
        <v>8786</v>
      </c>
      <c r="G183" s="671" t="s">
        <v>529</v>
      </c>
      <c r="H183" s="671" t="s">
        <v>529</v>
      </c>
      <c r="I183" s="671"/>
      <c r="J183" s="671">
        <v>10058.540000000001</v>
      </c>
      <c r="K183" s="670"/>
      <c r="L183" s="670" t="s">
        <v>8776</v>
      </c>
      <c r="M183" s="670" t="s">
        <v>8787</v>
      </c>
      <c r="N183" s="670" t="s">
        <v>8776</v>
      </c>
    </row>
    <row r="184" spans="1:14">
      <c r="A184" s="1066"/>
      <c r="B184" s="678">
        <v>45282</v>
      </c>
      <c r="C184" s="670" t="s">
        <v>8784</v>
      </c>
      <c r="D184" s="670" t="s">
        <v>2077</v>
      </c>
      <c r="E184" s="670" t="s">
        <v>8785</v>
      </c>
      <c r="F184" s="670" t="s">
        <v>8786</v>
      </c>
      <c r="G184" s="671" t="s">
        <v>529</v>
      </c>
      <c r="H184" s="671" t="s">
        <v>529</v>
      </c>
      <c r="I184" s="671"/>
      <c r="J184" s="671">
        <v>71904.94</v>
      </c>
      <c r="K184" s="670"/>
      <c r="L184" s="670" t="s">
        <v>8776</v>
      </c>
      <c r="M184" s="670" t="s">
        <v>8787</v>
      </c>
      <c r="N184" s="670" t="s">
        <v>8776</v>
      </c>
    </row>
    <row r="185" spans="1:14">
      <c r="A185" s="1066"/>
      <c r="B185" s="678">
        <v>45288</v>
      </c>
      <c r="C185" s="670" t="s">
        <v>8784</v>
      </c>
      <c r="D185" s="670" t="s">
        <v>2077</v>
      </c>
      <c r="E185" s="670" t="s">
        <v>8785</v>
      </c>
      <c r="F185" s="670" t="s">
        <v>8786</v>
      </c>
      <c r="G185" s="671" t="s">
        <v>529</v>
      </c>
      <c r="H185" s="671" t="s">
        <v>529</v>
      </c>
      <c r="I185" s="671"/>
      <c r="J185" s="671">
        <v>12691.41</v>
      </c>
      <c r="K185" s="670"/>
      <c r="L185" s="670" t="s">
        <v>8776</v>
      </c>
      <c r="M185" s="670" t="s">
        <v>8787</v>
      </c>
      <c r="N185" s="670" t="s">
        <v>8776</v>
      </c>
    </row>
    <row r="186" spans="1:14">
      <c r="A186" s="1066"/>
      <c r="B186" s="678">
        <v>45288</v>
      </c>
      <c r="C186" s="670" t="s">
        <v>8784</v>
      </c>
      <c r="D186" s="670" t="s">
        <v>2077</v>
      </c>
      <c r="E186" s="670" t="s">
        <v>8785</v>
      </c>
      <c r="F186" s="670" t="s">
        <v>8786</v>
      </c>
      <c r="G186" s="671" t="s">
        <v>529</v>
      </c>
      <c r="H186" s="671" t="s">
        <v>529</v>
      </c>
      <c r="I186" s="671"/>
      <c r="J186" s="671">
        <v>8959.18</v>
      </c>
      <c r="K186" s="670"/>
      <c r="L186" s="670" t="s">
        <v>8776</v>
      </c>
      <c r="M186" s="670" t="s">
        <v>8787</v>
      </c>
      <c r="N186" s="670" t="s">
        <v>8776</v>
      </c>
    </row>
    <row r="187" spans="1:14">
      <c r="A187" s="1066"/>
      <c r="B187" s="678">
        <v>45152</v>
      </c>
      <c r="C187" s="670" t="s">
        <v>8788</v>
      </c>
      <c r="D187" s="670" t="s">
        <v>2077</v>
      </c>
      <c r="E187" s="670" t="s">
        <v>8789</v>
      </c>
      <c r="F187" s="670" t="s">
        <v>8790</v>
      </c>
      <c r="G187" s="671"/>
      <c r="H187" s="671"/>
      <c r="I187" s="671"/>
      <c r="J187" s="671">
        <v>1200</v>
      </c>
      <c r="K187" s="670"/>
      <c r="L187" s="670" t="s">
        <v>8791</v>
      </c>
      <c r="M187" s="670" t="s">
        <v>8792</v>
      </c>
      <c r="N187" s="670"/>
    </row>
    <row r="188" spans="1:14">
      <c r="A188" s="1066"/>
      <c r="B188" s="678">
        <v>44966</v>
      </c>
      <c r="C188" s="670" t="s">
        <v>8793</v>
      </c>
      <c r="D188" s="670" t="s">
        <v>2077</v>
      </c>
      <c r="E188" s="670" t="s">
        <v>8794</v>
      </c>
      <c r="F188" s="670" t="s">
        <v>8795</v>
      </c>
      <c r="G188" s="671"/>
      <c r="H188" s="671"/>
      <c r="I188" s="671"/>
      <c r="J188" s="671">
        <v>44375</v>
      </c>
      <c r="K188" s="670"/>
      <c r="L188" s="670" t="s">
        <v>8796</v>
      </c>
      <c r="M188" s="670" t="s">
        <v>8797</v>
      </c>
      <c r="N188" s="670"/>
    </row>
    <row r="189" spans="1:14">
      <c r="A189" s="1066"/>
      <c r="B189" s="678">
        <v>44986</v>
      </c>
      <c r="C189" s="670" t="s">
        <v>8798</v>
      </c>
      <c r="D189" s="670" t="s">
        <v>2077</v>
      </c>
      <c r="E189" s="670" t="s">
        <v>8794</v>
      </c>
      <c r="F189" s="670" t="s">
        <v>8795</v>
      </c>
      <c r="G189" s="671"/>
      <c r="H189" s="671"/>
      <c r="I189" s="671"/>
      <c r="J189" s="671">
        <v>49679.43</v>
      </c>
      <c r="K189" s="670"/>
      <c r="L189" s="670" t="s">
        <v>8796</v>
      </c>
      <c r="M189" s="670" t="s">
        <v>8797</v>
      </c>
      <c r="N189" s="670"/>
    </row>
    <row r="190" spans="1:14">
      <c r="A190" s="1066"/>
      <c r="B190" s="678">
        <v>44992</v>
      </c>
      <c r="C190" s="670" t="s">
        <v>8799</v>
      </c>
      <c r="D190" s="670" t="s">
        <v>2077</v>
      </c>
      <c r="E190" s="670" t="s">
        <v>8794</v>
      </c>
      <c r="F190" s="670" t="s">
        <v>8795</v>
      </c>
      <c r="G190" s="671"/>
      <c r="H190" s="671"/>
      <c r="I190" s="671"/>
      <c r="J190" s="671">
        <v>20903</v>
      </c>
      <c r="K190" s="670"/>
      <c r="L190" s="670" t="s">
        <v>8796</v>
      </c>
      <c r="M190" s="670" t="s">
        <v>8797</v>
      </c>
      <c r="N190" s="670"/>
    </row>
    <row r="191" spans="1:14">
      <c r="A191" s="1066"/>
      <c r="B191" s="678">
        <v>45005</v>
      </c>
      <c r="C191" s="670" t="s">
        <v>8800</v>
      </c>
      <c r="D191" s="670" t="s">
        <v>2077</v>
      </c>
      <c r="E191" s="670" t="s">
        <v>8794</v>
      </c>
      <c r="F191" s="670" t="s">
        <v>8795</v>
      </c>
      <c r="G191" s="671"/>
      <c r="H191" s="671"/>
      <c r="I191" s="671"/>
      <c r="J191" s="671">
        <v>8500</v>
      </c>
      <c r="K191" s="670"/>
      <c r="L191" s="670" t="s">
        <v>8796</v>
      </c>
      <c r="M191" s="670" t="s">
        <v>8797</v>
      </c>
      <c r="N191" s="670"/>
    </row>
    <row r="192" spans="1:14">
      <c r="A192" s="1066"/>
      <c r="B192" s="678">
        <v>45005</v>
      </c>
      <c r="C192" s="670" t="s">
        <v>8801</v>
      </c>
      <c r="D192" s="670" t="s">
        <v>2077</v>
      </c>
      <c r="E192" s="670" t="s">
        <v>8794</v>
      </c>
      <c r="F192" s="670" t="s">
        <v>8795</v>
      </c>
      <c r="G192" s="671"/>
      <c r="H192" s="671"/>
      <c r="I192" s="671"/>
      <c r="J192" s="671">
        <v>10500</v>
      </c>
      <c r="K192" s="670"/>
      <c r="L192" s="670" t="s">
        <v>8796</v>
      </c>
      <c r="M192" s="670" t="s">
        <v>8797</v>
      </c>
      <c r="N192" s="670"/>
    </row>
    <row r="193" spans="1:14">
      <c r="A193" s="1066"/>
      <c r="B193" s="678">
        <v>45015</v>
      </c>
      <c r="C193" s="670" t="s">
        <v>8802</v>
      </c>
      <c r="D193" s="670" t="s">
        <v>2077</v>
      </c>
      <c r="E193" s="670" t="s">
        <v>8794</v>
      </c>
      <c r="F193" s="670" t="s">
        <v>8795</v>
      </c>
      <c r="G193" s="671"/>
      <c r="H193" s="671"/>
      <c r="I193" s="671"/>
      <c r="J193" s="671">
        <v>98130.86</v>
      </c>
      <c r="K193" s="670"/>
      <c r="L193" s="670" t="s">
        <v>8796</v>
      </c>
      <c r="M193" s="670" t="s">
        <v>8797</v>
      </c>
      <c r="N193" s="670"/>
    </row>
    <row r="194" spans="1:14">
      <c r="A194" s="1066"/>
      <c r="B194" s="678">
        <v>45023</v>
      </c>
      <c r="C194" s="670" t="s">
        <v>8803</v>
      </c>
      <c r="D194" s="670" t="s">
        <v>2077</v>
      </c>
      <c r="E194" s="670" t="s">
        <v>8794</v>
      </c>
      <c r="F194" s="670" t="s">
        <v>8795</v>
      </c>
      <c r="G194" s="671"/>
      <c r="H194" s="671"/>
      <c r="I194" s="671"/>
      <c r="J194" s="671">
        <v>4650</v>
      </c>
      <c r="K194" s="670"/>
      <c r="L194" s="670" t="s">
        <v>8796</v>
      </c>
      <c r="M194" s="670" t="s">
        <v>8797</v>
      </c>
      <c r="N194" s="670"/>
    </row>
    <row r="195" spans="1:14">
      <c r="A195" s="1066"/>
      <c r="B195" s="678">
        <v>45029</v>
      </c>
      <c r="C195" s="670" t="s">
        <v>8804</v>
      </c>
      <c r="D195" s="670" t="s">
        <v>2077</v>
      </c>
      <c r="E195" s="670" t="s">
        <v>8794</v>
      </c>
      <c r="F195" s="670" t="s">
        <v>8795</v>
      </c>
      <c r="G195" s="671"/>
      <c r="H195" s="671"/>
      <c r="I195" s="671"/>
      <c r="J195" s="671">
        <v>7200</v>
      </c>
      <c r="K195" s="670"/>
      <c r="L195" s="670" t="s">
        <v>8796</v>
      </c>
      <c r="M195" s="670" t="s">
        <v>8797</v>
      </c>
      <c r="N195" s="670"/>
    </row>
    <row r="196" spans="1:14">
      <c r="A196" s="1066"/>
      <c r="B196" s="678">
        <v>45035</v>
      </c>
      <c r="C196" s="670" t="s">
        <v>8805</v>
      </c>
      <c r="D196" s="670" t="s">
        <v>2077</v>
      </c>
      <c r="E196" s="670" t="s">
        <v>8794</v>
      </c>
      <c r="F196" s="670" t="s">
        <v>8795</v>
      </c>
      <c r="G196" s="671"/>
      <c r="H196" s="671"/>
      <c r="I196" s="671"/>
      <c r="J196" s="671">
        <v>1200</v>
      </c>
      <c r="K196" s="670"/>
      <c r="L196" s="670" t="s">
        <v>8796</v>
      </c>
      <c r="M196" s="670" t="s">
        <v>8797</v>
      </c>
      <c r="N196" s="670"/>
    </row>
    <row r="197" spans="1:14">
      <c r="A197" s="1066"/>
      <c r="B197" s="678">
        <v>45041</v>
      </c>
      <c r="C197" s="670" t="s">
        <v>8806</v>
      </c>
      <c r="D197" s="670" t="s">
        <v>2077</v>
      </c>
      <c r="E197" s="670" t="s">
        <v>8794</v>
      </c>
      <c r="F197" s="670" t="s">
        <v>8795</v>
      </c>
      <c r="G197" s="671"/>
      <c r="H197" s="671"/>
      <c r="I197" s="671"/>
      <c r="J197" s="671">
        <v>114710.86</v>
      </c>
      <c r="K197" s="670"/>
      <c r="L197" s="670" t="s">
        <v>8796</v>
      </c>
      <c r="M197" s="670" t="s">
        <v>8797</v>
      </c>
      <c r="N197" s="670"/>
    </row>
    <row r="198" spans="1:14">
      <c r="A198" s="1066"/>
      <c r="B198" s="678">
        <v>45071</v>
      </c>
      <c r="C198" s="670" t="s">
        <v>8807</v>
      </c>
      <c r="D198" s="670" t="s">
        <v>2077</v>
      </c>
      <c r="E198" s="670" t="s">
        <v>8794</v>
      </c>
      <c r="F198" s="670" t="s">
        <v>8795</v>
      </c>
      <c r="G198" s="671"/>
      <c r="H198" s="671"/>
      <c r="I198" s="671"/>
      <c r="J198" s="671">
        <v>700</v>
      </c>
      <c r="K198" s="670"/>
      <c r="L198" s="670" t="s">
        <v>8796</v>
      </c>
      <c r="M198" s="670" t="s">
        <v>8797</v>
      </c>
      <c r="N198" s="670"/>
    </row>
    <row r="199" spans="1:14">
      <c r="A199" s="1066"/>
      <c r="B199" s="678">
        <v>45071</v>
      </c>
      <c r="C199" s="670" t="s">
        <v>8808</v>
      </c>
      <c r="D199" s="670" t="s">
        <v>2077</v>
      </c>
      <c r="E199" s="670" t="s">
        <v>8794</v>
      </c>
      <c r="F199" s="670" t="s">
        <v>8795</v>
      </c>
      <c r="G199" s="671"/>
      <c r="H199" s="671"/>
      <c r="I199" s="671"/>
      <c r="J199" s="671">
        <v>114713</v>
      </c>
      <c r="K199" s="670"/>
      <c r="L199" s="670" t="s">
        <v>8796</v>
      </c>
      <c r="M199" s="670" t="s">
        <v>8797</v>
      </c>
      <c r="N199" s="670"/>
    </row>
    <row r="200" spans="1:14">
      <c r="A200" s="1066"/>
      <c r="B200" s="678">
        <v>45090</v>
      </c>
      <c r="C200" s="670" t="s">
        <v>8809</v>
      </c>
      <c r="D200" s="670" t="s">
        <v>2077</v>
      </c>
      <c r="E200" s="670" t="s">
        <v>8794</v>
      </c>
      <c r="F200" s="670"/>
      <c r="G200" s="671"/>
      <c r="H200" s="671"/>
      <c r="I200" s="671"/>
      <c r="J200" s="671">
        <v>1000</v>
      </c>
      <c r="K200" s="670" t="s">
        <v>8810</v>
      </c>
      <c r="L200" s="670"/>
      <c r="M200" s="670" t="s">
        <v>8811</v>
      </c>
      <c r="N200" s="670"/>
    </row>
    <row r="201" spans="1:14">
      <c r="A201" s="1066"/>
      <c r="B201" s="678">
        <v>45097</v>
      </c>
      <c r="C201" s="670" t="s">
        <v>8812</v>
      </c>
      <c r="D201" s="670" t="s">
        <v>2077</v>
      </c>
      <c r="E201" s="670" t="s">
        <v>8794</v>
      </c>
      <c r="F201" s="670" t="s">
        <v>8795</v>
      </c>
      <c r="G201" s="671"/>
      <c r="H201" s="671"/>
      <c r="I201" s="671"/>
      <c r="J201" s="671">
        <v>115483</v>
      </c>
      <c r="K201" s="670"/>
      <c r="L201" s="670" t="s">
        <v>8796</v>
      </c>
      <c r="M201" s="670" t="s">
        <v>8797</v>
      </c>
      <c r="N201" s="670"/>
    </row>
    <row r="202" spans="1:14">
      <c r="A202" s="1066"/>
      <c r="B202" s="678">
        <v>45128</v>
      </c>
      <c r="C202" s="670" t="s">
        <v>8813</v>
      </c>
      <c r="D202" s="670" t="s">
        <v>2077</v>
      </c>
      <c r="E202" s="670" t="s">
        <v>8794</v>
      </c>
      <c r="F202" s="670" t="s">
        <v>8795</v>
      </c>
      <c r="G202" s="671"/>
      <c r="H202" s="671"/>
      <c r="I202" s="671"/>
      <c r="J202" s="671">
        <v>116553</v>
      </c>
      <c r="K202" s="670"/>
      <c r="L202" s="670" t="s">
        <v>8796</v>
      </c>
      <c r="M202" s="670" t="s">
        <v>8797</v>
      </c>
      <c r="N202" s="670"/>
    </row>
    <row r="203" spans="1:14">
      <c r="A203" s="1066"/>
      <c r="B203" s="678">
        <v>45160</v>
      </c>
      <c r="C203" s="670" t="s">
        <v>8814</v>
      </c>
      <c r="D203" s="670" t="s">
        <v>2077</v>
      </c>
      <c r="E203" s="670" t="s">
        <v>8794</v>
      </c>
      <c r="F203" s="670" t="s">
        <v>8795</v>
      </c>
      <c r="G203" s="671"/>
      <c r="H203" s="671"/>
      <c r="I203" s="671"/>
      <c r="J203" s="671">
        <v>97371.51</v>
      </c>
      <c r="K203" s="670"/>
      <c r="L203" s="670" t="s">
        <v>8796</v>
      </c>
      <c r="M203" s="670" t="s">
        <v>8797</v>
      </c>
      <c r="N203" s="670"/>
    </row>
    <row r="204" spans="1:14">
      <c r="A204" s="1066"/>
      <c r="B204" s="678">
        <v>45160</v>
      </c>
      <c r="C204" s="670" t="s">
        <v>8815</v>
      </c>
      <c r="D204" s="670" t="s">
        <v>2077</v>
      </c>
      <c r="E204" s="670" t="s">
        <v>8794</v>
      </c>
      <c r="F204" s="670" t="s">
        <v>8795</v>
      </c>
      <c r="G204" s="671"/>
      <c r="H204" s="671"/>
      <c r="I204" s="671"/>
      <c r="J204" s="671">
        <v>126786</v>
      </c>
      <c r="K204" s="670"/>
      <c r="L204" s="670" t="s">
        <v>8796</v>
      </c>
      <c r="M204" s="670" t="s">
        <v>8797</v>
      </c>
      <c r="N204" s="670"/>
    </row>
    <row r="205" spans="1:14">
      <c r="A205" s="1066"/>
      <c r="B205" s="678">
        <v>45189</v>
      </c>
      <c r="C205" s="670" t="s">
        <v>8816</v>
      </c>
      <c r="D205" s="670" t="s">
        <v>2077</v>
      </c>
      <c r="E205" s="670" t="s">
        <v>8794</v>
      </c>
      <c r="F205" s="670" t="s">
        <v>8795</v>
      </c>
      <c r="G205" s="671"/>
      <c r="H205" s="671"/>
      <c r="I205" s="671"/>
      <c r="J205" s="671">
        <v>126786</v>
      </c>
      <c r="K205" s="670"/>
      <c r="L205" s="670" t="s">
        <v>8796</v>
      </c>
      <c r="M205" s="670" t="s">
        <v>8797</v>
      </c>
      <c r="N205" s="670"/>
    </row>
    <row r="206" spans="1:14">
      <c r="A206" s="1066"/>
      <c r="B206" s="678">
        <v>45201</v>
      </c>
      <c r="C206" s="670" t="s">
        <v>8817</v>
      </c>
      <c r="D206" s="670" t="s">
        <v>2077</v>
      </c>
      <c r="E206" s="670" t="s">
        <v>8794</v>
      </c>
      <c r="F206" s="670" t="s">
        <v>8795</v>
      </c>
      <c r="G206" s="671"/>
      <c r="H206" s="671"/>
      <c r="I206" s="671"/>
      <c r="J206" s="671">
        <v>11518.75</v>
      </c>
      <c r="K206" s="670"/>
      <c r="L206" s="670" t="s">
        <v>8796</v>
      </c>
      <c r="M206" s="670" t="s">
        <v>8797</v>
      </c>
      <c r="N206" s="670"/>
    </row>
    <row r="207" spans="1:14">
      <c r="A207" s="1066"/>
      <c r="B207" s="678">
        <v>45216</v>
      </c>
      <c r="C207" s="670" t="s">
        <v>8818</v>
      </c>
      <c r="D207" s="670" t="s">
        <v>2077</v>
      </c>
      <c r="E207" s="670" t="s">
        <v>8794</v>
      </c>
      <c r="F207" s="670" t="s">
        <v>8795</v>
      </c>
      <c r="G207" s="671"/>
      <c r="H207" s="671"/>
      <c r="I207" s="671"/>
      <c r="J207" s="671">
        <v>126786</v>
      </c>
      <c r="K207" s="670"/>
      <c r="L207" s="670" t="s">
        <v>8796</v>
      </c>
      <c r="M207" s="670" t="s">
        <v>8797</v>
      </c>
      <c r="N207" s="670"/>
    </row>
    <row r="208" spans="1:14">
      <c r="A208" s="1066"/>
      <c r="B208" s="678">
        <v>45257</v>
      </c>
      <c r="C208" s="670" t="s">
        <v>8819</v>
      </c>
      <c r="D208" s="670" t="s">
        <v>2077</v>
      </c>
      <c r="E208" s="670" t="s">
        <v>8794</v>
      </c>
      <c r="F208" s="670" t="s">
        <v>8795</v>
      </c>
      <c r="G208" s="671"/>
      <c r="H208" s="671"/>
      <c r="I208" s="671"/>
      <c r="J208" s="671">
        <v>126786</v>
      </c>
      <c r="K208" s="670"/>
      <c r="L208" s="670" t="s">
        <v>8796</v>
      </c>
      <c r="M208" s="670" t="s">
        <v>8797</v>
      </c>
      <c r="N208" s="670"/>
    </row>
    <row r="209" spans="1:14">
      <c r="A209" s="1066"/>
      <c r="B209" s="678">
        <v>45278</v>
      </c>
      <c r="C209" s="670" t="s">
        <v>8820</v>
      </c>
      <c r="D209" s="670" t="s">
        <v>2077</v>
      </c>
      <c r="E209" s="670" t="s">
        <v>8794</v>
      </c>
      <c r="F209" s="670" t="s">
        <v>8795</v>
      </c>
      <c r="G209" s="671"/>
      <c r="H209" s="671"/>
      <c r="I209" s="671"/>
      <c r="J209" s="671">
        <v>126786</v>
      </c>
      <c r="K209" s="670"/>
      <c r="L209" s="670" t="s">
        <v>8796</v>
      </c>
      <c r="M209" s="670" t="s">
        <v>8797</v>
      </c>
      <c r="N209" s="670"/>
    </row>
    <row r="210" spans="1:14">
      <c r="A210" s="1066"/>
      <c r="B210" s="678">
        <v>45278</v>
      </c>
      <c r="C210" s="670" t="s">
        <v>8821</v>
      </c>
      <c r="D210" s="670" t="s">
        <v>2077</v>
      </c>
      <c r="E210" s="670" t="s">
        <v>8794</v>
      </c>
      <c r="F210" s="670" t="s">
        <v>8795</v>
      </c>
      <c r="G210" s="671"/>
      <c r="H210" s="671"/>
      <c r="I210" s="671"/>
      <c r="J210" s="671">
        <v>107314.52</v>
      </c>
      <c r="K210" s="670"/>
      <c r="L210" s="670" t="s">
        <v>8796</v>
      </c>
      <c r="M210" s="670" t="s">
        <v>8797</v>
      </c>
      <c r="N210" s="670"/>
    </row>
    <row r="211" spans="1:14">
      <c r="A211" s="1066"/>
      <c r="B211" s="678">
        <v>45023</v>
      </c>
      <c r="C211" s="670" t="s">
        <v>8822</v>
      </c>
      <c r="D211" s="670" t="s">
        <v>2077</v>
      </c>
      <c r="E211" s="670" t="s">
        <v>1137</v>
      </c>
      <c r="F211" s="670" t="s">
        <v>8823</v>
      </c>
      <c r="G211" s="671"/>
      <c r="H211" s="671"/>
      <c r="I211" s="671"/>
      <c r="J211" s="671">
        <v>2979.93</v>
      </c>
      <c r="K211" s="670"/>
      <c r="L211" s="670" t="s">
        <v>8824</v>
      </c>
      <c r="M211" s="670" t="s">
        <v>8825</v>
      </c>
      <c r="N211" s="670"/>
    </row>
    <row r="212" spans="1:14">
      <c r="A212" s="1066"/>
      <c r="B212" s="678">
        <v>45051</v>
      </c>
      <c r="C212" s="670" t="s">
        <v>8822</v>
      </c>
      <c r="D212" s="670" t="s">
        <v>2077</v>
      </c>
      <c r="E212" s="670" t="s">
        <v>1137</v>
      </c>
      <c r="F212" s="670" t="s">
        <v>8823</v>
      </c>
      <c r="G212" s="671"/>
      <c r="H212" s="671"/>
      <c r="I212" s="671"/>
      <c r="J212" s="671">
        <v>2913.93</v>
      </c>
      <c r="K212" s="670"/>
      <c r="L212" s="670" t="s">
        <v>8824</v>
      </c>
      <c r="M212" s="670" t="s">
        <v>8825</v>
      </c>
      <c r="N212" s="670"/>
    </row>
    <row r="213" spans="1:14">
      <c r="A213" s="1066"/>
      <c r="B213" s="678">
        <v>45085</v>
      </c>
      <c r="C213" s="670" t="s">
        <v>8822</v>
      </c>
      <c r="D213" s="670" t="s">
        <v>2077</v>
      </c>
      <c r="E213" s="670" t="s">
        <v>1137</v>
      </c>
      <c r="F213" s="670" t="s">
        <v>8823</v>
      </c>
      <c r="G213" s="671"/>
      <c r="H213" s="671"/>
      <c r="I213" s="671"/>
      <c r="J213" s="671">
        <v>2903</v>
      </c>
      <c r="K213" s="670"/>
      <c r="L213" s="670" t="s">
        <v>8824</v>
      </c>
      <c r="M213" s="670" t="s">
        <v>8825</v>
      </c>
      <c r="N213" s="670"/>
    </row>
    <row r="214" spans="1:14">
      <c r="A214" s="1066"/>
      <c r="B214" s="678">
        <v>45108</v>
      </c>
      <c r="C214" s="670" t="s">
        <v>8826</v>
      </c>
      <c r="D214" s="670" t="s">
        <v>2077</v>
      </c>
      <c r="E214" s="670" t="s">
        <v>1137</v>
      </c>
      <c r="F214" s="670" t="s">
        <v>8823</v>
      </c>
      <c r="G214" s="671"/>
      <c r="H214" s="671"/>
      <c r="I214" s="671"/>
      <c r="J214" s="671">
        <v>23354.34</v>
      </c>
      <c r="K214" s="670"/>
      <c r="L214" s="670" t="s">
        <v>8824</v>
      </c>
      <c r="M214" s="670" t="s">
        <v>8825</v>
      </c>
      <c r="N214" s="670"/>
    </row>
    <row r="215" spans="1:14">
      <c r="A215" s="1066"/>
      <c r="B215" s="678">
        <v>45113</v>
      </c>
      <c r="C215" s="670" t="s">
        <v>8822</v>
      </c>
      <c r="D215" s="670" t="s">
        <v>2077</v>
      </c>
      <c r="E215" s="670" t="s">
        <v>1137</v>
      </c>
      <c r="F215" s="670" t="s">
        <v>8823</v>
      </c>
      <c r="G215" s="671"/>
      <c r="H215" s="671"/>
      <c r="I215" s="671"/>
      <c r="J215" s="671">
        <v>2903</v>
      </c>
      <c r="K215" s="670"/>
      <c r="L215" s="670" t="s">
        <v>8824</v>
      </c>
      <c r="M215" s="670" t="s">
        <v>8825</v>
      </c>
      <c r="N215" s="670"/>
    </row>
    <row r="216" spans="1:14">
      <c r="A216" s="1066"/>
      <c r="B216" s="678">
        <v>45143</v>
      </c>
      <c r="C216" s="670" t="s">
        <v>8822</v>
      </c>
      <c r="D216" s="670" t="s">
        <v>2077</v>
      </c>
      <c r="E216" s="670" t="s">
        <v>1137</v>
      </c>
      <c r="F216" s="670" t="s">
        <v>8823</v>
      </c>
      <c r="G216" s="671"/>
      <c r="H216" s="671"/>
      <c r="I216" s="671"/>
      <c r="J216" s="671">
        <v>2940.54</v>
      </c>
      <c r="K216" s="670"/>
      <c r="L216" s="670" t="s">
        <v>8824</v>
      </c>
      <c r="M216" s="670" t="s">
        <v>8825</v>
      </c>
      <c r="N216" s="670"/>
    </row>
    <row r="217" spans="1:14">
      <c r="A217" s="1066"/>
      <c r="B217" s="678">
        <v>45170</v>
      </c>
      <c r="C217" s="670" t="s">
        <v>8822</v>
      </c>
      <c r="D217" s="670" t="s">
        <v>2077</v>
      </c>
      <c r="E217" s="670" t="s">
        <v>1137</v>
      </c>
      <c r="F217" s="670" t="s">
        <v>8823</v>
      </c>
      <c r="G217" s="671"/>
      <c r="H217" s="671"/>
      <c r="I217" s="671"/>
      <c r="J217" s="671">
        <v>3186.48</v>
      </c>
      <c r="K217" s="670"/>
      <c r="L217" s="670" t="s">
        <v>8824</v>
      </c>
      <c r="M217" s="670" t="s">
        <v>8825</v>
      </c>
      <c r="N217" s="670"/>
    </row>
    <row r="218" spans="1:14">
      <c r="A218" s="1066"/>
      <c r="B218" s="678">
        <v>45170</v>
      </c>
      <c r="C218" s="670" t="s">
        <v>8822</v>
      </c>
      <c r="D218" s="670" t="s">
        <v>2077</v>
      </c>
      <c r="E218" s="670" t="s">
        <v>1137</v>
      </c>
      <c r="F218" s="670" t="s">
        <v>8823</v>
      </c>
      <c r="G218" s="671"/>
      <c r="H218" s="671"/>
      <c r="I218" s="671"/>
      <c r="J218" s="671">
        <v>3011.49</v>
      </c>
      <c r="K218" s="670"/>
      <c r="L218" s="670" t="s">
        <v>8824</v>
      </c>
      <c r="M218" s="670" t="s">
        <v>8825</v>
      </c>
      <c r="N218" s="670"/>
    </row>
    <row r="219" spans="1:14">
      <c r="A219" s="1066"/>
      <c r="B219" s="678">
        <v>45202</v>
      </c>
      <c r="C219" s="670" t="s">
        <v>8822</v>
      </c>
      <c r="D219" s="670" t="s">
        <v>2077</v>
      </c>
      <c r="E219" s="670" t="s">
        <v>1137</v>
      </c>
      <c r="F219" s="670" t="s">
        <v>8823</v>
      </c>
      <c r="G219" s="671"/>
      <c r="H219" s="671"/>
      <c r="I219" s="671"/>
      <c r="J219" s="671">
        <v>3316.36</v>
      </c>
      <c r="K219" s="670"/>
      <c r="L219" s="670" t="s">
        <v>8824</v>
      </c>
      <c r="M219" s="670" t="s">
        <v>8825</v>
      </c>
      <c r="N219" s="670"/>
    </row>
    <row r="220" spans="1:14">
      <c r="A220" s="1066"/>
      <c r="B220" s="678">
        <v>45202</v>
      </c>
      <c r="C220" s="670" t="s">
        <v>8822</v>
      </c>
      <c r="D220" s="670" t="s">
        <v>2077</v>
      </c>
      <c r="E220" s="670" t="s">
        <v>1137</v>
      </c>
      <c r="F220" s="670" t="s">
        <v>8823</v>
      </c>
      <c r="G220" s="671"/>
      <c r="H220" s="671"/>
      <c r="I220" s="671"/>
      <c r="J220" s="671">
        <v>358.71</v>
      </c>
      <c r="K220" s="670"/>
      <c r="L220" s="670" t="s">
        <v>8824</v>
      </c>
      <c r="M220" s="670" t="s">
        <v>8825</v>
      </c>
      <c r="N220" s="670"/>
    </row>
    <row r="221" spans="1:14">
      <c r="A221" s="1066"/>
      <c r="B221" s="678">
        <v>45260</v>
      </c>
      <c r="C221" s="670" t="s">
        <v>8822</v>
      </c>
      <c r="D221" s="670" t="s">
        <v>2077</v>
      </c>
      <c r="E221" s="670" t="s">
        <v>1137</v>
      </c>
      <c r="F221" s="670" t="s">
        <v>8823</v>
      </c>
      <c r="G221" s="671"/>
      <c r="H221" s="671"/>
      <c r="I221" s="671"/>
      <c r="J221" s="671">
        <v>3267.03</v>
      </c>
      <c r="K221" s="670"/>
      <c r="L221" s="670" t="s">
        <v>8824</v>
      </c>
      <c r="M221" s="670" t="s">
        <v>8825</v>
      </c>
      <c r="N221" s="670"/>
    </row>
    <row r="222" spans="1:14">
      <c r="A222" s="1066"/>
      <c r="B222" s="678">
        <v>45267</v>
      </c>
      <c r="C222" s="670" t="s">
        <v>8822</v>
      </c>
      <c r="D222" s="670" t="s">
        <v>2077</v>
      </c>
      <c r="E222" s="670" t="s">
        <v>1137</v>
      </c>
      <c r="F222" s="670" t="s">
        <v>8823</v>
      </c>
      <c r="G222" s="671"/>
      <c r="H222" s="671"/>
      <c r="I222" s="671"/>
      <c r="J222" s="671">
        <v>3279.89</v>
      </c>
      <c r="K222" s="670"/>
      <c r="L222" s="670" t="s">
        <v>8824</v>
      </c>
      <c r="M222" s="670" t="s">
        <v>8825</v>
      </c>
      <c r="N222" s="670"/>
    </row>
    <row r="223" spans="1:14">
      <c r="A223" s="1066"/>
      <c r="B223" s="678">
        <v>45048</v>
      </c>
      <c r="C223" s="670" t="s">
        <v>8827</v>
      </c>
      <c r="D223" s="670" t="s">
        <v>2077</v>
      </c>
      <c r="E223" s="670" t="s">
        <v>8828</v>
      </c>
      <c r="F223" s="670" t="s">
        <v>8829</v>
      </c>
      <c r="G223" s="671"/>
      <c r="H223" s="671"/>
      <c r="I223" s="671"/>
      <c r="J223" s="671">
        <v>6881.8</v>
      </c>
      <c r="K223" s="670" t="s">
        <v>8830</v>
      </c>
      <c r="L223" s="670" t="s">
        <v>8831</v>
      </c>
      <c r="M223" s="670" t="s">
        <v>8832</v>
      </c>
      <c r="N223" s="670"/>
    </row>
    <row r="224" spans="1:14">
      <c r="A224" s="1066"/>
      <c r="B224" s="678">
        <v>45096</v>
      </c>
      <c r="C224" s="670" t="s">
        <v>8827</v>
      </c>
      <c r="D224" s="670" t="s">
        <v>2077</v>
      </c>
      <c r="E224" s="670" t="s">
        <v>8828</v>
      </c>
      <c r="F224" s="670" t="s">
        <v>8829</v>
      </c>
      <c r="G224" s="671"/>
      <c r="H224" s="671"/>
      <c r="I224" s="671"/>
      <c r="J224" s="671">
        <v>5046</v>
      </c>
      <c r="K224" s="670" t="s">
        <v>8830</v>
      </c>
      <c r="L224" s="670" t="s">
        <v>8831</v>
      </c>
      <c r="M224" s="670" t="s">
        <v>8832</v>
      </c>
      <c r="N224" s="670"/>
    </row>
    <row r="225" spans="1:14">
      <c r="A225" s="1066"/>
      <c r="B225" s="678">
        <v>45157</v>
      </c>
      <c r="C225" s="670" t="s">
        <v>8827</v>
      </c>
      <c r="D225" s="670" t="s">
        <v>2077</v>
      </c>
      <c r="E225" s="670" t="s">
        <v>8828</v>
      </c>
      <c r="F225" s="670" t="s">
        <v>8829</v>
      </c>
      <c r="G225" s="671"/>
      <c r="H225" s="671"/>
      <c r="I225" s="671"/>
      <c r="J225" s="671">
        <v>6608</v>
      </c>
      <c r="K225" s="670" t="s">
        <v>8830</v>
      </c>
      <c r="L225" s="670" t="s">
        <v>8831</v>
      </c>
      <c r="M225" s="670" t="s">
        <v>8832</v>
      </c>
      <c r="N225" s="670"/>
    </row>
    <row r="226" spans="1:14">
      <c r="A226" s="1066"/>
      <c r="B226" s="678">
        <v>45260</v>
      </c>
      <c r="C226" s="670" t="s">
        <v>8827</v>
      </c>
      <c r="D226" s="670" t="s">
        <v>2077</v>
      </c>
      <c r="E226" s="670" t="s">
        <v>8828</v>
      </c>
      <c r="F226" s="670" t="s">
        <v>8829</v>
      </c>
      <c r="G226" s="671"/>
      <c r="H226" s="671"/>
      <c r="I226" s="671"/>
      <c r="J226" s="671">
        <v>6550</v>
      </c>
      <c r="K226" s="670" t="s">
        <v>8830</v>
      </c>
      <c r="L226" s="670" t="s">
        <v>8831</v>
      </c>
      <c r="M226" s="670" t="s">
        <v>8832</v>
      </c>
      <c r="N226" s="670"/>
    </row>
    <row r="227" spans="1:14">
      <c r="A227" s="1066"/>
      <c r="B227" s="678">
        <v>45202</v>
      </c>
      <c r="C227" s="670" t="s">
        <v>8827</v>
      </c>
      <c r="D227" s="670" t="s">
        <v>2077</v>
      </c>
      <c r="E227" s="670" t="s">
        <v>8828</v>
      </c>
      <c r="F227" s="670" t="s">
        <v>8829</v>
      </c>
      <c r="G227" s="671"/>
      <c r="H227" s="671"/>
      <c r="I227" s="671"/>
      <c r="J227" s="671">
        <v>6550</v>
      </c>
      <c r="K227" s="670" t="s">
        <v>8830</v>
      </c>
      <c r="L227" s="670" t="s">
        <v>8833</v>
      </c>
      <c r="M227" s="670" t="s">
        <v>8832</v>
      </c>
      <c r="N227" s="670"/>
    </row>
    <row r="228" spans="1:14">
      <c r="A228" s="1066"/>
      <c r="B228" s="678">
        <v>45056</v>
      </c>
      <c r="C228" s="670" t="s">
        <v>8834</v>
      </c>
      <c r="D228" s="670" t="s">
        <v>2077</v>
      </c>
      <c r="E228" s="670" t="s">
        <v>8835</v>
      </c>
      <c r="F228" s="670" t="s">
        <v>8836</v>
      </c>
      <c r="G228" s="671"/>
      <c r="H228" s="671"/>
      <c r="I228" s="671"/>
      <c r="J228" s="671">
        <v>40000</v>
      </c>
      <c r="K228" s="670" t="s">
        <v>8835</v>
      </c>
      <c r="L228" s="670" t="s">
        <v>8837</v>
      </c>
      <c r="M228" s="670" t="s">
        <v>8838</v>
      </c>
      <c r="N228" s="670"/>
    </row>
    <row r="229" spans="1:14">
      <c r="A229" s="1066"/>
      <c r="B229" s="678">
        <v>45145</v>
      </c>
      <c r="C229" s="670" t="s">
        <v>8839</v>
      </c>
      <c r="D229" s="670" t="s">
        <v>2077</v>
      </c>
      <c r="E229" s="670" t="s">
        <v>8835</v>
      </c>
      <c r="F229" s="670" t="s">
        <v>8836</v>
      </c>
      <c r="G229" s="671"/>
      <c r="H229" s="671"/>
      <c r="I229" s="671"/>
      <c r="J229" s="671">
        <v>25000</v>
      </c>
      <c r="K229" s="670" t="s">
        <v>8835</v>
      </c>
      <c r="L229" s="670" t="s">
        <v>8837</v>
      </c>
      <c r="M229" s="670" t="s">
        <v>8838</v>
      </c>
      <c r="N229" s="670"/>
    </row>
    <row r="230" spans="1:14">
      <c r="A230" s="1066"/>
      <c r="B230" s="678">
        <v>45145</v>
      </c>
      <c r="C230" s="670" t="s">
        <v>8839</v>
      </c>
      <c r="D230" s="670" t="s">
        <v>2077</v>
      </c>
      <c r="E230" s="670" t="s">
        <v>8835</v>
      </c>
      <c r="F230" s="670" t="s">
        <v>8836</v>
      </c>
      <c r="G230" s="671"/>
      <c r="H230" s="671"/>
      <c r="I230" s="671"/>
      <c r="J230" s="671">
        <v>36000</v>
      </c>
      <c r="K230" s="670" t="s">
        <v>8835</v>
      </c>
      <c r="L230" s="670" t="s">
        <v>8837</v>
      </c>
      <c r="M230" s="670" t="s">
        <v>8838</v>
      </c>
      <c r="N230" s="670"/>
    </row>
    <row r="231" spans="1:14">
      <c r="A231" s="1066"/>
      <c r="B231" s="678">
        <v>45145</v>
      </c>
      <c r="C231" s="670" t="s">
        <v>8839</v>
      </c>
      <c r="D231" s="670" t="s">
        <v>2077</v>
      </c>
      <c r="E231" s="670" t="s">
        <v>8835</v>
      </c>
      <c r="F231" s="670" t="s">
        <v>8836</v>
      </c>
      <c r="G231" s="671"/>
      <c r="H231" s="671"/>
      <c r="I231" s="671"/>
      <c r="J231" s="671">
        <v>30000</v>
      </c>
      <c r="K231" s="670" t="s">
        <v>8835</v>
      </c>
      <c r="L231" s="670" t="s">
        <v>8837</v>
      </c>
      <c r="M231" s="670" t="s">
        <v>8838</v>
      </c>
      <c r="N231" s="670"/>
    </row>
    <row r="232" spans="1:14">
      <c r="A232" s="1066"/>
      <c r="B232" s="678">
        <v>45145</v>
      </c>
      <c r="C232" s="670" t="s">
        <v>8839</v>
      </c>
      <c r="D232" s="670" t="s">
        <v>2077</v>
      </c>
      <c r="E232" s="670" t="s">
        <v>8835</v>
      </c>
      <c r="F232" s="670" t="s">
        <v>8836</v>
      </c>
      <c r="G232" s="671"/>
      <c r="H232" s="671"/>
      <c r="I232" s="671"/>
      <c r="J232" s="671">
        <v>35000</v>
      </c>
      <c r="K232" s="670" t="s">
        <v>8835</v>
      </c>
      <c r="L232" s="670" t="s">
        <v>8837</v>
      </c>
      <c r="M232" s="670" t="s">
        <v>8838</v>
      </c>
      <c r="N232" s="670"/>
    </row>
    <row r="233" spans="1:14">
      <c r="A233" s="1066"/>
      <c r="B233" s="678">
        <v>45187</v>
      </c>
      <c r="C233" s="670" t="s">
        <v>8840</v>
      </c>
      <c r="D233" s="670" t="s">
        <v>2077</v>
      </c>
      <c r="E233" s="670" t="s">
        <v>8835</v>
      </c>
      <c r="F233" s="670" t="s">
        <v>8836</v>
      </c>
      <c r="G233" s="671"/>
      <c r="H233" s="671"/>
      <c r="I233" s="671"/>
      <c r="J233" s="671">
        <v>35000</v>
      </c>
      <c r="K233" s="670" t="s">
        <v>8835</v>
      </c>
      <c r="L233" s="670" t="s">
        <v>8837</v>
      </c>
      <c r="M233" s="670" t="s">
        <v>8838</v>
      </c>
      <c r="N233" s="670"/>
    </row>
    <row r="234" spans="1:14">
      <c r="A234" s="1066"/>
      <c r="B234" s="678">
        <v>44928</v>
      </c>
      <c r="C234" s="670" t="s">
        <v>8841</v>
      </c>
      <c r="D234" s="670" t="s">
        <v>2077</v>
      </c>
      <c r="E234" s="670"/>
      <c r="F234" s="670" t="s">
        <v>8842</v>
      </c>
      <c r="G234" s="671"/>
      <c r="H234" s="671"/>
      <c r="I234" s="671"/>
      <c r="J234" s="671">
        <v>26530</v>
      </c>
      <c r="K234" s="670"/>
      <c r="L234" s="670" t="s">
        <v>8791</v>
      </c>
      <c r="M234" s="670"/>
      <c r="N234" s="670"/>
    </row>
    <row r="235" spans="1:14">
      <c r="A235" s="1066"/>
      <c r="B235" s="678">
        <v>44929</v>
      </c>
      <c r="C235" s="670" t="s">
        <v>8843</v>
      </c>
      <c r="D235" s="670" t="s">
        <v>2077</v>
      </c>
      <c r="E235" s="670" t="s">
        <v>8844</v>
      </c>
      <c r="F235" s="670" t="s">
        <v>8842</v>
      </c>
      <c r="G235" s="671"/>
      <c r="H235" s="671"/>
      <c r="I235" s="671"/>
      <c r="J235" s="671">
        <v>350000</v>
      </c>
      <c r="K235" s="670" t="s">
        <v>8845</v>
      </c>
      <c r="L235" s="670" t="s">
        <v>8791</v>
      </c>
      <c r="M235" s="670" t="s">
        <v>8700</v>
      </c>
      <c r="N235" s="670"/>
    </row>
    <row r="236" spans="1:14">
      <c r="A236" s="1066"/>
      <c r="B236" s="678">
        <v>44992</v>
      </c>
      <c r="C236" s="670" t="s">
        <v>8846</v>
      </c>
      <c r="D236" s="670" t="s">
        <v>2077</v>
      </c>
      <c r="E236" s="670" t="s">
        <v>1563</v>
      </c>
      <c r="F236" s="670"/>
      <c r="G236" s="671"/>
      <c r="H236" s="671"/>
      <c r="I236" s="671"/>
      <c r="J236" s="671">
        <v>600</v>
      </c>
      <c r="K236" s="670"/>
      <c r="L236" s="670" t="s">
        <v>8796</v>
      </c>
      <c r="M236" s="670"/>
      <c r="N236" s="670"/>
    </row>
    <row r="237" spans="1:14">
      <c r="A237" s="1066"/>
      <c r="B237" s="678">
        <v>45041</v>
      </c>
      <c r="C237" s="670" t="s">
        <v>8847</v>
      </c>
      <c r="D237" s="670" t="s">
        <v>2077</v>
      </c>
      <c r="E237" s="670" t="s">
        <v>8848</v>
      </c>
      <c r="F237" s="670" t="s">
        <v>8849</v>
      </c>
      <c r="G237" s="671"/>
      <c r="H237" s="671"/>
      <c r="I237" s="671"/>
      <c r="J237" s="671">
        <v>29876</v>
      </c>
      <c r="K237" s="670" t="s">
        <v>8850</v>
      </c>
      <c r="L237" s="670" t="s">
        <v>8791</v>
      </c>
      <c r="M237" s="670" t="s">
        <v>8851</v>
      </c>
      <c r="N237" s="670" t="s">
        <v>8852</v>
      </c>
    </row>
    <row r="238" spans="1:14">
      <c r="A238" s="1066"/>
      <c r="B238" s="678">
        <v>45041</v>
      </c>
      <c r="C238" s="670" t="s">
        <v>8853</v>
      </c>
      <c r="D238" s="670" t="s">
        <v>2077</v>
      </c>
      <c r="E238" s="670" t="s">
        <v>8848</v>
      </c>
      <c r="F238" s="670" t="s">
        <v>8854</v>
      </c>
      <c r="G238" s="671"/>
      <c r="H238" s="671"/>
      <c r="I238" s="671"/>
      <c r="J238" s="671">
        <v>13992</v>
      </c>
      <c r="K238" s="670" t="s">
        <v>8850</v>
      </c>
      <c r="L238" s="670" t="s">
        <v>8791</v>
      </c>
      <c r="M238" s="670" t="s">
        <v>8855</v>
      </c>
      <c r="N238" s="670" t="s">
        <v>8852</v>
      </c>
    </row>
    <row r="239" spans="1:14">
      <c r="A239" s="1066"/>
      <c r="B239" s="678">
        <v>45057</v>
      </c>
      <c r="C239" s="670" t="s">
        <v>8856</v>
      </c>
      <c r="D239" s="670" t="s">
        <v>2077</v>
      </c>
      <c r="E239" s="670" t="s">
        <v>8848</v>
      </c>
      <c r="F239" s="670" t="s">
        <v>8854</v>
      </c>
      <c r="G239" s="671"/>
      <c r="H239" s="671"/>
      <c r="I239" s="671"/>
      <c r="J239" s="671">
        <v>6996</v>
      </c>
      <c r="K239" s="670" t="s">
        <v>8850</v>
      </c>
      <c r="L239" s="670" t="s">
        <v>8791</v>
      </c>
      <c r="M239" s="670" t="s">
        <v>8855</v>
      </c>
      <c r="N239" s="670" t="s">
        <v>8852</v>
      </c>
    </row>
    <row r="240" spans="1:14">
      <c r="A240" s="1066"/>
      <c r="B240" s="678">
        <v>45057</v>
      </c>
      <c r="C240" s="670" t="s">
        <v>8857</v>
      </c>
      <c r="D240" s="670" t="s">
        <v>2077</v>
      </c>
      <c r="E240" s="670" t="s">
        <v>8848</v>
      </c>
      <c r="F240" s="670" t="s">
        <v>8849</v>
      </c>
      <c r="G240" s="671"/>
      <c r="H240" s="671"/>
      <c r="I240" s="671"/>
      <c r="J240" s="671">
        <v>14938</v>
      </c>
      <c r="K240" s="670" t="s">
        <v>8850</v>
      </c>
      <c r="L240" s="670" t="s">
        <v>8791</v>
      </c>
      <c r="M240" s="670" t="s">
        <v>8855</v>
      </c>
      <c r="N240" s="670" t="s">
        <v>8852</v>
      </c>
    </row>
    <row r="241" spans="1:14">
      <c r="A241" s="1066"/>
      <c r="B241" s="678">
        <v>45070</v>
      </c>
      <c r="C241" s="670" t="s">
        <v>8858</v>
      </c>
      <c r="D241" s="670" t="s">
        <v>2077</v>
      </c>
      <c r="E241" s="670" t="s">
        <v>8848</v>
      </c>
      <c r="F241" s="670" t="s">
        <v>8854</v>
      </c>
      <c r="G241" s="671"/>
      <c r="H241" s="671"/>
      <c r="I241" s="671"/>
      <c r="J241" s="671">
        <v>1000</v>
      </c>
      <c r="K241" s="670" t="s">
        <v>8850</v>
      </c>
      <c r="L241" s="670" t="s">
        <v>8791</v>
      </c>
      <c r="M241" s="670" t="s">
        <v>8855</v>
      </c>
      <c r="N241" s="670" t="s">
        <v>8852</v>
      </c>
    </row>
    <row r="242" spans="1:14">
      <c r="A242" s="1066"/>
      <c r="B242" s="678">
        <v>45090</v>
      </c>
      <c r="C242" s="670" t="s">
        <v>8859</v>
      </c>
      <c r="D242" s="670" t="s">
        <v>2077</v>
      </c>
      <c r="E242" s="670" t="s">
        <v>8848</v>
      </c>
      <c r="F242" s="670" t="s">
        <v>8849</v>
      </c>
      <c r="G242" s="671"/>
      <c r="H242" s="671"/>
      <c r="I242" s="671"/>
      <c r="J242" s="671">
        <v>14938</v>
      </c>
      <c r="K242" s="670" t="s">
        <v>8850</v>
      </c>
      <c r="L242" s="670" t="s">
        <v>8791</v>
      </c>
      <c r="M242" s="670" t="s">
        <v>8855</v>
      </c>
      <c r="N242" s="670" t="s">
        <v>8852</v>
      </c>
    </row>
    <row r="243" spans="1:14">
      <c r="A243" s="1066"/>
      <c r="B243" s="678">
        <v>45090</v>
      </c>
      <c r="C243" s="670" t="s">
        <v>8860</v>
      </c>
      <c r="D243" s="670" t="s">
        <v>2077</v>
      </c>
      <c r="E243" s="670" t="s">
        <v>8848</v>
      </c>
      <c r="F243" s="670" t="s">
        <v>8854</v>
      </c>
      <c r="G243" s="671"/>
      <c r="H243" s="671"/>
      <c r="I243" s="671"/>
      <c r="J243" s="671">
        <v>6996</v>
      </c>
      <c r="K243" s="670" t="s">
        <v>8850</v>
      </c>
      <c r="L243" s="670" t="s">
        <v>8791</v>
      </c>
      <c r="M243" s="670" t="s">
        <v>8855</v>
      </c>
      <c r="N243" s="670" t="s">
        <v>8852</v>
      </c>
    </row>
    <row r="244" spans="1:14">
      <c r="A244" s="1066"/>
      <c r="B244" s="678">
        <v>45090</v>
      </c>
      <c r="C244" s="670" t="s">
        <v>8861</v>
      </c>
      <c r="D244" s="670" t="s">
        <v>2077</v>
      </c>
      <c r="E244" s="670" t="s">
        <v>8862</v>
      </c>
      <c r="F244" s="670" t="s">
        <v>8854</v>
      </c>
      <c r="G244" s="671"/>
      <c r="H244" s="671"/>
      <c r="I244" s="671"/>
      <c r="J244" s="671">
        <v>5000</v>
      </c>
      <c r="K244" s="670" t="s">
        <v>8863</v>
      </c>
      <c r="L244" s="670" t="s">
        <v>8791</v>
      </c>
      <c r="M244" s="670" t="s">
        <v>8864</v>
      </c>
      <c r="N244" s="670"/>
    </row>
    <row r="245" spans="1:14">
      <c r="A245" s="1066"/>
      <c r="B245" s="678">
        <v>45108</v>
      </c>
      <c r="C245" s="670" t="s">
        <v>8865</v>
      </c>
      <c r="D245" s="670" t="s">
        <v>2077</v>
      </c>
      <c r="E245" s="670" t="s">
        <v>8866</v>
      </c>
      <c r="F245" s="670" t="s">
        <v>8842</v>
      </c>
      <c r="G245" s="671"/>
      <c r="H245" s="671">
        <v>399412.11</v>
      </c>
      <c r="I245" s="671"/>
      <c r="J245" s="671">
        <v>149137.84</v>
      </c>
      <c r="K245" s="670" t="s">
        <v>8866</v>
      </c>
      <c r="L245" s="670" t="s">
        <v>8791</v>
      </c>
      <c r="M245" s="670" t="s">
        <v>8700</v>
      </c>
      <c r="N245" s="670"/>
    </row>
    <row r="246" spans="1:14">
      <c r="A246" s="1066"/>
      <c r="B246" s="678">
        <v>45115</v>
      </c>
      <c r="C246" s="670" t="s">
        <v>8867</v>
      </c>
      <c r="D246" s="670" t="s">
        <v>2077</v>
      </c>
      <c r="E246" s="670" t="s">
        <v>8848</v>
      </c>
      <c r="F246" s="670" t="s">
        <v>8854</v>
      </c>
      <c r="G246" s="671"/>
      <c r="H246" s="671"/>
      <c r="I246" s="671"/>
      <c r="J246" s="671">
        <v>5877</v>
      </c>
      <c r="K246" s="670" t="s">
        <v>8850</v>
      </c>
      <c r="L246" s="670" t="s">
        <v>8791</v>
      </c>
      <c r="M246" s="670" t="s">
        <v>8868</v>
      </c>
      <c r="N246" s="670" t="s">
        <v>8852</v>
      </c>
    </row>
    <row r="247" spans="1:14">
      <c r="A247" s="1066"/>
      <c r="B247" s="678">
        <v>45115</v>
      </c>
      <c r="C247" s="670" t="s">
        <v>8869</v>
      </c>
      <c r="D247" s="670" t="s">
        <v>2077</v>
      </c>
      <c r="E247" s="670" t="s">
        <v>8848</v>
      </c>
      <c r="F247" s="670" t="s">
        <v>8849</v>
      </c>
      <c r="G247" s="671"/>
      <c r="H247" s="671"/>
      <c r="I247" s="671"/>
      <c r="J247" s="671">
        <v>12548</v>
      </c>
      <c r="K247" s="670"/>
      <c r="L247" s="670" t="s">
        <v>8791</v>
      </c>
      <c r="M247" s="670"/>
      <c r="N247" s="670" t="s">
        <v>8852</v>
      </c>
    </row>
    <row r="248" spans="1:14">
      <c r="A248" s="1066"/>
      <c r="B248" s="678">
        <v>45135</v>
      </c>
      <c r="C248" s="670" t="s">
        <v>8870</v>
      </c>
      <c r="D248" s="670" t="s">
        <v>2077</v>
      </c>
      <c r="E248" s="670" t="s">
        <v>8866</v>
      </c>
      <c r="F248" s="670" t="s">
        <v>8842</v>
      </c>
      <c r="G248" s="671"/>
      <c r="H248" s="671">
        <v>399412.11</v>
      </c>
      <c r="I248" s="671"/>
      <c r="J248" s="671">
        <v>90196.6</v>
      </c>
      <c r="K248" s="670" t="s">
        <v>8810</v>
      </c>
      <c r="L248" s="670" t="s">
        <v>8791</v>
      </c>
      <c r="M248" s="670" t="s">
        <v>8700</v>
      </c>
      <c r="N248" s="670"/>
    </row>
    <row r="249" spans="1:14">
      <c r="A249" s="1066"/>
      <c r="B249" s="678">
        <v>45135</v>
      </c>
      <c r="C249" s="670" t="s">
        <v>8871</v>
      </c>
      <c r="D249" s="670" t="s">
        <v>2077</v>
      </c>
      <c r="E249" s="670" t="s">
        <v>8699</v>
      </c>
      <c r="F249" s="670" t="s">
        <v>8842</v>
      </c>
      <c r="G249" s="671">
        <v>533325902.48000002</v>
      </c>
      <c r="H249" s="671">
        <v>262102.37</v>
      </c>
      <c r="I249" s="671"/>
      <c r="J249" s="671">
        <v>50519.9</v>
      </c>
      <c r="K249" s="670" t="s">
        <v>8872</v>
      </c>
      <c r="L249" s="670" t="s">
        <v>8791</v>
      </c>
      <c r="M249" s="670" t="s">
        <v>8700</v>
      </c>
      <c r="N249" s="670"/>
    </row>
    <row r="250" spans="1:14">
      <c r="A250" s="1066"/>
      <c r="B250" s="678">
        <v>45135</v>
      </c>
      <c r="C250" s="670" t="s">
        <v>8873</v>
      </c>
      <c r="D250" s="670" t="s">
        <v>2077</v>
      </c>
      <c r="E250" s="670" t="s">
        <v>8866</v>
      </c>
      <c r="F250" s="670" t="s">
        <v>8842</v>
      </c>
      <c r="G250" s="671"/>
      <c r="H250" s="671">
        <v>2157602.09</v>
      </c>
      <c r="I250" s="671"/>
      <c r="J250" s="671">
        <v>800328.54</v>
      </c>
      <c r="K250" s="670" t="s">
        <v>8810</v>
      </c>
      <c r="L250" s="670" t="s">
        <v>8791</v>
      </c>
      <c r="M250" s="670" t="s">
        <v>8700</v>
      </c>
      <c r="N250" s="670"/>
    </row>
    <row r="251" spans="1:14">
      <c r="A251" s="1066"/>
      <c r="B251" s="678">
        <v>45135</v>
      </c>
      <c r="C251" s="670" t="s">
        <v>8874</v>
      </c>
      <c r="D251" s="670" t="s">
        <v>2077</v>
      </c>
      <c r="E251" s="670" t="s">
        <v>8866</v>
      </c>
      <c r="F251" s="670" t="s">
        <v>8842</v>
      </c>
      <c r="G251" s="671"/>
      <c r="H251" s="671">
        <v>811326.7</v>
      </c>
      <c r="I251" s="671"/>
      <c r="J251" s="671">
        <v>169603.61</v>
      </c>
      <c r="K251" s="670" t="s">
        <v>8810</v>
      </c>
      <c r="L251" s="670" t="s">
        <v>8791</v>
      </c>
      <c r="M251" s="670" t="s">
        <v>8700</v>
      </c>
      <c r="N251" s="670"/>
    </row>
    <row r="252" spans="1:14">
      <c r="A252" s="1066"/>
      <c r="B252" s="678">
        <v>45135</v>
      </c>
      <c r="C252" s="670" t="s">
        <v>8875</v>
      </c>
      <c r="D252" s="670" t="s">
        <v>2077</v>
      </c>
      <c r="E252" s="670" t="s">
        <v>8699</v>
      </c>
      <c r="F252" s="670" t="s">
        <v>8842</v>
      </c>
      <c r="G252" s="671">
        <v>100530921.84</v>
      </c>
      <c r="H252" s="671">
        <v>49405.8</v>
      </c>
      <c r="I252" s="671"/>
      <c r="J252" s="671">
        <v>39298.720000000001</v>
      </c>
      <c r="K252" s="670" t="s">
        <v>8872</v>
      </c>
      <c r="L252" s="670" t="s">
        <v>8791</v>
      </c>
      <c r="M252" s="670" t="s">
        <v>8876</v>
      </c>
      <c r="N252" s="670"/>
    </row>
    <row r="253" spans="1:14">
      <c r="A253" s="1066"/>
      <c r="B253" s="678">
        <v>45148</v>
      </c>
      <c r="C253" s="670" t="s">
        <v>8877</v>
      </c>
      <c r="D253" s="670" t="s">
        <v>2077</v>
      </c>
      <c r="E253" s="670" t="s">
        <v>8878</v>
      </c>
      <c r="F253" s="670" t="s">
        <v>8842</v>
      </c>
      <c r="G253" s="671">
        <v>122011003.17</v>
      </c>
      <c r="H253" s="671">
        <v>59621.599999999999</v>
      </c>
      <c r="I253" s="671"/>
      <c r="J253" s="671">
        <v>47969.73</v>
      </c>
      <c r="K253" s="670" t="s">
        <v>8879</v>
      </c>
      <c r="L253" s="670" t="s">
        <v>8791</v>
      </c>
      <c r="M253" s="670" t="s">
        <v>8880</v>
      </c>
      <c r="N253" s="670"/>
    </row>
    <row r="254" spans="1:14">
      <c r="A254" s="1066"/>
      <c r="B254" s="678">
        <v>45160</v>
      </c>
      <c r="C254" s="670" t="s">
        <v>8881</v>
      </c>
      <c r="D254" s="670" t="s">
        <v>2077</v>
      </c>
      <c r="E254" s="670" t="s">
        <v>8866</v>
      </c>
      <c r="F254" s="670" t="s">
        <v>8842</v>
      </c>
      <c r="G254" s="671">
        <v>352544564.48000002</v>
      </c>
      <c r="H254" s="671">
        <v>173257.60000000001</v>
      </c>
      <c r="I254" s="671"/>
      <c r="J254" s="671">
        <v>4050</v>
      </c>
      <c r="K254" s="670" t="s">
        <v>8810</v>
      </c>
      <c r="L254" s="670" t="s">
        <v>8791</v>
      </c>
      <c r="M254" s="670" t="s">
        <v>8882</v>
      </c>
      <c r="N254" s="670"/>
    </row>
    <row r="255" spans="1:14">
      <c r="A255" s="1066"/>
      <c r="B255" s="678">
        <v>45160</v>
      </c>
      <c r="C255" s="670" t="s">
        <v>8883</v>
      </c>
      <c r="D255" s="670" t="s">
        <v>2077</v>
      </c>
      <c r="E255" s="670" t="s">
        <v>8866</v>
      </c>
      <c r="F255" s="670" t="s">
        <v>8842</v>
      </c>
      <c r="G255" s="671"/>
      <c r="H255" s="671">
        <v>700958.39</v>
      </c>
      <c r="I255" s="671"/>
      <c r="J255" s="671">
        <v>55896</v>
      </c>
      <c r="K255" s="670" t="s">
        <v>8810</v>
      </c>
      <c r="L255" s="670" t="s">
        <v>8791</v>
      </c>
      <c r="M255" s="670" t="s">
        <v>8700</v>
      </c>
      <c r="N255" s="670"/>
    </row>
    <row r="256" spans="1:14">
      <c r="A256" s="1066"/>
      <c r="B256" s="678">
        <v>45160</v>
      </c>
      <c r="C256" s="670" t="s">
        <v>8884</v>
      </c>
      <c r="D256" s="670" t="s">
        <v>2077</v>
      </c>
      <c r="E256" s="670" t="s">
        <v>8866</v>
      </c>
      <c r="F256" s="670" t="s">
        <v>8842</v>
      </c>
      <c r="G256" s="671"/>
      <c r="H256" s="671">
        <v>2157602.09</v>
      </c>
      <c r="I256" s="671"/>
      <c r="J256" s="671">
        <v>218966</v>
      </c>
      <c r="K256" s="670" t="s">
        <v>8810</v>
      </c>
      <c r="L256" s="670" t="s">
        <v>8791</v>
      </c>
      <c r="M256" s="670" t="s">
        <v>8700</v>
      </c>
      <c r="N256" s="670"/>
    </row>
    <row r="257" spans="1:14">
      <c r="A257" s="1066"/>
      <c r="B257" s="678">
        <v>45160</v>
      </c>
      <c r="C257" s="670" t="s">
        <v>8885</v>
      </c>
      <c r="D257" s="670" t="s">
        <v>2077</v>
      </c>
      <c r="E257" s="670" t="s">
        <v>8866</v>
      </c>
      <c r="F257" s="670" t="s">
        <v>8842</v>
      </c>
      <c r="G257" s="671">
        <v>341096778.68000001</v>
      </c>
      <c r="H257" s="671">
        <v>167631.6</v>
      </c>
      <c r="I257" s="671"/>
      <c r="J257" s="671">
        <v>26735</v>
      </c>
      <c r="K257" s="670" t="s">
        <v>8810</v>
      </c>
      <c r="L257" s="670" t="s">
        <v>8791</v>
      </c>
      <c r="M257" s="670" t="s">
        <v>8700</v>
      </c>
      <c r="N257" s="670"/>
    </row>
    <row r="258" spans="1:14">
      <c r="A258" s="1066"/>
      <c r="B258" s="678">
        <v>45160</v>
      </c>
      <c r="C258" s="670" t="s">
        <v>8886</v>
      </c>
      <c r="D258" s="670" t="s">
        <v>2077</v>
      </c>
      <c r="E258" s="670" t="s">
        <v>8866</v>
      </c>
      <c r="F258" s="670" t="s">
        <v>8842</v>
      </c>
      <c r="G258" s="671"/>
      <c r="H258" s="671">
        <v>811326.7</v>
      </c>
      <c r="I258" s="671"/>
      <c r="J258" s="671">
        <v>169603</v>
      </c>
      <c r="K258" s="670" t="s">
        <v>8810</v>
      </c>
      <c r="L258" s="670" t="s">
        <v>8791</v>
      </c>
      <c r="M258" s="670" t="s">
        <v>8700</v>
      </c>
      <c r="N258" s="670"/>
    </row>
    <row r="259" spans="1:14">
      <c r="A259" s="1066"/>
      <c r="B259" s="678">
        <v>45160</v>
      </c>
      <c r="C259" s="670" t="s">
        <v>8887</v>
      </c>
      <c r="D259" s="670" t="s">
        <v>2077</v>
      </c>
      <c r="E259" s="670" t="s">
        <v>8866</v>
      </c>
      <c r="F259" s="670" t="s">
        <v>8842</v>
      </c>
      <c r="G259" s="671">
        <v>341096779.68000001</v>
      </c>
      <c r="H259" s="671">
        <v>167306.79999999999</v>
      </c>
      <c r="I259" s="671"/>
      <c r="J259" s="671">
        <v>53081</v>
      </c>
      <c r="K259" s="670" t="s">
        <v>8810</v>
      </c>
      <c r="L259" s="670" t="s">
        <v>8791</v>
      </c>
      <c r="M259" s="670" t="s">
        <v>8888</v>
      </c>
      <c r="N259" s="670"/>
    </row>
    <row r="260" spans="1:14">
      <c r="A260" s="1066"/>
      <c r="B260" s="678">
        <v>45160</v>
      </c>
      <c r="C260" s="670" t="s">
        <v>8889</v>
      </c>
      <c r="D260" s="670" t="s">
        <v>2077</v>
      </c>
      <c r="E260" s="670" t="s">
        <v>8866</v>
      </c>
      <c r="F260" s="670" t="s">
        <v>8842</v>
      </c>
      <c r="G260" s="671">
        <v>3376978497.5999999</v>
      </c>
      <c r="H260" s="671">
        <v>1659612</v>
      </c>
      <c r="I260" s="671"/>
      <c r="J260" s="671">
        <v>639577</v>
      </c>
      <c r="K260" s="670" t="s">
        <v>8810</v>
      </c>
      <c r="L260" s="670" t="s">
        <v>8791</v>
      </c>
      <c r="M260" s="670" t="s">
        <v>8890</v>
      </c>
      <c r="N260" s="670"/>
    </row>
    <row r="261" spans="1:14">
      <c r="A261" s="1066"/>
      <c r="B261" s="678">
        <v>45160</v>
      </c>
      <c r="C261" s="670" t="s">
        <v>8891</v>
      </c>
      <c r="D261" s="670" t="s">
        <v>2077</v>
      </c>
      <c r="E261" s="670" t="s">
        <v>8892</v>
      </c>
      <c r="F261" s="670" t="s">
        <v>8842</v>
      </c>
      <c r="G261" s="671"/>
      <c r="H261" s="671">
        <v>347652</v>
      </c>
      <c r="I261" s="671"/>
      <c r="J261" s="671">
        <v>92685</v>
      </c>
      <c r="K261" s="670" t="s">
        <v>8893</v>
      </c>
      <c r="L261" s="670" t="s">
        <v>8791</v>
      </c>
      <c r="M261" s="670" t="s">
        <v>8700</v>
      </c>
      <c r="N261" s="670"/>
    </row>
    <row r="262" spans="1:14">
      <c r="A262" s="1066"/>
      <c r="B262" s="678">
        <v>45160</v>
      </c>
      <c r="C262" s="670" t="s">
        <v>8894</v>
      </c>
      <c r="D262" s="670" t="s">
        <v>2077</v>
      </c>
      <c r="E262" s="670" t="s">
        <v>8866</v>
      </c>
      <c r="F262" s="670" t="s">
        <v>8842</v>
      </c>
      <c r="G262" s="671">
        <v>1049447937.21</v>
      </c>
      <c r="H262" s="671">
        <v>515749.92</v>
      </c>
      <c r="I262" s="671"/>
      <c r="J262" s="671">
        <v>57500</v>
      </c>
      <c r="K262" s="670" t="s">
        <v>8810</v>
      </c>
      <c r="L262" s="670" t="s">
        <v>8791</v>
      </c>
      <c r="M262" s="670" t="s">
        <v>8700</v>
      </c>
      <c r="N262" s="670"/>
    </row>
    <row r="263" spans="1:14">
      <c r="A263" s="1066"/>
      <c r="B263" s="678">
        <v>45178</v>
      </c>
      <c r="C263" s="670" t="s">
        <v>8895</v>
      </c>
      <c r="D263" s="670" t="s">
        <v>2077</v>
      </c>
      <c r="E263" s="670" t="s">
        <v>8699</v>
      </c>
      <c r="F263" s="670" t="s">
        <v>8842</v>
      </c>
      <c r="G263" s="671">
        <v>533325902.48000002</v>
      </c>
      <c r="H263" s="671">
        <v>262102.37</v>
      </c>
      <c r="I263" s="671"/>
      <c r="J263" s="671">
        <v>12630</v>
      </c>
      <c r="K263" s="670" t="s">
        <v>8872</v>
      </c>
      <c r="L263" s="670" t="s">
        <v>8791</v>
      </c>
      <c r="M263" s="670" t="s">
        <v>8700</v>
      </c>
      <c r="N263" s="670"/>
    </row>
    <row r="264" spans="1:14">
      <c r="A264" s="1066"/>
      <c r="B264" s="678">
        <v>45178</v>
      </c>
      <c r="C264" s="670" t="s">
        <v>8896</v>
      </c>
      <c r="D264" s="670" t="s">
        <v>2077</v>
      </c>
      <c r="E264" s="670" t="s">
        <v>8866</v>
      </c>
      <c r="F264" s="670" t="s">
        <v>8842</v>
      </c>
      <c r="G264" s="671"/>
      <c r="H264" s="671">
        <v>2157602.09</v>
      </c>
      <c r="I264" s="671"/>
      <c r="J264" s="671">
        <v>26605.759999999998</v>
      </c>
      <c r="K264" s="670" t="s">
        <v>8810</v>
      </c>
      <c r="L264" s="670" t="s">
        <v>8791</v>
      </c>
      <c r="M264" s="670" t="s">
        <v>8700</v>
      </c>
      <c r="N264" s="670"/>
    </row>
    <row r="265" spans="1:14">
      <c r="A265" s="1066"/>
      <c r="B265" s="678">
        <v>45187</v>
      </c>
      <c r="C265" s="670" t="s">
        <v>8897</v>
      </c>
      <c r="D265" s="670" t="s">
        <v>2077</v>
      </c>
      <c r="E265" s="670" t="s">
        <v>8878</v>
      </c>
      <c r="F265" s="670"/>
      <c r="G265" s="671"/>
      <c r="H265" s="671"/>
      <c r="I265" s="671"/>
      <c r="J265" s="671">
        <v>4732.8</v>
      </c>
      <c r="K265" s="670" t="s">
        <v>8879</v>
      </c>
      <c r="L265" s="670" t="s">
        <v>8791</v>
      </c>
      <c r="M265" s="670"/>
      <c r="N265" s="670"/>
    </row>
    <row r="266" spans="1:14">
      <c r="A266" s="1066"/>
      <c r="B266" s="678">
        <v>45188</v>
      </c>
      <c r="C266" s="670" t="s">
        <v>8898</v>
      </c>
      <c r="D266" s="670" t="s">
        <v>2077</v>
      </c>
      <c r="E266" s="670" t="s">
        <v>8848</v>
      </c>
      <c r="F266" s="670" t="s">
        <v>8849</v>
      </c>
      <c r="G266" s="671"/>
      <c r="H266" s="671"/>
      <c r="I266" s="671"/>
      <c r="J266" s="671">
        <v>1951</v>
      </c>
      <c r="K266" s="670" t="s">
        <v>8850</v>
      </c>
      <c r="L266" s="670" t="s">
        <v>8791</v>
      </c>
      <c r="M266" s="670" t="s">
        <v>8700</v>
      </c>
      <c r="N266" s="670"/>
    </row>
    <row r="267" spans="1:14">
      <c r="A267" s="1066"/>
      <c r="B267" s="678">
        <v>45188</v>
      </c>
      <c r="C267" s="670" t="s">
        <v>8899</v>
      </c>
      <c r="D267" s="670" t="s">
        <v>2077</v>
      </c>
      <c r="E267" s="670" t="s">
        <v>8848</v>
      </c>
      <c r="F267" s="670" t="s">
        <v>8854</v>
      </c>
      <c r="G267" s="671"/>
      <c r="H267" s="671"/>
      <c r="I267" s="671"/>
      <c r="J267" s="671">
        <v>5596</v>
      </c>
      <c r="K267" s="670" t="s">
        <v>8850</v>
      </c>
      <c r="L267" s="670" t="s">
        <v>8791</v>
      </c>
      <c r="M267" s="670" t="s">
        <v>8700</v>
      </c>
      <c r="N267" s="670"/>
    </row>
    <row r="268" spans="1:14">
      <c r="A268" s="1066"/>
      <c r="B268" s="678">
        <v>45188</v>
      </c>
      <c r="C268" s="670" t="s">
        <v>8900</v>
      </c>
      <c r="D268" s="670" t="s">
        <v>2077</v>
      </c>
      <c r="E268" s="670" t="s">
        <v>8848</v>
      </c>
      <c r="F268" s="670" t="s">
        <v>8854</v>
      </c>
      <c r="G268" s="671"/>
      <c r="H268" s="671"/>
      <c r="I268" s="671"/>
      <c r="J268" s="671">
        <v>2612</v>
      </c>
      <c r="K268" s="670" t="s">
        <v>8850</v>
      </c>
      <c r="L268" s="670" t="s">
        <v>8791</v>
      </c>
      <c r="M268" s="670" t="s">
        <v>8700</v>
      </c>
      <c r="N268" s="670"/>
    </row>
    <row r="269" spans="1:14">
      <c r="A269" s="1066"/>
      <c r="B269" s="678">
        <v>45188</v>
      </c>
      <c r="C269" s="670" t="s">
        <v>8901</v>
      </c>
      <c r="D269" s="670" t="s">
        <v>2077</v>
      </c>
      <c r="E269" s="670" t="s">
        <v>8902</v>
      </c>
      <c r="F269" s="670" t="s">
        <v>8842</v>
      </c>
      <c r="G269" s="671">
        <v>437172242.39999998</v>
      </c>
      <c r="H269" s="671">
        <v>214847.77</v>
      </c>
      <c r="I269" s="671"/>
      <c r="J269" s="671">
        <v>66838.2</v>
      </c>
      <c r="K269" s="670" t="s">
        <v>8903</v>
      </c>
      <c r="L269" s="670" t="s">
        <v>8791</v>
      </c>
      <c r="M269" s="670" t="s">
        <v>8904</v>
      </c>
      <c r="N269" s="670"/>
    </row>
    <row r="270" spans="1:14">
      <c r="A270" s="1066"/>
      <c r="B270" s="678">
        <v>45188</v>
      </c>
      <c r="C270" s="670" t="s">
        <v>8905</v>
      </c>
      <c r="D270" s="670" t="s">
        <v>2077</v>
      </c>
      <c r="E270" s="670" t="s">
        <v>8848</v>
      </c>
      <c r="F270" s="670" t="s">
        <v>8849</v>
      </c>
      <c r="G270" s="671"/>
      <c r="H270" s="671"/>
      <c r="I270" s="671"/>
      <c r="J270" s="671">
        <v>5421</v>
      </c>
      <c r="K270" s="670" t="s">
        <v>8850</v>
      </c>
      <c r="L270" s="670" t="s">
        <v>8791</v>
      </c>
      <c r="M270" s="670" t="s">
        <v>8700</v>
      </c>
      <c r="N270" s="670"/>
    </row>
    <row r="271" spans="1:14">
      <c r="A271" s="1066"/>
      <c r="B271" s="678">
        <v>45198</v>
      </c>
      <c r="C271" s="670" t="s">
        <v>8906</v>
      </c>
      <c r="D271" s="670" t="s">
        <v>2077</v>
      </c>
      <c r="E271" s="670" t="s">
        <v>8866</v>
      </c>
      <c r="F271" s="670" t="s">
        <v>8842</v>
      </c>
      <c r="G271" s="671"/>
      <c r="H271" s="671">
        <v>2157602.09</v>
      </c>
      <c r="I271" s="671"/>
      <c r="J271" s="671">
        <v>159894.39999999999</v>
      </c>
      <c r="K271" s="670" t="s">
        <v>8810</v>
      </c>
      <c r="L271" s="670" t="s">
        <v>8791</v>
      </c>
      <c r="M271" s="670" t="s">
        <v>8700</v>
      </c>
      <c r="N271" s="670"/>
    </row>
    <row r="272" spans="1:14">
      <c r="A272" s="1066"/>
      <c r="B272" s="678">
        <v>45198</v>
      </c>
      <c r="C272" s="670" t="s">
        <v>8907</v>
      </c>
      <c r="D272" s="670" t="s">
        <v>2077</v>
      </c>
      <c r="E272" s="670" t="s">
        <v>8866</v>
      </c>
      <c r="F272" s="670" t="s">
        <v>8842</v>
      </c>
      <c r="G272" s="671"/>
      <c r="H272" s="671">
        <v>399412.11</v>
      </c>
      <c r="I272" s="671"/>
      <c r="J272" s="671">
        <v>13270.4</v>
      </c>
      <c r="K272" s="670" t="s">
        <v>8810</v>
      </c>
      <c r="L272" s="670" t="s">
        <v>8791</v>
      </c>
      <c r="M272" s="670" t="s">
        <v>8700</v>
      </c>
      <c r="N272" s="670"/>
    </row>
    <row r="273" spans="1:14">
      <c r="A273" s="1066"/>
      <c r="B273" s="678">
        <v>45198</v>
      </c>
      <c r="C273" s="670" t="s">
        <v>8908</v>
      </c>
      <c r="D273" s="670" t="s">
        <v>2077</v>
      </c>
      <c r="E273" s="670" t="s">
        <v>8866</v>
      </c>
      <c r="F273" s="670" t="s">
        <v>8842</v>
      </c>
      <c r="G273" s="671"/>
      <c r="H273" s="671">
        <v>811326.7</v>
      </c>
      <c r="I273" s="671"/>
      <c r="J273" s="671">
        <v>200082.14</v>
      </c>
      <c r="K273" s="670" t="s">
        <v>8810</v>
      </c>
      <c r="L273" s="670" t="s">
        <v>8791</v>
      </c>
      <c r="M273" s="670" t="s">
        <v>8700</v>
      </c>
      <c r="N273" s="670"/>
    </row>
    <row r="274" spans="1:14">
      <c r="A274" s="1066"/>
      <c r="B274" s="678">
        <v>45198</v>
      </c>
      <c r="C274" s="670" t="s">
        <v>8909</v>
      </c>
      <c r="D274" s="670" t="s">
        <v>2077</v>
      </c>
      <c r="E274" s="670" t="s">
        <v>8866</v>
      </c>
      <c r="F274" s="670" t="s">
        <v>8842</v>
      </c>
      <c r="G274" s="671"/>
      <c r="H274" s="671"/>
      <c r="I274" s="671"/>
      <c r="J274" s="671">
        <v>6683.92</v>
      </c>
      <c r="K274" s="670" t="s">
        <v>8810</v>
      </c>
      <c r="L274" s="670" t="s">
        <v>8791</v>
      </c>
      <c r="M274" s="670" t="s">
        <v>8700</v>
      </c>
      <c r="N274" s="670"/>
    </row>
    <row r="275" spans="1:14">
      <c r="A275" s="1066"/>
      <c r="B275" s="678">
        <v>45198</v>
      </c>
      <c r="C275" s="670" t="s">
        <v>8910</v>
      </c>
      <c r="D275" s="670" t="s">
        <v>2077</v>
      </c>
      <c r="E275" s="670" t="s">
        <v>8866</v>
      </c>
      <c r="F275" s="670" t="s">
        <v>8842</v>
      </c>
      <c r="G275" s="671"/>
      <c r="H275" s="671"/>
      <c r="I275" s="671"/>
      <c r="J275" s="671">
        <v>42400.9</v>
      </c>
      <c r="K275" s="670" t="s">
        <v>8810</v>
      </c>
      <c r="L275" s="670" t="s">
        <v>8791</v>
      </c>
      <c r="M275" s="670" t="s">
        <v>8700</v>
      </c>
      <c r="N275" s="670"/>
    </row>
    <row r="276" spans="1:14">
      <c r="A276" s="1066"/>
      <c r="B276" s="678">
        <v>45198</v>
      </c>
      <c r="C276" s="670" t="s">
        <v>8911</v>
      </c>
      <c r="D276" s="670" t="s">
        <v>2077</v>
      </c>
      <c r="E276" s="670" t="s">
        <v>8866</v>
      </c>
      <c r="F276" s="670" t="s">
        <v>8842</v>
      </c>
      <c r="G276" s="671"/>
      <c r="H276" s="671"/>
      <c r="I276" s="671"/>
      <c r="J276" s="671">
        <v>22549</v>
      </c>
      <c r="K276" s="670" t="s">
        <v>8810</v>
      </c>
      <c r="L276" s="670" t="s">
        <v>8791</v>
      </c>
      <c r="M276" s="670" t="s">
        <v>8700</v>
      </c>
      <c r="N276" s="670"/>
    </row>
    <row r="277" spans="1:14">
      <c r="A277" s="1066"/>
      <c r="B277" s="678">
        <v>45198</v>
      </c>
      <c r="C277" s="670" t="s">
        <v>8912</v>
      </c>
      <c r="D277" s="670" t="s">
        <v>2077</v>
      </c>
      <c r="E277" s="670" t="s">
        <v>8866</v>
      </c>
      <c r="F277" s="670" t="s">
        <v>8842</v>
      </c>
      <c r="G277" s="671"/>
      <c r="H277" s="671"/>
      <c r="I277" s="671"/>
      <c r="J277" s="671">
        <v>14375.18</v>
      </c>
      <c r="K277" s="670" t="s">
        <v>8810</v>
      </c>
      <c r="L277" s="670" t="s">
        <v>8791</v>
      </c>
      <c r="M277" s="670" t="s">
        <v>8700</v>
      </c>
      <c r="N277" s="670"/>
    </row>
    <row r="278" spans="1:14">
      <c r="A278" s="1066"/>
      <c r="B278" s="678">
        <v>45198</v>
      </c>
      <c r="C278" s="670" t="s">
        <v>8912</v>
      </c>
      <c r="D278" s="670" t="s">
        <v>2077</v>
      </c>
      <c r="E278" s="670" t="s">
        <v>8866</v>
      </c>
      <c r="F278" s="670" t="s">
        <v>8842</v>
      </c>
      <c r="G278" s="671"/>
      <c r="H278" s="671"/>
      <c r="I278" s="671"/>
      <c r="J278" s="671">
        <v>10262.75</v>
      </c>
      <c r="K278" s="670" t="s">
        <v>8810</v>
      </c>
      <c r="L278" s="670" t="s">
        <v>8791</v>
      </c>
      <c r="M278" s="670" t="s">
        <v>8700</v>
      </c>
      <c r="N278" s="670"/>
    </row>
    <row r="279" spans="1:14">
      <c r="A279" s="1066"/>
      <c r="B279" s="678">
        <v>45198</v>
      </c>
      <c r="C279" s="670" t="s">
        <v>8913</v>
      </c>
      <c r="D279" s="670" t="s">
        <v>2077</v>
      </c>
      <c r="E279" s="670" t="s">
        <v>8866</v>
      </c>
      <c r="F279" s="670" t="s">
        <v>8842</v>
      </c>
      <c r="G279" s="671"/>
      <c r="H279" s="671"/>
      <c r="I279" s="671"/>
      <c r="J279" s="671">
        <v>13974.27</v>
      </c>
      <c r="K279" s="670" t="s">
        <v>8810</v>
      </c>
      <c r="L279" s="670" t="s">
        <v>8791</v>
      </c>
      <c r="M279" s="670" t="s">
        <v>8700</v>
      </c>
      <c r="N279" s="670"/>
    </row>
    <row r="280" spans="1:14">
      <c r="A280" s="1066"/>
      <c r="B280" s="678">
        <v>45198</v>
      </c>
      <c r="C280" s="670" t="s">
        <v>8914</v>
      </c>
      <c r="D280" s="670" t="s">
        <v>2077</v>
      </c>
      <c r="E280" s="670" t="s">
        <v>8892</v>
      </c>
      <c r="F280" s="670" t="s">
        <v>8842</v>
      </c>
      <c r="G280" s="671"/>
      <c r="H280" s="671">
        <v>347652</v>
      </c>
      <c r="I280" s="671"/>
      <c r="J280" s="671">
        <v>23171.23</v>
      </c>
      <c r="K280" s="670" t="s">
        <v>8893</v>
      </c>
      <c r="L280" s="670" t="s">
        <v>8791</v>
      </c>
      <c r="M280" s="670" t="s">
        <v>8700</v>
      </c>
      <c r="N280" s="670"/>
    </row>
    <row r="281" spans="1:14">
      <c r="A281" s="1066"/>
      <c r="B281" s="678">
        <v>45198</v>
      </c>
      <c r="C281" s="670" t="s">
        <v>8915</v>
      </c>
      <c r="D281" s="670" t="s">
        <v>2077</v>
      </c>
      <c r="E281" s="670" t="s">
        <v>8916</v>
      </c>
      <c r="F281" s="670" t="s">
        <v>8842</v>
      </c>
      <c r="G281" s="671">
        <v>456421307.95999998</v>
      </c>
      <c r="H281" s="671">
        <v>224307.7</v>
      </c>
      <c r="I281" s="671"/>
      <c r="J281" s="671">
        <v>6651.44</v>
      </c>
      <c r="K281" s="670" t="s">
        <v>8917</v>
      </c>
      <c r="L281" s="670" t="s">
        <v>8791</v>
      </c>
      <c r="M281" s="670" t="s">
        <v>8918</v>
      </c>
      <c r="N281" s="670"/>
    </row>
    <row r="282" spans="1:14">
      <c r="A282" s="1066"/>
      <c r="B282" s="678">
        <v>45198</v>
      </c>
      <c r="C282" s="670" t="s">
        <v>8919</v>
      </c>
      <c r="D282" s="670" t="s">
        <v>2077</v>
      </c>
      <c r="E282" s="670" t="s">
        <v>8920</v>
      </c>
      <c r="F282" s="670" t="s">
        <v>8842</v>
      </c>
      <c r="G282" s="671"/>
      <c r="H282" s="671"/>
      <c r="I282" s="671"/>
      <c r="J282" s="671">
        <v>2989</v>
      </c>
      <c r="K282" s="670" t="s">
        <v>8921</v>
      </c>
      <c r="L282" s="670" t="s">
        <v>8791</v>
      </c>
      <c r="M282" s="670"/>
      <c r="N282" s="670"/>
    </row>
    <row r="283" spans="1:14">
      <c r="A283" s="1066"/>
      <c r="B283" s="678">
        <v>45211</v>
      </c>
      <c r="C283" s="670" t="s">
        <v>8922</v>
      </c>
      <c r="D283" s="670" t="s">
        <v>2077</v>
      </c>
      <c r="E283" s="670" t="s">
        <v>8866</v>
      </c>
      <c r="F283" s="670" t="s">
        <v>8842</v>
      </c>
      <c r="G283" s="671"/>
      <c r="H283" s="671"/>
      <c r="I283" s="671"/>
      <c r="J283" s="671">
        <v>54741.79</v>
      </c>
      <c r="K283" s="670" t="s">
        <v>8810</v>
      </c>
      <c r="L283" s="670" t="s">
        <v>8791</v>
      </c>
      <c r="M283" s="670" t="s">
        <v>8700</v>
      </c>
      <c r="N283" s="670"/>
    </row>
    <row r="284" spans="1:14">
      <c r="A284" s="1066"/>
      <c r="B284" s="678">
        <v>45211</v>
      </c>
      <c r="C284" s="670" t="s">
        <v>8923</v>
      </c>
      <c r="D284" s="670" t="s">
        <v>2077</v>
      </c>
      <c r="E284" s="670" t="s">
        <v>8924</v>
      </c>
      <c r="F284" s="670" t="s">
        <v>8842</v>
      </c>
      <c r="G284" s="671"/>
      <c r="H284" s="671"/>
      <c r="I284" s="671"/>
      <c r="J284" s="671">
        <v>375286.3</v>
      </c>
      <c r="K284" s="670"/>
      <c r="L284" s="670" t="s">
        <v>8791</v>
      </c>
      <c r="M284" s="670"/>
      <c r="N284" s="670"/>
    </row>
    <row r="285" spans="1:14">
      <c r="A285" s="1066"/>
      <c r="B285" s="678">
        <v>45211</v>
      </c>
      <c r="C285" s="670" t="s">
        <v>8925</v>
      </c>
      <c r="D285" s="670" t="s">
        <v>2077</v>
      </c>
      <c r="E285" s="670" t="s">
        <v>8866</v>
      </c>
      <c r="F285" s="670" t="s">
        <v>8842</v>
      </c>
      <c r="G285" s="671"/>
      <c r="H285" s="671"/>
      <c r="I285" s="671"/>
      <c r="J285" s="671">
        <v>42400.9</v>
      </c>
      <c r="K285" s="670" t="s">
        <v>8810</v>
      </c>
      <c r="L285" s="670" t="s">
        <v>8791</v>
      </c>
      <c r="M285" s="670" t="s">
        <v>8700</v>
      </c>
      <c r="N285" s="670"/>
    </row>
    <row r="286" spans="1:14">
      <c r="A286" s="1066"/>
      <c r="B286" s="678">
        <v>45211</v>
      </c>
      <c r="C286" s="670" t="s">
        <v>8926</v>
      </c>
      <c r="D286" s="670" t="s">
        <v>2077</v>
      </c>
      <c r="E286" s="670" t="s">
        <v>8866</v>
      </c>
      <c r="F286" s="670" t="s">
        <v>8842</v>
      </c>
      <c r="G286" s="671">
        <v>3376978497.5999999</v>
      </c>
      <c r="H286" s="671">
        <v>1659612</v>
      </c>
      <c r="I286" s="671"/>
      <c r="J286" s="671">
        <v>391012.8</v>
      </c>
      <c r="K286" s="670" t="s">
        <v>8810</v>
      </c>
      <c r="L286" s="670" t="s">
        <v>8791</v>
      </c>
      <c r="M286" s="670" t="s">
        <v>8890</v>
      </c>
      <c r="N286" s="670"/>
    </row>
    <row r="287" spans="1:14">
      <c r="A287" s="1066"/>
      <c r="B287" s="678">
        <v>45211</v>
      </c>
      <c r="C287" s="670" t="s">
        <v>8927</v>
      </c>
      <c r="D287" s="670" t="s">
        <v>2077</v>
      </c>
      <c r="E287" s="670" t="s">
        <v>8866</v>
      </c>
      <c r="F287" s="670" t="s">
        <v>8842</v>
      </c>
      <c r="G287" s="671"/>
      <c r="H287" s="671">
        <v>173257.60000000001</v>
      </c>
      <c r="I287" s="671"/>
      <c r="J287" s="671">
        <v>100108</v>
      </c>
      <c r="K287" s="670" t="s">
        <v>8810</v>
      </c>
      <c r="L287" s="670" t="s">
        <v>8791</v>
      </c>
      <c r="M287" s="670" t="s">
        <v>8700</v>
      </c>
      <c r="N287" s="670"/>
    </row>
    <row r="288" spans="1:14">
      <c r="A288" s="1066"/>
      <c r="B288" s="678">
        <v>45211</v>
      </c>
      <c r="C288" s="670" t="s">
        <v>8928</v>
      </c>
      <c r="D288" s="670" t="s">
        <v>2077</v>
      </c>
      <c r="E288" s="670" t="s">
        <v>8866</v>
      </c>
      <c r="F288" s="670" t="s">
        <v>8842</v>
      </c>
      <c r="G288" s="671"/>
      <c r="H288" s="671">
        <v>399412.11</v>
      </c>
      <c r="I288" s="671"/>
      <c r="J288" s="671">
        <v>114325.62</v>
      </c>
      <c r="K288" s="670" t="s">
        <v>8810</v>
      </c>
      <c r="L288" s="670" t="s">
        <v>8791</v>
      </c>
      <c r="M288" s="670" t="s">
        <v>8700</v>
      </c>
      <c r="N288" s="670"/>
    </row>
    <row r="289" spans="1:14">
      <c r="A289" s="1066"/>
      <c r="B289" s="678">
        <v>45211</v>
      </c>
      <c r="C289" s="670" t="s">
        <v>8929</v>
      </c>
      <c r="D289" s="670" t="s">
        <v>2077</v>
      </c>
      <c r="E289" s="670" t="s">
        <v>8866</v>
      </c>
      <c r="F289" s="670" t="s">
        <v>8842</v>
      </c>
      <c r="G289" s="671">
        <v>341096778.68000001</v>
      </c>
      <c r="H289" s="671">
        <v>167631.6</v>
      </c>
      <c r="I289" s="671"/>
      <c r="J289" s="671">
        <v>24012</v>
      </c>
      <c r="K289" s="670" t="s">
        <v>8810</v>
      </c>
      <c r="L289" s="670" t="s">
        <v>8791</v>
      </c>
      <c r="M289" s="670" t="s">
        <v>8700</v>
      </c>
      <c r="N289" s="670"/>
    </row>
    <row r="290" spans="1:14">
      <c r="A290" s="1066"/>
      <c r="B290" s="678">
        <v>45211</v>
      </c>
      <c r="C290" s="670" t="s">
        <v>8930</v>
      </c>
      <c r="D290" s="670" t="s">
        <v>2077</v>
      </c>
      <c r="E290" s="670" t="s">
        <v>8866</v>
      </c>
      <c r="F290" s="670" t="s">
        <v>8842</v>
      </c>
      <c r="G290" s="671"/>
      <c r="H290" s="671">
        <v>515749.92</v>
      </c>
      <c r="I290" s="671"/>
      <c r="J290" s="671">
        <v>84564</v>
      </c>
      <c r="K290" s="670" t="s">
        <v>8810</v>
      </c>
      <c r="L290" s="670" t="s">
        <v>8791</v>
      </c>
      <c r="M290" s="670" t="s">
        <v>8700</v>
      </c>
      <c r="N290" s="670"/>
    </row>
    <row r="291" spans="1:14">
      <c r="A291" s="1066"/>
      <c r="B291" s="678">
        <v>45211</v>
      </c>
      <c r="C291" s="670" t="s">
        <v>8931</v>
      </c>
      <c r="D291" s="670" t="s">
        <v>2077</v>
      </c>
      <c r="E291" s="670" t="s">
        <v>8866</v>
      </c>
      <c r="F291" s="670" t="s">
        <v>8842</v>
      </c>
      <c r="G291" s="671"/>
      <c r="H291" s="671">
        <v>700958.39</v>
      </c>
      <c r="I291" s="671"/>
      <c r="J291" s="671">
        <v>77145.45</v>
      </c>
      <c r="K291" s="670" t="s">
        <v>8810</v>
      </c>
      <c r="L291" s="670" t="s">
        <v>8791</v>
      </c>
      <c r="M291" s="670" t="s">
        <v>8700</v>
      </c>
      <c r="N291" s="670"/>
    </row>
    <row r="292" spans="1:14">
      <c r="A292" s="1066"/>
      <c r="B292" s="678">
        <v>45211</v>
      </c>
      <c r="C292" s="670" t="s">
        <v>8932</v>
      </c>
      <c r="D292" s="670" t="s">
        <v>2077</v>
      </c>
      <c r="E292" s="670" t="s">
        <v>8866</v>
      </c>
      <c r="F292" s="670" t="s">
        <v>8842</v>
      </c>
      <c r="G292" s="671"/>
      <c r="H292" s="671">
        <v>811326.7</v>
      </c>
      <c r="I292" s="671"/>
      <c r="J292" s="671">
        <v>208390.81</v>
      </c>
      <c r="K292" s="670" t="s">
        <v>8810</v>
      </c>
      <c r="L292" s="670" t="s">
        <v>8791</v>
      </c>
      <c r="M292" s="670" t="s">
        <v>8700</v>
      </c>
      <c r="N292" s="670"/>
    </row>
    <row r="293" spans="1:14">
      <c r="A293" s="1066"/>
      <c r="B293" s="678">
        <v>45211</v>
      </c>
      <c r="C293" s="670" t="s">
        <v>8933</v>
      </c>
      <c r="D293" s="670" t="s">
        <v>2077</v>
      </c>
      <c r="E293" s="670" t="s">
        <v>8866</v>
      </c>
      <c r="F293" s="670" t="s">
        <v>8842</v>
      </c>
      <c r="G293" s="671"/>
      <c r="H293" s="671">
        <v>2157602.09</v>
      </c>
      <c r="I293" s="671"/>
      <c r="J293" s="671">
        <v>195506.4</v>
      </c>
      <c r="K293" s="670" t="s">
        <v>8810</v>
      </c>
      <c r="L293" s="670" t="s">
        <v>8791</v>
      </c>
      <c r="M293" s="670" t="s">
        <v>8700</v>
      </c>
      <c r="N293" s="670"/>
    </row>
    <row r="294" spans="1:14">
      <c r="A294" s="1066"/>
      <c r="B294" s="678">
        <v>45211</v>
      </c>
      <c r="C294" s="670" t="s">
        <v>8934</v>
      </c>
      <c r="D294" s="670" t="s">
        <v>2077</v>
      </c>
      <c r="E294" s="670" t="s">
        <v>8916</v>
      </c>
      <c r="F294" s="670" t="s">
        <v>8842</v>
      </c>
      <c r="G294" s="671">
        <v>342560207.83999997</v>
      </c>
      <c r="H294" s="671">
        <v>168350.8</v>
      </c>
      <c r="I294" s="671"/>
      <c r="J294" s="671">
        <v>19043</v>
      </c>
      <c r="K294" s="670" t="s">
        <v>8917</v>
      </c>
      <c r="L294" s="670" t="s">
        <v>8791</v>
      </c>
      <c r="M294" s="670" t="s">
        <v>8700</v>
      </c>
      <c r="N294" s="670"/>
    </row>
    <row r="295" spans="1:14">
      <c r="A295" s="1066"/>
      <c r="B295" s="678">
        <v>45212</v>
      </c>
      <c r="C295" s="670" t="s">
        <v>8935</v>
      </c>
      <c r="D295" s="670" t="s">
        <v>2077</v>
      </c>
      <c r="E295" s="670" t="s">
        <v>8848</v>
      </c>
      <c r="F295" s="670" t="s">
        <v>8849</v>
      </c>
      <c r="G295" s="671"/>
      <c r="H295" s="671"/>
      <c r="I295" s="671"/>
      <c r="J295" s="671">
        <v>11950</v>
      </c>
      <c r="K295" s="670" t="s">
        <v>8850</v>
      </c>
      <c r="L295" s="670" t="s">
        <v>8791</v>
      </c>
      <c r="M295" s="670" t="s">
        <v>8700</v>
      </c>
      <c r="N295" s="670"/>
    </row>
    <row r="296" spans="1:14">
      <c r="A296" s="1066"/>
      <c r="B296" s="678">
        <v>45212</v>
      </c>
      <c r="C296" s="670" t="s">
        <v>8936</v>
      </c>
      <c r="D296" s="670" t="s">
        <v>2077</v>
      </c>
      <c r="E296" s="670" t="s">
        <v>8848</v>
      </c>
      <c r="F296" s="670" t="s">
        <v>8854</v>
      </c>
      <c r="G296" s="671"/>
      <c r="H296" s="671"/>
      <c r="I296" s="671"/>
      <c r="J296" s="671">
        <v>6996</v>
      </c>
      <c r="K296" s="670" t="s">
        <v>8850</v>
      </c>
      <c r="L296" s="670" t="s">
        <v>8791</v>
      </c>
      <c r="M296" s="670" t="s">
        <v>8700</v>
      </c>
      <c r="N296" s="670"/>
    </row>
    <row r="297" spans="1:14">
      <c r="A297" s="1066"/>
      <c r="B297" s="678">
        <v>45212</v>
      </c>
      <c r="C297" s="670" t="s">
        <v>8937</v>
      </c>
      <c r="D297" s="670" t="s">
        <v>2077</v>
      </c>
      <c r="E297" s="670" t="s">
        <v>8848</v>
      </c>
      <c r="F297" s="670" t="s">
        <v>8854</v>
      </c>
      <c r="G297" s="671"/>
      <c r="H297" s="671"/>
      <c r="I297" s="671"/>
      <c r="J297" s="671">
        <v>2987</v>
      </c>
      <c r="K297" s="670" t="s">
        <v>8850</v>
      </c>
      <c r="L297" s="670" t="s">
        <v>8791</v>
      </c>
      <c r="M297" s="670" t="s">
        <v>8700</v>
      </c>
      <c r="N297" s="670"/>
    </row>
    <row r="298" spans="1:14">
      <c r="A298" s="1066"/>
      <c r="B298" s="678">
        <v>45213</v>
      </c>
      <c r="C298" s="670" t="s">
        <v>8938</v>
      </c>
      <c r="D298" s="670" t="s">
        <v>2077</v>
      </c>
      <c r="E298" s="670" t="s">
        <v>8848</v>
      </c>
      <c r="F298" s="670" t="s">
        <v>8854</v>
      </c>
      <c r="G298" s="671"/>
      <c r="H298" s="671"/>
      <c r="I298" s="671"/>
      <c r="J298" s="671">
        <v>2390</v>
      </c>
      <c r="K298" s="670" t="s">
        <v>8850</v>
      </c>
      <c r="L298" s="670" t="s">
        <v>8791</v>
      </c>
      <c r="M298" s="670" t="s">
        <v>8700</v>
      </c>
      <c r="N298" s="670"/>
    </row>
    <row r="299" spans="1:14">
      <c r="A299" s="1066"/>
      <c r="B299" s="678">
        <v>45213</v>
      </c>
      <c r="C299" s="670" t="s">
        <v>8939</v>
      </c>
      <c r="D299" s="670" t="s">
        <v>2077</v>
      </c>
      <c r="E299" s="670" t="s">
        <v>8848</v>
      </c>
      <c r="F299" s="670" t="s">
        <v>8849</v>
      </c>
      <c r="G299" s="671"/>
      <c r="H299" s="671"/>
      <c r="I299" s="671"/>
      <c r="J299" s="671">
        <v>1119</v>
      </c>
      <c r="K299" s="670" t="s">
        <v>8850</v>
      </c>
      <c r="L299" s="670" t="s">
        <v>8791</v>
      </c>
      <c r="M299" s="670" t="s">
        <v>8700</v>
      </c>
      <c r="N299" s="670"/>
    </row>
    <row r="300" spans="1:14">
      <c r="A300" s="1066"/>
      <c r="B300" s="678">
        <v>45213</v>
      </c>
      <c r="C300" s="670" t="s">
        <v>8940</v>
      </c>
      <c r="D300" s="670" t="s">
        <v>2077</v>
      </c>
      <c r="E300" s="670" t="s">
        <v>8848</v>
      </c>
      <c r="F300" s="670" t="s">
        <v>8849</v>
      </c>
      <c r="G300" s="671"/>
      <c r="H300" s="671"/>
      <c r="I300" s="671"/>
      <c r="J300" s="671">
        <v>653</v>
      </c>
      <c r="K300" s="670" t="s">
        <v>8850</v>
      </c>
      <c r="L300" s="670" t="s">
        <v>8791</v>
      </c>
      <c r="M300" s="670" t="s">
        <v>8700</v>
      </c>
      <c r="N300" s="670"/>
    </row>
    <row r="301" spans="1:14">
      <c r="A301" s="1066"/>
      <c r="B301" s="678">
        <v>45216</v>
      </c>
      <c r="C301" s="670" t="s">
        <v>8941</v>
      </c>
      <c r="D301" s="670" t="s">
        <v>2077</v>
      </c>
      <c r="E301" s="670" t="s">
        <v>8942</v>
      </c>
      <c r="F301" s="670" t="s">
        <v>8842</v>
      </c>
      <c r="G301" s="671">
        <v>387690444</v>
      </c>
      <c r="H301" s="671">
        <v>190530</v>
      </c>
      <c r="I301" s="671"/>
      <c r="J301" s="671">
        <v>67007</v>
      </c>
      <c r="K301" s="670" t="s">
        <v>8943</v>
      </c>
      <c r="L301" s="670" t="s">
        <v>8791</v>
      </c>
      <c r="M301" s="670" t="s">
        <v>8944</v>
      </c>
      <c r="N301" s="670"/>
    </row>
    <row r="302" spans="1:14">
      <c r="A302" s="1066"/>
      <c r="B302" s="678">
        <v>45216</v>
      </c>
      <c r="C302" s="670" t="s">
        <v>8945</v>
      </c>
      <c r="D302" s="670" t="s">
        <v>2077</v>
      </c>
      <c r="E302" s="670" t="s">
        <v>8699</v>
      </c>
      <c r="F302" s="670" t="s">
        <v>8842</v>
      </c>
      <c r="G302" s="671">
        <v>533325902.48000002</v>
      </c>
      <c r="H302" s="671">
        <v>262102.37</v>
      </c>
      <c r="I302" s="671"/>
      <c r="J302" s="671">
        <v>154958</v>
      </c>
      <c r="K302" s="670" t="s">
        <v>8872</v>
      </c>
      <c r="L302" s="670" t="s">
        <v>8791</v>
      </c>
      <c r="M302" s="670" t="s">
        <v>8700</v>
      </c>
      <c r="N302" s="670"/>
    </row>
    <row r="303" spans="1:14">
      <c r="A303" s="1066"/>
      <c r="B303" s="678">
        <v>45216</v>
      </c>
      <c r="C303" s="670" t="s">
        <v>8946</v>
      </c>
      <c r="D303" s="670" t="s">
        <v>2077</v>
      </c>
      <c r="E303" s="670" t="s">
        <v>8942</v>
      </c>
      <c r="F303" s="670" t="s">
        <v>8842</v>
      </c>
      <c r="G303" s="671">
        <v>346997699.68000001</v>
      </c>
      <c r="H303" s="671">
        <v>170163.3</v>
      </c>
      <c r="I303" s="671"/>
      <c r="J303" s="671">
        <v>50616</v>
      </c>
      <c r="K303" s="670" t="s">
        <v>8943</v>
      </c>
      <c r="L303" s="670" t="s">
        <v>8791</v>
      </c>
      <c r="M303" s="670" t="s">
        <v>8947</v>
      </c>
      <c r="N303" s="670"/>
    </row>
    <row r="304" spans="1:14">
      <c r="A304" s="1066"/>
      <c r="B304" s="678">
        <v>45216</v>
      </c>
      <c r="C304" s="670" t="s">
        <v>8948</v>
      </c>
      <c r="D304" s="670" t="s">
        <v>2077</v>
      </c>
      <c r="E304" s="670" t="s">
        <v>8699</v>
      </c>
      <c r="F304" s="670" t="s">
        <v>8842</v>
      </c>
      <c r="G304" s="671">
        <v>100530921.84</v>
      </c>
      <c r="H304" s="671">
        <v>49405.8</v>
      </c>
      <c r="I304" s="671"/>
      <c r="J304" s="671">
        <v>9824.68</v>
      </c>
      <c r="K304" s="670" t="s">
        <v>8872</v>
      </c>
      <c r="L304" s="670" t="s">
        <v>8791</v>
      </c>
      <c r="M304" s="670" t="s">
        <v>8700</v>
      </c>
      <c r="N304" s="670"/>
    </row>
    <row r="305" spans="1:14">
      <c r="A305" s="1066"/>
      <c r="B305" s="678">
        <v>45216</v>
      </c>
      <c r="C305" s="670" t="s">
        <v>8949</v>
      </c>
      <c r="D305" s="670" t="s">
        <v>2077</v>
      </c>
      <c r="E305" s="670" t="s">
        <v>8942</v>
      </c>
      <c r="F305" s="670" t="s">
        <v>8842</v>
      </c>
      <c r="G305" s="671">
        <v>499130559.43000001</v>
      </c>
      <c r="H305" s="671">
        <v>245297.11</v>
      </c>
      <c r="I305" s="671"/>
      <c r="J305" s="671">
        <v>90719</v>
      </c>
      <c r="K305" s="670" t="s">
        <v>8943</v>
      </c>
      <c r="L305" s="670" t="s">
        <v>8791</v>
      </c>
      <c r="M305" s="670" t="s">
        <v>8950</v>
      </c>
      <c r="N305" s="670"/>
    </row>
    <row r="306" spans="1:14">
      <c r="A306" s="1066"/>
      <c r="B306" s="678">
        <v>45216</v>
      </c>
      <c r="C306" s="670" t="s">
        <v>8951</v>
      </c>
      <c r="D306" s="670" t="s">
        <v>2077</v>
      </c>
      <c r="E306" s="670" t="s">
        <v>8942</v>
      </c>
      <c r="F306" s="670" t="s">
        <v>8842</v>
      </c>
      <c r="G306" s="671">
        <v>346997699.68000001</v>
      </c>
      <c r="H306" s="671">
        <v>170531.6</v>
      </c>
      <c r="I306" s="671"/>
      <c r="J306" s="671">
        <v>50616</v>
      </c>
      <c r="K306" s="670" t="s">
        <v>8943</v>
      </c>
      <c r="L306" s="670" t="s">
        <v>8791</v>
      </c>
      <c r="M306" s="670" t="s">
        <v>8952</v>
      </c>
      <c r="N306" s="670"/>
    </row>
    <row r="307" spans="1:14">
      <c r="A307" s="1066"/>
      <c r="B307" s="678">
        <v>45216</v>
      </c>
      <c r="C307" s="670" t="s">
        <v>8953</v>
      </c>
      <c r="D307" s="670" t="s">
        <v>2077</v>
      </c>
      <c r="E307" s="670" t="s">
        <v>8954</v>
      </c>
      <c r="F307" s="670" t="s">
        <v>8842</v>
      </c>
      <c r="G307" s="671"/>
      <c r="H307" s="671"/>
      <c r="I307" s="671"/>
      <c r="J307" s="671">
        <v>9600</v>
      </c>
      <c r="K307" s="670" t="s">
        <v>8955</v>
      </c>
      <c r="L307" s="670" t="s">
        <v>8791</v>
      </c>
      <c r="M307" s="670" t="s">
        <v>8855</v>
      </c>
      <c r="N307" s="670"/>
    </row>
    <row r="308" spans="1:14">
      <c r="A308" s="1066"/>
      <c r="B308" s="678">
        <v>45216</v>
      </c>
      <c r="C308" s="670" t="s">
        <v>8956</v>
      </c>
      <c r="D308" s="670" t="s">
        <v>2077</v>
      </c>
      <c r="E308" s="670" t="s">
        <v>8866</v>
      </c>
      <c r="F308" s="670" t="s">
        <v>8842</v>
      </c>
      <c r="G308" s="671">
        <v>341096779.68000001</v>
      </c>
      <c r="H308" s="671">
        <v>167306.79999999999</v>
      </c>
      <c r="I308" s="671"/>
      <c r="J308" s="671">
        <v>66352</v>
      </c>
      <c r="K308" s="670" t="s">
        <v>8810</v>
      </c>
      <c r="L308" s="670" t="s">
        <v>8791</v>
      </c>
      <c r="M308" s="670" t="s">
        <v>8888</v>
      </c>
      <c r="N308" s="670"/>
    </row>
    <row r="309" spans="1:14">
      <c r="A309" s="1066"/>
      <c r="B309" s="678">
        <v>45217</v>
      </c>
      <c r="C309" s="670" t="s">
        <v>8940</v>
      </c>
      <c r="D309" s="670" t="s">
        <v>2077</v>
      </c>
      <c r="E309" s="670" t="s">
        <v>8848</v>
      </c>
      <c r="F309" s="670" t="s">
        <v>8849</v>
      </c>
      <c r="G309" s="671"/>
      <c r="H309" s="671"/>
      <c r="I309" s="671"/>
      <c r="J309" s="671">
        <v>1356</v>
      </c>
      <c r="K309" s="670" t="s">
        <v>8850</v>
      </c>
      <c r="L309" s="670" t="s">
        <v>8791</v>
      </c>
      <c r="M309" s="670" t="s">
        <v>8855</v>
      </c>
      <c r="N309" s="670"/>
    </row>
    <row r="310" spans="1:14">
      <c r="A310" s="1066"/>
      <c r="B310" s="678">
        <v>45217</v>
      </c>
      <c r="C310" s="670" t="s">
        <v>8940</v>
      </c>
      <c r="D310" s="670" t="s">
        <v>2077</v>
      </c>
      <c r="E310" s="670" t="s">
        <v>8848</v>
      </c>
      <c r="F310" s="670" t="s">
        <v>8854</v>
      </c>
      <c r="G310" s="671"/>
      <c r="H310" s="671"/>
      <c r="I310" s="671"/>
      <c r="J310" s="671">
        <v>1400</v>
      </c>
      <c r="K310" s="670" t="s">
        <v>8850</v>
      </c>
      <c r="L310" s="670" t="s">
        <v>8791</v>
      </c>
      <c r="M310" s="670" t="s">
        <v>8855</v>
      </c>
      <c r="N310" s="670"/>
    </row>
    <row r="311" spans="1:14">
      <c r="A311" s="1066"/>
      <c r="B311" s="678">
        <v>45217</v>
      </c>
      <c r="C311" s="670" t="s">
        <v>8957</v>
      </c>
      <c r="D311" s="670" t="s">
        <v>2077</v>
      </c>
      <c r="E311" s="670" t="s">
        <v>8920</v>
      </c>
      <c r="F311" s="670" t="s">
        <v>8849</v>
      </c>
      <c r="G311" s="671"/>
      <c r="H311" s="671"/>
      <c r="I311" s="671"/>
      <c r="J311" s="671">
        <v>2353</v>
      </c>
      <c r="K311" s="670" t="s">
        <v>8921</v>
      </c>
      <c r="L311" s="670" t="s">
        <v>8791</v>
      </c>
      <c r="M311" s="670"/>
      <c r="N311" s="670"/>
    </row>
    <row r="312" spans="1:14">
      <c r="A312" s="1066"/>
      <c r="B312" s="678">
        <v>45212</v>
      </c>
      <c r="C312" s="670" t="s">
        <v>8937</v>
      </c>
      <c r="D312" s="670" t="s">
        <v>2077</v>
      </c>
      <c r="E312" s="670" t="s">
        <v>8848</v>
      </c>
      <c r="F312" s="670" t="s">
        <v>8854</v>
      </c>
      <c r="G312" s="671"/>
      <c r="H312" s="671"/>
      <c r="I312" s="671"/>
      <c r="J312" s="671">
        <v>-2987</v>
      </c>
      <c r="K312" s="670" t="s">
        <v>8850</v>
      </c>
      <c r="L312" s="670" t="s">
        <v>8791</v>
      </c>
      <c r="M312" s="670" t="s">
        <v>8855</v>
      </c>
      <c r="N312" s="670"/>
    </row>
    <row r="313" spans="1:14">
      <c r="A313" s="1066"/>
      <c r="B313" s="678">
        <v>45212</v>
      </c>
      <c r="C313" s="670" t="s">
        <v>8936</v>
      </c>
      <c r="D313" s="670" t="s">
        <v>2077</v>
      </c>
      <c r="E313" s="670" t="s">
        <v>8848</v>
      </c>
      <c r="F313" s="670" t="s">
        <v>8849</v>
      </c>
      <c r="G313" s="671"/>
      <c r="H313" s="671"/>
      <c r="I313" s="671"/>
      <c r="J313" s="671">
        <v>-6996</v>
      </c>
      <c r="K313" s="670" t="s">
        <v>8850</v>
      </c>
      <c r="L313" s="670" t="s">
        <v>8791</v>
      </c>
      <c r="M313" s="670" t="s">
        <v>8855</v>
      </c>
      <c r="N313" s="670"/>
    </row>
    <row r="314" spans="1:14">
      <c r="A314" s="1066"/>
      <c r="B314" s="678">
        <v>45212</v>
      </c>
      <c r="C314" s="670" t="s">
        <v>8935</v>
      </c>
      <c r="D314" s="670" t="s">
        <v>2077</v>
      </c>
      <c r="E314" s="670" t="s">
        <v>8848</v>
      </c>
      <c r="F314" s="670" t="s">
        <v>8854</v>
      </c>
      <c r="G314" s="671"/>
      <c r="H314" s="671"/>
      <c r="I314" s="671"/>
      <c r="J314" s="671">
        <v>-11950</v>
      </c>
      <c r="K314" s="670" t="s">
        <v>8850</v>
      </c>
      <c r="L314" s="670" t="s">
        <v>8791</v>
      </c>
      <c r="M314" s="670" t="s">
        <v>8855</v>
      </c>
      <c r="N314" s="670"/>
    </row>
    <row r="315" spans="1:14">
      <c r="A315" s="1066"/>
      <c r="B315" s="678">
        <v>45218</v>
      </c>
      <c r="C315" s="670" t="s">
        <v>8935</v>
      </c>
      <c r="D315" s="670" t="s">
        <v>2077</v>
      </c>
      <c r="E315" s="670" t="s">
        <v>8848</v>
      </c>
      <c r="F315" s="670" t="s">
        <v>8849</v>
      </c>
      <c r="G315" s="671"/>
      <c r="H315" s="671"/>
      <c r="I315" s="671"/>
      <c r="J315" s="671">
        <v>11950</v>
      </c>
      <c r="K315" s="670" t="s">
        <v>8850</v>
      </c>
      <c r="L315" s="670" t="s">
        <v>8791</v>
      </c>
      <c r="M315" s="670" t="s">
        <v>8855</v>
      </c>
      <c r="N315" s="670"/>
    </row>
    <row r="316" spans="1:14">
      <c r="A316" s="1066"/>
      <c r="B316" s="678">
        <v>45218</v>
      </c>
      <c r="C316" s="670" t="s">
        <v>8936</v>
      </c>
      <c r="D316" s="670" t="s">
        <v>2077</v>
      </c>
      <c r="E316" s="670" t="s">
        <v>8848</v>
      </c>
      <c r="F316" s="670" t="s">
        <v>8854</v>
      </c>
      <c r="G316" s="671"/>
      <c r="H316" s="671"/>
      <c r="I316" s="671"/>
      <c r="J316" s="671">
        <v>6996</v>
      </c>
      <c r="K316" s="670" t="s">
        <v>8850</v>
      </c>
      <c r="L316" s="670" t="s">
        <v>8791</v>
      </c>
      <c r="M316" s="670" t="s">
        <v>8855</v>
      </c>
      <c r="N316" s="670"/>
    </row>
    <row r="317" spans="1:14">
      <c r="A317" s="1066"/>
      <c r="B317" s="678">
        <v>45218</v>
      </c>
      <c r="C317" s="670" t="s">
        <v>8937</v>
      </c>
      <c r="D317" s="670" t="s">
        <v>2077</v>
      </c>
      <c r="E317" s="670" t="s">
        <v>8848</v>
      </c>
      <c r="F317" s="670" t="s">
        <v>8849</v>
      </c>
      <c r="G317" s="671"/>
      <c r="H317" s="671"/>
      <c r="I317" s="671"/>
      <c r="J317" s="671">
        <v>2987</v>
      </c>
      <c r="K317" s="670" t="s">
        <v>8850</v>
      </c>
      <c r="L317" s="670" t="s">
        <v>8791</v>
      </c>
      <c r="M317" s="670" t="s">
        <v>8855</v>
      </c>
      <c r="N317" s="670"/>
    </row>
    <row r="318" spans="1:14">
      <c r="A318" s="1066"/>
      <c r="B318" s="678">
        <v>45213</v>
      </c>
      <c r="C318" s="670" t="s">
        <v>8940</v>
      </c>
      <c r="D318" s="670" t="s">
        <v>2077</v>
      </c>
      <c r="E318" s="670" t="s">
        <v>8848</v>
      </c>
      <c r="F318" s="670" t="s">
        <v>8854</v>
      </c>
      <c r="G318" s="671"/>
      <c r="H318" s="671"/>
      <c r="I318" s="671"/>
      <c r="J318" s="671">
        <v>-653</v>
      </c>
      <c r="K318" s="670" t="s">
        <v>8850</v>
      </c>
      <c r="L318" s="670" t="s">
        <v>8791</v>
      </c>
      <c r="M318" s="670" t="s">
        <v>8855</v>
      </c>
      <c r="N318" s="670"/>
    </row>
    <row r="319" spans="1:14">
      <c r="A319" s="1066"/>
      <c r="B319" s="678">
        <v>45213</v>
      </c>
      <c r="C319" s="670" t="s">
        <v>8939</v>
      </c>
      <c r="D319" s="670" t="s">
        <v>2077</v>
      </c>
      <c r="E319" s="670" t="s">
        <v>8848</v>
      </c>
      <c r="F319" s="670" t="s">
        <v>8849</v>
      </c>
      <c r="G319" s="671"/>
      <c r="H319" s="671"/>
      <c r="I319" s="671"/>
      <c r="J319" s="671">
        <v>-1119</v>
      </c>
      <c r="K319" s="670" t="s">
        <v>8850</v>
      </c>
      <c r="L319" s="670" t="s">
        <v>8791</v>
      </c>
      <c r="M319" s="670" t="s">
        <v>8855</v>
      </c>
      <c r="N319" s="670"/>
    </row>
    <row r="320" spans="1:14">
      <c r="A320" s="1066"/>
      <c r="B320" s="678">
        <v>45213</v>
      </c>
      <c r="C320" s="670" t="s">
        <v>8938</v>
      </c>
      <c r="D320" s="670" t="s">
        <v>2077</v>
      </c>
      <c r="E320" s="670" t="s">
        <v>8848</v>
      </c>
      <c r="F320" s="670" t="s">
        <v>8854</v>
      </c>
      <c r="G320" s="671"/>
      <c r="H320" s="671"/>
      <c r="I320" s="671"/>
      <c r="J320" s="671">
        <v>-2390</v>
      </c>
      <c r="K320" s="670" t="s">
        <v>8850</v>
      </c>
      <c r="L320" s="670" t="s">
        <v>8791</v>
      </c>
      <c r="M320" s="670" t="s">
        <v>8855</v>
      </c>
      <c r="N320" s="670"/>
    </row>
    <row r="321" spans="1:14">
      <c r="A321" s="1066"/>
      <c r="B321" s="678">
        <v>45218</v>
      </c>
      <c r="C321" s="670" t="s">
        <v>8958</v>
      </c>
      <c r="D321" s="670" t="s">
        <v>2077</v>
      </c>
      <c r="E321" s="670" t="s">
        <v>8848</v>
      </c>
      <c r="F321" s="670" t="s">
        <v>8849</v>
      </c>
      <c r="G321" s="671"/>
      <c r="H321" s="671"/>
      <c r="I321" s="671"/>
      <c r="J321" s="671">
        <v>2390</v>
      </c>
      <c r="K321" s="670" t="s">
        <v>8850</v>
      </c>
      <c r="L321" s="670" t="s">
        <v>8791</v>
      </c>
      <c r="M321" s="670" t="s">
        <v>8855</v>
      </c>
      <c r="N321" s="670"/>
    </row>
    <row r="322" spans="1:14">
      <c r="A322" s="1066"/>
      <c r="B322" s="678">
        <v>45218</v>
      </c>
      <c r="C322" s="670" t="s">
        <v>8959</v>
      </c>
      <c r="D322" s="670" t="s">
        <v>2077</v>
      </c>
      <c r="E322" s="670" t="s">
        <v>8848</v>
      </c>
      <c r="F322" s="670" t="s">
        <v>8854</v>
      </c>
      <c r="G322" s="671"/>
      <c r="H322" s="671"/>
      <c r="I322" s="671"/>
      <c r="J322" s="671">
        <v>1119</v>
      </c>
      <c r="K322" s="670" t="s">
        <v>8850</v>
      </c>
      <c r="L322" s="670" t="s">
        <v>8791</v>
      </c>
      <c r="M322" s="670" t="s">
        <v>8855</v>
      </c>
      <c r="N322" s="670"/>
    </row>
    <row r="323" spans="1:14">
      <c r="A323" s="1066"/>
      <c r="B323" s="678">
        <v>45218</v>
      </c>
      <c r="C323" s="670" t="s">
        <v>8960</v>
      </c>
      <c r="D323" s="670" t="s">
        <v>2077</v>
      </c>
      <c r="E323" s="670" t="s">
        <v>8848</v>
      </c>
      <c r="F323" s="670" t="s">
        <v>8849</v>
      </c>
      <c r="G323" s="671"/>
      <c r="H323" s="671"/>
      <c r="I323" s="671"/>
      <c r="J323" s="671">
        <v>653</v>
      </c>
      <c r="K323" s="670" t="s">
        <v>8850</v>
      </c>
      <c r="L323" s="670" t="s">
        <v>8791</v>
      </c>
      <c r="M323" s="670" t="s">
        <v>8855</v>
      </c>
      <c r="N323" s="670"/>
    </row>
    <row r="324" spans="1:14">
      <c r="A324" s="1066"/>
      <c r="B324" s="678">
        <v>45258</v>
      </c>
      <c r="C324" s="670" t="s">
        <v>8961</v>
      </c>
      <c r="D324" s="670" t="s">
        <v>2077</v>
      </c>
      <c r="E324" s="670" t="s">
        <v>8892</v>
      </c>
      <c r="F324" s="670" t="s">
        <v>8842</v>
      </c>
      <c r="G324" s="671"/>
      <c r="H324" s="671">
        <v>347652</v>
      </c>
      <c r="I324" s="671"/>
      <c r="J324" s="671">
        <v>176964</v>
      </c>
      <c r="K324" s="670" t="s">
        <v>8893</v>
      </c>
      <c r="L324" s="670" t="s">
        <v>8791</v>
      </c>
      <c r="M324" s="670" t="s">
        <v>8700</v>
      </c>
      <c r="N324" s="670"/>
    </row>
    <row r="325" spans="1:14">
      <c r="A325" s="1066"/>
      <c r="B325" s="678">
        <v>45258</v>
      </c>
      <c r="C325" s="670" t="s">
        <v>8962</v>
      </c>
      <c r="D325" s="670" t="s">
        <v>2077</v>
      </c>
      <c r="E325" s="670" t="s">
        <v>8916</v>
      </c>
      <c r="F325" s="670" t="s">
        <v>8842</v>
      </c>
      <c r="G325" s="671">
        <v>338948844.80000001</v>
      </c>
      <c r="H325" s="671">
        <v>166576</v>
      </c>
      <c r="I325" s="671"/>
      <c r="J325" s="671">
        <v>71247</v>
      </c>
      <c r="K325" s="670" t="s">
        <v>8917</v>
      </c>
      <c r="L325" s="670" t="s">
        <v>8791</v>
      </c>
      <c r="M325" s="670" t="s">
        <v>8963</v>
      </c>
      <c r="N325" s="670"/>
    </row>
    <row r="326" spans="1:14">
      <c r="A326" s="1066"/>
      <c r="B326" s="678">
        <v>45266</v>
      </c>
      <c r="C326" s="670" t="s">
        <v>8964</v>
      </c>
      <c r="D326" s="670" t="s">
        <v>2077</v>
      </c>
      <c r="E326" s="670" t="s">
        <v>8965</v>
      </c>
      <c r="F326" s="670" t="s">
        <v>8842</v>
      </c>
      <c r="G326" s="671"/>
      <c r="H326" s="671"/>
      <c r="I326" s="671"/>
      <c r="J326" s="671">
        <v>3593</v>
      </c>
      <c r="K326" s="670" t="s">
        <v>8966</v>
      </c>
      <c r="L326" s="670" t="s">
        <v>8791</v>
      </c>
      <c r="M326" s="670" t="s">
        <v>8700</v>
      </c>
      <c r="N326" s="670"/>
    </row>
    <row r="327" spans="1:14">
      <c r="A327" s="1066"/>
      <c r="B327" s="678">
        <v>45266</v>
      </c>
      <c r="C327" s="670" t="s">
        <v>8967</v>
      </c>
      <c r="D327" s="670" t="s">
        <v>2077</v>
      </c>
      <c r="E327" s="670" t="s">
        <v>8848</v>
      </c>
      <c r="F327" s="670" t="s">
        <v>8854</v>
      </c>
      <c r="G327" s="671"/>
      <c r="H327" s="671"/>
      <c r="I327" s="671"/>
      <c r="J327" s="671">
        <v>5597</v>
      </c>
      <c r="K327" s="670" t="s">
        <v>8850</v>
      </c>
      <c r="L327" s="670" t="s">
        <v>8791</v>
      </c>
      <c r="M327" s="670" t="s">
        <v>8855</v>
      </c>
      <c r="N327" s="670"/>
    </row>
    <row r="328" spans="1:14">
      <c r="A328" s="1066"/>
      <c r="B328" s="678">
        <v>45266</v>
      </c>
      <c r="C328" s="670" t="s">
        <v>8968</v>
      </c>
      <c r="D328" s="670" t="s">
        <v>2077</v>
      </c>
      <c r="E328" s="670" t="s">
        <v>8848</v>
      </c>
      <c r="F328" s="670" t="s">
        <v>8849</v>
      </c>
      <c r="G328" s="671"/>
      <c r="H328" s="671"/>
      <c r="I328" s="671"/>
      <c r="J328" s="671">
        <v>11950</v>
      </c>
      <c r="K328" s="670" t="s">
        <v>8850</v>
      </c>
      <c r="L328" s="670" t="s">
        <v>8791</v>
      </c>
      <c r="M328" s="670" t="s">
        <v>8855</v>
      </c>
      <c r="N328" s="670"/>
    </row>
    <row r="329" spans="1:14">
      <c r="A329" s="1066"/>
      <c r="B329" s="678">
        <v>45267</v>
      </c>
      <c r="C329" s="670" t="s">
        <v>8969</v>
      </c>
      <c r="D329" s="670" t="s">
        <v>2077</v>
      </c>
      <c r="E329" s="670" t="s">
        <v>8970</v>
      </c>
      <c r="F329" s="670" t="s">
        <v>8842</v>
      </c>
      <c r="G329" s="671">
        <v>118018400</v>
      </c>
      <c r="H329" s="671">
        <v>58000</v>
      </c>
      <c r="I329" s="671"/>
      <c r="J329" s="671">
        <v>23200</v>
      </c>
      <c r="K329" s="670" t="s">
        <v>8971</v>
      </c>
      <c r="L329" s="670" t="s">
        <v>8791</v>
      </c>
      <c r="M329" s="670" t="s">
        <v>8972</v>
      </c>
      <c r="N329" s="670"/>
    </row>
    <row r="330" spans="1:14">
      <c r="A330" s="1066"/>
      <c r="B330" s="678">
        <v>45267</v>
      </c>
      <c r="C330" s="670" t="s">
        <v>8973</v>
      </c>
      <c r="D330" s="670" t="s">
        <v>2077</v>
      </c>
      <c r="E330" s="670" t="s">
        <v>8848</v>
      </c>
      <c r="F330" s="670" t="s">
        <v>8849</v>
      </c>
      <c r="G330" s="671"/>
      <c r="H330" s="671"/>
      <c r="I330" s="671"/>
      <c r="J330" s="671">
        <v>1399</v>
      </c>
      <c r="K330" s="670" t="s">
        <v>8850</v>
      </c>
      <c r="L330" s="670" t="s">
        <v>8791</v>
      </c>
      <c r="M330" s="670" t="s">
        <v>8855</v>
      </c>
      <c r="N330" s="670"/>
    </row>
    <row r="331" spans="1:14">
      <c r="A331" s="1066"/>
      <c r="B331" s="678">
        <v>45267</v>
      </c>
      <c r="C331" s="670" t="s">
        <v>8974</v>
      </c>
      <c r="D331" s="670" t="s">
        <v>2077</v>
      </c>
      <c r="E331" s="670" t="s">
        <v>8848</v>
      </c>
      <c r="F331" s="670" t="s">
        <v>8854</v>
      </c>
      <c r="G331" s="671"/>
      <c r="H331" s="671"/>
      <c r="I331" s="671"/>
      <c r="J331" s="671">
        <v>2988</v>
      </c>
      <c r="K331" s="670" t="s">
        <v>8850</v>
      </c>
      <c r="L331" s="670" t="s">
        <v>8791</v>
      </c>
      <c r="M331" s="670" t="s">
        <v>8855</v>
      </c>
      <c r="N331" s="670"/>
    </row>
    <row r="332" spans="1:14">
      <c r="A332" s="1066"/>
      <c r="B332" s="678">
        <v>45272</v>
      </c>
      <c r="C332" s="670" t="s">
        <v>8975</v>
      </c>
      <c r="D332" s="670" t="s">
        <v>2077</v>
      </c>
      <c r="E332" s="670" t="s">
        <v>8878</v>
      </c>
      <c r="F332" s="670" t="s">
        <v>8842</v>
      </c>
      <c r="G332" s="671">
        <v>122011003.17</v>
      </c>
      <c r="H332" s="671">
        <v>59621.599999999999</v>
      </c>
      <c r="I332" s="671"/>
      <c r="J332" s="671">
        <v>1183.4000000000001</v>
      </c>
      <c r="K332" s="670" t="s">
        <v>8879</v>
      </c>
      <c r="L332" s="670" t="s">
        <v>8791</v>
      </c>
      <c r="M332" s="670" t="s">
        <v>8880</v>
      </c>
      <c r="N332" s="670"/>
    </row>
    <row r="333" spans="1:14">
      <c r="A333" s="672" t="s">
        <v>8976</v>
      </c>
      <c r="B333" s="672"/>
      <c r="C333" s="672"/>
      <c r="D333" s="672"/>
      <c r="E333" s="672"/>
      <c r="F333" s="676"/>
      <c r="G333" s="677">
        <f>+SUM(G31:G332)</f>
        <v>14839335576.860001</v>
      </c>
      <c r="H333" s="677">
        <f>+SUM(H31:H332)</f>
        <v>26055920.500000007</v>
      </c>
      <c r="I333" s="677">
        <f>+SUM(I31:I332)</f>
        <v>0</v>
      </c>
      <c r="J333" s="677">
        <f>+SUM(J31:J332)</f>
        <v>20354466.039999995</v>
      </c>
      <c r="K333" s="673"/>
      <c r="L333" s="673"/>
      <c r="M333" s="673"/>
      <c r="N333" s="673"/>
    </row>
    <row r="334" spans="1:14">
      <c r="A334" s="1067" t="s">
        <v>8977</v>
      </c>
      <c r="B334" s="748" t="s">
        <v>8978</v>
      </c>
      <c r="C334" s="674" t="s">
        <v>8979</v>
      </c>
      <c r="D334" s="674" t="s">
        <v>8980</v>
      </c>
      <c r="E334" s="674" t="s">
        <v>1234</v>
      </c>
      <c r="F334" s="674" t="s">
        <v>8981</v>
      </c>
      <c r="G334" s="680"/>
      <c r="H334" s="680">
        <v>150000</v>
      </c>
      <c r="I334" s="680"/>
      <c r="J334" s="680">
        <v>150000</v>
      </c>
      <c r="K334" s="674" t="s">
        <v>8982</v>
      </c>
      <c r="L334" s="674" t="s">
        <v>8983</v>
      </c>
      <c r="M334" s="674" t="s">
        <v>8984</v>
      </c>
      <c r="N334" s="674"/>
    </row>
    <row r="335" spans="1:14">
      <c r="A335" s="1067"/>
      <c r="B335" s="748" t="s">
        <v>8978</v>
      </c>
      <c r="C335" s="674" t="s">
        <v>8979</v>
      </c>
      <c r="D335" s="674" t="s">
        <v>8980</v>
      </c>
      <c r="E335" s="674" t="s">
        <v>1234</v>
      </c>
      <c r="F335" s="674" t="s">
        <v>8985</v>
      </c>
      <c r="G335" s="680"/>
      <c r="H335" s="680">
        <v>132066</v>
      </c>
      <c r="I335" s="680"/>
      <c r="J335" s="680">
        <v>132066</v>
      </c>
      <c r="K335" s="674" t="s">
        <v>8986</v>
      </c>
      <c r="L335" s="674" t="s">
        <v>8987</v>
      </c>
      <c r="M335" s="674"/>
      <c r="N335" s="674"/>
    </row>
    <row r="336" spans="1:14">
      <c r="A336" s="1067"/>
      <c r="B336" s="748" t="s">
        <v>8978</v>
      </c>
      <c r="C336" s="674" t="s">
        <v>8979</v>
      </c>
      <c r="D336" s="674" t="s">
        <v>8980</v>
      </c>
      <c r="E336" s="674" t="s">
        <v>1234</v>
      </c>
      <c r="F336" s="674" t="s">
        <v>8988</v>
      </c>
      <c r="G336" s="680"/>
      <c r="H336" s="680">
        <v>330000</v>
      </c>
      <c r="I336" s="680"/>
      <c r="J336" s="680">
        <v>330000</v>
      </c>
      <c r="K336" s="674" t="s">
        <v>8989</v>
      </c>
      <c r="L336" s="674" t="s">
        <v>8990</v>
      </c>
      <c r="M336" s="674"/>
      <c r="N336" s="674"/>
    </row>
    <row r="337" spans="1:14">
      <c r="A337" s="1067"/>
      <c r="B337" s="748" t="s">
        <v>8978</v>
      </c>
      <c r="C337" s="674" t="s">
        <v>8979</v>
      </c>
      <c r="D337" s="674" t="s">
        <v>8980</v>
      </c>
      <c r="E337" s="674" t="s">
        <v>1234</v>
      </c>
      <c r="F337" s="674" t="s">
        <v>8991</v>
      </c>
      <c r="G337" s="680"/>
      <c r="H337" s="680">
        <v>330000</v>
      </c>
      <c r="I337" s="680"/>
      <c r="J337" s="680">
        <v>330000</v>
      </c>
      <c r="K337" s="674" t="s">
        <v>8992</v>
      </c>
      <c r="L337" s="674" t="s">
        <v>3</v>
      </c>
      <c r="M337" s="674"/>
      <c r="N337" s="674"/>
    </row>
    <row r="338" spans="1:14">
      <c r="A338" s="1067"/>
      <c r="B338" s="679" t="s">
        <v>8993</v>
      </c>
      <c r="C338" s="674" t="s">
        <v>8994</v>
      </c>
      <c r="D338" s="674"/>
      <c r="E338" s="674" t="s">
        <v>1234</v>
      </c>
      <c r="F338" s="674" t="s">
        <v>8995</v>
      </c>
      <c r="G338" s="680"/>
      <c r="H338" s="680">
        <v>64143.040000000001</v>
      </c>
      <c r="I338" s="680"/>
      <c r="J338" s="680">
        <v>64143.040000000001</v>
      </c>
      <c r="K338" s="674" t="s">
        <v>8996</v>
      </c>
      <c r="L338" s="674" t="s">
        <v>8997</v>
      </c>
      <c r="M338" s="674"/>
      <c r="N338" s="674"/>
    </row>
    <row r="339" spans="1:14">
      <c r="A339" s="1067"/>
      <c r="B339" s="679" t="s">
        <v>8998</v>
      </c>
      <c r="C339" s="674" t="s">
        <v>8999</v>
      </c>
      <c r="D339" s="674" t="s">
        <v>9000</v>
      </c>
      <c r="E339" s="674" t="s">
        <v>9001</v>
      </c>
      <c r="F339" s="674" t="s">
        <v>9002</v>
      </c>
      <c r="G339" s="680"/>
      <c r="H339" s="680">
        <v>9918</v>
      </c>
      <c r="I339" s="680"/>
      <c r="J339" s="680">
        <v>9918</v>
      </c>
      <c r="K339" s="674" t="s">
        <v>9003</v>
      </c>
      <c r="L339" s="674" t="s">
        <v>9004</v>
      </c>
      <c r="M339" s="674"/>
      <c r="N339" s="674"/>
    </row>
    <row r="340" spans="1:14">
      <c r="A340" s="1067"/>
      <c r="B340" s="679" t="s">
        <v>8998</v>
      </c>
      <c r="C340" s="674" t="s">
        <v>9005</v>
      </c>
      <c r="D340" s="674"/>
      <c r="E340" s="674"/>
      <c r="F340" s="674" t="s">
        <v>9006</v>
      </c>
      <c r="G340" s="680"/>
      <c r="H340" s="680">
        <v>43344</v>
      </c>
      <c r="I340" s="680"/>
      <c r="J340" s="680">
        <v>43344</v>
      </c>
      <c r="K340" s="674"/>
      <c r="L340" s="674"/>
      <c r="M340" s="674"/>
      <c r="N340" s="674"/>
    </row>
    <row r="341" spans="1:14">
      <c r="A341" s="1067"/>
      <c r="B341" s="679" t="s">
        <v>8998</v>
      </c>
      <c r="C341" s="674" t="s">
        <v>9007</v>
      </c>
      <c r="D341" s="674" t="s">
        <v>9008</v>
      </c>
      <c r="E341" s="674" t="s">
        <v>1234</v>
      </c>
      <c r="F341" s="674" t="s">
        <v>9009</v>
      </c>
      <c r="G341" s="680"/>
      <c r="H341" s="680">
        <v>148538</v>
      </c>
      <c r="I341" s="680"/>
      <c r="J341" s="680">
        <v>148538</v>
      </c>
      <c r="K341" s="674" t="s">
        <v>9010</v>
      </c>
      <c r="L341" s="674" t="s">
        <v>9011</v>
      </c>
      <c r="M341" s="674"/>
      <c r="N341" s="674"/>
    </row>
    <row r="342" spans="1:14">
      <c r="A342" s="1067"/>
      <c r="B342" s="679" t="s">
        <v>9012</v>
      </c>
      <c r="C342" s="674" t="s">
        <v>9007</v>
      </c>
      <c r="D342" s="674" t="s">
        <v>9008</v>
      </c>
      <c r="E342" s="674" t="s">
        <v>9001</v>
      </c>
      <c r="F342" s="674" t="s">
        <v>9013</v>
      </c>
      <c r="G342" s="680"/>
      <c r="H342" s="680">
        <v>83607</v>
      </c>
      <c r="I342" s="680"/>
      <c r="J342" s="680">
        <v>83607</v>
      </c>
      <c r="K342" s="674" t="s">
        <v>9010</v>
      </c>
      <c r="L342" s="674" t="s">
        <v>9014</v>
      </c>
      <c r="M342" s="674"/>
      <c r="N342" s="674"/>
    </row>
    <row r="343" spans="1:14">
      <c r="A343" s="1067"/>
      <c r="B343" s="679" t="s">
        <v>9015</v>
      </c>
      <c r="C343" s="674" t="s">
        <v>9007</v>
      </c>
      <c r="D343" s="674" t="s">
        <v>9008</v>
      </c>
      <c r="E343" s="674" t="s">
        <v>9016</v>
      </c>
      <c r="F343" s="674" t="s">
        <v>9017</v>
      </c>
      <c r="G343" s="680"/>
      <c r="H343" s="680">
        <v>222000</v>
      </c>
      <c r="I343" s="680"/>
      <c r="J343" s="680">
        <v>222000</v>
      </c>
      <c r="K343" s="674" t="s">
        <v>9018</v>
      </c>
      <c r="L343" s="674" t="s">
        <v>9019</v>
      </c>
      <c r="M343" s="674"/>
      <c r="N343" s="674"/>
    </row>
    <row r="344" spans="1:14">
      <c r="A344" s="1067"/>
      <c r="B344" s="679" t="s">
        <v>9020</v>
      </c>
      <c r="C344" s="674" t="s">
        <v>9021</v>
      </c>
      <c r="D344" s="674" t="s">
        <v>9008</v>
      </c>
      <c r="E344" s="674" t="s">
        <v>9001</v>
      </c>
      <c r="F344" s="674" t="s">
        <v>9022</v>
      </c>
      <c r="G344" s="680"/>
      <c r="H344" s="680">
        <v>61000</v>
      </c>
      <c r="I344" s="680"/>
      <c r="J344" s="680">
        <v>61000</v>
      </c>
      <c r="K344" s="674" t="s">
        <v>9023</v>
      </c>
      <c r="L344" s="674" t="s">
        <v>9024</v>
      </c>
      <c r="M344" s="674"/>
      <c r="N344" s="674"/>
    </row>
    <row r="345" spans="1:14">
      <c r="A345" s="1067"/>
      <c r="B345" s="679" t="s">
        <v>9025</v>
      </c>
      <c r="C345" s="674" t="s">
        <v>9026</v>
      </c>
      <c r="D345" s="674" t="s">
        <v>9008</v>
      </c>
      <c r="E345" s="674" t="s">
        <v>9027</v>
      </c>
      <c r="F345" s="674" t="s">
        <v>9028</v>
      </c>
      <c r="G345" s="680"/>
      <c r="H345" s="680">
        <v>7175</v>
      </c>
      <c r="I345" s="680"/>
      <c r="J345" s="680">
        <v>7175</v>
      </c>
      <c r="K345" s="674" t="s">
        <v>9029</v>
      </c>
      <c r="L345" s="674" t="s">
        <v>9030</v>
      </c>
      <c r="M345" s="674"/>
      <c r="N345" s="674"/>
    </row>
    <row r="346" spans="1:14">
      <c r="A346" s="1067"/>
      <c r="B346" s="679" t="s">
        <v>9025</v>
      </c>
      <c r="C346" s="674" t="s">
        <v>9026</v>
      </c>
      <c r="D346" s="674" t="s">
        <v>9008</v>
      </c>
      <c r="E346" s="674" t="s">
        <v>9027</v>
      </c>
      <c r="F346" s="674" t="s">
        <v>9031</v>
      </c>
      <c r="G346" s="680"/>
      <c r="H346" s="680">
        <v>2250</v>
      </c>
      <c r="I346" s="680"/>
      <c r="J346" s="680">
        <v>2250</v>
      </c>
      <c r="K346" s="674" t="s">
        <v>9032</v>
      </c>
      <c r="L346" s="674" t="s">
        <v>9030</v>
      </c>
      <c r="M346" s="674"/>
      <c r="N346" s="674"/>
    </row>
    <row r="347" spans="1:14">
      <c r="A347" s="1067"/>
      <c r="B347" s="679" t="s">
        <v>9025</v>
      </c>
      <c r="C347" s="674" t="s">
        <v>9026</v>
      </c>
      <c r="D347" s="674" t="s">
        <v>9008</v>
      </c>
      <c r="E347" s="674" t="s">
        <v>9027</v>
      </c>
      <c r="F347" s="674" t="s">
        <v>9033</v>
      </c>
      <c r="G347" s="680"/>
      <c r="H347" s="680">
        <v>11700</v>
      </c>
      <c r="I347" s="680"/>
      <c r="J347" s="680">
        <v>11700</v>
      </c>
      <c r="K347" s="674" t="s">
        <v>9034</v>
      </c>
      <c r="L347" s="674" t="s">
        <v>9030</v>
      </c>
      <c r="M347" s="674"/>
      <c r="N347" s="674"/>
    </row>
    <row r="348" spans="1:14">
      <c r="A348" s="1067"/>
      <c r="B348" s="679" t="s">
        <v>9035</v>
      </c>
      <c r="C348" s="674" t="s">
        <v>9007</v>
      </c>
      <c r="D348" s="674" t="s">
        <v>9008</v>
      </c>
      <c r="E348" s="674" t="s">
        <v>9001</v>
      </c>
      <c r="F348" s="674" t="s">
        <v>9036</v>
      </c>
      <c r="G348" s="680"/>
      <c r="H348" s="680">
        <v>83607</v>
      </c>
      <c r="I348" s="680"/>
      <c r="J348" s="680">
        <v>83607</v>
      </c>
      <c r="K348" s="674" t="s">
        <v>9010</v>
      </c>
      <c r="L348" s="674" t="s">
        <v>9037</v>
      </c>
      <c r="M348" s="674"/>
      <c r="N348" s="674"/>
    </row>
    <row r="349" spans="1:14">
      <c r="A349" s="1067"/>
      <c r="B349" s="679" t="s">
        <v>9038</v>
      </c>
      <c r="C349" s="674" t="s">
        <v>9005</v>
      </c>
      <c r="D349" s="674" t="s">
        <v>911</v>
      </c>
      <c r="E349" s="674" t="s">
        <v>9039</v>
      </c>
      <c r="F349" s="674" t="s">
        <v>9006</v>
      </c>
      <c r="G349" s="680"/>
      <c r="H349" s="680">
        <v>17258</v>
      </c>
      <c r="I349" s="680"/>
      <c r="J349" s="680">
        <v>17258</v>
      </c>
      <c r="K349" s="674" t="s">
        <v>9040</v>
      </c>
      <c r="L349" s="674" t="s">
        <v>9030</v>
      </c>
      <c r="M349" s="674"/>
      <c r="N349" s="674"/>
    </row>
    <row r="350" spans="1:14">
      <c r="A350" s="1067"/>
      <c r="B350" s="679" t="s">
        <v>9041</v>
      </c>
      <c r="C350" s="674" t="s">
        <v>9042</v>
      </c>
      <c r="D350" s="674" t="s">
        <v>8980</v>
      </c>
      <c r="E350" s="674" t="s">
        <v>9043</v>
      </c>
      <c r="F350" s="674" t="s">
        <v>9044</v>
      </c>
      <c r="G350" s="680"/>
      <c r="H350" s="680">
        <v>956258.4</v>
      </c>
      <c r="I350" s="680"/>
      <c r="J350" s="680">
        <v>286877</v>
      </c>
      <c r="K350" s="674" t="s">
        <v>9045</v>
      </c>
      <c r="L350" s="674" t="s">
        <v>9046</v>
      </c>
      <c r="M350" s="674"/>
      <c r="N350" s="674"/>
    </row>
    <row r="351" spans="1:14">
      <c r="A351" s="1067"/>
      <c r="B351" s="679" t="s">
        <v>9041</v>
      </c>
      <c r="C351" s="674" t="s">
        <v>9047</v>
      </c>
      <c r="D351" s="674" t="s">
        <v>9008</v>
      </c>
      <c r="E351" s="674" t="s">
        <v>9001</v>
      </c>
      <c r="F351" s="674" t="s">
        <v>9048</v>
      </c>
      <c r="G351" s="680"/>
      <c r="H351" s="680">
        <v>183300</v>
      </c>
      <c r="I351" s="680"/>
      <c r="J351" s="680">
        <v>183300</v>
      </c>
      <c r="K351" s="674" t="s">
        <v>9049</v>
      </c>
      <c r="L351" s="674" t="s">
        <v>9050</v>
      </c>
      <c r="M351" s="674"/>
      <c r="N351" s="674"/>
    </row>
    <row r="352" spans="1:14">
      <c r="A352" s="1067"/>
      <c r="B352" s="679" t="s">
        <v>9041</v>
      </c>
      <c r="C352" s="674" t="s">
        <v>9042</v>
      </c>
      <c r="D352" s="674" t="s">
        <v>9051</v>
      </c>
      <c r="E352" s="674" t="s">
        <v>9043</v>
      </c>
      <c r="F352" s="674" t="s">
        <v>9052</v>
      </c>
      <c r="G352" s="680"/>
      <c r="H352" s="680">
        <v>169263</v>
      </c>
      <c r="I352" s="680"/>
      <c r="J352" s="680">
        <v>50778</v>
      </c>
      <c r="K352" s="674" t="s">
        <v>9053</v>
      </c>
      <c r="L352" s="674" t="s">
        <v>9054</v>
      </c>
      <c r="M352" s="674"/>
      <c r="N352" s="674"/>
    </row>
    <row r="353" spans="1:14">
      <c r="A353" s="1067"/>
      <c r="B353" s="679" t="s">
        <v>9041</v>
      </c>
      <c r="C353" s="674" t="s">
        <v>9042</v>
      </c>
      <c r="D353" s="674" t="s">
        <v>8980</v>
      </c>
      <c r="E353" s="674" t="s">
        <v>9039</v>
      </c>
      <c r="F353" s="674" t="s">
        <v>9055</v>
      </c>
      <c r="G353" s="680"/>
      <c r="H353" s="680">
        <v>855000</v>
      </c>
      <c r="I353" s="680"/>
      <c r="J353" s="680">
        <v>256500</v>
      </c>
      <c r="K353" s="674" t="s">
        <v>9056</v>
      </c>
      <c r="L353" s="674" t="s">
        <v>9057</v>
      </c>
      <c r="M353" s="674"/>
      <c r="N353" s="674"/>
    </row>
    <row r="354" spans="1:14">
      <c r="A354" s="1067"/>
      <c r="B354" s="679" t="s">
        <v>9058</v>
      </c>
      <c r="C354" s="674" t="s">
        <v>9042</v>
      </c>
      <c r="D354" s="674" t="s">
        <v>9059</v>
      </c>
      <c r="E354" s="674" t="s">
        <v>9043</v>
      </c>
      <c r="F354" s="674" t="s">
        <v>9060</v>
      </c>
      <c r="G354" s="680"/>
      <c r="H354" s="680">
        <v>162444</v>
      </c>
      <c r="I354" s="680"/>
      <c r="J354" s="680">
        <v>48733</v>
      </c>
      <c r="K354" s="674" t="s">
        <v>9061</v>
      </c>
      <c r="L354" s="674" t="s">
        <v>9062</v>
      </c>
      <c r="M354" s="674"/>
      <c r="N354" s="674"/>
    </row>
    <row r="355" spans="1:14">
      <c r="A355" s="1067"/>
      <c r="B355" s="679" t="s">
        <v>9058</v>
      </c>
      <c r="C355" s="674" t="s">
        <v>9042</v>
      </c>
      <c r="D355" s="674" t="s">
        <v>9063</v>
      </c>
      <c r="E355" s="674" t="s">
        <v>9043</v>
      </c>
      <c r="F355" s="674" t="s">
        <v>9064</v>
      </c>
      <c r="G355" s="680"/>
      <c r="H355" s="680">
        <v>169247.31</v>
      </c>
      <c r="I355" s="680"/>
      <c r="J355" s="680">
        <v>50774</v>
      </c>
      <c r="K355" s="674" t="s">
        <v>9065</v>
      </c>
      <c r="L355" s="674" t="s">
        <v>9066</v>
      </c>
      <c r="M355" s="674"/>
      <c r="N355" s="674"/>
    </row>
    <row r="356" spans="1:14">
      <c r="A356" s="1067"/>
      <c r="B356" s="679" t="s">
        <v>9067</v>
      </c>
      <c r="C356" s="674" t="s">
        <v>9042</v>
      </c>
      <c r="D356" s="674" t="s">
        <v>9068</v>
      </c>
      <c r="E356" s="674" t="s">
        <v>9043</v>
      </c>
      <c r="F356" s="674" t="s">
        <v>9069</v>
      </c>
      <c r="G356" s="680"/>
      <c r="H356" s="680">
        <v>169880.63</v>
      </c>
      <c r="I356" s="680"/>
      <c r="J356" s="680">
        <v>50814</v>
      </c>
      <c r="K356" s="674" t="s">
        <v>9070</v>
      </c>
      <c r="L356" s="674" t="s">
        <v>9071</v>
      </c>
      <c r="M356" s="674"/>
      <c r="N356" s="674"/>
    </row>
    <row r="357" spans="1:14">
      <c r="A357" s="1067"/>
      <c r="B357" s="679" t="s">
        <v>9067</v>
      </c>
      <c r="C357" s="674" t="s">
        <v>9005</v>
      </c>
      <c r="D357" s="674" t="s">
        <v>911</v>
      </c>
      <c r="E357" s="674" t="s">
        <v>9039</v>
      </c>
      <c r="F357" s="674" t="s">
        <v>9072</v>
      </c>
      <c r="G357" s="680"/>
      <c r="H357" s="680">
        <v>37442</v>
      </c>
      <c r="I357" s="680"/>
      <c r="J357" s="680">
        <v>37442</v>
      </c>
      <c r="K357" s="674" t="s">
        <v>9040</v>
      </c>
      <c r="L357" s="674" t="s">
        <v>9073</v>
      </c>
      <c r="M357" s="674"/>
      <c r="N357" s="674"/>
    </row>
    <row r="358" spans="1:14">
      <c r="A358" s="1067"/>
      <c r="B358" s="679" t="s">
        <v>9074</v>
      </c>
      <c r="C358" s="674" t="s">
        <v>9075</v>
      </c>
      <c r="D358" s="674" t="s">
        <v>9076</v>
      </c>
      <c r="E358" s="674" t="s">
        <v>9001</v>
      </c>
      <c r="F358" s="674" t="s">
        <v>9077</v>
      </c>
      <c r="G358" s="680"/>
      <c r="H358" s="680">
        <v>65000</v>
      </c>
      <c r="I358" s="680"/>
      <c r="J358" s="680">
        <v>32500</v>
      </c>
      <c r="K358" s="674" t="s">
        <v>9023</v>
      </c>
      <c r="L358" s="674" t="s">
        <v>9078</v>
      </c>
      <c r="M358" s="674"/>
      <c r="N358" s="674"/>
    </row>
    <row r="359" spans="1:14">
      <c r="A359" s="1067"/>
      <c r="B359" s="679" t="s">
        <v>9079</v>
      </c>
      <c r="C359" s="674" t="s">
        <v>9075</v>
      </c>
      <c r="D359" s="674" t="s">
        <v>9000</v>
      </c>
      <c r="E359" s="674" t="s">
        <v>9039</v>
      </c>
      <c r="F359" s="674" t="s">
        <v>9080</v>
      </c>
      <c r="G359" s="680"/>
      <c r="H359" s="680"/>
      <c r="I359" s="680"/>
      <c r="J359" s="680">
        <v>43319</v>
      </c>
      <c r="K359" s="674" t="s">
        <v>9081</v>
      </c>
      <c r="L359" s="674" t="s">
        <v>9082</v>
      </c>
      <c r="M359" s="674"/>
      <c r="N359" s="674"/>
    </row>
    <row r="360" spans="1:14">
      <c r="A360" s="1067"/>
      <c r="B360" s="679" t="s">
        <v>9083</v>
      </c>
      <c r="C360" s="674" t="s">
        <v>8999</v>
      </c>
      <c r="D360" s="674" t="s">
        <v>9084</v>
      </c>
      <c r="E360" s="674" t="s">
        <v>9001</v>
      </c>
      <c r="F360" s="674" t="s">
        <v>9085</v>
      </c>
      <c r="G360" s="680"/>
      <c r="H360" s="680">
        <v>77594.850000000006</v>
      </c>
      <c r="I360" s="680"/>
      <c r="J360" s="680">
        <v>33366</v>
      </c>
      <c r="K360" s="674" t="s">
        <v>9086</v>
      </c>
      <c r="L360" s="674" t="s">
        <v>9087</v>
      </c>
      <c r="M360" s="674"/>
      <c r="N360" s="674"/>
    </row>
    <row r="361" spans="1:14">
      <c r="A361" s="1067"/>
      <c r="B361" s="679" t="s">
        <v>9088</v>
      </c>
      <c r="C361" s="674" t="s">
        <v>9042</v>
      </c>
      <c r="D361" s="674" t="s">
        <v>9089</v>
      </c>
      <c r="E361" s="674" t="s">
        <v>9043</v>
      </c>
      <c r="F361" s="674" t="s">
        <v>9090</v>
      </c>
      <c r="G361" s="680"/>
      <c r="H361" s="680">
        <v>169800</v>
      </c>
      <c r="I361" s="680"/>
      <c r="J361" s="680">
        <v>50940</v>
      </c>
      <c r="K361" s="674" t="s">
        <v>9023</v>
      </c>
      <c r="L361" s="674" t="s">
        <v>9091</v>
      </c>
      <c r="M361" s="674"/>
      <c r="N361" s="674"/>
    </row>
    <row r="362" spans="1:14">
      <c r="A362" s="1067"/>
      <c r="B362" s="679" t="s">
        <v>9088</v>
      </c>
      <c r="C362" s="674" t="s">
        <v>8999</v>
      </c>
      <c r="D362" s="674" t="s">
        <v>9076</v>
      </c>
      <c r="E362" s="674" t="s">
        <v>9001</v>
      </c>
      <c r="F362" s="674" t="s">
        <v>9077</v>
      </c>
      <c r="G362" s="680"/>
      <c r="H362" s="680">
        <v>65000</v>
      </c>
      <c r="I362" s="680"/>
      <c r="J362" s="680">
        <v>32500</v>
      </c>
      <c r="K362" s="674" t="s">
        <v>9023</v>
      </c>
      <c r="L362" s="674" t="s">
        <v>9091</v>
      </c>
      <c r="M362" s="674"/>
      <c r="N362" s="674"/>
    </row>
    <row r="363" spans="1:14">
      <c r="A363" s="1067"/>
      <c r="B363" s="679" t="s">
        <v>9092</v>
      </c>
      <c r="C363" s="674" t="s">
        <v>8999</v>
      </c>
      <c r="D363" s="674" t="s">
        <v>9051</v>
      </c>
      <c r="E363" s="674" t="s">
        <v>9001</v>
      </c>
      <c r="F363" s="674" t="s">
        <v>9093</v>
      </c>
      <c r="G363" s="680"/>
      <c r="H363" s="680">
        <v>135322</v>
      </c>
      <c r="I363" s="680"/>
      <c r="J363" s="680">
        <v>40596</v>
      </c>
      <c r="K363" s="674" t="s">
        <v>9094</v>
      </c>
      <c r="L363" s="674" t="s">
        <v>9095</v>
      </c>
      <c r="M363" s="674"/>
      <c r="N363" s="674"/>
    </row>
    <row r="364" spans="1:14">
      <c r="A364" s="1067"/>
      <c r="B364" s="679" t="s">
        <v>9092</v>
      </c>
      <c r="C364" s="674" t="s">
        <v>9096</v>
      </c>
      <c r="D364" s="674" t="s">
        <v>9051</v>
      </c>
      <c r="E364" s="674" t="s">
        <v>9001</v>
      </c>
      <c r="F364" s="674" t="s">
        <v>9097</v>
      </c>
      <c r="G364" s="680"/>
      <c r="H364" s="680">
        <v>118540</v>
      </c>
      <c r="I364" s="680"/>
      <c r="J364" s="680">
        <v>35562</v>
      </c>
      <c r="K364" s="674" t="s">
        <v>9098</v>
      </c>
      <c r="L364" s="674" t="s">
        <v>9095</v>
      </c>
      <c r="M364" s="674"/>
      <c r="N364" s="674"/>
    </row>
    <row r="365" spans="1:14">
      <c r="A365" s="1067"/>
      <c r="B365" s="679" t="s">
        <v>9099</v>
      </c>
      <c r="C365" s="674" t="s">
        <v>9100</v>
      </c>
      <c r="D365" s="674" t="s">
        <v>8980</v>
      </c>
      <c r="E365" s="674" t="s">
        <v>9001</v>
      </c>
      <c r="F365" s="674" t="s">
        <v>9101</v>
      </c>
      <c r="G365" s="680"/>
      <c r="H365" s="680">
        <v>997534.91</v>
      </c>
      <c r="I365" s="680"/>
      <c r="J365" s="680">
        <v>299260</v>
      </c>
      <c r="K365" s="674" t="s">
        <v>9102</v>
      </c>
      <c r="L365" s="674" t="s">
        <v>9103</v>
      </c>
      <c r="M365" s="674"/>
      <c r="N365" s="674"/>
    </row>
    <row r="366" spans="1:14">
      <c r="A366" s="1067"/>
      <c r="B366" s="679" t="s">
        <v>9067</v>
      </c>
      <c r="C366" s="674" t="s">
        <v>9100</v>
      </c>
      <c r="D366" s="674" t="s">
        <v>9008</v>
      </c>
      <c r="E366" s="674" t="s">
        <v>9001</v>
      </c>
      <c r="F366" s="674" t="s">
        <v>9104</v>
      </c>
      <c r="G366" s="680"/>
      <c r="H366" s="680">
        <v>14780</v>
      </c>
      <c r="I366" s="680"/>
      <c r="J366" s="680">
        <v>73940</v>
      </c>
      <c r="K366" s="674" t="s">
        <v>9105</v>
      </c>
      <c r="L366" s="674" t="s">
        <v>9071</v>
      </c>
      <c r="M366" s="674"/>
      <c r="N366" s="674"/>
    </row>
    <row r="367" spans="1:14">
      <c r="A367" s="1067"/>
      <c r="B367" s="679" t="s">
        <v>9106</v>
      </c>
      <c r="C367" s="674" t="s">
        <v>9107</v>
      </c>
      <c r="D367" s="674" t="s">
        <v>9008</v>
      </c>
      <c r="E367" s="674" t="s">
        <v>9001</v>
      </c>
      <c r="F367" s="674" t="s">
        <v>9107</v>
      </c>
      <c r="G367" s="680"/>
      <c r="H367" s="680">
        <v>30060</v>
      </c>
      <c r="I367" s="680"/>
      <c r="J367" s="680">
        <v>30060</v>
      </c>
      <c r="K367" s="674" t="s">
        <v>9108</v>
      </c>
      <c r="L367" s="674" t="s">
        <v>9109</v>
      </c>
      <c r="M367" s="674"/>
      <c r="N367" s="674"/>
    </row>
    <row r="368" spans="1:14">
      <c r="A368" s="1067"/>
      <c r="B368" s="679" t="s">
        <v>9106</v>
      </c>
      <c r="C368" s="674" t="s">
        <v>9005</v>
      </c>
      <c r="D368" s="674" t="s">
        <v>911</v>
      </c>
      <c r="E368" s="674" t="s">
        <v>9039</v>
      </c>
      <c r="F368" s="674" t="s">
        <v>9006</v>
      </c>
      <c r="G368" s="680"/>
      <c r="H368" s="680">
        <v>9157</v>
      </c>
      <c r="I368" s="680"/>
      <c r="J368" s="680">
        <v>9157</v>
      </c>
      <c r="K368" s="674" t="s">
        <v>9040</v>
      </c>
      <c r="L368" s="674" t="s">
        <v>9109</v>
      </c>
      <c r="M368" s="674"/>
      <c r="N368" s="674"/>
    </row>
    <row r="369" spans="1:14">
      <c r="A369" s="1067"/>
      <c r="B369" s="679" t="s">
        <v>9106</v>
      </c>
      <c r="C369" s="674" t="s">
        <v>9042</v>
      </c>
      <c r="D369" s="674" t="s">
        <v>9051</v>
      </c>
      <c r="E369" s="674" t="s">
        <v>9043</v>
      </c>
      <c r="F369" s="674" t="s">
        <v>9110</v>
      </c>
      <c r="G369" s="680"/>
      <c r="H369" s="680">
        <v>169263</v>
      </c>
      <c r="I369" s="680"/>
      <c r="J369" s="680">
        <v>50778</v>
      </c>
      <c r="K369" s="674" t="s">
        <v>9053</v>
      </c>
      <c r="L369" s="674" t="s">
        <v>9109</v>
      </c>
      <c r="M369" s="674"/>
      <c r="N369" s="674"/>
    </row>
    <row r="370" spans="1:14">
      <c r="A370" s="1067"/>
      <c r="B370" s="679" t="s">
        <v>9111</v>
      </c>
      <c r="C370" s="674" t="s">
        <v>9042</v>
      </c>
      <c r="D370" s="674" t="s">
        <v>9112</v>
      </c>
      <c r="E370" s="674" t="s">
        <v>9043</v>
      </c>
      <c r="F370" s="674" t="s">
        <v>9113</v>
      </c>
      <c r="G370" s="680"/>
      <c r="H370" s="680">
        <v>168768.13</v>
      </c>
      <c r="I370" s="680"/>
      <c r="J370" s="680">
        <v>50630</v>
      </c>
      <c r="K370" s="674" t="s">
        <v>9114</v>
      </c>
      <c r="L370" s="674" t="s">
        <v>9115</v>
      </c>
      <c r="M370" s="674"/>
      <c r="N370" s="674"/>
    </row>
    <row r="371" spans="1:14">
      <c r="A371" s="1067"/>
      <c r="B371" s="679" t="s">
        <v>9111</v>
      </c>
      <c r="C371" s="674" t="s">
        <v>9042</v>
      </c>
      <c r="D371" s="674" t="s">
        <v>9116</v>
      </c>
      <c r="E371" s="674" t="s">
        <v>9043</v>
      </c>
      <c r="F371" s="674" t="s">
        <v>9117</v>
      </c>
      <c r="G371" s="680"/>
      <c r="H371" s="680">
        <v>168806.39999999999</v>
      </c>
      <c r="I371" s="680"/>
      <c r="J371" s="680">
        <v>50641</v>
      </c>
      <c r="K371" s="674" t="s">
        <v>9114</v>
      </c>
      <c r="L371" s="674" t="s">
        <v>9115</v>
      </c>
      <c r="M371" s="674"/>
      <c r="N371" s="674"/>
    </row>
    <row r="372" spans="1:14">
      <c r="A372" s="1067"/>
      <c r="B372" s="679" t="s">
        <v>9118</v>
      </c>
      <c r="C372" s="674" t="s">
        <v>8999</v>
      </c>
      <c r="D372" s="674" t="s">
        <v>9084</v>
      </c>
      <c r="E372" s="674" t="s">
        <v>9001</v>
      </c>
      <c r="F372" s="674" t="s">
        <v>9085</v>
      </c>
      <c r="G372" s="680"/>
      <c r="H372" s="680">
        <v>77594.850000000006</v>
      </c>
      <c r="I372" s="680"/>
      <c r="J372" s="680">
        <v>34228</v>
      </c>
      <c r="K372" s="674" t="s">
        <v>9086</v>
      </c>
      <c r="L372" s="674" t="s">
        <v>9119</v>
      </c>
      <c r="M372" s="674"/>
      <c r="N372" s="674"/>
    </row>
    <row r="373" spans="1:14">
      <c r="A373" s="1067"/>
      <c r="B373" s="679" t="s">
        <v>9120</v>
      </c>
      <c r="C373" s="674" t="s">
        <v>9121</v>
      </c>
      <c r="D373" s="674" t="s">
        <v>9008</v>
      </c>
      <c r="E373" s="674" t="s">
        <v>9122</v>
      </c>
      <c r="F373" s="674" t="s">
        <v>9121</v>
      </c>
      <c r="G373" s="680"/>
      <c r="H373" s="680">
        <v>26000</v>
      </c>
      <c r="I373" s="680"/>
      <c r="J373" s="680">
        <v>26000</v>
      </c>
      <c r="K373" s="674" t="s">
        <v>9023</v>
      </c>
      <c r="L373" s="674" t="s">
        <v>9123</v>
      </c>
      <c r="M373" s="674"/>
      <c r="N373" s="674"/>
    </row>
    <row r="374" spans="1:14">
      <c r="A374" s="1067"/>
      <c r="B374" s="679" t="s">
        <v>9124</v>
      </c>
      <c r="C374" s="674" t="s">
        <v>9100</v>
      </c>
      <c r="D374" s="674" t="s">
        <v>9008</v>
      </c>
      <c r="E374" s="674" t="s">
        <v>9001</v>
      </c>
      <c r="F374" s="674" t="s">
        <v>9125</v>
      </c>
      <c r="G374" s="680"/>
      <c r="H374" s="680">
        <v>147880</v>
      </c>
      <c r="I374" s="680"/>
      <c r="J374" s="680">
        <v>66546</v>
      </c>
      <c r="K374" s="674" t="s">
        <v>9105</v>
      </c>
      <c r="L374" s="674" t="s">
        <v>9126</v>
      </c>
      <c r="M374" s="674"/>
      <c r="N374" s="674"/>
    </row>
    <row r="375" spans="1:14">
      <c r="A375" s="1067"/>
      <c r="B375" s="679" t="s">
        <v>9124</v>
      </c>
      <c r="C375" s="674" t="s">
        <v>8999</v>
      </c>
      <c r="D375" s="674" t="s">
        <v>9051</v>
      </c>
      <c r="E375" s="674" t="s">
        <v>9001</v>
      </c>
      <c r="F375" s="674" t="s">
        <v>9093</v>
      </c>
      <c r="G375" s="680"/>
      <c r="H375" s="680">
        <v>135322</v>
      </c>
      <c r="I375" s="680"/>
      <c r="J375" s="680">
        <v>40596</v>
      </c>
      <c r="K375" s="674" t="s">
        <v>9094</v>
      </c>
      <c r="L375" s="674"/>
      <c r="M375" s="674"/>
      <c r="N375" s="674"/>
    </row>
    <row r="376" spans="1:14">
      <c r="A376" s="1067"/>
      <c r="B376" s="679" t="s">
        <v>9124</v>
      </c>
      <c r="C376" s="674" t="s">
        <v>9042</v>
      </c>
      <c r="D376" s="674" t="s">
        <v>9089</v>
      </c>
      <c r="E376" s="674" t="s">
        <v>9043</v>
      </c>
      <c r="F376" s="674" t="s">
        <v>9127</v>
      </c>
      <c r="G376" s="680"/>
      <c r="H376" s="680">
        <v>169800</v>
      </c>
      <c r="I376" s="680"/>
      <c r="J376" s="680">
        <v>50940</v>
      </c>
      <c r="K376" s="674" t="s">
        <v>9023</v>
      </c>
      <c r="L376" s="674"/>
      <c r="M376" s="674"/>
      <c r="N376" s="674"/>
    </row>
    <row r="377" spans="1:14">
      <c r="A377" s="1067"/>
      <c r="B377" s="679" t="s">
        <v>9124</v>
      </c>
      <c r="C377" s="674" t="s">
        <v>9042</v>
      </c>
      <c r="D377" s="674" t="s">
        <v>9059</v>
      </c>
      <c r="E377" s="674" t="s">
        <v>9043</v>
      </c>
      <c r="F377" s="674" t="s">
        <v>9060</v>
      </c>
      <c r="G377" s="680"/>
      <c r="H377" s="680">
        <v>162444</v>
      </c>
      <c r="I377" s="680"/>
      <c r="J377" s="680">
        <v>48733</v>
      </c>
      <c r="K377" s="674" t="s">
        <v>9128</v>
      </c>
      <c r="L377" s="674"/>
      <c r="M377" s="674"/>
      <c r="N377" s="674"/>
    </row>
    <row r="378" spans="1:14">
      <c r="A378" s="1067"/>
      <c r="B378" s="679" t="s">
        <v>9129</v>
      </c>
      <c r="C378" s="674" t="s">
        <v>9042</v>
      </c>
      <c r="D378" s="674" t="s">
        <v>8980</v>
      </c>
      <c r="E378" s="674" t="s">
        <v>9039</v>
      </c>
      <c r="F378" s="674" t="s">
        <v>9055</v>
      </c>
      <c r="G378" s="680"/>
      <c r="H378" s="680">
        <v>855000</v>
      </c>
      <c r="I378" s="680"/>
      <c r="J378" s="680">
        <v>256500</v>
      </c>
      <c r="K378" s="674" t="s">
        <v>9056</v>
      </c>
      <c r="L378" s="674"/>
      <c r="M378" s="674"/>
      <c r="N378" s="674"/>
    </row>
    <row r="379" spans="1:14">
      <c r="A379" s="1067"/>
      <c r="B379" s="679" t="s">
        <v>9130</v>
      </c>
      <c r="C379" s="674" t="s">
        <v>9042</v>
      </c>
      <c r="D379" s="674" t="s">
        <v>9051</v>
      </c>
      <c r="E379" s="674" t="s">
        <v>9001</v>
      </c>
      <c r="F379" s="674" t="s">
        <v>9131</v>
      </c>
      <c r="G379" s="680"/>
      <c r="H379" s="680">
        <v>24050</v>
      </c>
      <c r="I379" s="680"/>
      <c r="J379" s="680">
        <v>142025</v>
      </c>
      <c r="K379" s="674" t="s">
        <v>9132</v>
      </c>
      <c r="L379" s="674"/>
      <c r="M379" s="674"/>
      <c r="N379" s="674"/>
    </row>
    <row r="380" spans="1:14">
      <c r="A380" s="1067"/>
      <c r="B380" s="679" t="s">
        <v>9130</v>
      </c>
      <c r="C380" s="674" t="s">
        <v>9096</v>
      </c>
      <c r="D380" s="674" t="s">
        <v>9051</v>
      </c>
      <c r="E380" s="674" t="s">
        <v>9001</v>
      </c>
      <c r="F380" s="674" t="s">
        <v>9097</v>
      </c>
      <c r="G380" s="680"/>
      <c r="H380" s="680">
        <v>118540</v>
      </c>
      <c r="I380" s="680"/>
      <c r="J380" s="680">
        <v>35562</v>
      </c>
      <c r="K380" s="674" t="s">
        <v>9098</v>
      </c>
      <c r="L380" s="674"/>
      <c r="M380" s="674"/>
      <c r="N380" s="674"/>
    </row>
    <row r="381" spans="1:14">
      <c r="A381" s="1067"/>
      <c r="B381" s="679" t="s">
        <v>9130</v>
      </c>
      <c r="C381" s="674" t="s">
        <v>9042</v>
      </c>
      <c r="D381" s="674" t="s">
        <v>9051</v>
      </c>
      <c r="E381" s="674" t="s">
        <v>9133</v>
      </c>
      <c r="F381" s="674" t="s">
        <v>9134</v>
      </c>
      <c r="G381" s="680"/>
      <c r="H381" s="680">
        <v>845152.14</v>
      </c>
      <c r="I381" s="680"/>
      <c r="J381" s="680">
        <v>253545</v>
      </c>
      <c r="K381" s="674" t="s">
        <v>9135</v>
      </c>
      <c r="L381" s="674"/>
      <c r="M381" s="674"/>
      <c r="N381" s="674"/>
    </row>
    <row r="382" spans="1:14">
      <c r="A382" s="1067"/>
      <c r="B382" s="679" t="s">
        <v>9130</v>
      </c>
      <c r="C382" s="674" t="s">
        <v>9042</v>
      </c>
      <c r="D382" s="674" t="s">
        <v>9051</v>
      </c>
      <c r="E382" s="674" t="s">
        <v>9136</v>
      </c>
      <c r="F382" s="674" t="s">
        <v>9137</v>
      </c>
      <c r="G382" s="680"/>
      <c r="H382" s="680">
        <v>2247914.54</v>
      </c>
      <c r="I382" s="680"/>
      <c r="J382" s="680">
        <v>674374</v>
      </c>
      <c r="K382" s="674" t="s">
        <v>9135</v>
      </c>
      <c r="L382" s="674"/>
      <c r="M382" s="674"/>
      <c r="N382" s="674"/>
    </row>
    <row r="383" spans="1:14">
      <c r="A383" s="1067"/>
      <c r="B383" s="679" t="s">
        <v>9130</v>
      </c>
      <c r="C383" s="674" t="s">
        <v>9042</v>
      </c>
      <c r="D383" s="674" t="s">
        <v>8980</v>
      </c>
      <c r="E383" s="674" t="s">
        <v>9039</v>
      </c>
      <c r="F383" s="674" t="s">
        <v>9138</v>
      </c>
      <c r="G383" s="680"/>
      <c r="H383" s="680">
        <v>565705.59</v>
      </c>
      <c r="I383" s="680"/>
      <c r="J383" s="680">
        <v>169711</v>
      </c>
      <c r="K383" s="674" t="s">
        <v>9139</v>
      </c>
      <c r="L383" s="674" t="s">
        <v>9140</v>
      </c>
      <c r="M383" s="674"/>
      <c r="N383" s="674"/>
    </row>
    <row r="384" spans="1:14">
      <c r="A384" s="1067"/>
      <c r="B384" s="679" t="s">
        <v>9130</v>
      </c>
      <c r="C384" s="674" t="s">
        <v>9042</v>
      </c>
      <c r="D384" s="674" t="s">
        <v>9141</v>
      </c>
      <c r="E384" s="674" t="s">
        <v>9043</v>
      </c>
      <c r="F384" s="674" t="s">
        <v>9142</v>
      </c>
      <c r="G384" s="680"/>
      <c r="H384" s="680">
        <v>169380.73</v>
      </c>
      <c r="I384" s="680"/>
      <c r="J384" s="680">
        <v>50814</v>
      </c>
      <c r="K384" s="674" t="s">
        <v>9070</v>
      </c>
      <c r="L384" s="674" t="s">
        <v>9143</v>
      </c>
      <c r="M384" s="674"/>
      <c r="N384" s="674"/>
    </row>
    <row r="385" spans="1:14">
      <c r="A385" s="1067"/>
      <c r="B385" s="679" t="s">
        <v>9144</v>
      </c>
      <c r="C385" s="674" t="s">
        <v>9042</v>
      </c>
      <c r="D385" s="674" t="s">
        <v>9145</v>
      </c>
      <c r="E385" s="674" t="s">
        <v>9043</v>
      </c>
      <c r="F385" s="674" t="s">
        <v>9146</v>
      </c>
      <c r="G385" s="680"/>
      <c r="H385" s="680">
        <v>167500</v>
      </c>
      <c r="I385" s="680"/>
      <c r="J385" s="680">
        <v>50250</v>
      </c>
      <c r="K385" s="674" t="s">
        <v>9147</v>
      </c>
      <c r="L385" s="674" t="s">
        <v>9148</v>
      </c>
      <c r="M385" s="674"/>
      <c r="N385" s="674"/>
    </row>
    <row r="386" spans="1:14">
      <c r="A386" s="1067"/>
      <c r="B386" s="679" t="s">
        <v>9149</v>
      </c>
      <c r="C386" s="674" t="s">
        <v>9026</v>
      </c>
      <c r="D386" s="674" t="s">
        <v>9150</v>
      </c>
      <c r="E386" s="674" t="s">
        <v>9043</v>
      </c>
      <c r="F386" s="674" t="s">
        <v>9151</v>
      </c>
      <c r="G386" s="680"/>
      <c r="H386" s="680">
        <v>7175</v>
      </c>
      <c r="I386" s="680"/>
      <c r="J386" s="680">
        <v>7175</v>
      </c>
      <c r="K386" s="674" t="s">
        <v>9029</v>
      </c>
      <c r="L386" s="674" t="s">
        <v>9152</v>
      </c>
      <c r="M386" s="674"/>
      <c r="N386" s="674"/>
    </row>
    <row r="387" spans="1:14">
      <c r="A387" s="1067"/>
      <c r="B387" s="679" t="s">
        <v>9153</v>
      </c>
      <c r="C387" s="674" t="s">
        <v>9042</v>
      </c>
      <c r="D387" s="674" t="s">
        <v>8980</v>
      </c>
      <c r="E387" s="674" t="s">
        <v>9043</v>
      </c>
      <c r="F387" s="674" t="s">
        <v>9044</v>
      </c>
      <c r="G387" s="680"/>
      <c r="H387" s="680">
        <v>956258.4</v>
      </c>
      <c r="I387" s="680"/>
      <c r="J387" s="680">
        <v>286877</v>
      </c>
      <c r="K387" s="674" t="s">
        <v>9045</v>
      </c>
      <c r="L387" s="674" t="s">
        <v>9154</v>
      </c>
      <c r="M387" s="674"/>
      <c r="N387" s="674"/>
    </row>
    <row r="388" spans="1:14">
      <c r="A388" s="1067"/>
      <c r="B388" s="679" t="s">
        <v>9155</v>
      </c>
      <c r="C388" s="674" t="s">
        <v>9042</v>
      </c>
      <c r="D388" s="674" t="s">
        <v>9051</v>
      </c>
      <c r="E388" s="674" t="s">
        <v>9043</v>
      </c>
      <c r="F388" s="674" t="s">
        <v>9110</v>
      </c>
      <c r="G388" s="680"/>
      <c r="H388" s="680">
        <v>169263</v>
      </c>
      <c r="I388" s="680"/>
      <c r="J388" s="680">
        <v>52455</v>
      </c>
      <c r="K388" s="674" t="s">
        <v>9053</v>
      </c>
      <c r="L388" s="674" t="s">
        <v>9156</v>
      </c>
      <c r="M388" s="674"/>
      <c r="N388" s="674"/>
    </row>
    <row r="389" spans="1:14">
      <c r="A389" s="1067"/>
      <c r="B389" s="679" t="s">
        <v>9144</v>
      </c>
      <c r="C389" s="674" t="s">
        <v>9007</v>
      </c>
      <c r="D389" s="674" t="s">
        <v>9008</v>
      </c>
      <c r="E389" s="674" t="s">
        <v>9001</v>
      </c>
      <c r="F389" s="674" t="s">
        <v>9157</v>
      </c>
      <c r="G389" s="680"/>
      <c r="H389" s="680">
        <v>121800</v>
      </c>
      <c r="I389" s="680"/>
      <c r="J389" s="680">
        <v>121800</v>
      </c>
      <c r="K389" s="674" t="s">
        <v>9158</v>
      </c>
      <c r="L389" s="674" t="s">
        <v>9148</v>
      </c>
      <c r="M389" s="674"/>
      <c r="N389" s="674"/>
    </row>
    <row r="390" spans="1:14">
      <c r="A390" s="1067"/>
      <c r="B390" s="679" t="s">
        <v>9159</v>
      </c>
      <c r="C390" s="674" t="s">
        <v>9160</v>
      </c>
      <c r="D390" s="674" t="s">
        <v>9008</v>
      </c>
      <c r="E390" s="674" t="s">
        <v>9001</v>
      </c>
      <c r="F390" s="674" t="s">
        <v>9161</v>
      </c>
      <c r="G390" s="680"/>
      <c r="H390" s="680">
        <v>1052883.0900000001</v>
      </c>
      <c r="I390" s="680"/>
      <c r="J390" s="680">
        <v>315864</v>
      </c>
      <c r="K390" s="674" t="s">
        <v>9023</v>
      </c>
      <c r="L390" s="674"/>
      <c r="M390" s="674"/>
      <c r="N390" s="674"/>
    </row>
    <row r="391" spans="1:14">
      <c r="A391" s="1067"/>
      <c r="B391" s="679" t="s">
        <v>9159</v>
      </c>
      <c r="C391" s="674" t="s">
        <v>9162</v>
      </c>
      <c r="D391" s="674" t="s">
        <v>9163</v>
      </c>
      <c r="E391" s="674" t="s">
        <v>9001</v>
      </c>
      <c r="F391" s="674" t="s">
        <v>9164</v>
      </c>
      <c r="G391" s="680"/>
      <c r="H391" s="680">
        <v>427112</v>
      </c>
      <c r="I391" s="680"/>
      <c r="J391" s="680">
        <v>128133</v>
      </c>
      <c r="K391" s="674" t="s">
        <v>9165</v>
      </c>
      <c r="L391" s="674"/>
      <c r="M391" s="674"/>
      <c r="N391" s="674"/>
    </row>
    <row r="392" spans="1:14">
      <c r="A392" s="1067"/>
      <c r="B392" s="679" t="s">
        <v>9159</v>
      </c>
      <c r="C392" s="674" t="s">
        <v>8999</v>
      </c>
      <c r="D392" s="674" t="s">
        <v>8980</v>
      </c>
      <c r="E392" s="674" t="s">
        <v>9166</v>
      </c>
      <c r="F392" s="674" t="s">
        <v>9167</v>
      </c>
      <c r="G392" s="680"/>
      <c r="H392" s="680">
        <v>71438</v>
      </c>
      <c r="I392" s="680"/>
      <c r="J392" s="680">
        <v>71438</v>
      </c>
      <c r="K392" s="674" t="s">
        <v>9056</v>
      </c>
      <c r="L392" s="674"/>
      <c r="M392" s="674"/>
      <c r="N392" s="674"/>
    </row>
    <row r="393" spans="1:14">
      <c r="A393" s="1067"/>
      <c r="B393" s="679" t="s">
        <v>9168</v>
      </c>
      <c r="C393" s="674" t="s">
        <v>9005</v>
      </c>
      <c r="D393" s="674" t="s">
        <v>911</v>
      </c>
      <c r="E393" s="674" t="s">
        <v>9039</v>
      </c>
      <c r="F393" s="674" t="s">
        <v>9072</v>
      </c>
      <c r="G393" s="680"/>
      <c r="H393" s="680">
        <v>34480</v>
      </c>
      <c r="I393" s="680"/>
      <c r="J393" s="680">
        <v>34480</v>
      </c>
      <c r="K393" s="674" t="s">
        <v>9040</v>
      </c>
      <c r="L393" s="674"/>
      <c r="M393" s="674"/>
      <c r="N393" s="674"/>
    </row>
    <row r="394" spans="1:14">
      <c r="A394" s="1067"/>
      <c r="B394" s="679" t="s">
        <v>9169</v>
      </c>
      <c r="C394" s="674" t="s">
        <v>9042</v>
      </c>
      <c r="D394" s="674" t="s">
        <v>9063</v>
      </c>
      <c r="E394" s="674" t="s">
        <v>9043</v>
      </c>
      <c r="F394" s="674" t="s">
        <v>9117</v>
      </c>
      <c r="G394" s="680"/>
      <c r="H394" s="680">
        <v>169247.31</v>
      </c>
      <c r="I394" s="680"/>
      <c r="J394" s="680">
        <v>50774.2</v>
      </c>
      <c r="K394" s="674" t="s">
        <v>9065</v>
      </c>
      <c r="L394" s="674"/>
      <c r="M394" s="674"/>
      <c r="N394" s="674"/>
    </row>
    <row r="395" spans="1:14">
      <c r="A395" s="1067"/>
      <c r="B395" s="679" t="s">
        <v>9169</v>
      </c>
      <c r="C395" s="674" t="s">
        <v>9160</v>
      </c>
      <c r="D395" s="674" t="s">
        <v>9063</v>
      </c>
      <c r="E395" s="674" t="s">
        <v>9001</v>
      </c>
      <c r="F395" s="674" t="s">
        <v>9170</v>
      </c>
      <c r="G395" s="680"/>
      <c r="H395" s="680">
        <v>180895.63</v>
      </c>
      <c r="I395" s="680"/>
      <c r="J395" s="680">
        <v>90447</v>
      </c>
      <c r="K395" s="674" t="s">
        <v>9086</v>
      </c>
      <c r="L395" s="674"/>
      <c r="M395" s="674"/>
      <c r="N395" s="674"/>
    </row>
    <row r="396" spans="1:14">
      <c r="A396" s="1067"/>
      <c r="B396" s="679" t="s">
        <v>9169</v>
      </c>
      <c r="C396" s="674" t="s">
        <v>9171</v>
      </c>
      <c r="D396" s="674" t="s">
        <v>9051</v>
      </c>
      <c r="E396" s="674" t="s">
        <v>9039</v>
      </c>
      <c r="F396" s="674" t="s">
        <v>9172</v>
      </c>
      <c r="G396" s="680"/>
      <c r="H396" s="680">
        <v>51586.94</v>
      </c>
      <c r="I396" s="680"/>
      <c r="J396" s="680">
        <v>25794</v>
      </c>
      <c r="K396" s="674" t="s">
        <v>9086</v>
      </c>
      <c r="L396" s="674"/>
      <c r="M396" s="674"/>
      <c r="N396" s="674"/>
    </row>
    <row r="397" spans="1:14">
      <c r="A397" s="1067"/>
      <c r="B397" s="679" t="s">
        <v>9173</v>
      </c>
      <c r="C397" s="674" t="s">
        <v>9171</v>
      </c>
      <c r="D397" s="674" t="s">
        <v>9051</v>
      </c>
      <c r="E397" s="674" t="s">
        <v>9043</v>
      </c>
      <c r="F397" s="674" t="s">
        <v>9174</v>
      </c>
      <c r="G397" s="680"/>
      <c r="H397" s="680">
        <v>128890.41</v>
      </c>
      <c r="I397" s="680"/>
      <c r="J397" s="680">
        <v>64445</v>
      </c>
      <c r="K397" s="674" t="s">
        <v>9175</v>
      </c>
      <c r="L397" s="674"/>
      <c r="M397" s="674"/>
      <c r="N397" s="674"/>
    </row>
    <row r="398" spans="1:14">
      <c r="A398" s="1067"/>
      <c r="B398" s="679" t="s">
        <v>9173</v>
      </c>
      <c r="C398" s="674" t="s">
        <v>9042</v>
      </c>
      <c r="D398" s="674" t="s">
        <v>9089</v>
      </c>
      <c r="E398" s="674" t="s">
        <v>9043</v>
      </c>
      <c r="F398" s="674" t="s">
        <v>9176</v>
      </c>
      <c r="G398" s="680"/>
      <c r="H398" s="680">
        <v>169800</v>
      </c>
      <c r="I398" s="680"/>
      <c r="J398" s="680">
        <v>50940</v>
      </c>
      <c r="K398" s="674" t="s">
        <v>9023</v>
      </c>
      <c r="L398" s="674"/>
      <c r="M398" s="674"/>
      <c r="N398" s="674"/>
    </row>
    <row r="399" spans="1:14">
      <c r="A399" s="1067"/>
      <c r="B399" s="679" t="s">
        <v>9177</v>
      </c>
      <c r="C399" s="674" t="s">
        <v>9100</v>
      </c>
      <c r="D399" s="674" t="s">
        <v>8980</v>
      </c>
      <c r="E399" s="674" t="s">
        <v>9001</v>
      </c>
      <c r="F399" s="674" t="s">
        <v>9178</v>
      </c>
      <c r="G399" s="680"/>
      <c r="H399" s="680">
        <v>997534.91</v>
      </c>
      <c r="I399" s="680"/>
      <c r="J399" s="680">
        <v>299260.46999999997</v>
      </c>
      <c r="K399" s="674" t="s">
        <v>9102</v>
      </c>
      <c r="L399" s="674"/>
      <c r="M399" s="674"/>
      <c r="N399" s="674"/>
    </row>
    <row r="400" spans="1:14">
      <c r="A400" s="1067"/>
      <c r="B400" s="679" t="s">
        <v>9177</v>
      </c>
      <c r="C400" s="674" t="s">
        <v>9171</v>
      </c>
      <c r="D400" s="674" t="s">
        <v>9150</v>
      </c>
      <c r="E400" s="674" t="s">
        <v>9043</v>
      </c>
      <c r="F400" s="674" t="s">
        <v>9179</v>
      </c>
      <c r="G400" s="680"/>
      <c r="H400" s="680">
        <v>410775</v>
      </c>
      <c r="I400" s="680"/>
      <c r="J400" s="680">
        <v>123226</v>
      </c>
      <c r="K400" s="674" t="s">
        <v>9105</v>
      </c>
      <c r="L400" s="674"/>
      <c r="M400" s="674"/>
      <c r="N400" s="674"/>
    </row>
    <row r="401" spans="1:14">
      <c r="A401" s="1067"/>
      <c r="B401" s="679" t="s">
        <v>9180</v>
      </c>
      <c r="C401" s="674" t="s">
        <v>9042</v>
      </c>
      <c r="D401" s="674" t="s">
        <v>9181</v>
      </c>
      <c r="E401" s="674" t="s">
        <v>9043</v>
      </c>
      <c r="F401" s="674" t="s">
        <v>9182</v>
      </c>
      <c r="G401" s="680"/>
      <c r="H401" s="680">
        <v>144620</v>
      </c>
      <c r="I401" s="680"/>
      <c r="J401" s="680">
        <v>72204</v>
      </c>
      <c r="K401" s="674" t="s">
        <v>9183</v>
      </c>
      <c r="L401" s="674"/>
      <c r="M401" s="674"/>
      <c r="N401" s="674"/>
    </row>
    <row r="402" spans="1:14">
      <c r="A402" s="1067"/>
      <c r="B402" s="679" t="s">
        <v>9184</v>
      </c>
      <c r="C402" s="674" t="s">
        <v>9042</v>
      </c>
      <c r="D402" s="674" t="s">
        <v>8980</v>
      </c>
      <c r="E402" s="674" t="s">
        <v>9039</v>
      </c>
      <c r="F402" s="674" t="s">
        <v>9138</v>
      </c>
      <c r="G402" s="680"/>
      <c r="H402" s="680">
        <v>565705.59</v>
      </c>
      <c r="I402" s="680"/>
      <c r="J402" s="680">
        <v>169711</v>
      </c>
      <c r="K402" s="674" t="s">
        <v>9139</v>
      </c>
      <c r="L402" s="674"/>
      <c r="M402" s="674"/>
      <c r="N402" s="674"/>
    </row>
    <row r="403" spans="1:14">
      <c r="A403" s="1067"/>
      <c r="B403" s="679" t="s">
        <v>9184</v>
      </c>
      <c r="C403" s="674" t="s">
        <v>9185</v>
      </c>
      <c r="D403" s="674" t="s">
        <v>9008</v>
      </c>
      <c r="E403" s="674" t="s">
        <v>9122</v>
      </c>
      <c r="F403" s="674" t="s">
        <v>9185</v>
      </c>
      <c r="G403" s="680"/>
      <c r="H403" s="680">
        <v>26000</v>
      </c>
      <c r="I403" s="680"/>
      <c r="J403" s="680">
        <v>26000</v>
      </c>
      <c r="K403" s="674" t="s">
        <v>9023</v>
      </c>
      <c r="L403" s="674"/>
      <c r="M403" s="674"/>
      <c r="N403" s="674"/>
    </row>
    <row r="404" spans="1:14">
      <c r="A404" s="1067"/>
      <c r="B404" s="679" t="s">
        <v>9184</v>
      </c>
      <c r="C404" s="674" t="s">
        <v>9042</v>
      </c>
      <c r="D404" s="674" t="s">
        <v>9186</v>
      </c>
      <c r="E404" s="674" t="s">
        <v>9043</v>
      </c>
      <c r="F404" s="674" t="s">
        <v>9113</v>
      </c>
      <c r="G404" s="680"/>
      <c r="H404" s="680">
        <v>169880.63</v>
      </c>
      <c r="I404" s="680"/>
      <c r="J404" s="680">
        <v>50814</v>
      </c>
      <c r="K404" s="674" t="s">
        <v>9070</v>
      </c>
      <c r="L404" s="674"/>
      <c r="M404" s="674"/>
      <c r="N404" s="674"/>
    </row>
    <row r="405" spans="1:14">
      <c r="A405" s="1067"/>
      <c r="B405" s="679" t="s">
        <v>9187</v>
      </c>
      <c r="C405" s="674" t="s">
        <v>9042</v>
      </c>
      <c r="D405" s="674" t="s">
        <v>9188</v>
      </c>
      <c r="E405" s="674" t="s">
        <v>9043</v>
      </c>
      <c r="F405" s="674" t="s">
        <v>9189</v>
      </c>
      <c r="G405" s="680"/>
      <c r="H405" s="680">
        <v>106417.58</v>
      </c>
      <c r="I405" s="680"/>
      <c r="J405" s="680">
        <v>53000</v>
      </c>
      <c r="K405" s="674" t="s">
        <v>9190</v>
      </c>
      <c r="L405" s="674"/>
      <c r="M405" s="674"/>
      <c r="N405" s="674"/>
    </row>
    <row r="406" spans="1:14">
      <c r="A406" s="1067"/>
      <c r="B406" s="679" t="s">
        <v>9187</v>
      </c>
      <c r="C406" s="674" t="s">
        <v>9042</v>
      </c>
      <c r="D406" s="674" t="s">
        <v>9191</v>
      </c>
      <c r="E406" s="674" t="s">
        <v>9001</v>
      </c>
      <c r="F406" s="674" t="s">
        <v>9192</v>
      </c>
      <c r="G406" s="680"/>
      <c r="H406" s="680">
        <v>219366.68</v>
      </c>
      <c r="I406" s="680"/>
      <c r="J406" s="680">
        <v>65810</v>
      </c>
      <c r="K406" s="674" t="s">
        <v>9070</v>
      </c>
      <c r="L406" s="674"/>
      <c r="M406" s="674"/>
      <c r="N406" s="674"/>
    </row>
    <row r="407" spans="1:14">
      <c r="A407" s="1067"/>
      <c r="B407" s="679" t="s">
        <v>9193</v>
      </c>
      <c r="C407" s="674" t="s">
        <v>9194</v>
      </c>
      <c r="D407" s="674" t="s">
        <v>9008</v>
      </c>
      <c r="E407" s="674" t="s">
        <v>9001</v>
      </c>
      <c r="F407" s="674" t="s">
        <v>9195</v>
      </c>
      <c r="G407" s="680"/>
      <c r="H407" s="680">
        <v>427112</v>
      </c>
      <c r="I407" s="680"/>
      <c r="J407" s="680">
        <v>128133</v>
      </c>
      <c r="K407" s="674" t="s">
        <v>9196</v>
      </c>
      <c r="L407" s="674"/>
      <c r="M407" s="674"/>
      <c r="N407" s="674"/>
    </row>
    <row r="408" spans="1:14">
      <c r="A408" s="1067"/>
      <c r="B408" s="679" t="s">
        <v>9197</v>
      </c>
      <c r="C408" s="674" t="s">
        <v>9042</v>
      </c>
      <c r="D408" s="674" t="s">
        <v>9198</v>
      </c>
      <c r="E408" s="674" t="s">
        <v>9001</v>
      </c>
      <c r="F408" s="674" t="s">
        <v>9199</v>
      </c>
      <c r="G408" s="680"/>
      <c r="H408" s="680"/>
      <c r="I408" s="680"/>
      <c r="J408" s="680">
        <v>68427</v>
      </c>
      <c r="K408" s="674" t="s">
        <v>9200</v>
      </c>
      <c r="L408" s="674"/>
      <c r="M408" s="674"/>
      <c r="N408" s="674"/>
    </row>
    <row r="409" spans="1:14">
      <c r="A409" s="1067"/>
      <c r="B409" s="679" t="s">
        <v>9197</v>
      </c>
      <c r="C409" s="674" t="s">
        <v>9201</v>
      </c>
      <c r="D409" s="674" t="s">
        <v>9150</v>
      </c>
      <c r="E409" s="674" t="s">
        <v>9043</v>
      </c>
      <c r="F409" s="674" t="s">
        <v>9202</v>
      </c>
      <c r="G409" s="680"/>
      <c r="H409" s="680">
        <v>410255</v>
      </c>
      <c r="I409" s="680"/>
      <c r="J409" s="680">
        <v>123226</v>
      </c>
      <c r="K409" s="674" t="s">
        <v>9105</v>
      </c>
      <c r="L409" s="674"/>
      <c r="M409" s="674"/>
      <c r="N409" s="674"/>
    </row>
    <row r="410" spans="1:14">
      <c r="A410" s="1067"/>
      <c r="B410" s="679" t="s">
        <v>9197</v>
      </c>
      <c r="C410" s="674" t="s">
        <v>9203</v>
      </c>
      <c r="D410" s="674" t="s">
        <v>9163</v>
      </c>
      <c r="E410" s="674" t="s">
        <v>9001</v>
      </c>
      <c r="F410" s="674" t="s">
        <v>9161</v>
      </c>
      <c r="G410" s="680"/>
      <c r="H410" s="680">
        <v>1052883.0900000001</v>
      </c>
      <c r="I410" s="680"/>
      <c r="J410" s="680">
        <v>315864</v>
      </c>
      <c r="K410" s="674" t="s">
        <v>9023</v>
      </c>
      <c r="L410" s="674"/>
      <c r="M410" s="674"/>
      <c r="N410" s="674"/>
    </row>
    <row r="411" spans="1:14">
      <c r="A411" s="1067"/>
      <c r="B411" s="679" t="s">
        <v>9197</v>
      </c>
      <c r="C411" s="674" t="s">
        <v>9204</v>
      </c>
      <c r="D411" s="674" t="s">
        <v>8980</v>
      </c>
      <c r="E411" s="674" t="s">
        <v>9043</v>
      </c>
      <c r="F411" s="674" t="s">
        <v>9205</v>
      </c>
      <c r="G411" s="680"/>
      <c r="H411" s="680">
        <v>72144.539999999994</v>
      </c>
      <c r="I411" s="680"/>
      <c r="J411" s="680">
        <v>36072</v>
      </c>
      <c r="K411" s="674" t="s">
        <v>9206</v>
      </c>
      <c r="L411" s="674"/>
      <c r="M411" s="674"/>
      <c r="N411" s="674"/>
    </row>
    <row r="412" spans="1:14">
      <c r="A412" s="1067"/>
      <c r="B412" s="679"/>
      <c r="C412" s="674" t="s">
        <v>9204</v>
      </c>
      <c r="D412" s="674" t="s">
        <v>9181</v>
      </c>
      <c r="E412" s="674" t="s">
        <v>9043</v>
      </c>
      <c r="F412" s="674" t="s">
        <v>9207</v>
      </c>
      <c r="G412" s="680"/>
      <c r="H412" s="680">
        <v>144620</v>
      </c>
      <c r="I412" s="680"/>
      <c r="J412" s="680">
        <v>72309</v>
      </c>
      <c r="K412" s="674" t="s">
        <v>9183</v>
      </c>
      <c r="L412" s="674"/>
      <c r="M412" s="674"/>
      <c r="N412" s="674"/>
    </row>
    <row r="413" spans="1:14">
      <c r="A413" s="1067"/>
      <c r="B413" s="679" t="s">
        <v>9208</v>
      </c>
      <c r="C413" s="674" t="s">
        <v>9042</v>
      </c>
      <c r="D413" s="674" t="s">
        <v>8980</v>
      </c>
      <c r="E413" s="674" t="s">
        <v>1234</v>
      </c>
      <c r="F413" s="674" t="s">
        <v>9055</v>
      </c>
      <c r="G413" s="680"/>
      <c r="H413" s="680">
        <v>855000</v>
      </c>
      <c r="I413" s="680"/>
      <c r="J413" s="680">
        <v>256500</v>
      </c>
      <c r="K413" s="674" t="s">
        <v>9056</v>
      </c>
      <c r="L413" s="674"/>
      <c r="M413" s="674"/>
      <c r="N413" s="674"/>
    </row>
    <row r="414" spans="1:14">
      <c r="A414" s="1067"/>
      <c r="B414" s="679" t="s">
        <v>9208</v>
      </c>
      <c r="C414" s="674" t="s">
        <v>9042</v>
      </c>
      <c r="D414" s="674" t="s">
        <v>9063</v>
      </c>
      <c r="E414" s="674" t="s">
        <v>9043</v>
      </c>
      <c r="F414" s="674" t="s">
        <v>9117</v>
      </c>
      <c r="G414" s="680"/>
      <c r="H414" s="680">
        <v>169247.31</v>
      </c>
      <c r="I414" s="680"/>
      <c r="J414" s="680">
        <v>50774</v>
      </c>
      <c r="K414" s="674" t="s">
        <v>9065</v>
      </c>
      <c r="L414" s="674"/>
      <c r="M414" s="674"/>
      <c r="N414" s="674"/>
    </row>
    <row r="415" spans="1:14">
      <c r="A415" s="1067"/>
      <c r="B415" s="679" t="s">
        <v>9208</v>
      </c>
      <c r="C415" s="674" t="s">
        <v>9042</v>
      </c>
      <c r="D415" s="674" t="s">
        <v>9051</v>
      </c>
      <c r="E415" s="674" t="s">
        <v>9133</v>
      </c>
      <c r="F415" s="674" t="s">
        <v>9097</v>
      </c>
      <c r="G415" s="680"/>
      <c r="H415" s="680">
        <v>118540</v>
      </c>
      <c r="I415" s="680"/>
      <c r="J415" s="680">
        <v>35562</v>
      </c>
      <c r="K415" s="674" t="s">
        <v>9209</v>
      </c>
      <c r="L415" s="674"/>
      <c r="M415" s="674"/>
      <c r="N415" s="674"/>
    </row>
    <row r="416" spans="1:14">
      <c r="A416" s="1067"/>
      <c r="B416" s="679" t="s">
        <v>9208</v>
      </c>
      <c r="C416" s="674" t="s">
        <v>9210</v>
      </c>
      <c r="D416" s="674" t="s">
        <v>9008</v>
      </c>
      <c r="E416" s="674" t="s">
        <v>9043</v>
      </c>
      <c r="F416" s="674" t="s">
        <v>9211</v>
      </c>
      <c r="G416" s="680"/>
      <c r="H416" s="680">
        <v>20000</v>
      </c>
      <c r="I416" s="680"/>
      <c r="J416" s="680">
        <v>20000</v>
      </c>
      <c r="K416" s="674" t="s">
        <v>9212</v>
      </c>
      <c r="L416" s="674"/>
      <c r="M416" s="674"/>
      <c r="N416" s="674"/>
    </row>
    <row r="417" spans="1:14">
      <c r="A417" s="1067"/>
      <c r="B417" s="679" t="s">
        <v>9208</v>
      </c>
      <c r="C417" s="674" t="s">
        <v>9203</v>
      </c>
      <c r="D417" s="674" t="s">
        <v>9051</v>
      </c>
      <c r="E417" s="674" t="s">
        <v>9001</v>
      </c>
      <c r="F417" s="674" t="s">
        <v>9213</v>
      </c>
      <c r="G417" s="680"/>
      <c r="H417" s="680">
        <v>411705.4</v>
      </c>
      <c r="I417" s="680"/>
      <c r="J417" s="680">
        <v>123511.62</v>
      </c>
      <c r="K417" s="674" t="s">
        <v>9102</v>
      </c>
      <c r="L417" s="674"/>
      <c r="M417" s="674"/>
      <c r="N417" s="674"/>
    </row>
    <row r="418" spans="1:14">
      <c r="A418" s="1067"/>
      <c r="B418" s="679" t="s">
        <v>9208</v>
      </c>
      <c r="C418" s="674" t="s">
        <v>9204</v>
      </c>
      <c r="D418" s="674" t="s">
        <v>9051</v>
      </c>
      <c r="E418" s="674" t="s">
        <v>9043</v>
      </c>
      <c r="F418" s="674" t="s">
        <v>9214</v>
      </c>
      <c r="G418" s="680"/>
      <c r="H418" s="680">
        <v>128890.41</v>
      </c>
      <c r="I418" s="680"/>
      <c r="J418" s="680">
        <v>64431</v>
      </c>
      <c r="K418" s="674" t="s">
        <v>3880</v>
      </c>
      <c r="L418" s="674"/>
      <c r="M418" s="674"/>
      <c r="N418" s="674"/>
    </row>
    <row r="419" spans="1:14">
      <c r="A419" s="1067"/>
      <c r="B419" s="679" t="s">
        <v>9208</v>
      </c>
      <c r="C419" s="674" t="s">
        <v>8999</v>
      </c>
      <c r="D419" s="674" t="s">
        <v>9008</v>
      </c>
      <c r="E419" s="674" t="s">
        <v>9001</v>
      </c>
      <c r="F419" s="674" t="s">
        <v>9215</v>
      </c>
      <c r="G419" s="680"/>
      <c r="H419" s="680">
        <v>427112</v>
      </c>
      <c r="I419" s="680"/>
      <c r="J419" s="680">
        <v>170844</v>
      </c>
      <c r="K419" s="674" t="s">
        <v>9165</v>
      </c>
      <c r="L419" s="674"/>
      <c r="M419" s="674"/>
      <c r="N419" s="674"/>
    </row>
    <row r="420" spans="1:14">
      <c r="A420" s="1067"/>
      <c r="B420" s="679" t="s">
        <v>9208</v>
      </c>
      <c r="C420" s="674" t="s">
        <v>9042</v>
      </c>
      <c r="D420" s="674" t="s">
        <v>9051</v>
      </c>
      <c r="E420" s="674" t="s">
        <v>9133</v>
      </c>
      <c r="F420" s="674" t="s">
        <v>9093</v>
      </c>
      <c r="G420" s="680"/>
      <c r="H420" s="680">
        <v>135322</v>
      </c>
      <c r="I420" s="680"/>
      <c r="J420" s="680">
        <v>40500</v>
      </c>
      <c r="K420" s="674" t="s">
        <v>9094</v>
      </c>
      <c r="L420" s="674"/>
      <c r="M420" s="674"/>
      <c r="N420" s="674"/>
    </row>
    <row r="421" spans="1:14">
      <c r="A421" s="1067"/>
      <c r="B421" s="679" t="s">
        <v>9208</v>
      </c>
      <c r="C421" s="674" t="s">
        <v>9042</v>
      </c>
      <c r="D421" s="674" t="s">
        <v>9145</v>
      </c>
      <c r="E421" s="674" t="s">
        <v>9043</v>
      </c>
      <c r="F421" s="674" t="s">
        <v>9216</v>
      </c>
      <c r="G421" s="680"/>
      <c r="H421" s="680">
        <v>167500</v>
      </c>
      <c r="I421" s="680"/>
      <c r="J421" s="680">
        <v>50265</v>
      </c>
      <c r="K421" s="674" t="s">
        <v>9147</v>
      </c>
      <c r="L421" s="674"/>
      <c r="M421" s="674"/>
      <c r="N421" s="674"/>
    </row>
    <row r="422" spans="1:14">
      <c r="A422" s="1067"/>
      <c r="B422" s="679" t="s">
        <v>9208</v>
      </c>
      <c r="C422" s="674" t="s">
        <v>9217</v>
      </c>
      <c r="D422" s="674" t="s">
        <v>9008</v>
      </c>
      <c r="E422" s="674" t="s">
        <v>9043</v>
      </c>
      <c r="F422" s="674" t="s">
        <v>9218</v>
      </c>
      <c r="G422" s="680"/>
      <c r="H422" s="680">
        <v>78300</v>
      </c>
      <c r="I422" s="680"/>
      <c r="J422" s="680">
        <v>78300</v>
      </c>
      <c r="K422" s="674" t="s">
        <v>9219</v>
      </c>
      <c r="L422" s="674"/>
      <c r="M422" s="674"/>
      <c r="N422" s="674"/>
    </row>
    <row r="423" spans="1:14">
      <c r="A423" s="1067"/>
      <c r="B423" s="679" t="s">
        <v>9208</v>
      </c>
      <c r="C423" s="674" t="s">
        <v>9042</v>
      </c>
      <c r="D423" s="674" t="s">
        <v>9220</v>
      </c>
      <c r="E423" s="674" t="s">
        <v>9043</v>
      </c>
      <c r="F423" s="674" t="s">
        <v>9221</v>
      </c>
      <c r="G423" s="680"/>
      <c r="H423" s="680">
        <v>162444</v>
      </c>
      <c r="I423" s="680"/>
      <c r="J423" s="680">
        <v>48733</v>
      </c>
      <c r="K423" s="674" t="s">
        <v>9128</v>
      </c>
      <c r="L423" s="674"/>
      <c r="M423" s="674"/>
      <c r="N423" s="674"/>
    </row>
    <row r="424" spans="1:14">
      <c r="A424" s="1067"/>
      <c r="B424" s="679" t="s">
        <v>9222</v>
      </c>
      <c r="C424" s="674" t="s">
        <v>9185</v>
      </c>
      <c r="D424" s="674" t="s">
        <v>9008</v>
      </c>
      <c r="E424" s="674" t="s">
        <v>9122</v>
      </c>
      <c r="F424" s="674" t="s">
        <v>9185</v>
      </c>
      <c r="G424" s="680"/>
      <c r="H424" s="680">
        <v>27000</v>
      </c>
      <c r="I424" s="680"/>
      <c r="J424" s="680">
        <v>27000</v>
      </c>
      <c r="K424" s="674" t="s">
        <v>9023</v>
      </c>
      <c r="L424" s="674"/>
      <c r="M424" s="674"/>
      <c r="N424" s="674"/>
    </row>
    <row r="425" spans="1:14">
      <c r="A425" s="1067"/>
      <c r="B425" s="679" t="s">
        <v>9222</v>
      </c>
      <c r="C425" s="674" t="s">
        <v>9042</v>
      </c>
      <c r="D425" s="674" t="s">
        <v>9051</v>
      </c>
      <c r="E425" s="674" t="s">
        <v>9043</v>
      </c>
      <c r="F425" s="674" t="s">
        <v>9117</v>
      </c>
      <c r="G425" s="680"/>
      <c r="H425" s="680">
        <v>169263</v>
      </c>
      <c r="I425" s="680"/>
      <c r="J425" s="680">
        <v>16926</v>
      </c>
      <c r="K425" s="674" t="s">
        <v>9053</v>
      </c>
      <c r="L425" s="674"/>
      <c r="M425" s="674"/>
      <c r="N425" s="674"/>
    </row>
    <row r="426" spans="1:14">
      <c r="A426" s="1067"/>
      <c r="B426" s="679" t="s">
        <v>9223</v>
      </c>
      <c r="C426" s="674" t="s">
        <v>9005</v>
      </c>
      <c r="D426" s="674" t="s">
        <v>911</v>
      </c>
      <c r="E426" s="674" t="s">
        <v>9039</v>
      </c>
      <c r="F426" s="674" t="s">
        <v>9072</v>
      </c>
      <c r="G426" s="680"/>
      <c r="H426" s="680">
        <v>20674</v>
      </c>
      <c r="I426" s="680"/>
      <c r="J426" s="680">
        <v>20674</v>
      </c>
      <c r="K426" s="674" t="s">
        <v>9040</v>
      </c>
      <c r="L426" s="674"/>
      <c r="M426" s="674"/>
      <c r="N426" s="674"/>
    </row>
    <row r="427" spans="1:14">
      <c r="A427" s="1067"/>
      <c r="B427" s="679" t="s">
        <v>9224</v>
      </c>
      <c r="C427" s="674" t="s">
        <v>9042</v>
      </c>
      <c r="D427" s="674" t="s">
        <v>9051</v>
      </c>
      <c r="E427" s="674" t="s">
        <v>9133</v>
      </c>
      <c r="F427" s="674" t="s">
        <v>9225</v>
      </c>
      <c r="G427" s="680"/>
      <c r="H427" s="680">
        <v>845152.14</v>
      </c>
      <c r="I427" s="680"/>
      <c r="J427" s="680">
        <v>253545</v>
      </c>
      <c r="K427" s="674" t="s">
        <v>9135</v>
      </c>
      <c r="L427" s="674"/>
      <c r="M427" s="674"/>
      <c r="N427" s="674"/>
    </row>
    <row r="428" spans="1:14">
      <c r="A428" s="1067"/>
      <c r="B428" s="679" t="s">
        <v>9224</v>
      </c>
      <c r="C428" s="674" t="s">
        <v>9226</v>
      </c>
      <c r="D428" s="674" t="s">
        <v>9063</v>
      </c>
      <c r="E428" s="674" t="s">
        <v>9001</v>
      </c>
      <c r="F428" s="674" t="s">
        <v>9227</v>
      </c>
      <c r="G428" s="680"/>
      <c r="H428" s="680">
        <v>90447</v>
      </c>
      <c r="I428" s="680"/>
      <c r="J428" s="680">
        <v>90447</v>
      </c>
      <c r="K428" s="674" t="s">
        <v>9086</v>
      </c>
      <c r="L428" s="674"/>
      <c r="M428" s="674"/>
      <c r="N428" s="674"/>
    </row>
    <row r="429" spans="1:14">
      <c r="A429" s="1067"/>
      <c r="B429" s="679" t="s">
        <v>9224</v>
      </c>
      <c r="C429" s="674" t="s">
        <v>9042</v>
      </c>
      <c r="D429" s="674" t="s">
        <v>9051</v>
      </c>
      <c r="E429" s="674" t="s">
        <v>9228</v>
      </c>
      <c r="F429" s="674" t="s">
        <v>9137</v>
      </c>
      <c r="G429" s="680"/>
      <c r="H429" s="680">
        <v>2247914.54</v>
      </c>
      <c r="I429" s="680"/>
      <c r="J429" s="680">
        <v>81334</v>
      </c>
      <c r="K429" s="674" t="s">
        <v>9135</v>
      </c>
      <c r="L429" s="674"/>
      <c r="M429" s="674"/>
      <c r="N429" s="674"/>
    </row>
    <row r="430" spans="1:14">
      <c r="A430" s="1067"/>
      <c r="B430" s="679" t="s">
        <v>9224</v>
      </c>
      <c r="C430" s="674" t="s">
        <v>9201</v>
      </c>
      <c r="D430" s="674" t="s">
        <v>9150</v>
      </c>
      <c r="E430" s="674" t="s">
        <v>9043</v>
      </c>
      <c r="F430" s="674" t="s">
        <v>9202</v>
      </c>
      <c r="G430" s="680"/>
      <c r="H430" s="680">
        <v>410255</v>
      </c>
      <c r="I430" s="680"/>
      <c r="J430" s="680">
        <v>123226</v>
      </c>
      <c r="K430" s="674" t="s">
        <v>9105</v>
      </c>
      <c r="L430" s="674"/>
      <c r="M430" s="674"/>
      <c r="N430" s="674"/>
    </row>
    <row r="431" spans="1:14">
      <c r="A431" s="1067"/>
      <c r="B431" s="679" t="s">
        <v>9224</v>
      </c>
      <c r="C431" s="674" t="s">
        <v>9201</v>
      </c>
      <c r="D431" s="674" t="s">
        <v>1234</v>
      </c>
      <c r="E431" s="674" t="s">
        <v>9039</v>
      </c>
      <c r="F431" s="674" t="s">
        <v>9229</v>
      </c>
      <c r="G431" s="680"/>
      <c r="H431" s="680">
        <v>51596</v>
      </c>
      <c r="I431" s="680"/>
      <c r="J431" s="680">
        <v>25793</v>
      </c>
      <c r="K431" s="674" t="s">
        <v>9086</v>
      </c>
      <c r="L431" s="674"/>
      <c r="M431" s="674"/>
      <c r="N431" s="674"/>
    </row>
    <row r="432" spans="1:14">
      <c r="A432" s="1067"/>
      <c r="B432" s="679" t="s">
        <v>9230</v>
      </c>
      <c r="C432" s="674" t="s">
        <v>9096</v>
      </c>
      <c r="D432" s="674" t="s">
        <v>9051</v>
      </c>
      <c r="E432" s="674" t="s">
        <v>9043</v>
      </c>
      <c r="F432" s="674" t="s">
        <v>9231</v>
      </c>
      <c r="G432" s="680"/>
      <c r="H432" s="680">
        <v>176500</v>
      </c>
      <c r="I432" s="680"/>
      <c r="J432" s="680">
        <v>88250</v>
      </c>
      <c r="K432" s="674" t="s">
        <v>9081</v>
      </c>
      <c r="L432" s="674"/>
      <c r="M432" s="674"/>
      <c r="N432" s="674"/>
    </row>
    <row r="433" spans="1:14">
      <c r="A433" s="1067"/>
      <c r="B433" s="679" t="s">
        <v>9230</v>
      </c>
      <c r="C433" s="674" t="s">
        <v>9201</v>
      </c>
      <c r="D433" s="674" t="s">
        <v>9000</v>
      </c>
      <c r="E433" s="674" t="s">
        <v>9043</v>
      </c>
      <c r="F433" s="674" t="s">
        <v>9232</v>
      </c>
      <c r="G433" s="680"/>
      <c r="H433" s="680">
        <v>159700</v>
      </c>
      <c r="I433" s="680"/>
      <c r="J433" s="680">
        <v>79850</v>
      </c>
      <c r="K433" s="674" t="s">
        <v>9081</v>
      </c>
      <c r="L433" s="674"/>
      <c r="M433" s="674"/>
      <c r="N433" s="674"/>
    </row>
    <row r="434" spans="1:14">
      <c r="A434" s="1067"/>
      <c r="B434" s="679" t="s">
        <v>9233</v>
      </c>
      <c r="C434" s="674" t="s">
        <v>9042</v>
      </c>
      <c r="D434" s="674" t="s">
        <v>9188</v>
      </c>
      <c r="E434" s="674" t="s">
        <v>9043</v>
      </c>
      <c r="F434" s="674" t="s">
        <v>9189</v>
      </c>
      <c r="G434" s="680"/>
      <c r="H434" s="680">
        <v>106417.58</v>
      </c>
      <c r="I434" s="680"/>
      <c r="J434" s="680">
        <v>53000</v>
      </c>
      <c r="K434" s="674" t="s">
        <v>9234</v>
      </c>
      <c r="L434" s="674"/>
      <c r="M434" s="674"/>
      <c r="N434" s="674"/>
    </row>
    <row r="435" spans="1:14">
      <c r="A435" s="1067"/>
      <c r="B435" s="679" t="s">
        <v>9235</v>
      </c>
      <c r="C435" s="674" t="s">
        <v>9203</v>
      </c>
      <c r="D435" s="674" t="s">
        <v>9163</v>
      </c>
      <c r="E435" s="674" t="s">
        <v>9001</v>
      </c>
      <c r="F435" s="674" t="s">
        <v>9161</v>
      </c>
      <c r="G435" s="680"/>
      <c r="H435" s="680">
        <v>1052883.0900000001</v>
      </c>
      <c r="I435" s="680"/>
      <c r="J435" s="680">
        <v>315865</v>
      </c>
      <c r="K435" s="674" t="s">
        <v>9023</v>
      </c>
      <c r="L435" s="674"/>
      <c r="M435" s="674"/>
      <c r="N435" s="674"/>
    </row>
    <row r="436" spans="1:14">
      <c r="A436" s="1067"/>
      <c r="B436" s="679" t="s">
        <v>9235</v>
      </c>
      <c r="C436" s="674" t="s">
        <v>9236</v>
      </c>
      <c r="D436" s="674" t="s">
        <v>9008</v>
      </c>
      <c r="E436" s="674" t="s">
        <v>9043</v>
      </c>
      <c r="F436" s="674" t="s">
        <v>9237</v>
      </c>
      <c r="G436" s="680"/>
      <c r="H436" s="680">
        <v>20000</v>
      </c>
      <c r="I436" s="680"/>
      <c r="J436" s="680">
        <v>20000</v>
      </c>
      <c r="K436" s="674" t="s">
        <v>9212</v>
      </c>
      <c r="L436" s="674"/>
      <c r="M436" s="674"/>
      <c r="N436" s="674"/>
    </row>
    <row r="437" spans="1:14">
      <c r="A437" s="1067"/>
      <c r="B437" s="679" t="s">
        <v>9238</v>
      </c>
      <c r="C437" s="674" t="s">
        <v>9026</v>
      </c>
      <c r="D437" s="674" t="s">
        <v>9239</v>
      </c>
      <c r="E437" s="674" t="s">
        <v>9043</v>
      </c>
      <c r="F437" s="674" t="s">
        <v>9240</v>
      </c>
      <c r="G437" s="680"/>
      <c r="H437" s="680">
        <v>7616.67</v>
      </c>
      <c r="I437" s="680"/>
      <c r="J437" s="680">
        <v>7616.67</v>
      </c>
      <c r="K437" s="674" t="s">
        <v>9034</v>
      </c>
      <c r="L437" s="674"/>
      <c r="M437" s="674"/>
      <c r="N437" s="674"/>
    </row>
    <row r="438" spans="1:14">
      <c r="A438" s="1067"/>
      <c r="B438" s="679" t="s">
        <v>9238</v>
      </c>
      <c r="C438" s="674" t="s">
        <v>9026</v>
      </c>
      <c r="D438" s="674" t="s">
        <v>9239</v>
      </c>
      <c r="E438" s="674" t="s">
        <v>9043</v>
      </c>
      <c r="F438" s="674" t="s">
        <v>9240</v>
      </c>
      <c r="G438" s="680"/>
      <c r="H438" s="680">
        <v>3360</v>
      </c>
      <c r="I438" s="680"/>
      <c r="J438" s="680">
        <v>3360</v>
      </c>
      <c r="K438" s="674" t="s">
        <v>9032</v>
      </c>
      <c r="L438" s="674"/>
      <c r="M438" s="674"/>
      <c r="N438" s="674"/>
    </row>
    <row r="439" spans="1:14">
      <c r="A439" s="1067"/>
      <c r="B439" s="679" t="s">
        <v>9241</v>
      </c>
      <c r="C439" s="674" t="s">
        <v>9242</v>
      </c>
      <c r="D439" s="674" t="s">
        <v>9150</v>
      </c>
      <c r="E439" s="674" t="s">
        <v>9243</v>
      </c>
      <c r="F439" s="674" t="s">
        <v>9244</v>
      </c>
      <c r="G439" s="680"/>
      <c r="H439" s="680">
        <v>45406</v>
      </c>
      <c r="I439" s="680"/>
      <c r="J439" s="680">
        <v>22703</v>
      </c>
      <c r="K439" s="674" t="s">
        <v>9245</v>
      </c>
      <c r="L439" s="674"/>
      <c r="M439" s="674"/>
      <c r="N439" s="674"/>
    </row>
    <row r="440" spans="1:14">
      <c r="A440" s="1067"/>
      <c r="B440" s="679" t="s">
        <v>9246</v>
      </c>
      <c r="C440" s="674" t="s">
        <v>8999</v>
      </c>
      <c r="D440" s="674" t="s">
        <v>8980</v>
      </c>
      <c r="E440" s="674" t="s">
        <v>9039</v>
      </c>
      <c r="F440" s="674" t="s">
        <v>9138</v>
      </c>
      <c r="G440" s="680"/>
      <c r="H440" s="680">
        <v>565705.59</v>
      </c>
      <c r="I440" s="680"/>
      <c r="J440" s="680">
        <v>169711</v>
      </c>
      <c r="K440" s="674" t="s">
        <v>9139</v>
      </c>
      <c r="L440" s="674"/>
      <c r="M440" s="674"/>
      <c r="N440" s="674"/>
    </row>
    <row r="441" spans="1:14">
      <c r="A441" s="1067"/>
      <c r="B441" s="679" t="s">
        <v>9247</v>
      </c>
      <c r="C441" s="674" t="s">
        <v>9185</v>
      </c>
      <c r="D441" s="674" t="s">
        <v>9008</v>
      </c>
      <c r="E441" s="674" t="s">
        <v>9122</v>
      </c>
      <c r="F441" s="674" t="s">
        <v>9185</v>
      </c>
      <c r="G441" s="680"/>
      <c r="H441" s="680">
        <v>26000</v>
      </c>
      <c r="I441" s="680"/>
      <c r="J441" s="680">
        <v>26000</v>
      </c>
      <c r="K441" s="674" t="s">
        <v>9023</v>
      </c>
      <c r="L441" s="674"/>
      <c r="M441" s="674"/>
      <c r="N441" s="674"/>
    </row>
    <row r="442" spans="1:14">
      <c r="A442" s="1067"/>
      <c r="B442" s="679" t="s">
        <v>9247</v>
      </c>
      <c r="C442" s="674" t="s">
        <v>9185</v>
      </c>
      <c r="D442" s="674" t="s">
        <v>9008</v>
      </c>
      <c r="E442" s="674" t="s">
        <v>9122</v>
      </c>
      <c r="F442" s="674" t="s">
        <v>9185</v>
      </c>
      <c r="G442" s="680"/>
      <c r="H442" s="680">
        <v>27000</v>
      </c>
      <c r="I442" s="680"/>
      <c r="J442" s="680">
        <v>27000</v>
      </c>
      <c r="K442" s="674" t="s">
        <v>9023</v>
      </c>
      <c r="L442" s="674"/>
      <c r="M442" s="674"/>
      <c r="N442" s="674"/>
    </row>
    <row r="443" spans="1:14">
      <c r="A443" s="1067"/>
      <c r="B443" s="679" t="s">
        <v>9247</v>
      </c>
      <c r="C443" s="674" t="s">
        <v>9204</v>
      </c>
      <c r="D443" s="674" t="s">
        <v>8980</v>
      </c>
      <c r="E443" s="674" t="s">
        <v>9043</v>
      </c>
      <c r="F443" s="674" t="s">
        <v>9205</v>
      </c>
      <c r="G443" s="680"/>
      <c r="H443" s="680">
        <v>72144.539999999994</v>
      </c>
      <c r="I443" s="680"/>
      <c r="J443" s="680">
        <v>37114.54</v>
      </c>
      <c r="K443" s="674" t="s">
        <v>9248</v>
      </c>
      <c r="L443" s="674"/>
      <c r="M443" s="674"/>
      <c r="N443" s="674"/>
    </row>
    <row r="444" spans="1:14">
      <c r="A444" s="1067"/>
      <c r="B444" s="679" t="s">
        <v>9249</v>
      </c>
      <c r="C444" s="674" t="s">
        <v>9005</v>
      </c>
      <c r="D444" s="674" t="s">
        <v>9239</v>
      </c>
      <c r="E444" s="674" t="s">
        <v>9039</v>
      </c>
      <c r="F444" s="674" t="s">
        <v>9250</v>
      </c>
      <c r="G444" s="680"/>
      <c r="H444" s="680">
        <v>7723</v>
      </c>
      <c r="I444" s="680"/>
      <c r="J444" s="680">
        <v>7723</v>
      </c>
      <c r="K444" s="674" t="s">
        <v>9251</v>
      </c>
      <c r="L444" s="674"/>
      <c r="M444" s="674"/>
      <c r="N444" s="674"/>
    </row>
    <row r="445" spans="1:14">
      <c r="A445" s="1067"/>
      <c r="B445" s="679" t="s">
        <v>9252</v>
      </c>
      <c r="C445" s="674" t="s">
        <v>9253</v>
      </c>
      <c r="D445" s="674" t="s">
        <v>9008</v>
      </c>
      <c r="E445" s="674" t="s">
        <v>9001</v>
      </c>
      <c r="F445" s="674" t="s">
        <v>9253</v>
      </c>
      <c r="G445" s="680"/>
      <c r="H445" s="680">
        <v>30000</v>
      </c>
      <c r="I445" s="680"/>
      <c r="J445" s="680">
        <v>30000</v>
      </c>
      <c r="K445" s="674" t="s">
        <v>9254</v>
      </c>
      <c r="L445" s="674"/>
      <c r="M445" s="674"/>
      <c r="N445" s="674"/>
    </row>
    <row r="446" spans="1:14">
      <c r="A446" s="1067"/>
      <c r="B446" s="679" t="s">
        <v>9252</v>
      </c>
      <c r="C446" s="674" t="s">
        <v>9042</v>
      </c>
      <c r="D446" s="674" t="s">
        <v>9145</v>
      </c>
      <c r="E446" s="674" t="s">
        <v>9043</v>
      </c>
      <c r="F446" s="674" t="s">
        <v>9216</v>
      </c>
      <c r="G446" s="680"/>
      <c r="H446" s="680">
        <v>167500</v>
      </c>
      <c r="I446" s="680"/>
      <c r="J446" s="680">
        <v>50265</v>
      </c>
      <c r="K446" s="674" t="s">
        <v>9147</v>
      </c>
      <c r="L446" s="674"/>
      <c r="M446" s="674"/>
      <c r="N446" s="674"/>
    </row>
    <row r="447" spans="1:14">
      <c r="A447" s="1067"/>
      <c r="B447" s="679" t="s">
        <v>9252</v>
      </c>
      <c r="C447" s="674" t="s">
        <v>9042</v>
      </c>
      <c r="D447" s="674" t="s">
        <v>9051</v>
      </c>
      <c r="E447" s="674" t="s">
        <v>9001</v>
      </c>
      <c r="F447" s="674" t="s">
        <v>9255</v>
      </c>
      <c r="G447" s="680"/>
      <c r="H447" s="680">
        <v>284050</v>
      </c>
      <c r="I447" s="680"/>
      <c r="J447" s="680">
        <v>142025</v>
      </c>
      <c r="K447" s="674" t="s">
        <v>9132</v>
      </c>
      <c r="L447" s="674"/>
      <c r="M447" s="674"/>
      <c r="N447" s="674"/>
    </row>
    <row r="448" spans="1:14">
      <c r="A448" s="1067"/>
      <c r="B448" s="679" t="s">
        <v>9256</v>
      </c>
      <c r="C448" s="674" t="s">
        <v>9005</v>
      </c>
      <c r="D448" s="674" t="s">
        <v>9257</v>
      </c>
      <c r="E448" s="674" t="s">
        <v>9039</v>
      </c>
      <c r="F448" s="674" t="s">
        <v>9258</v>
      </c>
      <c r="G448" s="680"/>
      <c r="H448" s="680">
        <v>15446</v>
      </c>
      <c r="I448" s="680"/>
      <c r="J448" s="680">
        <v>15446</v>
      </c>
      <c r="K448" s="674" t="s">
        <v>9259</v>
      </c>
      <c r="L448" s="674"/>
      <c r="M448" s="674"/>
      <c r="N448" s="674"/>
    </row>
    <row r="449" spans="1:14">
      <c r="A449" s="1067"/>
      <c r="B449" s="679" t="s">
        <v>9260</v>
      </c>
      <c r="C449" s="674" t="s">
        <v>9005</v>
      </c>
      <c r="D449" s="674" t="s">
        <v>9257</v>
      </c>
      <c r="E449" s="674" t="s">
        <v>9039</v>
      </c>
      <c r="F449" s="674" t="s">
        <v>9250</v>
      </c>
      <c r="G449" s="680"/>
      <c r="H449" s="680">
        <v>9926.39</v>
      </c>
      <c r="I449" s="680"/>
      <c r="J449" s="680">
        <v>9926.39</v>
      </c>
      <c r="K449" s="674" t="s">
        <v>9251</v>
      </c>
      <c r="L449" s="674"/>
      <c r="M449" s="674"/>
      <c r="N449" s="674"/>
    </row>
    <row r="450" spans="1:14">
      <c r="A450" s="1067"/>
      <c r="B450" s="679" t="s">
        <v>9260</v>
      </c>
      <c r="C450" s="674" t="s">
        <v>9005</v>
      </c>
      <c r="D450" s="674" t="s">
        <v>9257</v>
      </c>
      <c r="E450" s="674" t="s">
        <v>9039</v>
      </c>
      <c r="F450" s="674" t="s">
        <v>9258</v>
      </c>
      <c r="G450" s="680"/>
      <c r="H450" s="680">
        <v>19852.78</v>
      </c>
      <c r="I450" s="680"/>
      <c r="J450" s="680">
        <v>19852.78</v>
      </c>
      <c r="K450" s="674" t="s">
        <v>9259</v>
      </c>
      <c r="L450" s="674"/>
      <c r="M450" s="674"/>
      <c r="N450" s="674"/>
    </row>
    <row r="451" spans="1:14">
      <c r="A451" s="1067"/>
      <c r="B451" s="679" t="s">
        <v>9261</v>
      </c>
      <c r="C451" s="674" t="s">
        <v>9262</v>
      </c>
      <c r="D451" s="674" t="s">
        <v>9008</v>
      </c>
      <c r="E451" s="674" t="s">
        <v>9043</v>
      </c>
      <c r="F451" s="674" t="s">
        <v>9262</v>
      </c>
      <c r="G451" s="680"/>
      <c r="H451" s="680">
        <v>78000</v>
      </c>
      <c r="I451" s="680"/>
      <c r="J451" s="680">
        <v>78000</v>
      </c>
      <c r="K451" s="674" t="s">
        <v>9219</v>
      </c>
      <c r="L451" s="674"/>
      <c r="M451" s="674"/>
      <c r="N451" s="674"/>
    </row>
    <row r="452" spans="1:14">
      <c r="A452" s="1067"/>
      <c r="B452" s="679" t="s">
        <v>9261</v>
      </c>
      <c r="C452" s="674" t="s">
        <v>9042</v>
      </c>
      <c r="D452" s="674" t="s">
        <v>9141</v>
      </c>
      <c r="E452" s="674" t="s">
        <v>9043</v>
      </c>
      <c r="F452" s="674" t="s">
        <v>9142</v>
      </c>
      <c r="G452" s="680"/>
      <c r="H452" s="680">
        <v>169380.73</v>
      </c>
      <c r="I452" s="680"/>
      <c r="J452" s="680">
        <v>16938</v>
      </c>
      <c r="K452" s="674" t="s">
        <v>9070</v>
      </c>
      <c r="L452" s="674"/>
      <c r="M452" s="674"/>
      <c r="N452" s="674"/>
    </row>
    <row r="453" spans="1:14">
      <c r="A453" s="1067"/>
      <c r="B453" s="679" t="s">
        <v>9263</v>
      </c>
      <c r="C453" s="674" t="s">
        <v>9042</v>
      </c>
      <c r="D453" s="674" t="s">
        <v>9051</v>
      </c>
      <c r="E453" s="674" t="s">
        <v>9043</v>
      </c>
      <c r="F453" s="674" t="s">
        <v>9264</v>
      </c>
      <c r="G453" s="680"/>
      <c r="H453" s="680">
        <v>176500</v>
      </c>
      <c r="I453" s="680"/>
      <c r="J453" s="680">
        <v>88250</v>
      </c>
      <c r="K453" s="674" t="s">
        <v>9081</v>
      </c>
      <c r="L453" s="674"/>
      <c r="M453" s="674"/>
      <c r="N453" s="674"/>
    </row>
    <row r="454" spans="1:14">
      <c r="A454" s="1067"/>
      <c r="B454" s="679" t="s">
        <v>9265</v>
      </c>
      <c r="C454" s="674" t="s">
        <v>9005</v>
      </c>
      <c r="D454" s="674" t="s">
        <v>9239</v>
      </c>
      <c r="E454" s="674" t="s">
        <v>9039</v>
      </c>
      <c r="F454" s="674" t="s">
        <v>9266</v>
      </c>
      <c r="G454" s="680"/>
      <c r="H454" s="680">
        <v>8680</v>
      </c>
      <c r="I454" s="680"/>
      <c r="J454" s="680">
        <v>8680</v>
      </c>
      <c r="K454" s="674" t="s">
        <v>9251</v>
      </c>
      <c r="L454" s="674"/>
      <c r="M454" s="674"/>
      <c r="N454" s="674"/>
    </row>
    <row r="455" spans="1:14">
      <c r="A455" s="1067"/>
      <c r="B455" s="679" t="s">
        <v>9265</v>
      </c>
      <c r="C455" s="674" t="s">
        <v>9005</v>
      </c>
      <c r="D455" s="674" t="s">
        <v>9239</v>
      </c>
      <c r="E455" s="674" t="s">
        <v>9039</v>
      </c>
      <c r="F455" s="674" t="s">
        <v>9258</v>
      </c>
      <c r="G455" s="680"/>
      <c r="H455" s="680">
        <v>17361.400000000001</v>
      </c>
      <c r="I455" s="680"/>
      <c r="J455" s="680">
        <v>17361.400000000001</v>
      </c>
      <c r="K455" s="674" t="s">
        <v>9259</v>
      </c>
      <c r="L455" s="674"/>
      <c r="M455" s="674"/>
      <c r="N455" s="674"/>
    </row>
    <row r="456" spans="1:14">
      <c r="A456" s="1067"/>
      <c r="B456" s="679" t="s">
        <v>9267</v>
      </c>
      <c r="C456" s="674" t="s">
        <v>9005</v>
      </c>
      <c r="D456" s="674" t="s">
        <v>911</v>
      </c>
      <c r="E456" s="674" t="s">
        <v>9039</v>
      </c>
      <c r="F456" s="674" t="s">
        <v>9268</v>
      </c>
      <c r="G456" s="680"/>
      <c r="H456" s="680">
        <v>35804.82</v>
      </c>
      <c r="I456" s="680"/>
      <c r="J456" s="680">
        <v>35804.82</v>
      </c>
      <c r="K456" s="674" t="s">
        <v>9040</v>
      </c>
      <c r="L456" s="674"/>
      <c r="M456" s="674"/>
      <c r="N456" s="674"/>
    </row>
    <row r="457" spans="1:14">
      <c r="A457" s="1067"/>
      <c r="B457" s="679" t="s">
        <v>9269</v>
      </c>
      <c r="C457" s="674" t="s">
        <v>9185</v>
      </c>
      <c r="D457" s="674" t="s">
        <v>9008</v>
      </c>
      <c r="E457" s="674" t="s">
        <v>9122</v>
      </c>
      <c r="F457" s="674" t="s">
        <v>9185</v>
      </c>
      <c r="G457" s="680"/>
      <c r="H457" s="680">
        <v>13000</v>
      </c>
      <c r="I457" s="680"/>
      <c r="J457" s="680">
        <v>13000</v>
      </c>
      <c r="K457" s="674" t="s">
        <v>9023</v>
      </c>
      <c r="L457" s="674"/>
      <c r="M457" s="674"/>
      <c r="N457" s="674"/>
    </row>
    <row r="458" spans="1:14">
      <c r="A458" s="1067"/>
      <c r="B458" s="679" t="s">
        <v>9269</v>
      </c>
      <c r="C458" s="674" t="s">
        <v>9185</v>
      </c>
      <c r="D458" s="674" t="s">
        <v>9008</v>
      </c>
      <c r="E458" s="674" t="s">
        <v>9122</v>
      </c>
      <c r="F458" s="674" t="s">
        <v>9185</v>
      </c>
      <c r="G458" s="680"/>
      <c r="H458" s="680">
        <v>27000</v>
      </c>
      <c r="I458" s="680"/>
      <c r="J458" s="680">
        <v>27000</v>
      </c>
      <c r="K458" s="674" t="s">
        <v>9023</v>
      </c>
      <c r="L458" s="674"/>
      <c r="M458" s="674"/>
      <c r="N458" s="674"/>
    </row>
    <row r="459" spans="1:14">
      <c r="A459" s="1067"/>
      <c r="B459" s="679" t="s">
        <v>9270</v>
      </c>
      <c r="C459" s="674" t="s">
        <v>9201</v>
      </c>
      <c r="D459" s="674" t="s">
        <v>9150</v>
      </c>
      <c r="E459" s="674" t="s">
        <v>9043</v>
      </c>
      <c r="F459" s="674" t="s">
        <v>9202</v>
      </c>
      <c r="G459" s="680"/>
      <c r="H459" s="680">
        <v>410255</v>
      </c>
      <c r="I459" s="680"/>
      <c r="J459" s="680">
        <v>41075.5</v>
      </c>
      <c r="K459" s="674" t="s">
        <v>9105</v>
      </c>
      <c r="L459" s="674"/>
      <c r="M459" s="674"/>
      <c r="N459" s="674"/>
    </row>
    <row r="460" spans="1:14">
      <c r="A460" s="1067"/>
      <c r="B460" s="679" t="s">
        <v>9270</v>
      </c>
      <c r="C460" s="674" t="s">
        <v>9042</v>
      </c>
      <c r="D460" s="674" t="s">
        <v>9150</v>
      </c>
      <c r="E460" s="674" t="s">
        <v>9166</v>
      </c>
      <c r="F460" s="674" t="s">
        <v>9271</v>
      </c>
      <c r="G460" s="680"/>
      <c r="H460" s="680">
        <v>45406</v>
      </c>
      <c r="I460" s="680"/>
      <c r="J460" s="680">
        <v>22703.68</v>
      </c>
      <c r="K460" s="674" t="s">
        <v>9272</v>
      </c>
      <c r="L460" s="674"/>
      <c r="M460" s="674"/>
      <c r="N460" s="674"/>
    </row>
    <row r="461" spans="1:14">
      <c r="A461" s="1067"/>
      <c r="B461" s="679" t="s">
        <v>9273</v>
      </c>
      <c r="C461" s="674"/>
      <c r="D461" s="674" t="s">
        <v>9274</v>
      </c>
      <c r="E461" s="674"/>
      <c r="F461" s="674" t="s">
        <v>9275</v>
      </c>
      <c r="G461" s="680"/>
      <c r="H461" s="680"/>
      <c r="I461" s="680"/>
      <c r="J461" s="680">
        <v>68427.8</v>
      </c>
      <c r="K461" s="674" t="s">
        <v>9200</v>
      </c>
      <c r="L461" s="674"/>
      <c r="M461" s="674"/>
      <c r="N461" s="674"/>
    </row>
    <row r="462" spans="1:14">
      <c r="A462" s="1067"/>
      <c r="B462" s="679" t="s">
        <v>9273</v>
      </c>
      <c r="C462" s="674" t="s">
        <v>9042</v>
      </c>
      <c r="D462" s="674" t="s">
        <v>9112</v>
      </c>
      <c r="E462" s="674"/>
      <c r="F462" s="674" t="s">
        <v>9113</v>
      </c>
      <c r="G462" s="680"/>
      <c r="H462" s="680">
        <v>168768.13</v>
      </c>
      <c r="I462" s="680"/>
      <c r="J462" s="680">
        <v>50617.919999999998</v>
      </c>
      <c r="K462" s="674" t="s">
        <v>9114</v>
      </c>
      <c r="L462" s="674"/>
      <c r="M462" s="674"/>
      <c r="N462" s="674"/>
    </row>
    <row r="463" spans="1:14">
      <c r="A463" s="1067"/>
      <c r="B463" s="679" t="s">
        <v>9276</v>
      </c>
      <c r="C463" s="674" t="s">
        <v>9005</v>
      </c>
      <c r="D463" s="674" t="s">
        <v>911</v>
      </c>
      <c r="E463" s="674" t="s">
        <v>9039</v>
      </c>
      <c r="F463" s="674" t="s">
        <v>9268</v>
      </c>
      <c r="G463" s="680"/>
      <c r="H463" s="680">
        <v>25771.4</v>
      </c>
      <c r="I463" s="680"/>
      <c r="J463" s="680">
        <v>25771.4</v>
      </c>
      <c r="K463" s="674" t="s">
        <v>9040</v>
      </c>
      <c r="L463" s="674"/>
      <c r="M463" s="674"/>
      <c r="N463" s="674"/>
    </row>
    <row r="464" spans="1:14">
      <c r="A464" s="1067"/>
      <c r="B464" s="679" t="s">
        <v>9277</v>
      </c>
      <c r="C464" s="674"/>
      <c r="D464" s="674" t="s">
        <v>9051</v>
      </c>
      <c r="E464" s="674" t="s">
        <v>9043</v>
      </c>
      <c r="F464" s="674" t="s">
        <v>9113</v>
      </c>
      <c r="G464" s="680"/>
      <c r="H464" s="680">
        <v>169263</v>
      </c>
      <c r="I464" s="680"/>
      <c r="J464" s="680">
        <v>25389.5</v>
      </c>
      <c r="K464" s="674" t="s">
        <v>9053</v>
      </c>
      <c r="L464" s="674"/>
      <c r="M464" s="674"/>
      <c r="N464" s="674"/>
    </row>
    <row r="465" spans="1:14">
      <c r="A465" s="672" t="s">
        <v>9278</v>
      </c>
      <c r="B465" s="672"/>
      <c r="C465" s="672"/>
      <c r="D465" s="672"/>
      <c r="E465" s="672"/>
      <c r="F465" s="676"/>
      <c r="G465" s="677">
        <f>+SUM(G334:G464)</f>
        <v>0</v>
      </c>
      <c r="H465" s="677">
        <f>+SUM(H334:H464)</f>
        <v>31268281.239999991</v>
      </c>
      <c r="I465" s="677">
        <f>+SUM(I334:I464)</f>
        <v>0</v>
      </c>
      <c r="J465" s="677">
        <f>+SUM(J334:J464)</f>
        <v>11522669.73</v>
      </c>
      <c r="K465" s="673"/>
      <c r="L465" s="673"/>
      <c r="M465" s="673"/>
      <c r="N465" s="673"/>
    </row>
    <row r="466" spans="1:14">
      <c r="A466" s="1066" t="s">
        <v>9279</v>
      </c>
      <c r="B466" s="678" t="s">
        <v>9280</v>
      </c>
      <c r="C466" s="670" t="s">
        <v>9281</v>
      </c>
      <c r="D466" s="670" t="s">
        <v>911</v>
      </c>
      <c r="E466" s="670" t="s">
        <v>9282</v>
      </c>
      <c r="F466" s="670" t="s">
        <v>9281</v>
      </c>
      <c r="G466" s="671"/>
      <c r="H466" s="671"/>
      <c r="I466" s="671"/>
      <c r="J466" s="671">
        <v>9990</v>
      </c>
      <c r="K466" s="670" t="s">
        <v>9283</v>
      </c>
      <c r="L466" s="670" t="s">
        <v>9284</v>
      </c>
      <c r="M466" s="670" t="s">
        <v>9285</v>
      </c>
      <c r="N466" s="670"/>
    </row>
    <row r="467" spans="1:14">
      <c r="A467" s="1066"/>
      <c r="B467" s="678" t="s">
        <v>9280</v>
      </c>
      <c r="C467" s="670" t="s">
        <v>9286</v>
      </c>
      <c r="D467" s="670" t="s">
        <v>9287</v>
      </c>
      <c r="E467" s="670" t="s">
        <v>9288</v>
      </c>
      <c r="F467" s="670" t="s">
        <v>9289</v>
      </c>
      <c r="G467" s="671"/>
      <c r="H467" s="671">
        <v>143100</v>
      </c>
      <c r="I467" s="671"/>
      <c r="J467" s="671">
        <v>25000</v>
      </c>
      <c r="K467" s="670" t="s">
        <v>9290</v>
      </c>
      <c r="L467" s="670" t="s">
        <v>8811</v>
      </c>
      <c r="M467" s="670" t="s">
        <v>8832</v>
      </c>
      <c r="N467" s="670"/>
    </row>
    <row r="468" spans="1:14">
      <c r="A468" s="1066"/>
      <c r="B468" s="678" t="s">
        <v>9291</v>
      </c>
      <c r="C468" s="670" t="s">
        <v>9286</v>
      </c>
      <c r="D468" s="670" t="s">
        <v>9287</v>
      </c>
      <c r="E468" s="670" t="s">
        <v>9288</v>
      </c>
      <c r="F468" s="670" t="s">
        <v>9289</v>
      </c>
      <c r="G468" s="671"/>
      <c r="H468" s="671">
        <v>143100</v>
      </c>
      <c r="I468" s="671"/>
      <c r="J468" s="671">
        <v>25500</v>
      </c>
      <c r="K468" s="670" t="s">
        <v>9290</v>
      </c>
      <c r="L468" s="670" t="s">
        <v>8811</v>
      </c>
      <c r="M468" s="670" t="s">
        <v>8832</v>
      </c>
      <c r="N468" s="670"/>
    </row>
    <row r="469" spans="1:14">
      <c r="A469" s="1066"/>
      <c r="B469" s="678" t="s">
        <v>9292</v>
      </c>
      <c r="C469" s="670" t="s">
        <v>9286</v>
      </c>
      <c r="D469" s="670" t="s">
        <v>9293</v>
      </c>
      <c r="E469" s="670" t="s">
        <v>9288</v>
      </c>
      <c r="F469" s="670" t="s">
        <v>9294</v>
      </c>
      <c r="G469" s="671"/>
      <c r="H469" s="671">
        <v>180851.78</v>
      </c>
      <c r="I469" s="671"/>
      <c r="J469" s="671">
        <v>9000</v>
      </c>
      <c r="K469" s="670" t="s">
        <v>9295</v>
      </c>
      <c r="L469" s="670" t="s">
        <v>8811</v>
      </c>
      <c r="M469" s="670" t="s">
        <v>8832</v>
      </c>
      <c r="N469" s="670"/>
    </row>
    <row r="470" spans="1:14">
      <c r="A470" s="1066"/>
      <c r="B470" s="678" t="s">
        <v>9292</v>
      </c>
      <c r="C470" s="670" t="s">
        <v>9286</v>
      </c>
      <c r="D470" s="670" t="s">
        <v>9296</v>
      </c>
      <c r="E470" s="670" t="s">
        <v>9288</v>
      </c>
      <c r="F470" s="670" t="s">
        <v>9297</v>
      </c>
      <c r="G470" s="671"/>
      <c r="H470" s="671">
        <v>200000</v>
      </c>
      <c r="I470" s="671"/>
      <c r="J470" s="671">
        <v>7000</v>
      </c>
      <c r="K470" s="670" t="s">
        <v>9298</v>
      </c>
      <c r="L470" s="670" t="s">
        <v>8811</v>
      </c>
      <c r="M470" s="670" t="s">
        <v>9299</v>
      </c>
      <c r="N470" s="670"/>
    </row>
    <row r="471" spans="1:14">
      <c r="A471" s="1066"/>
      <c r="B471" s="678" t="s">
        <v>9292</v>
      </c>
      <c r="C471" s="670" t="s">
        <v>9286</v>
      </c>
      <c r="D471" s="670" t="s">
        <v>4520</v>
      </c>
      <c r="E471" s="670" t="s">
        <v>9288</v>
      </c>
      <c r="F471" s="670" t="s">
        <v>9300</v>
      </c>
      <c r="G471" s="671"/>
      <c r="H471" s="671">
        <v>184471.77</v>
      </c>
      <c r="I471" s="671"/>
      <c r="J471" s="671">
        <v>15002.32</v>
      </c>
      <c r="K471" s="670" t="s">
        <v>9301</v>
      </c>
      <c r="L471" s="670" t="s">
        <v>8811</v>
      </c>
      <c r="M471" s="670" t="s">
        <v>8832</v>
      </c>
      <c r="N471" s="670"/>
    </row>
    <row r="472" spans="1:14">
      <c r="A472" s="1066"/>
      <c r="B472" s="678" t="s">
        <v>9292</v>
      </c>
      <c r="C472" s="670" t="s">
        <v>9286</v>
      </c>
      <c r="D472" s="670" t="s">
        <v>9302</v>
      </c>
      <c r="E472" s="670" t="s">
        <v>9288</v>
      </c>
      <c r="F472" s="670" t="s">
        <v>9303</v>
      </c>
      <c r="G472" s="671"/>
      <c r="H472" s="671">
        <v>328672.46999999997</v>
      </c>
      <c r="I472" s="671"/>
      <c r="J472" s="671">
        <v>9500</v>
      </c>
      <c r="K472" s="670" t="s">
        <v>9304</v>
      </c>
      <c r="L472" s="670" t="s">
        <v>8811</v>
      </c>
      <c r="M472" s="670" t="s">
        <v>8832</v>
      </c>
      <c r="N472" s="670"/>
    </row>
    <row r="473" spans="1:14">
      <c r="A473" s="1066"/>
      <c r="B473" s="678" t="s">
        <v>9305</v>
      </c>
      <c r="C473" s="670" t="s">
        <v>9286</v>
      </c>
      <c r="D473" s="670" t="s">
        <v>4520</v>
      </c>
      <c r="E473" s="670" t="s">
        <v>9288</v>
      </c>
      <c r="F473" s="670" t="s">
        <v>9306</v>
      </c>
      <c r="G473" s="671"/>
      <c r="H473" s="671">
        <v>68248.7</v>
      </c>
      <c r="I473" s="671"/>
      <c r="J473" s="671">
        <v>8500</v>
      </c>
      <c r="K473" s="670" t="s">
        <v>9086</v>
      </c>
      <c r="L473" s="670" t="s">
        <v>8811</v>
      </c>
      <c r="M473" s="670" t="s">
        <v>8832</v>
      </c>
      <c r="N473" s="670"/>
    </row>
    <row r="474" spans="1:14">
      <c r="A474" s="1066"/>
      <c r="B474" s="678" t="s">
        <v>9305</v>
      </c>
      <c r="C474" s="670" t="s">
        <v>9286</v>
      </c>
      <c r="D474" s="670" t="s">
        <v>9307</v>
      </c>
      <c r="E474" s="670" t="s">
        <v>9288</v>
      </c>
      <c r="F474" s="670" t="s">
        <v>9308</v>
      </c>
      <c r="G474" s="671"/>
      <c r="H474" s="671">
        <v>172220.58</v>
      </c>
      <c r="I474" s="671"/>
      <c r="J474" s="671">
        <v>8000</v>
      </c>
      <c r="K474" s="670" t="s">
        <v>9290</v>
      </c>
      <c r="L474" s="670" t="s">
        <v>8811</v>
      </c>
      <c r="M474" s="670" t="s">
        <v>8832</v>
      </c>
      <c r="N474" s="670"/>
    </row>
    <row r="475" spans="1:14">
      <c r="A475" s="1066"/>
      <c r="B475" s="678" t="s">
        <v>9305</v>
      </c>
      <c r="C475" s="670" t="s">
        <v>9286</v>
      </c>
      <c r="D475" s="670" t="s">
        <v>4520</v>
      </c>
      <c r="E475" s="670" t="s">
        <v>9288</v>
      </c>
      <c r="F475" s="670" t="s">
        <v>9306</v>
      </c>
      <c r="G475" s="671"/>
      <c r="H475" s="671">
        <v>68248.7</v>
      </c>
      <c r="I475" s="671"/>
      <c r="J475" s="671">
        <v>6500</v>
      </c>
      <c r="K475" s="670" t="s">
        <v>9086</v>
      </c>
      <c r="L475" s="670" t="s">
        <v>8811</v>
      </c>
      <c r="M475" s="670" t="s">
        <v>8832</v>
      </c>
      <c r="N475" s="670"/>
    </row>
    <row r="476" spans="1:14">
      <c r="A476" s="1066"/>
      <c r="B476" s="678" t="s">
        <v>9305</v>
      </c>
      <c r="C476" s="670" t="s">
        <v>9286</v>
      </c>
      <c r="D476" s="670" t="s">
        <v>9309</v>
      </c>
      <c r="E476" s="670" t="s">
        <v>9288</v>
      </c>
      <c r="F476" s="670" t="s">
        <v>9310</v>
      </c>
      <c r="G476" s="671"/>
      <c r="H476" s="671">
        <v>249707.46</v>
      </c>
      <c r="I476" s="671"/>
      <c r="J476" s="671">
        <v>9000</v>
      </c>
      <c r="K476" s="670" t="s">
        <v>9311</v>
      </c>
      <c r="L476" s="670" t="s">
        <v>8811</v>
      </c>
      <c r="M476" s="670" t="s">
        <v>8832</v>
      </c>
      <c r="N476" s="670"/>
    </row>
    <row r="477" spans="1:14">
      <c r="A477" s="1066"/>
      <c r="B477" s="678" t="s">
        <v>9312</v>
      </c>
      <c r="C477" s="670" t="s">
        <v>9286</v>
      </c>
      <c r="D477" s="670" t="s">
        <v>9309</v>
      </c>
      <c r="E477" s="670" t="s">
        <v>9288</v>
      </c>
      <c r="F477" s="670" t="s">
        <v>9310</v>
      </c>
      <c r="G477" s="671"/>
      <c r="H477" s="671">
        <v>249707.46</v>
      </c>
      <c r="I477" s="671"/>
      <c r="J477" s="671">
        <v>6000</v>
      </c>
      <c r="K477" s="670" t="s">
        <v>9311</v>
      </c>
      <c r="L477" s="670" t="s">
        <v>8811</v>
      </c>
      <c r="M477" s="670" t="s">
        <v>8832</v>
      </c>
      <c r="N477" s="670"/>
    </row>
    <row r="478" spans="1:14">
      <c r="A478" s="1066"/>
      <c r="B478" s="678" t="s">
        <v>9312</v>
      </c>
      <c r="C478" s="670" t="s">
        <v>9286</v>
      </c>
      <c r="D478" s="670" t="s">
        <v>9313</v>
      </c>
      <c r="E478" s="670" t="s">
        <v>9288</v>
      </c>
      <c r="F478" s="670" t="s">
        <v>9303</v>
      </c>
      <c r="G478" s="671"/>
      <c r="H478" s="671">
        <v>928267.74</v>
      </c>
      <c r="I478" s="671"/>
      <c r="J478" s="671">
        <v>10000</v>
      </c>
      <c r="K478" s="670" t="s">
        <v>9314</v>
      </c>
      <c r="L478" s="670" t="s">
        <v>8811</v>
      </c>
      <c r="M478" s="670" t="s">
        <v>8832</v>
      </c>
      <c r="N478" s="670"/>
    </row>
    <row r="479" spans="1:14">
      <c r="A479" s="1066"/>
      <c r="B479" s="678" t="s">
        <v>9312</v>
      </c>
      <c r="C479" s="670" t="s">
        <v>9286</v>
      </c>
      <c r="D479" s="670" t="s">
        <v>9315</v>
      </c>
      <c r="E479" s="670" t="s">
        <v>9288</v>
      </c>
      <c r="F479" s="670" t="s">
        <v>9316</v>
      </c>
      <c r="G479" s="671"/>
      <c r="H479" s="671">
        <v>160894.53</v>
      </c>
      <c r="I479" s="671"/>
      <c r="J479" s="671">
        <v>13000</v>
      </c>
      <c r="K479" s="670" t="s">
        <v>9317</v>
      </c>
      <c r="L479" s="670" t="s">
        <v>8811</v>
      </c>
      <c r="M479" s="670" t="s">
        <v>8832</v>
      </c>
      <c r="N479" s="670"/>
    </row>
    <row r="480" spans="1:14">
      <c r="A480" s="1066"/>
      <c r="B480" s="678" t="s">
        <v>9312</v>
      </c>
      <c r="C480" s="670" t="s">
        <v>9286</v>
      </c>
      <c r="D480" s="670" t="s">
        <v>9318</v>
      </c>
      <c r="E480" s="670" t="s">
        <v>9288</v>
      </c>
      <c r="F480" s="670" t="s">
        <v>9319</v>
      </c>
      <c r="G480" s="671"/>
      <c r="H480" s="671">
        <v>289000</v>
      </c>
      <c r="I480" s="671"/>
      <c r="J480" s="671">
        <v>3400</v>
      </c>
      <c r="K480" s="670" t="s">
        <v>9320</v>
      </c>
      <c r="L480" s="670" t="s">
        <v>8811</v>
      </c>
      <c r="M480" s="670" t="s">
        <v>8832</v>
      </c>
      <c r="N480" s="670"/>
    </row>
    <row r="481" spans="1:14">
      <c r="A481" s="1066"/>
      <c r="B481" s="678" t="s">
        <v>9321</v>
      </c>
      <c r="C481" s="670" t="s">
        <v>9286</v>
      </c>
      <c r="D481" s="670" t="s">
        <v>9322</v>
      </c>
      <c r="E481" s="670" t="s">
        <v>9288</v>
      </c>
      <c r="F481" s="670" t="s">
        <v>9323</v>
      </c>
      <c r="G481" s="671"/>
      <c r="H481" s="671">
        <v>69800</v>
      </c>
      <c r="I481" s="671"/>
      <c r="J481" s="671">
        <v>4000</v>
      </c>
      <c r="K481" s="670" t="s">
        <v>9324</v>
      </c>
      <c r="L481" s="670" t="s">
        <v>8811</v>
      </c>
      <c r="M481" s="670" t="s">
        <v>8832</v>
      </c>
      <c r="N481" s="670"/>
    </row>
    <row r="482" spans="1:14">
      <c r="A482" s="1066"/>
      <c r="B482" s="678" t="s">
        <v>9321</v>
      </c>
      <c r="C482" s="670" t="s">
        <v>9286</v>
      </c>
      <c r="D482" s="670" t="s">
        <v>14</v>
      </c>
      <c r="E482" s="670" t="s">
        <v>9288</v>
      </c>
      <c r="F482" s="670" t="s">
        <v>9281</v>
      </c>
      <c r="G482" s="671"/>
      <c r="H482" s="671" t="s">
        <v>1921</v>
      </c>
      <c r="I482" s="671"/>
      <c r="J482" s="671">
        <v>6000</v>
      </c>
      <c r="K482" s="670" t="s">
        <v>9283</v>
      </c>
      <c r="L482" s="670" t="s">
        <v>9284</v>
      </c>
      <c r="M482" s="670" t="s">
        <v>9299</v>
      </c>
      <c r="N482" s="670"/>
    </row>
    <row r="483" spans="1:14">
      <c r="A483" s="1066"/>
      <c r="B483" s="678" t="s">
        <v>9321</v>
      </c>
      <c r="C483" s="670" t="s">
        <v>9286</v>
      </c>
      <c r="D483" s="670" t="s">
        <v>9315</v>
      </c>
      <c r="E483" s="670" t="s">
        <v>9288</v>
      </c>
      <c r="F483" s="670" t="s">
        <v>9325</v>
      </c>
      <c r="G483" s="671"/>
      <c r="H483" s="671">
        <v>147680.29999999999</v>
      </c>
      <c r="I483" s="671"/>
      <c r="J483" s="671">
        <v>14000</v>
      </c>
      <c r="K483" s="670" t="s">
        <v>9326</v>
      </c>
      <c r="L483" s="670" t="s">
        <v>8811</v>
      </c>
      <c r="M483" s="670" t="s">
        <v>8832</v>
      </c>
      <c r="N483" s="670"/>
    </row>
    <row r="484" spans="1:14">
      <c r="A484" s="1066"/>
      <c r="B484" s="678" t="s">
        <v>9321</v>
      </c>
      <c r="C484" s="670" t="s">
        <v>9286</v>
      </c>
      <c r="D484" s="670" t="s">
        <v>9327</v>
      </c>
      <c r="E484" s="670" t="s">
        <v>9288</v>
      </c>
      <c r="F484" s="670" t="s">
        <v>9328</v>
      </c>
      <c r="G484" s="671"/>
      <c r="H484" s="671">
        <v>50172.08</v>
      </c>
      <c r="I484" s="671"/>
      <c r="J484" s="671">
        <v>18000</v>
      </c>
      <c r="K484" s="670" t="s">
        <v>9290</v>
      </c>
      <c r="L484" s="670" t="s">
        <v>8811</v>
      </c>
      <c r="M484" s="670" t="s">
        <v>8832</v>
      </c>
      <c r="N484" s="670"/>
    </row>
    <row r="485" spans="1:14">
      <c r="A485" s="1066"/>
      <c r="B485" s="678" t="s">
        <v>9321</v>
      </c>
      <c r="C485" s="670" t="s">
        <v>9286</v>
      </c>
      <c r="D485" s="670" t="s">
        <v>9329</v>
      </c>
      <c r="E485" s="670" t="s">
        <v>9288</v>
      </c>
      <c r="F485" s="670" t="s">
        <v>9330</v>
      </c>
      <c r="G485" s="671"/>
      <c r="H485" s="671">
        <v>196529</v>
      </c>
      <c r="I485" s="671"/>
      <c r="J485" s="671">
        <v>7000</v>
      </c>
      <c r="K485" s="670" t="s">
        <v>9331</v>
      </c>
      <c r="L485" s="670" t="s">
        <v>8811</v>
      </c>
      <c r="M485" s="670" t="s">
        <v>8832</v>
      </c>
      <c r="N485" s="670"/>
    </row>
    <row r="486" spans="1:14">
      <c r="A486" s="1066"/>
      <c r="B486" s="678" t="s">
        <v>9321</v>
      </c>
      <c r="C486" s="670" t="s">
        <v>9286</v>
      </c>
      <c r="D486" s="670" t="s">
        <v>9327</v>
      </c>
      <c r="E486" s="670" t="s">
        <v>9288</v>
      </c>
      <c r="F486" s="670" t="s">
        <v>9332</v>
      </c>
      <c r="G486" s="671"/>
      <c r="H486" s="671">
        <v>384012.33</v>
      </c>
      <c r="I486" s="671"/>
      <c r="J486" s="671">
        <v>8000</v>
      </c>
      <c r="K486" s="670" t="s">
        <v>9333</v>
      </c>
      <c r="L486" s="670" t="s">
        <v>8811</v>
      </c>
      <c r="M486" s="670" t="s">
        <v>8832</v>
      </c>
      <c r="N486" s="670"/>
    </row>
    <row r="487" spans="1:14">
      <c r="A487" s="1066"/>
      <c r="B487" s="678" t="s">
        <v>9321</v>
      </c>
      <c r="C487" s="670" t="s">
        <v>9286</v>
      </c>
      <c r="D487" s="670" t="s">
        <v>9313</v>
      </c>
      <c r="E487" s="670" t="s">
        <v>9288</v>
      </c>
      <c r="F487" s="670" t="s">
        <v>9334</v>
      </c>
      <c r="G487" s="671"/>
      <c r="H487" s="671">
        <v>186535.55</v>
      </c>
      <c r="I487" s="671"/>
      <c r="J487" s="671">
        <v>7000</v>
      </c>
      <c r="K487" s="670" t="s">
        <v>9335</v>
      </c>
      <c r="L487" s="670" t="s">
        <v>8811</v>
      </c>
      <c r="M487" s="670" t="s">
        <v>8832</v>
      </c>
      <c r="N487" s="670"/>
    </row>
    <row r="488" spans="1:14">
      <c r="A488" s="1066"/>
      <c r="B488" s="678" t="s">
        <v>9321</v>
      </c>
      <c r="C488" s="670" t="s">
        <v>9286</v>
      </c>
      <c r="D488" s="670" t="s">
        <v>9336</v>
      </c>
      <c r="E488" s="670" t="s">
        <v>9288</v>
      </c>
      <c r="F488" s="670" t="s">
        <v>9337</v>
      </c>
      <c r="G488" s="671"/>
      <c r="H488" s="671">
        <v>171908.56</v>
      </c>
      <c r="I488" s="671"/>
      <c r="J488" s="671">
        <v>14400</v>
      </c>
      <c r="K488" s="670" t="s">
        <v>9338</v>
      </c>
      <c r="L488" s="670" t="s">
        <v>8811</v>
      </c>
      <c r="M488" s="670" t="s">
        <v>8832</v>
      </c>
      <c r="N488" s="670"/>
    </row>
    <row r="489" spans="1:14">
      <c r="A489" s="1066"/>
      <c r="B489" s="678" t="s">
        <v>9339</v>
      </c>
      <c r="C489" s="670" t="s">
        <v>9286</v>
      </c>
      <c r="D489" s="670" t="s">
        <v>9340</v>
      </c>
      <c r="E489" s="670" t="s">
        <v>9288</v>
      </c>
      <c r="F489" s="670" t="s">
        <v>9341</v>
      </c>
      <c r="G489" s="671"/>
      <c r="H489" s="671">
        <v>689805</v>
      </c>
      <c r="I489" s="671"/>
      <c r="J489" s="671">
        <v>20000</v>
      </c>
      <c r="K489" s="670" t="s">
        <v>9342</v>
      </c>
      <c r="L489" s="670" t="s">
        <v>8811</v>
      </c>
      <c r="M489" s="670" t="s">
        <v>8832</v>
      </c>
      <c r="N489" s="670"/>
    </row>
    <row r="490" spans="1:14">
      <c r="A490" s="1066"/>
      <c r="B490" s="678" t="s">
        <v>9343</v>
      </c>
      <c r="C490" s="670" t="s">
        <v>9286</v>
      </c>
      <c r="D490" s="670" t="s">
        <v>4520</v>
      </c>
      <c r="E490" s="670" t="s">
        <v>9288</v>
      </c>
      <c r="F490" s="670" t="s">
        <v>9344</v>
      </c>
      <c r="G490" s="671"/>
      <c r="H490" s="671">
        <v>252212.1</v>
      </c>
      <c r="I490" s="671"/>
      <c r="J490" s="671">
        <v>3000</v>
      </c>
      <c r="K490" s="670" t="s">
        <v>9345</v>
      </c>
      <c r="L490" s="670" t="s">
        <v>8811</v>
      </c>
      <c r="M490" s="670" t="s">
        <v>8832</v>
      </c>
      <c r="N490" s="670"/>
    </row>
    <row r="491" spans="1:14">
      <c r="A491" s="1066"/>
      <c r="B491" s="678" t="s">
        <v>9343</v>
      </c>
      <c r="C491" s="670" t="s">
        <v>9286</v>
      </c>
      <c r="D491" s="670" t="s">
        <v>9336</v>
      </c>
      <c r="E491" s="670" t="s">
        <v>9288</v>
      </c>
      <c r="F491" s="670" t="s">
        <v>9337</v>
      </c>
      <c r="G491" s="671"/>
      <c r="H491" s="671">
        <v>171908.56</v>
      </c>
      <c r="I491" s="671"/>
      <c r="J491" s="671">
        <v>18500</v>
      </c>
      <c r="K491" s="670" t="s">
        <v>9338</v>
      </c>
      <c r="L491" s="670" t="s">
        <v>8811</v>
      </c>
      <c r="M491" s="670" t="s">
        <v>8832</v>
      </c>
      <c r="N491" s="670"/>
    </row>
    <row r="492" spans="1:14">
      <c r="A492" s="1066"/>
      <c r="B492" s="678" t="s">
        <v>9346</v>
      </c>
      <c r="C492" s="670" t="s">
        <v>9286</v>
      </c>
      <c r="D492" s="670" t="s">
        <v>9296</v>
      </c>
      <c r="E492" s="670" t="s">
        <v>9288</v>
      </c>
      <c r="F492" s="670" t="s">
        <v>9297</v>
      </c>
      <c r="G492" s="671"/>
      <c r="H492" s="671">
        <v>200000</v>
      </c>
      <c r="I492" s="671"/>
      <c r="J492" s="671">
        <v>9000</v>
      </c>
      <c r="K492" s="670" t="s">
        <v>9298</v>
      </c>
      <c r="L492" s="670" t="s">
        <v>8811</v>
      </c>
      <c r="M492" s="670" t="s">
        <v>8832</v>
      </c>
      <c r="N492" s="670"/>
    </row>
    <row r="493" spans="1:14">
      <c r="A493" s="1066"/>
      <c r="B493" s="678" t="s">
        <v>9347</v>
      </c>
      <c r="C493" s="670" t="s">
        <v>9286</v>
      </c>
      <c r="D493" s="670" t="s">
        <v>9348</v>
      </c>
      <c r="E493" s="670" t="s">
        <v>9288</v>
      </c>
      <c r="F493" s="670" t="s">
        <v>9349</v>
      </c>
      <c r="G493" s="671"/>
      <c r="H493" s="671">
        <v>191534.7</v>
      </c>
      <c r="I493" s="671"/>
      <c r="J493" s="671">
        <v>9900</v>
      </c>
      <c r="K493" s="670" t="s">
        <v>9350</v>
      </c>
      <c r="L493" s="670" t="s">
        <v>8811</v>
      </c>
      <c r="M493" s="670" t="s">
        <v>8832</v>
      </c>
      <c r="N493" s="670"/>
    </row>
    <row r="494" spans="1:14">
      <c r="A494" s="1066"/>
      <c r="B494" s="678" t="s">
        <v>9347</v>
      </c>
      <c r="C494" s="670" t="s">
        <v>9286</v>
      </c>
      <c r="D494" s="670" t="s">
        <v>9348</v>
      </c>
      <c r="E494" s="670" t="s">
        <v>9288</v>
      </c>
      <c r="F494" s="670" t="s">
        <v>9349</v>
      </c>
      <c r="G494" s="671"/>
      <c r="H494" s="671">
        <v>191534.7</v>
      </c>
      <c r="I494" s="671"/>
      <c r="J494" s="671">
        <v>4200</v>
      </c>
      <c r="K494" s="670" t="s">
        <v>9350</v>
      </c>
      <c r="L494" s="670" t="s">
        <v>8811</v>
      </c>
      <c r="M494" s="670" t="s">
        <v>8832</v>
      </c>
      <c r="N494" s="670"/>
    </row>
    <row r="495" spans="1:14">
      <c r="A495" s="1066"/>
      <c r="B495" s="678" t="s">
        <v>9347</v>
      </c>
      <c r="C495" s="670" t="s">
        <v>9286</v>
      </c>
      <c r="D495" s="670" t="s">
        <v>9348</v>
      </c>
      <c r="E495" s="670" t="s">
        <v>9288</v>
      </c>
      <c r="F495" s="670" t="s">
        <v>9349</v>
      </c>
      <c r="G495" s="671"/>
      <c r="H495" s="671">
        <v>191534.7</v>
      </c>
      <c r="I495" s="671"/>
      <c r="J495" s="671">
        <v>2000</v>
      </c>
      <c r="K495" s="670" t="s">
        <v>9350</v>
      </c>
      <c r="L495" s="670" t="s">
        <v>8811</v>
      </c>
      <c r="M495" s="670" t="s">
        <v>8832</v>
      </c>
      <c r="N495" s="670"/>
    </row>
    <row r="496" spans="1:14">
      <c r="A496" s="1066"/>
      <c r="B496" s="678" t="s">
        <v>9347</v>
      </c>
      <c r="C496" s="670" t="s">
        <v>9286</v>
      </c>
      <c r="D496" s="670" t="s">
        <v>9351</v>
      </c>
      <c r="E496" s="670" t="s">
        <v>9288</v>
      </c>
      <c r="F496" s="670" t="s">
        <v>9349</v>
      </c>
      <c r="G496" s="671"/>
      <c r="H496" s="671">
        <v>189335.7</v>
      </c>
      <c r="I496" s="671"/>
      <c r="J496" s="671">
        <v>16000</v>
      </c>
      <c r="K496" s="670" t="s">
        <v>9352</v>
      </c>
      <c r="L496" s="670" t="s">
        <v>8811</v>
      </c>
      <c r="M496" s="670" t="s">
        <v>8832</v>
      </c>
      <c r="N496" s="670"/>
    </row>
    <row r="497" spans="1:14">
      <c r="A497" s="1066"/>
      <c r="B497" s="678" t="s">
        <v>9347</v>
      </c>
      <c r="C497" s="670" t="s">
        <v>9286</v>
      </c>
      <c r="D497" s="670" t="s">
        <v>9348</v>
      </c>
      <c r="E497" s="670" t="s">
        <v>9288</v>
      </c>
      <c r="F497" s="670" t="s">
        <v>9349</v>
      </c>
      <c r="G497" s="671"/>
      <c r="H497" s="671">
        <v>191534.7</v>
      </c>
      <c r="I497" s="671"/>
      <c r="J497" s="671">
        <v>9900</v>
      </c>
      <c r="K497" s="670" t="s">
        <v>9350</v>
      </c>
      <c r="L497" s="670" t="s">
        <v>8811</v>
      </c>
      <c r="M497" s="670" t="s">
        <v>8832</v>
      </c>
      <c r="N497" s="670"/>
    </row>
    <row r="498" spans="1:14">
      <c r="A498" s="1066"/>
      <c r="B498" s="678" t="s">
        <v>9347</v>
      </c>
      <c r="C498" s="670" t="s">
        <v>9286</v>
      </c>
      <c r="D498" s="670" t="s">
        <v>9307</v>
      </c>
      <c r="E498" s="670" t="s">
        <v>9288</v>
      </c>
      <c r="F498" s="670" t="s">
        <v>9353</v>
      </c>
      <c r="G498" s="671"/>
      <c r="H498" s="671">
        <v>172220.58</v>
      </c>
      <c r="I498" s="671"/>
      <c r="J498" s="671">
        <v>28000</v>
      </c>
      <c r="K498" s="670" t="s">
        <v>9290</v>
      </c>
      <c r="L498" s="670" t="s">
        <v>8811</v>
      </c>
      <c r="M498" s="670" t="s">
        <v>8832</v>
      </c>
      <c r="N498" s="670"/>
    </row>
    <row r="499" spans="1:14">
      <c r="A499" s="1066"/>
      <c r="B499" s="678" t="s">
        <v>9347</v>
      </c>
      <c r="C499" s="670" t="s">
        <v>9281</v>
      </c>
      <c r="D499" s="670" t="s">
        <v>14</v>
      </c>
      <c r="E499" s="670" t="s">
        <v>9288</v>
      </c>
      <c r="F499" s="670" t="s">
        <v>9281</v>
      </c>
      <c r="G499" s="671"/>
      <c r="H499" s="671" t="s">
        <v>1921</v>
      </c>
      <c r="I499" s="671"/>
      <c r="J499" s="671">
        <v>5020</v>
      </c>
      <c r="K499" s="670" t="s">
        <v>9283</v>
      </c>
      <c r="L499" s="670" t="s">
        <v>9354</v>
      </c>
      <c r="M499" s="670" t="s">
        <v>8832</v>
      </c>
      <c r="N499" s="670"/>
    </row>
    <row r="500" spans="1:14">
      <c r="A500" s="1066"/>
      <c r="B500" s="678" t="s">
        <v>892</v>
      </c>
      <c r="C500" s="670" t="s">
        <v>9286</v>
      </c>
      <c r="D500" s="670" t="s">
        <v>9329</v>
      </c>
      <c r="E500" s="670" t="s">
        <v>9288</v>
      </c>
      <c r="F500" s="670" t="s">
        <v>9355</v>
      </c>
      <c r="G500" s="671"/>
      <c r="H500" s="671">
        <v>87413.34</v>
      </c>
      <c r="I500" s="671"/>
      <c r="J500" s="671">
        <v>26000</v>
      </c>
      <c r="K500" s="670" t="s">
        <v>9290</v>
      </c>
      <c r="L500" s="670" t="s">
        <v>8811</v>
      </c>
      <c r="M500" s="670" t="s">
        <v>8832</v>
      </c>
      <c r="N500" s="670"/>
    </row>
    <row r="501" spans="1:14">
      <c r="A501" s="1066"/>
      <c r="B501" s="678" t="s">
        <v>9347</v>
      </c>
      <c r="C501" s="670" t="s">
        <v>9286</v>
      </c>
      <c r="D501" s="670" t="s">
        <v>9313</v>
      </c>
      <c r="E501" s="670" t="s">
        <v>9288</v>
      </c>
      <c r="F501" s="670" t="s">
        <v>9344</v>
      </c>
      <c r="G501" s="671"/>
      <c r="H501" s="671">
        <v>350000</v>
      </c>
      <c r="I501" s="671"/>
      <c r="J501" s="671">
        <v>50000</v>
      </c>
      <c r="K501" s="670" t="s">
        <v>9356</v>
      </c>
      <c r="L501" s="670" t="s">
        <v>8811</v>
      </c>
      <c r="M501" s="670" t="s">
        <v>8832</v>
      </c>
      <c r="N501" s="670"/>
    </row>
    <row r="502" spans="1:14">
      <c r="A502" s="1066"/>
      <c r="B502" s="678" t="s">
        <v>9357</v>
      </c>
      <c r="C502" s="670" t="s">
        <v>9286</v>
      </c>
      <c r="D502" s="670" t="s">
        <v>9358</v>
      </c>
      <c r="E502" s="670" t="s">
        <v>9288</v>
      </c>
      <c r="F502" s="670" t="s">
        <v>9359</v>
      </c>
      <c r="G502" s="671"/>
      <c r="H502" s="671">
        <v>68248.7</v>
      </c>
      <c r="I502" s="671"/>
      <c r="J502" s="671">
        <v>2250</v>
      </c>
      <c r="K502" s="670" t="s">
        <v>9086</v>
      </c>
      <c r="L502" s="670" t="s">
        <v>8811</v>
      </c>
      <c r="M502" s="670" t="s">
        <v>8832</v>
      </c>
      <c r="N502" s="670"/>
    </row>
    <row r="503" spans="1:14">
      <c r="A503" s="1066"/>
      <c r="B503" s="678" t="s">
        <v>9357</v>
      </c>
      <c r="C503" s="670" t="s">
        <v>9286</v>
      </c>
      <c r="D503" s="670" t="s">
        <v>9358</v>
      </c>
      <c r="E503" s="670" t="s">
        <v>9288</v>
      </c>
      <c r="F503" s="670" t="s">
        <v>9359</v>
      </c>
      <c r="G503" s="671"/>
      <c r="H503" s="671">
        <v>68248.7</v>
      </c>
      <c r="I503" s="671"/>
      <c r="J503" s="671">
        <v>9000</v>
      </c>
      <c r="K503" s="670" t="s">
        <v>9086</v>
      </c>
      <c r="L503" s="670" t="s">
        <v>8811</v>
      </c>
      <c r="M503" s="670" t="s">
        <v>8832</v>
      </c>
      <c r="N503" s="670"/>
    </row>
    <row r="504" spans="1:14">
      <c r="A504" s="1066"/>
      <c r="B504" s="678" t="s">
        <v>9360</v>
      </c>
      <c r="C504" s="670" t="s">
        <v>9286</v>
      </c>
      <c r="D504" s="670" t="s">
        <v>9361</v>
      </c>
      <c r="E504" s="670" t="s">
        <v>9288</v>
      </c>
      <c r="F504" s="670" t="s">
        <v>9332</v>
      </c>
      <c r="G504" s="671"/>
      <c r="H504" s="671">
        <v>384012.3</v>
      </c>
      <c r="I504" s="671"/>
      <c r="J504" s="671">
        <v>10000</v>
      </c>
      <c r="K504" s="670" t="s">
        <v>9333</v>
      </c>
      <c r="L504" s="670" t="s">
        <v>8811</v>
      </c>
      <c r="M504" s="670" t="s">
        <v>8832</v>
      </c>
      <c r="N504" s="670"/>
    </row>
    <row r="505" spans="1:14">
      <c r="A505" s="1066"/>
      <c r="B505" s="678" t="s">
        <v>9360</v>
      </c>
      <c r="C505" s="670" t="s">
        <v>9286</v>
      </c>
      <c r="D505" s="670" t="s">
        <v>9362</v>
      </c>
      <c r="E505" s="670" t="s">
        <v>9288</v>
      </c>
      <c r="F505" s="670" t="s">
        <v>9363</v>
      </c>
      <c r="G505" s="671"/>
      <c r="H505" s="671">
        <v>84251.32</v>
      </c>
      <c r="I505" s="671"/>
      <c r="J505" s="671">
        <v>27000</v>
      </c>
      <c r="K505" s="670" t="s">
        <v>9290</v>
      </c>
      <c r="L505" s="670" t="s">
        <v>8811</v>
      </c>
      <c r="M505" s="670" t="s">
        <v>8832</v>
      </c>
      <c r="N505" s="670"/>
    </row>
    <row r="506" spans="1:14">
      <c r="A506" s="1066"/>
      <c r="B506" s="678" t="s">
        <v>9360</v>
      </c>
      <c r="C506" s="670" t="s">
        <v>9364</v>
      </c>
      <c r="D506" s="670" t="s">
        <v>9315</v>
      </c>
      <c r="E506" s="670" t="s">
        <v>1234</v>
      </c>
      <c r="F506" s="670" t="s">
        <v>9279</v>
      </c>
      <c r="G506" s="671"/>
      <c r="H506" s="671" t="s">
        <v>1921</v>
      </c>
      <c r="I506" s="671"/>
      <c r="J506" s="671">
        <v>27100</v>
      </c>
      <c r="K506" s="670" t="s">
        <v>1234</v>
      </c>
      <c r="L506" s="670" t="s">
        <v>9365</v>
      </c>
      <c r="M506" s="670" t="s">
        <v>9366</v>
      </c>
      <c r="N506" s="670"/>
    </row>
    <row r="507" spans="1:14">
      <c r="A507" s="1066"/>
      <c r="B507" s="678" t="s">
        <v>3577</v>
      </c>
      <c r="C507" s="670" t="s">
        <v>9286</v>
      </c>
      <c r="D507" s="670" t="s">
        <v>9367</v>
      </c>
      <c r="E507" s="670" t="s">
        <v>9288</v>
      </c>
      <c r="F507" s="670" t="s">
        <v>9368</v>
      </c>
      <c r="G507" s="671"/>
      <c r="H507" s="671">
        <v>252212.1</v>
      </c>
      <c r="I507" s="671"/>
      <c r="J507" s="671">
        <v>6000</v>
      </c>
      <c r="K507" s="670" t="s">
        <v>9345</v>
      </c>
      <c r="L507" s="670" t="s">
        <v>8811</v>
      </c>
      <c r="M507" s="670" t="s">
        <v>8832</v>
      </c>
      <c r="N507" s="670"/>
    </row>
    <row r="508" spans="1:14">
      <c r="A508" s="1066"/>
      <c r="B508" s="678" t="s">
        <v>3577</v>
      </c>
      <c r="C508" s="670" t="s">
        <v>9286</v>
      </c>
      <c r="D508" s="670" t="s">
        <v>9361</v>
      </c>
      <c r="E508" s="670" t="s">
        <v>9288</v>
      </c>
      <c r="F508" s="670" t="s">
        <v>9369</v>
      </c>
      <c r="G508" s="671"/>
      <c r="H508" s="671">
        <v>384012.33</v>
      </c>
      <c r="I508" s="671"/>
      <c r="J508" s="671">
        <v>12000</v>
      </c>
      <c r="K508" s="670" t="s">
        <v>9333</v>
      </c>
      <c r="L508" s="670" t="s">
        <v>8811</v>
      </c>
      <c r="M508" s="670" t="s">
        <v>8832</v>
      </c>
      <c r="N508" s="670"/>
    </row>
    <row r="509" spans="1:14">
      <c r="A509" s="1066"/>
      <c r="B509" s="678" t="s">
        <v>3577</v>
      </c>
      <c r="C509" s="670" t="s">
        <v>9286</v>
      </c>
      <c r="D509" s="670" t="s">
        <v>9367</v>
      </c>
      <c r="E509" s="670" t="s">
        <v>9288</v>
      </c>
      <c r="F509" s="670" t="s">
        <v>9370</v>
      </c>
      <c r="G509" s="671"/>
      <c r="H509" s="671">
        <v>90830.8</v>
      </c>
      <c r="I509" s="671"/>
      <c r="J509" s="671">
        <v>7000</v>
      </c>
      <c r="K509" s="670" t="s">
        <v>9371</v>
      </c>
      <c r="L509" s="670" t="s">
        <v>8811</v>
      </c>
      <c r="M509" s="670" t="s">
        <v>8832</v>
      </c>
      <c r="N509" s="670"/>
    </row>
    <row r="510" spans="1:14">
      <c r="A510" s="1066"/>
      <c r="B510" s="678" t="s">
        <v>3577</v>
      </c>
      <c r="C510" s="670" t="s">
        <v>9286</v>
      </c>
      <c r="D510" s="670" t="s">
        <v>9372</v>
      </c>
      <c r="E510" s="670" t="s">
        <v>9288</v>
      </c>
      <c r="F510" s="670" t="s">
        <v>9349</v>
      </c>
      <c r="G510" s="671"/>
      <c r="H510" s="671">
        <v>188343.1</v>
      </c>
      <c r="I510" s="671"/>
      <c r="J510" s="671">
        <v>7000</v>
      </c>
      <c r="K510" s="670" t="s">
        <v>9373</v>
      </c>
      <c r="L510" s="670" t="s">
        <v>8811</v>
      </c>
      <c r="M510" s="670" t="s">
        <v>8832</v>
      </c>
      <c r="N510" s="670"/>
    </row>
    <row r="511" spans="1:14">
      <c r="A511" s="1066"/>
      <c r="B511" s="678" t="s">
        <v>3577</v>
      </c>
      <c r="C511" s="670" t="s">
        <v>9286</v>
      </c>
      <c r="D511" s="670" t="s">
        <v>9302</v>
      </c>
      <c r="E511" s="670" t="s">
        <v>9288</v>
      </c>
      <c r="F511" s="670" t="s">
        <v>9374</v>
      </c>
      <c r="G511" s="671"/>
      <c r="H511" s="671">
        <v>328672.46999999997</v>
      </c>
      <c r="I511" s="671"/>
      <c r="J511" s="671">
        <v>12000</v>
      </c>
      <c r="K511" s="670" t="s">
        <v>9304</v>
      </c>
      <c r="L511" s="670" t="s">
        <v>8811</v>
      </c>
      <c r="M511" s="670" t="s">
        <v>8832</v>
      </c>
      <c r="N511" s="670"/>
    </row>
    <row r="512" spans="1:14">
      <c r="A512" s="1066"/>
      <c r="B512" s="678" t="s">
        <v>3577</v>
      </c>
      <c r="C512" s="670" t="s">
        <v>9286</v>
      </c>
      <c r="D512" s="670" t="s">
        <v>9329</v>
      </c>
      <c r="E512" s="670" t="s">
        <v>9288</v>
      </c>
      <c r="F512" s="670" t="s">
        <v>9349</v>
      </c>
      <c r="G512" s="671"/>
      <c r="H512" s="671">
        <v>196529</v>
      </c>
      <c r="I512" s="671"/>
      <c r="J512" s="671">
        <v>6000</v>
      </c>
      <c r="K512" s="670" t="s">
        <v>9331</v>
      </c>
      <c r="L512" s="670" t="s">
        <v>8811</v>
      </c>
      <c r="M512" s="670" t="s">
        <v>8832</v>
      </c>
      <c r="N512" s="670"/>
    </row>
    <row r="513" spans="1:14">
      <c r="A513" s="1066"/>
      <c r="B513" s="678" t="s">
        <v>3577</v>
      </c>
      <c r="C513" s="670" t="s">
        <v>9286</v>
      </c>
      <c r="D513" s="670" t="s">
        <v>9315</v>
      </c>
      <c r="E513" s="670" t="s">
        <v>9288</v>
      </c>
      <c r="F513" s="670" t="s">
        <v>9323</v>
      </c>
      <c r="G513" s="671"/>
      <c r="H513" s="671">
        <v>69800</v>
      </c>
      <c r="I513" s="671"/>
      <c r="J513" s="671">
        <v>6000</v>
      </c>
      <c r="K513" s="670" t="s">
        <v>9324</v>
      </c>
      <c r="L513" s="670" t="s">
        <v>8811</v>
      </c>
      <c r="M513" s="670" t="s">
        <v>8832</v>
      </c>
      <c r="N513" s="670"/>
    </row>
    <row r="514" spans="1:14">
      <c r="A514" s="1066"/>
      <c r="B514" s="678" t="s">
        <v>3577</v>
      </c>
      <c r="C514" s="670" t="s">
        <v>9286</v>
      </c>
      <c r="D514" s="670" t="s">
        <v>9375</v>
      </c>
      <c r="E514" s="670" t="s">
        <v>9288</v>
      </c>
      <c r="F514" s="670" t="s">
        <v>9349</v>
      </c>
      <c r="G514" s="671"/>
      <c r="H514" s="671">
        <v>189745.2</v>
      </c>
      <c r="I514" s="671"/>
      <c r="J514" s="671">
        <v>7000</v>
      </c>
      <c r="K514" s="670" t="s">
        <v>9376</v>
      </c>
      <c r="L514" s="670" t="s">
        <v>8811</v>
      </c>
      <c r="M514" s="670" t="s">
        <v>8832</v>
      </c>
      <c r="N514" s="670"/>
    </row>
    <row r="515" spans="1:14">
      <c r="A515" s="1066"/>
      <c r="B515" s="678" t="s">
        <v>9377</v>
      </c>
      <c r="C515" s="670" t="s">
        <v>9286</v>
      </c>
      <c r="D515" s="670" t="s">
        <v>9378</v>
      </c>
      <c r="E515" s="670" t="s">
        <v>9288</v>
      </c>
      <c r="F515" s="670" t="s">
        <v>9379</v>
      </c>
      <c r="G515" s="671"/>
      <c r="H515" s="671">
        <v>245277.22</v>
      </c>
      <c r="I515" s="671"/>
      <c r="J515" s="671">
        <v>9000</v>
      </c>
      <c r="K515" s="670" t="s">
        <v>9003</v>
      </c>
      <c r="L515" s="670" t="s">
        <v>8811</v>
      </c>
      <c r="M515" s="670" t="s">
        <v>8832</v>
      </c>
      <c r="N515" s="670"/>
    </row>
    <row r="516" spans="1:14">
      <c r="A516" s="1066"/>
      <c r="B516" s="678" t="s">
        <v>9377</v>
      </c>
      <c r="C516" s="670" t="s">
        <v>9286</v>
      </c>
      <c r="D516" s="670" t="s">
        <v>9296</v>
      </c>
      <c r="E516" s="670" t="s">
        <v>9288</v>
      </c>
      <c r="F516" s="670" t="s">
        <v>9297</v>
      </c>
      <c r="G516" s="671"/>
      <c r="H516" s="671">
        <v>200000</v>
      </c>
      <c r="I516" s="671"/>
      <c r="J516" s="671">
        <v>5000</v>
      </c>
      <c r="K516" s="670" t="s">
        <v>9298</v>
      </c>
      <c r="L516" s="670" t="s">
        <v>8811</v>
      </c>
      <c r="M516" s="670" t="s">
        <v>8832</v>
      </c>
      <c r="N516" s="670"/>
    </row>
    <row r="517" spans="1:14">
      <c r="A517" s="1066"/>
      <c r="B517" s="678" t="s">
        <v>9377</v>
      </c>
      <c r="C517" s="670" t="s">
        <v>9286</v>
      </c>
      <c r="D517" s="670" t="s">
        <v>9380</v>
      </c>
      <c r="E517" s="670" t="s">
        <v>9288</v>
      </c>
      <c r="F517" s="670" t="s">
        <v>9349</v>
      </c>
      <c r="G517" s="671"/>
      <c r="H517" s="671">
        <v>189253.95</v>
      </c>
      <c r="I517" s="671"/>
      <c r="J517" s="671">
        <v>11000</v>
      </c>
      <c r="K517" s="670" t="s">
        <v>9065</v>
      </c>
      <c r="L517" s="670" t="s">
        <v>8811</v>
      </c>
      <c r="M517" s="670" t="s">
        <v>8832</v>
      </c>
      <c r="N517" s="670"/>
    </row>
    <row r="518" spans="1:14">
      <c r="A518" s="1066"/>
      <c r="B518" s="678" t="s">
        <v>9377</v>
      </c>
      <c r="C518" s="670" t="s">
        <v>9286</v>
      </c>
      <c r="D518" s="670" t="s">
        <v>9315</v>
      </c>
      <c r="E518" s="670" t="s">
        <v>9288</v>
      </c>
      <c r="F518" s="670" t="s">
        <v>9349</v>
      </c>
      <c r="G518" s="671"/>
      <c r="H518" s="671">
        <v>162077.5</v>
      </c>
      <c r="I518" s="671"/>
      <c r="J518" s="671">
        <v>7000</v>
      </c>
      <c r="K518" s="670" t="s">
        <v>9381</v>
      </c>
      <c r="L518" s="670" t="s">
        <v>8811</v>
      </c>
      <c r="M518" s="670" t="s">
        <v>8832</v>
      </c>
      <c r="N518" s="670"/>
    </row>
    <row r="519" spans="1:14">
      <c r="A519" s="1066"/>
      <c r="B519" s="678" t="s">
        <v>9377</v>
      </c>
      <c r="C519" s="670" t="s">
        <v>9286</v>
      </c>
      <c r="D519" s="670" t="s">
        <v>9348</v>
      </c>
      <c r="E519" s="670" t="s">
        <v>9288</v>
      </c>
      <c r="F519" s="670" t="s">
        <v>9349</v>
      </c>
      <c r="G519" s="671"/>
      <c r="H519" s="671">
        <v>191534.7</v>
      </c>
      <c r="I519" s="671"/>
      <c r="J519" s="671">
        <v>8000</v>
      </c>
      <c r="K519" s="670" t="s">
        <v>9350</v>
      </c>
      <c r="L519" s="670" t="s">
        <v>8811</v>
      </c>
      <c r="M519" s="670" t="s">
        <v>8832</v>
      </c>
      <c r="N519" s="670"/>
    </row>
    <row r="520" spans="1:14">
      <c r="A520" s="1066"/>
      <c r="B520" s="678" t="s">
        <v>9382</v>
      </c>
      <c r="C520" s="670" t="s">
        <v>9286</v>
      </c>
      <c r="D520" s="670" t="s">
        <v>9315</v>
      </c>
      <c r="E520" s="670" t="s">
        <v>9288</v>
      </c>
      <c r="F520" s="670" t="s">
        <v>9379</v>
      </c>
      <c r="G520" s="671"/>
      <c r="H520" s="671">
        <v>245277.22</v>
      </c>
      <c r="I520" s="671"/>
      <c r="J520" s="671">
        <v>6000</v>
      </c>
      <c r="K520" s="670" t="s">
        <v>9003</v>
      </c>
      <c r="L520" s="670" t="s">
        <v>8811</v>
      </c>
      <c r="M520" s="670" t="s">
        <v>8832</v>
      </c>
      <c r="N520" s="670"/>
    </row>
    <row r="521" spans="1:14">
      <c r="A521" s="1066"/>
      <c r="B521" s="678" t="s">
        <v>9383</v>
      </c>
      <c r="C521" s="670" t="s">
        <v>9286</v>
      </c>
      <c r="D521" s="670" t="s">
        <v>9296</v>
      </c>
      <c r="E521" s="670" t="s">
        <v>9288</v>
      </c>
      <c r="F521" s="670" t="s">
        <v>9297</v>
      </c>
      <c r="G521" s="671"/>
      <c r="H521" s="671">
        <v>200000</v>
      </c>
      <c r="I521" s="671"/>
      <c r="J521" s="671">
        <v>7000</v>
      </c>
      <c r="K521" s="670" t="s">
        <v>9298</v>
      </c>
      <c r="L521" s="670" t="s">
        <v>8811</v>
      </c>
      <c r="M521" s="670" t="s">
        <v>8832</v>
      </c>
      <c r="N521" s="670"/>
    </row>
    <row r="522" spans="1:14">
      <c r="A522" s="1066"/>
      <c r="B522" s="678" t="s">
        <v>3217</v>
      </c>
      <c r="C522" s="670" t="s">
        <v>9384</v>
      </c>
      <c r="D522" s="670" t="s">
        <v>14</v>
      </c>
      <c r="E522" s="670" t="s">
        <v>14</v>
      </c>
      <c r="F522" s="670" t="s">
        <v>9385</v>
      </c>
      <c r="G522" s="671"/>
      <c r="H522" s="671" t="s">
        <v>1921</v>
      </c>
      <c r="I522" s="671"/>
      <c r="J522" s="671">
        <v>6000</v>
      </c>
      <c r="K522" s="670" t="s">
        <v>9283</v>
      </c>
      <c r="L522" s="670" t="s">
        <v>9284</v>
      </c>
      <c r="M522" s="670" t="s">
        <v>8832</v>
      </c>
      <c r="N522" s="670"/>
    </row>
    <row r="523" spans="1:14">
      <c r="A523" s="1066"/>
      <c r="B523" s="678" t="s">
        <v>9386</v>
      </c>
      <c r="C523" s="670" t="s">
        <v>9286</v>
      </c>
      <c r="D523" s="670" t="s">
        <v>9387</v>
      </c>
      <c r="E523" s="670" t="s">
        <v>9288</v>
      </c>
      <c r="F523" s="670" t="s">
        <v>9388</v>
      </c>
      <c r="G523" s="671"/>
      <c r="H523" s="671">
        <v>180851.78</v>
      </c>
      <c r="I523" s="671"/>
      <c r="J523" s="671">
        <v>13000</v>
      </c>
      <c r="K523" s="670" t="s">
        <v>9295</v>
      </c>
      <c r="L523" s="670" t="s">
        <v>8811</v>
      </c>
      <c r="M523" s="670" t="s">
        <v>8832</v>
      </c>
      <c r="N523" s="670"/>
    </row>
    <row r="524" spans="1:14">
      <c r="A524" s="1066"/>
      <c r="B524" s="678" t="s">
        <v>9386</v>
      </c>
      <c r="C524" s="670" t="s">
        <v>9286</v>
      </c>
      <c r="D524" s="670" t="s">
        <v>9389</v>
      </c>
      <c r="E524" s="670" t="s">
        <v>9288</v>
      </c>
      <c r="F524" s="670" t="s">
        <v>9349</v>
      </c>
      <c r="G524" s="671"/>
      <c r="H524" s="671">
        <v>189335.7</v>
      </c>
      <c r="I524" s="671"/>
      <c r="J524" s="671">
        <v>14000</v>
      </c>
      <c r="K524" s="670" t="s">
        <v>9352</v>
      </c>
      <c r="L524" s="670" t="s">
        <v>8811</v>
      </c>
      <c r="M524" s="670" t="s">
        <v>8832</v>
      </c>
      <c r="N524" s="670"/>
    </row>
    <row r="525" spans="1:14">
      <c r="A525" s="1066"/>
      <c r="B525" s="678" t="s">
        <v>9386</v>
      </c>
      <c r="C525" s="670" t="s">
        <v>9286</v>
      </c>
      <c r="D525" s="670" t="s">
        <v>9361</v>
      </c>
      <c r="E525" s="670" t="s">
        <v>9288</v>
      </c>
      <c r="F525" s="670" t="s">
        <v>9332</v>
      </c>
      <c r="G525" s="671"/>
      <c r="H525" s="671">
        <v>384012.33</v>
      </c>
      <c r="I525" s="671"/>
      <c r="J525" s="671">
        <v>15000</v>
      </c>
      <c r="K525" s="670" t="s">
        <v>9333</v>
      </c>
      <c r="L525" s="670" t="s">
        <v>8811</v>
      </c>
      <c r="M525" s="670" t="s">
        <v>8832</v>
      </c>
      <c r="N525" s="670"/>
    </row>
    <row r="526" spans="1:14">
      <c r="A526" s="1066"/>
      <c r="B526" s="678" t="s">
        <v>9386</v>
      </c>
      <c r="C526" s="670" t="s">
        <v>9286</v>
      </c>
      <c r="D526" s="670" t="s">
        <v>9340</v>
      </c>
      <c r="E526" s="670" t="s">
        <v>9288</v>
      </c>
      <c r="F526" s="670" t="s">
        <v>9390</v>
      </c>
      <c r="G526" s="671"/>
      <c r="H526" s="671">
        <v>689805</v>
      </c>
      <c r="I526" s="671"/>
      <c r="J526" s="671">
        <v>50000</v>
      </c>
      <c r="K526" s="670" t="s">
        <v>9342</v>
      </c>
      <c r="L526" s="670" t="s">
        <v>8811</v>
      </c>
      <c r="M526" s="670" t="s">
        <v>8832</v>
      </c>
      <c r="N526" s="670"/>
    </row>
    <row r="527" spans="1:14">
      <c r="A527" s="1066"/>
      <c r="B527" s="678" t="s">
        <v>9386</v>
      </c>
      <c r="C527" s="670" t="s">
        <v>9286</v>
      </c>
      <c r="D527" s="670" t="s">
        <v>9362</v>
      </c>
      <c r="E527" s="670" t="s">
        <v>9288</v>
      </c>
      <c r="F527" s="670" t="s">
        <v>9391</v>
      </c>
      <c r="G527" s="671"/>
      <c r="H527" s="671">
        <v>98690.5</v>
      </c>
      <c r="I527" s="671"/>
      <c r="J527" s="671">
        <v>25000</v>
      </c>
      <c r="K527" s="670" t="s">
        <v>9290</v>
      </c>
      <c r="L527" s="670" t="s">
        <v>8811</v>
      </c>
      <c r="M527" s="670" t="s">
        <v>8832</v>
      </c>
      <c r="N527" s="670"/>
    </row>
    <row r="528" spans="1:14">
      <c r="A528" s="1066"/>
      <c r="B528" s="678" t="s">
        <v>9392</v>
      </c>
      <c r="C528" s="670" t="s">
        <v>9286</v>
      </c>
      <c r="D528" s="670" t="s">
        <v>9329</v>
      </c>
      <c r="E528" s="670" t="s">
        <v>9288</v>
      </c>
      <c r="F528" s="670" t="s">
        <v>9349</v>
      </c>
      <c r="G528" s="671"/>
      <c r="H528" s="671">
        <v>188150.2</v>
      </c>
      <c r="I528" s="671"/>
      <c r="J528" s="671">
        <v>15000</v>
      </c>
      <c r="K528" s="670" t="s">
        <v>9393</v>
      </c>
      <c r="L528" s="670" t="s">
        <v>8811</v>
      </c>
      <c r="M528" s="670" t="s">
        <v>8832</v>
      </c>
      <c r="N528" s="670"/>
    </row>
    <row r="529" spans="1:14">
      <c r="A529" s="1066"/>
      <c r="B529" s="678" t="s">
        <v>9392</v>
      </c>
      <c r="C529" s="670" t="s">
        <v>9286</v>
      </c>
      <c r="D529" s="670" t="s">
        <v>9296</v>
      </c>
      <c r="E529" s="670" t="s">
        <v>9288</v>
      </c>
      <c r="F529" s="670" t="s">
        <v>9394</v>
      </c>
      <c r="G529" s="671"/>
      <c r="H529" s="671">
        <v>200000</v>
      </c>
      <c r="I529" s="671"/>
      <c r="J529" s="671">
        <v>5000</v>
      </c>
      <c r="K529" s="670" t="s">
        <v>9298</v>
      </c>
      <c r="L529" s="670" t="s">
        <v>8811</v>
      </c>
      <c r="M529" s="670" t="s">
        <v>8832</v>
      </c>
      <c r="N529" s="670"/>
    </row>
    <row r="530" spans="1:14">
      <c r="A530" s="1066"/>
      <c r="B530" s="678" t="s">
        <v>9392</v>
      </c>
      <c r="C530" s="670" t="s">
        <v>9384</v>
      </c>
      <c r="D530" s="670" t="s">
        <v>14</v>
      </c>
      <c r="E530" s="670" t="s">
        <v>14</v>
      </c>
      <c r="F530" s="670" t="s">
        <v>9385</v>
      </c>
      <c r="G530" s="671"/>
      <c r="H530" s="671" t="s">
        <v>1921</v>
      </c>
      <c r="I530" s="671"/>
      <c r="J530" s="671">
        <v>9000</v>
      </c>
      <c r="K530" s="670" t="s">
        <v>9283</v>
      </c>
      <c r="L530" s="670" t="s">
        <v>9284</v>
      </c>
      <c r="M530" s="670" t="s">
        <v>8832</v>
      </c>
      <c r="N530" s="670"/>
    </row>
    <row r="531" spans="1:14">
      <c r="A531" s="1066"/>
      <c r="B531" s="678" t="s">
        <v>9395</v>
      </c>
      <c r="C531" s="670" t="s">
        <v>9384</v>
      </c>
      <c r="D531" s="670" t="s">
        <v>14</v>
      </c>
      <c r="E531" s="670" t="s">
        <v>14</v>
      </c>
      <c r="F531" s="670" t="s">
        <v>9385</v>
      </c>
      <c r="G531" s="671"/>
      <c r="H531" s="671" t="s">
        <v>1921</v>
      </c>
      <c r="I531" s="671"/>
      <c r="J531" s="671">
        <v>3000</v>
      </c>
      <c r="K531" s="670" t="s">
        <v>9283</v>
      </c>
      <c r="L531" s="670" t="s">
        <v>9284</v>
      </c>
      <c r="M531" s="670" t="s">
        <v>8832</v>
      </c>
      <c r="N531" s="670"/>
    </row>
    <row r="532" spans="1:14">
      <c r="A532" s="1066"/>
      <c r="B532" s="678" t="s">
        <v>9395</v>
      </c>
      <c r="C532" s="670" t="s">
        <v>9286</v>
      </c>
      <c r="D532" s="670" t="s">
        <v>9313</v>
      </c>
      <c r="E532" s="670" t="s">
        <v>9288</v>
      </c>
      <c r="F532" s="670" t="s">
        <v>9374</v>
      </c>
      <c r="G532" s="671"/>
      <c r="H532" s="671">
        <v>1250023.3500000001</v>
      </c>
      <c r="I532" s="671"/>
      <c r="J532" s="671">
        <v>30000</v>
      </c>
      <c r="K532" s="670" t="s">
        <v>9356</v>
      </c>
      <c r="L532" s="670" t="s">
        <v>8811</v>
      </c>
      <c r="M532" s="670" t="s">
        <v>8832</v>
      </c>
      <c r="N532" s="670"/>
    </row>
    <row r="533" spans="1:14">
      <c r="A533" s="1066"/>
      <c r="B533" s="678" t="s">
        <v>9396</v>
      </c>
      <c r="C533" s="670" t="s">
        <v>9286</v>
      </c>
      <c r="D533" s="670" t="s">
        <v>9327</v>
      </c>
      <c r="E533" s="670" t="s">
        <v>9288</v>
      </c>
      <c r="F533" s="670" t="s">
        <v>9397</v>
      </c>
      <c r="G533" s="671"/>
      <c r="H533" s="671">
        <v>50172.08</v>
      </c>
      <c r="I533" s="671"/>
      <c r="J533" s="671">
        <v>5000</v>
      </c>
      <c r="K533" s="670" t="s">
        <v>9290</v>
      </c>
      <c r="L533" s="670" t="s">
        <v>8811</v>
      </c>
      <c r="M533" s="670" t="s">
        <v>8832</v>
      </c>
      <c r="N533" s="670"/>
    </row>
    <row r="534" spans="1:14">
      <c r="A534" s="1066"/>
      <c r="B534" s="678" t="s">
        <v>9398</v>
      </c>
      <c r="C534" s="670" t="s">
        <v>9399</v>
      </c>
      <c r="D534" s="670" t="s">
        <v>9318</v>
      </c>
      <c r="E534" s="670" t="s">
        <v>9288</v>
      </c>
      <c r="F534" s="670" t="s">
        <v>9400</v>
      </c>
      <c r="G534" s="671"/>
      <c r="H534" s="671">
        <v>20500</v>
      </c>
      <c r="I534" s="671"/>
      <c r="J534" s="671">
        <v>20500</v>
      </c>
      <c r="K534" s="670" t="s">
        <v>9401</v>
      </c>
      <c r="L534" s="670" t="s">
        <v>9284</v>
      </c>
      <c r="M534" s="670" t="s">
        <v>8832</v>
      </c>
      <c r="N534" s="670"/>
    </row>
    <row r="535" spans="1:14">
      <c r="A535" s="1066"/>
      <c r="B535" s="678" t="s">
        <v>9398</v>
      </c>
      <c r="C535" s="670" t="s">
        <v>9286</v>
      </c>
      <c r="D535" s="670" t="s">
        <v>9315</v>
      </c>
      <c r="E535" s="670" t="s">
        <v>9288</v>
      </c>
      <c r="F535" s="670" t="s">
        <v>9323</v>
      </c>
      <c r="G535" s="671"/>
      <c r="H535" s="671">
        <v>69800</v>
      </c>
      <c r="I535" s="671"/>
      <c r="J535" s="671">
        <v>10000</v>
      </c>
      <c r="K535" s="670" t="s">
        <v>9324</v>
      </c>
      <c r="L535" s="670" t="s">
        <v>8811</v>
      </c>
      <c r="M535" s="670" t="s">
        <v>8832</v>
      </c>
      <c r="N535" s="670"/>
    </row>
    <row r="536" spans="1:14">
      <c r="A536" s="1066"/>
      <c r="B536" s="678" t="s">
        <v>9398</v>
      </c>
      <c r="C536" s="670" t="s">
        <v>9286</v>
      </c>
      <c r="D536" s="670" t="s">
        <v>9302</v>
      </c>
      <c r="E536" s="670" t="s">
        <v>9288</v>
      </c>
      <c r="F536" s="670" t="s">
        <v>9374</v>
      </c>
      <c r="G536" s="671"/>
      <c r="H536" s="671">
        <v>328672.46999999997</v>
      </c>
      <c r="I536" s="671"/>
      <c r="J536" s="671">
        <v>12000</v>
      </c>
      <c r="K536" s="670" t="s">
        <v>9304</v>
      </c>
      <c r="L536" s="670" t="s">
        <v>8811</v>
      </c>
      <c r="M536" s="670" t="s">
        <v>8832</v>
      </c>
      <c r="N536" s="670"/>
    </row>
    <row r="537" spans="1:14">
      <c r="A537" s="1066"/>
      <c r="B537" s="678" t="s">
        <v>9398</v>
      </c>
      <c r="C537" s="670" t="s">
        <v>9286</v>
      </c>
      <c r="D537" s="670" t="s">
        <v>9380</v>
      </c>
      <c r="E537" s="670" t="s">
        <v>9288</v>
      </c>
      <c r="F537" s="670" t="s">
        <v>9349</v>
      </c>
      <c r="G537" s="671"/>
      <c r="H537" s="671">
        <v>189253.95</v>
      </c>
      <c r="I537" s="671"/>
      <c r="J537" s="671">
        <v>12000</v>
      </c>
      <c r="K537" s="670" t="s">
        <v>9065</v>
      </c>
      <c r="L537" s="670" t="s">
        <v>8811</v>
      </c>
      <c r="M537" s="670" t="s">
        <v>8832</v>
      </c>
      <c r="N537" s="670"/>
    </row>
    <row r="538" spans="1:14">
      <c r="A538" s="1066"/>
      <c r="B538" s="678" t="s">
        <v>9398</v>
      </c>
      <c r="C538" s="670" t="s">
        <v>9286</v>
      </c>
      <c r="D538" s="670" t="s">
        <v>9402</v>
      </c>
      <c r="E538" s="670" t="s">
        <v>9288</v>
      </c>
      <c r="F538" s="670" t="s">
        <v>9403</v>
      </c>
      <c r="G538" s="671"/>
      <c r="H538" s="671">
        <v>68248.7</v>
      </c>
      <c r="I538" s="671"/>
      <c r="J538" s="671">
        <v>15000</v>
      </c>
      <c r="K538" s="670" t="s">
        <v>9086</v>
      </c>
      <c r="L538" s="670" t="s">
        <v>8811</v>
      </c>
      <c r="M538" s="670" t="s">
        <v>8832</v>
      </c>
      <c r="N538" s="670"/>
    </row>
    <row r="539" spans="1:14">
      <c r="A539" s="1066"/>
      <c r="B539" s="678" t="s">
        <v>9398</v>
      </c>
      <c r="C539" s="670" t="s">
        <v>9286</v>
      </c>
      <c r="D539" s="670" t="s">
        <v>9327</v>
      </c>
      <c r="E539" s="670" t="s">
        <v>9288</v>
      </c>
      <c r="F539" s="670" t="s">
        <v>9374</v>
      </c>
      <c r="G539" s="671"/>
      <c r="H539" s="671">
        <v>558742.12</v>
      </c>
      <c r="I539" s="671"/>
      <c r="J539" s="671">
        <v>20000</v>
      </c>
      <c r="K539" s="670" t="s">
        <v>9404</v>
      </c>
      <c r="L539" s="670" t="s">
        <v>8811</v>
      </c>
      <c r="M539" s="670" t="s">
        <v>8832</v>
      </c>
      <c r="N539" s="670"/>
    </row>
    <row r="540" spans="1:14">
      <c r="A540" s="1066"/>
      <c r="B540" s="678" t="s">
        <v>9398</v>
      </c>
      <c r="C540" s="670" t="s">
        <v>9286</v>
      </c>
      <c r="D540" s="670" t="s">
        <v>9375</v>
      </c>
      <c r="E540" s="670" t="s">
        <v>9288</v>
      </c>
      <c r="F540" s="670" t="s">
        <v>9349</v>
      </c>
      <c r="G540" s="671"/>
      <c r="H540" s="671">
        <v>189745.2</v>
      </c>
      <c r="I540" s="671"/>
      <c r="J540" s="671">
        <v>11000</v>
      </c>
      <c r="K540" s="670" t="s">
        <v>9376</v>
      </c>
      <c r="L540" s="670" t="s">
        <v>8811</v>
      </c>
      <c r="M540" s="670" t="s">
        <v>8832</v>
      </c>
      <c r="N540" s="670"/>
    </row>
    <row r="541" spans="1:14">
      <c r="A541" s="1066"/>
      <c r="B541" s="678" t="s">
        <v>9398</v>
      </c>
      <c r="C541" s="670" t="s">
        <v>9286</v>
      </c>
      <c r="D541" s="670" t="s">
        <v>4520</v>
      </c>
      <c r="E541" s="670" t="s">
        <v>9288</v>
      </c>
      <c r="F541" s="670" t="s">
        <v>9405</v>
      </c>
      <c r="G541" s="671"/>
      <c r="H541" s="671">
        <v>184471.77</v>
      </c>
      <c r="I541" s="671"/>
      <c r="J541" s="671">
        <v>12000</v>
      </c>
      <c r="K541" s="670" t="s">
        <v>9406</v>
      </c>
      <c r="L541" s="670" t="s">
        <v>8811</v>
      </c>
      <c r="M541" s="670" t="s">
        <v>8832</v>
      </c>
      <c r="N541" s="670"/>
    </row>
    <row r="542" spans="1:14">
      <c r="A542" s="1066"/>
      <c r="B542" s="678" t="s">
        <v>9407</v>
      </c>
      <c r="C542" s="670" t="s">
        <v>9286</v>
      </c>
      <c r="D542" s="670" t="s">
        <v>9408</v>
      </c>
      <c r="E542" s="670" t="s">
        <v>9288</v>
      </c>
      <c r="F542" s="670" t="s">
        <v>9349</v>
      </c>
      <c r="G542" s="671"/>
      <c r="H542" s="671">
        <v>186843.9</v>
      </c>
      <c r="I542" s="671"/>
      <c r="J542" s="671">
        <v>11000</v>
      </c>
      <c r="K542" s="670" t="s">
        <v>9409</v>
      </c>
      <c r="L542" s="670" t="s">
        <v>8811</v>
      </c>
      <c r="M542" s="670" t="s">
        <v>8832</v>
      </c>
      <c r="N542" s="670"/>
    </row>
    <row r="543" spans="1:14">
      <c r="A543" s="1066"/>
      <c r="B543" s="678" t="s">
        <v>9407</v>
      </c>
      <c r="C543" s="670" t="s">
        <v>9286</v>
      </c>
      <c r="D543" s="670" t="s">
        <v>9296</v>
      </c>
      <c r="E543" s="670" t="s">
        <v>9288</v>
      </c>
      <c r="F543" s="670" t="s">
        <v>9410</v>
      </c>
      <c r="G543" s="671"/>
      <c r="H543" s="671">
        <v>200000</v>
      </c>
      <c r="I543" s="671"/>
      <c r="J543" s="671">
        <v>3000</v>
      </c>
      <c r="K543" s="670" t="s">
        <v>9298</v>
      </c>
      <c r="L543" s="670" t="s">
        <v>8811</v>
      </c>
      <c r="M543" s="670" t="s">
        <v>9299</v>
      </c>
      <c r="N543" s="670"/>
    </row>
    <row r="544" spans="1:14">
      <c r="A544" s="1066"/>
      <c r="B544" s="678" t="s">
        <v>9407</v>
      </c>
      <c r="C544" s="670" t="s">
        <v>9286</v>
      </c>
      <c r="D544" s="670" t="s">
        <v>9307</v>
      </c>
      <c r="E544" s="670" t="s">
        <v>9288</v>
      </c>
      <c r="F544" s="670" t="s">
        <v>9308</v>
      </c>
      <c r="G544" s="671"/>
      <c r="H544" s="671">
        <v>172220.58</v>
      </c>
      <c r="I544" s="671"/>
      <c r="J544" s="671">
        <v>22000</v>
      </c>
      <c r="K544" s="670" t="s">
        <v>9290</v>
      </c>
      <c r="L544" s="670" t="s">
        <v>8811</v>
      </c>
      <c r="M544" s="670" t="s">
        <v>8832</v>
      </c>
      <c r="N544" s="670"/>
    </row>
    <row r="545" spans="1:14">
      <c r="A545" s="1066"/>
      <c r="B545" s="678" t="s">
        <v>9407</v>
      </c>
      <c r="C545" s="670" t="s">
        <v>9286</v>
      </c>
      <c r="D545" s="670" t="s">
        <v>9348</v>
      </c>
      <c r="E545" s="670" t="s">
        <v>9288</v>
      </c>
      <c r="F545" s="670" t="s">
        <v>9349</v>
      </c>
      <c r="G545" s="671"/>
      <c r="H545" s="671">
        <v>191534.7</v>
      </c>
      <c r="I545" s="671"/>
      <c r="J545" s="671">
        <v>14000</v>
      </c>
      <c r="K545" s="670" t="s">
        <v>9350</v>
      </c>
      <c r="L545" s="670" t="s">
        <v>8811</v>
      </c>
      <c r="M545" s="670" t="s">
        <v>8832</v>
      </c>
      <c r="N545" s="670"/>
    </row>
    <row r="546" spans="1:14">
      <c r="A546" s="1066"/>
      <c r="B546" s="678" t="s">
        <v>9407</v>
      </c>
      <c r="C546" s="670" t="s">
        <v>9286</v>
      </c>
      <c r="D546" s="670" t="s">
        <v>9302</v>
      </c>
      <c r="E546" s="670" t="s">
        <v>9288</v>
      </c>
      <c r="F546" s="670" t="s">
        <v>9374</v>
      </c>
      <c r="G546" s="671"/>
      <c r="H546" s="671">
        <v>328672.46999999997</v>
      </c>
      <c r="I546" s="671"/>
      <c r="J546" s="671">
        <v>22000</v>
      </c>
      <c r="K546" s="670" t="s">
        <v>9304</v>
      </c>
      <c r="L546" s="670" t="s">
        <v>8811</v>
      </c>
      <c r="M546" s="670" t="s">
        <v>8832</v>
      </c>
      <c r="N546" s="670"/>
    </row>
    <row r="547" spans="1:14">
      <c r="A547" s="1066"/>
      <c r="B547" s="678" t="s">
        <v>9407</v>
      </c>
      <c r="C547" s="670" t="s">
        <v>9286</v>
      </c>
      <c r="D547" s="670" t="s">
        <v>9411</v>
      </c>
      <c r="E547" s="670" t="s">
        <v>9288</v>
      </c>
      <c r="F547" s="670" t="s">
        <v>9412</v>
      </c>
      <c r="G547" s="671"/>
      <c r="H547" s="671">
        <v>103415.24</v>
      </c>
      <c r="I547" s="671"/>
      <c r="J547" s="671">
        <v>9000</v>
      </c>
      <c r="K547" s="670" t="s">
        <v>9290</v>
      </c>
      <c r="L547" s="670" t="s">
        <v>8811</v>
      </c>
      <c r="M547" s="670" t="s">
        <v>8832</v>
      </c>
      <c r="N547" s="670"/>
    </row>
    <row r="548" spans="1:14">
      <c r="A548" s="1066"/>
      <c r="B548" s="678" t="s">
        <v>9413</v>
      </c>
      <c r="C548" s="670" t="s">
        <v>9286</v>
      </c>
      <c r="D548" s="670" t="s">
        <v>9315</v>
      </c>
      <c r="E548" s="670" t="s">
        <v>9288</v>
      </c>
      <c r="F548" s="670" t="s">
        <v>9325</v>
      </c>
      <c r="G548" s="671"/>
      <c r="H548" s="671">
        <v>147680.29999999999</v>
      </c>
      <c r="I548" s="671"/>
      <c r="J548" s="671">
        <v>8000</v>
      </c>
      <c r="K548" s="670" t="s">
        <v>9326</v>
      </c>
      <c r="L548" s="670" t="s">
        <v>8811</v>
      </c>
      <c r="M548" s="670" t="s">
        <v>8832</v>
      </c>
      <c r="N548" s="670"/>
    </row>
    <row r="549" spans="1:14">
      <c r="A549" s="1066"/>
      <c r="B549" s="678" t="s">
        <v>9413</v>
      </c>
      <c r="C549" s="670" t="s">
        <v>9286</v>
      </c>
      <c r="D549" s="670" t="s">
        <v>9361</v>
      </c>
      <c r="E549" s="670" t="s">
        <v>9288</v>
      </c>
      <c r="F549" s="670" t="s">
        <v>9332</v>
      </c>
      <c r="G549" s="671"/>
      <c r="H549" s="671">
        <v>384012.33</v>
      </c>
      <c r="I549" s="671"/>
      <c r="J549" s="671">
        <v>13600</v>
      </c>
      <c r="K549" s="670" t="s">
        <v>9333</v>
      </c>
      <c r="L549" s="670" t="s">
        <v>8811</v>
      </c>
      <c r="M549" s="670" t="s">
        <v>8832</v>
      </c>
      <c r="N549" s="670"/>
    </row>
    <row r="550" spans="1:14">
      <c r="A550" s="1066"/>
      <c r="B550" s="678" t="s">
        <v>9413</v>
      </c>
      <c r="C550" s="670" t="s">
        <v>9286</v>
      </c>
      <c r="D550" s="670" t="s">
        <v>9329</v>
      </c>
      <c r="E550" s="670" t="s">
        <v>9288</v>
      </c>
      <c r="F550" s="670" t="s">
        <v>9349</v>
      </c>
      <c r="G550" s="671"/>
      <c r="H550" s="671">
        <v>196529</v>
      </c>
      <c r="I550" s="671"/>
      <c r="J550" s="671">
        <v>7000</v>
      </c>
      <c r="K550" s="670" t="s">
        <v>9331</v>
      </c>
      <c r="L550" s="670" t="s">
        <v>8811</v>
      </c>
      <c r="M550" s="670" t="s">
        <v>8832</v>
      </c>
      <c r="N550" s="670"/>
    </row>
    <row r="551" spans="1:14">
      <c r="A551" s="1066"/>
      <c r="B551" s="678" t="s">
        <v>9413</v>
      </c>
      <c r="C551" s="670" t="s">
        <v>9286</v>
      </c>
      <c r="D551" s="670" t="s">
        <v>9309</v>
      </c>
      <c r="E551" s="670" t="s">
        <v>9288</v>
      </c>
      <c r="F551" s="670" t="s">
        <v>9349</v>
      </c>
      <c r="G551" s="671"/>
      <c r="H551" s="671">
        <v>187720.7</v>
      </c>
      <c r="I551" s="671"/>
      <c r="J551" s="671">
        <v>12000</v>
      </c>
      <c r="K551" s="670" t="s">
        <v>9414</v>
      </c>
      <c r="L551" s="670" t="s">
        <v>8811</v>
      </c>
      <c r="M551" s="670" t="s">
        <v>8832</v>
      </c>
      <c r="N551" s="670"/>
    </row>
    <row r="552" spans="1:14">
      <c r="A552" s="1066"/>
      <c r="B552" s="678" t="s">
        <v>9413</v>
      </c>
      <c r="C552" s="670" t="s">
        <v>9286</v>
      </c>
      <c r="D552" s="670" t="s">
        <v>4520</v>
      </c>
      <c r="E552" s="670" t="s">
        <v>9288</v>
      </c>
      <c r="F552" s="670" t="s">
        <v>9349</v>
      </c>
      <c r="G552" s="671"/>
      <c r="H552" s="671"/>
      <c r="I552" s="671"/>
      <c r="J552" s="671">
        <v>6000</v>
      </c>
      <c r="K552" s="670" t="s">
        <v>9415</v>
      </c>
      <c r="L552" s="670" t="s">
        <v>8811</v>
      </c>
      <c r="M552" s="670" t="s">
        <v>8832</v>
      </c>
      <c r="N552" s="670"/>
    </row>
    <row r="553" spans="1:14">
      <c r="A553" s="1066"/>
      <c r="B553" s="678" t="s">
        <v>9416</v>
      </c>
      <c r="C553" s="670" t="s">
        <v>9364</v>
      </c>
      <c r="D553" s="670" t="s">
        <v>9315</v>
      </c>
      <c r="E553" s="670" t="s">
        <v>1234</v>
      </c>
      <c r="F553" s="670" t="s">
        <v>9279</v>
      </c>
      <c r="G553" s="671"/>
      <c r="H553" s="671" t="s">
        <v>1921</v>
      </c>
      <c r="I553" s="671"/>
      <c r="J553" s="671">
        <v>32440</v>
      </c>
      <c r="K553" s="670" t="s">
        <v>1234</v>
      </c>
      <c r="L553" s="670" t="s">
        <v>9417</v>
      </c>
      <c r="M553" s="670" t="s">
        <v>8832</v>
      </c>
      <c r="N553" s="670"/>
    </row>
    <row r="554" spans="1:14">
      <c r="A554" s="1066"/>
      <c r="B554" s="678" t="s">
        <v>9418</v>
      </c>
      <c r="C554" s="670" t="s">
        <v>9286</v>
      </c>
      <c r="D554" s="670" t="s">
        <v>9419</v>
      </c>
      <c r="E554" s="670" t="s">
        <v>9288</v>
      </c>
      <c r="F554" s="670" t="s">
        <v>9374</v>
      </c>
      <c r="G554" s="671"/>
      <c r="H554" s="671">
        <v>172999.9</v>
      </c>
      <c r="I554" s="671"/>
      <c r="J554" s="671">
        <v>8000</v>
      </c>
      <c r="K554" s="670" t="s">
        <v>3002</v>
      </c>
      <c r="L554" s="670" t="s">
        <v>8811</v>
      </c>
      <c r="M554" s="670" t="s">
        <v>8832</v>
      </c>
      <c r="N554" s="670"/>
    </row>
    <row r="555" spans="1:14">
      <c r="A555" s="1066"/>
      <c r="B555" s="678" t="s">
        <v>9418</v>
      </c>
      <c r="C555" s="670" t="s">
        <v>9286</v>
      </c>
      <c r="D555" s="670" t="s">
        <v>9307</v>
      </c>
      <c r="E555" s="670" t="s">
        <v>9288</v>
      </c>
      <c r="F555" s="670" t="s">
        <v>9308</v>
      </c>
      <c r="G555" s="671"/>
      <c r="H555" s="671">
        <v>172220.58</v>
      </c>
      <c r="I555" s="671"/>
      <c r="J555" s="671">
        <v>16000</v>
      </c>
      <c r="K555" s="670" t="s">
        <v>9290</v>
      </c>
      <c r="L555" s="670" t="s">
        <v>8811</v>
      </c>
      <c r="M555" s="670" t="s">
        <v>8832</v>
      </c>
      <c r="N555" s="670"/>
    </row>
    <row r="556" spans="1:14">
      <c r="A556" s="1066"/>
      <c r="B556" s="678" t="s">
        <v>9420</v>
      </c>
      <c r="C556" s="670" t="s">
        <v>9286</v>
      </c>
      <c r="D556" s="670" t="s">
        <v>9296</v>
      </c>
      <c r="E556" s="670" t="s">
        <v>9288</v>
      </c>
      <c r="F556" s="670" t="s">
        <v>9297</v>
      </c>
      <c r="G556" s="671"/>
      <c r="H556" s="671">
        <v>200000</v>
      </c>
      <c r="I556" s="671"/>
      <c r="J556" s="671">
        <v>9000</v>
      </c>
      <c r="K556" s="670" t="s">
        <v>9298</v>
      </c>
      <c r="L556" s="670" t="s">
        <v>8811</v>
      </c>
      <c r="M556" s="670" t="s">
        <v>9299</v>
      </c>
      <c r="N556" s="670"/>
    </row>
    <row r="557" spans="1:14">
      <c r="A557" s="1066"/>
      <c r="B557" s="678" t="s">
        <v>9420</v>
      </c>
      <c r="C557" s="670" t="s">
        <v>9286</v>
      </c>
      <c r="D557" s="670" t="s">
        <v>9307</v>
      </c>
      <c r="E557" s="670" t="s">
        <v>9288</v>
      </c>
      <c r="F557" s="670" t="s">
        <v>9421</v>
      </c>
      <c r="G557" s="671"/>
      <c r="H557" s="671">
        <v>946315.5</v>
      </c>
      <c r="I557" s="671"/>
      <c r="J557" s="671">
        <v>49950</v>
      </c>
      <c r="K557" s="670" t="s">
        <v>9422</v>
      </c>
      <c r="L557" s="670" t="s">
        <v>8811</v>
      </c>
      <c r="M557" s="670" t="s">
        <v>8832</v>
      </c>
      <c r="N557" s="670"/>
    </row>
    <row r="558" spans="1:14">
      <c r="A558" s="1066"/>
      <c r="B558" s="678" t="s">
        <v>9423</v>
      </c>
      <c r="C558" s="670" t="s">
        <v>9286</v>
      </c>
      <c r="D558" s="670" t="s">
        <v>9329</v>
      </c>
      <c r="E558" s="670" t="s">
        <v>9288</v>
      </c>
      <c r="F558" s="670" t="s">
        <v>9391</v>
      </c>
      <c r="G558" s="671"/>
      <c r="H558" s="671">
        <v>87413.34</v>
      </c>
      <c r="I558" s="671"/>
      <c r="J558" s="671">
        <v>25000</v>
      </c>
      <c r="K558" s="670" t="s">
        <v>9290</v>
      </c>
      <c r="L558" s="670" t="s">
        <v>8811</v>
      </c>
      <c r="M558" s="670" t="s">
        <v>8832</v>
      </c>
      <c r="N558" s="670"/>
    </row>
    <row r="559" spans="1:14">
      <c r="A559" s="1066"/>
      <c r="B559" s="678" t="s">
        <v>9423</v>
      </c>
      <c r="C559" s="670" t="s">
        <v>9286</v>
      </c>
      <c r="D559" s="670" t="s">
        <v>9375</v>
      </c>
      <c r="E559" s="670" t="s">
        <v>9288</v>
      </c>
      <c r="F559" s="670" t="s">
        <v>9424</v>
      </c>
      <c r="G559" s="671"/>
      <c r="H559" s="671">
        <v>236744.95999999999</v>
      </c>
      <c r="I559" s="671"/>
      <c r="J559" s="671">
        <v>22000</v>
      </c>
      <c r="K559" s="670" t="s">
        <v>9311</v>
      </c>
      <c r="L559" s="670" t="s">
        <v>8811</v>
      </c>
      <c r="M559" s="670" t="s">
        <v>8832</v>
      </c>
      <c r="N559" s="670"/>
    </row>
    <row r="560" spans="1:14">
      <c r="A560" s="1066"/>
      <c r="B560" s="678" t="s">
        <v>9423</v>
      </c>
      <c r="C560" s="670" t="s">
        <v>9286</v>
      </c>
      <c r="D560" s="670" t="s">
        <v>9329</v>
      </c>
      <c r="E560" s="670" t="s">
        <v>9288</v>
      </c>
      <c r="F560" s="670" t="s">
        <v>9349</v>
      </c>
      <c r="G560" s="671"/>
      <c r="H560" s="671">
        <v>196529</v>
      </c>
      <c r="I560" s="671"/>
      <c r="J560" s="671">
        <v>35000</v>
      </c>
      <c r="K560" s="670" t="s">
        <v>9331</v>
      </c>
      <c r="L560" s="670" t="s">
        <v>8811</v>
      </c>
      <c r="M560" s="670" t="s">
        <v>8832</v>
      </c>
      <c r="N560" s="670"/>
    </row>
    <row r="561" spans="1:14">
      <c r="A561" s="1066"/>
      <c r="B561" s="678" t="s">
        <v>9425</v>
      </c>
      <c r="C561" s="670" t="s">
        <v>9286</v>
      </c>
      <c r="D561" s="670" t="s">
        <v>9302</v>
      </c>
      <c r="E561" s="670" t="s">
        <v>9288</v>
      </c>
      <c r="F561" s="670" t="s">
        <v>9374</v>
      </c>
      <c r="G561" s="671"/>
      <c r="H561" s="671">
        <v>689805</v>
      </c>
      <c r="I561" s="671"/>
      <c r="J561" s="671">
        <v>35000</v>
      </c>
      <c r="K561" s="670" t="s">
        <v>9342</v>
      </c>
      <c r="L561" s="670" t="s">
        <v>8811</v>
      </c>
      <c r="M561" s="670" t="s">
        <v>8832</v>
      </c>
      <c r="N561" s="670"/>
    </row>
    <row r="562" spans="1:14">
      <c r="A562" s="1066"/>
      <c r="B562" s="678" t="s">
        <v>9425</v>
      </c>
      <c r="C562" s="670" t="s">
        <v>9286</v>
      </c>
      <c r="D562" s="670" t="s">
        <v>9361</v>
      </c>
      <c r="E562" s="670" t="s">
        <v>9288</v>
      </c>
      <c r="F562" s="670" t="s">
        <v>9424</v>
      </c>
      <c r="G562" s="671"/>
      <c r="H562" s="671">
        <v>384012.33</v>
      </c>
      <c r="I562" s="671"/>
      <c r="J562" s="671">
        <v>35000</v>
      </c>
      <c r="K562" s="670" t="s">
        <v>9333</v>
      </c>
      <c r="L562" s="670" t="s">
        <v>8811</v>
      </c>
      <c r="M562" s="670" t="s">
        <v>8832</v>
      </c>
      <c r="N562" s="670"/>
    </row>
    <row r="563" spans="1:14">
      <c r="A563" s="1066"/>
      <c r="B563" s="678" t="s">
        <v>9425</v>
      </c>
      <c r="C563" s="670" t="s">
        <v>9426</v>
      </c>
      <c r="D563" s="670" t="s">
        <v>9427</v>
      </c>
      <c r="E563" s="670" t="s">
        <v>9288</v>
      </c>
      <c r="F563" s="670" t="s">
        <v>9428</v>
      </c>
      <c r="G563" s="671"/>
      <c r="H563" s="671">
        <v>18000</v>
      </c>
      <c r="I563" s="671"/>
      <c r="J563" s="671">
        <v>18000</v>
      </c>
      <c r="K563" s="670" t="s">
        <v>9338</v>
      </c>
      <c r="L563" s="670" t="s">
        <v>8811</v>
      </c>
      <c r="M563" s="670" t="s">
        <v>8832</v>
      </c>
      <c r="N563" s="670"/>
    </row>
    <row r="564" spans="1:14">
      <c r="A564" s="1066"/>
      <c r="B564" s="678" t="s">
        <v>9429</v>
      </c>
      <c r="C564" s="670" t="s">
        <v>9286</v>
      </c>
      <c r="D564" s="670" t="s">
        <v>9296</v>
      </c>
      <c r="E564" s="670" t="s">
        <v>9288</v>
      </c>
      <c r="F564" s="670" t="s">
        <v>9297</v>
      </c>
      <c r="G564" s="671"/>
      <c r="H564" s="671">
        <v>200000</v>
      </c>
      <c r="I564" s="671"/>
      <c r="J564" s="671">
        <v>5000</v>
      </c>
      <c r="K564" s="670" t="s">
        <v>9298</v>
      </c>
      <c r="L564" s="670" t="s">
        <v>9284</v>
      </c>
      <c r="M564" s="670" t="s">
        <v>9299</v>
      </c>
      <c r="N564" s="670"/>
    </row>
    <row r="565" spans="1:14">
      <c r="A565" s="1066"/>
      <c r="B565" s="678" t="s">
        <v>9429</v>
      </c>
      <c r="C565" s="670" t="s">
        <v>9286</v>
      </c>
      <c r="D565" s="670" t="s">
        <v>9375</v>
      </c>
      <c r="E565" s="670" t="s">
        <v>9288</v>
      </c>
      <c r="F565" s="670" t="s">
        <v>9374</v>
      </c>
      <c r="G565" s="671"/>
      <c r="H565" s="671">
        <v>558742.12</v>
      </c>
      <c r="I565" s="671"/>
      <c r="J565" s="671">
        <v>40000</v>
      </c>
      <c r="K565" s="670" t="s">
        <v>9404</v>
      </c>
      <c r="L565" s="670" t="s">
        <v>8811</v>
      </c>
      <c r="M565" s="670" t="s">
        <v>8832</v>
      </c>
      <c r="N565" s="670"/>
    </row>
    <row r="566" spans="1:14">
      <c r="A566" s="1066"/>
      <c r="B566" s="678" t="s">
        <v>9429</v>
      </c>
      <c r="C566" s="670" t="s">
        <v>9286</v>
      </c>
      <c r="D566" s="670" t="s">
        <v>9430</v>
      </c>
      <c r="E566" s="670" t="s">
        <v>9288</v>
      </c>
      <c r="F566" s="670" t="s">
        <v>9431</v>
      </c>
      <c r="G566" s="671"/>
      <c r="H566" s="671">
        <v>252212.1</v>
      </c>
      <c r="I566" s="671"/>
      <c r="J566" s="671">
        <v>15000</v>
      </c>
      <c r="K566" s="670" t="s">
        <v>9345</v>
      </c>
      <c r="L566" s="670" t="s">
        <v>8811</v>
      </c>
      <c r="M566" s="670" t="s">
        <v>8832</v>
      </c>
      <c r="N566" s="670"/>
    </row>
    <row r="567" spans="1:14">
      <c r="A567" s="1066"/>
      <c r="B567" s="678" t="s">
        <v>9429</v>
      </c>
      <c r="C567" s="670" t="s">
        <v>9286</v>
      </c>
      <c r="D567" s="670" t="s">
        <v>9315</v>
      </c>
      <c r="E567" s="670" t="s">
        <v>9288</v>
      </c>
      <c r="F567" s="670" t="s">
        <v>9432</v>
      </c>
      <c r="G567" s="671"/>
      <c r="H567" s="671">
        <v>147680.29999999999</v>
      </c>
      <c r="I567" s="671"/>
      <c r="J567" s="671">
        <v>20000</v>
      </c>
      <c r="K567" s="670" t="s">
        <v>9326</v>
      </c>
      <c r="L567" s="670" t="s">
        <v>8811</v>
      </c>
      <c r="M567" s="670" t="s">
        <v>8832</v>
      </c>
      <c r="N567" s="670"/>
    </row>
    <row r="568" spans="1:14">
      <c r="A568" s="1066"/>
      <c r="B568" s="678" t="s">
        <v>9429</v>
      </c>
      <c r="C568" s="670" t="s">
        <v>9286</v>
      </c>
      <c r="D568" s="670" t="s">
        <v>9402</v>
      </c>
      <c r="E568" s="670" t="s">
        <v>9288</v>
      </c>
      <c r="F568" s="670" t="s">
        <v>9405</v>
      </c>
      <c r="G568" s="671"/>
      <c r="H568" s="671">
        <v>184471.77</v>
      </c>
      <c r="I568" s="671"/>
      <c r="J568" s="671">
        <v>13000</v>
      </c>
      <c r="K568" s="670" t="s">
        <v>9406</v>
      </c>
      <c r="L568" s="670" t="s">
        <v>8811</v>
      </c>
      <c r="M568" s="670" t="s">
        <v>8832</v>
      </c>
      <c r="N568" s="670"/>
    </row>
    <row r="569" spans="1:14">
      <c r="A569" s="1066"/>
      <c r="B569" s="678" t="s">
        <v>9429</v>
      </c>
      <c r="C569" s="670" t="s">
        <v>9286</v>
      </c>
      <c r="D569" s="670" t="s">
        <v>9378</v>
      </c>
      <c r="E569" s="670" t="s">
        <v>9288</v>
      </c>
      <c r="F569" s="670" t="s">
        <v>9323</v>
      </c>
      <c r="G569" s="671"/>
      <c r="H569" s="671">
        <v>69800</v>
      </c>
      <c r="I569" s="671"/>
      <c r="J569" s="671">
        <v>15000</v>
      </c>
      <c r="K569" s="670" t="s">
        <v>9324</v>
      </c>
      <c r="L569" s="670" t="s">
        <v>8811</v>
      </c>
      <c r="M569" s="670" t="s">
        <v>8832</v>
      </c>
      <c r="N569" s="670"/>
    </row>
    <row r="570" spans="1:14">
      <c r="A570" s="1066"/>
      <c r="B570" s="678" t="s">
        <v>9429</v>
      </c>
      <c r="C570" s="670" t="s">
        <v>9286</v>
      </c>
      <c r="D570" s="670" t="s">
        <v>9340</v>
      </c>
      <c r="E570" s="670" t="s">
        <v>9288</v>
      </c>
      <c r="F570" s="670" t="s">
        <v>9390</v>
      </c>
      <c r="G570" s="671"/>
      <c r="H570" s="671">
        <v>689805</v>
      </c>
      <c r="I570" s="671"/>
      <c r="J570" s="671">
        <v>40000</v>
      </c>
      <c r="K570" s="670" t="s">
        <v>9342</v>
      </c>
      <c r="L570" s="670" t="s">
        <v>8811</v>
      </c>
      <c r="M570" s="670" t="s">
        <v>8832</v>
      </c>
      <c r="N570" s="670"/>
    </row>
    <row r="571" spans="1:14">
      <c r="A571" s="1066"/>
      <c r="B571" s="678" t="s">
        <v>9433</v>
      </c>
      <c r="C571" s="670" t="s">
        <v>9286</v>
      </c>
      <c r="D571" s="670" t="s">
        <v>9434</v>
      </c>
      <c r="E571" s="670" t="s">
        <v>9288</v>
      </c>
      <c r="F571" s="670" t="s">
        <v>9349</v>
      </c>
      <c r="G571" s="671"/>
      <c r="H571" s="671">
        <v>223519</v>
      </c>
      <c r="I571" s="671"/>
      <c r="J571" s="671">
        <v>20000</v>
      </c>
      <c r="K571" s="670" t="s">
        <v>9435</v>
      </c>
      <c r="L571" s="670" t="s">
        <v>8811</v>
      </c>
      <c r="M571" s="670" t="s">
        <v>8832</v>
      </c>
      <c r="N571" s="670"/>
    </row>
    <row r="572" spans="1:14">
      <c r="A572" s="1066"/>
      <c r="B572" s="678" t="s">
        <v>9436</v>
      </c>
      <c r="C572" s="670" t="s">
        <v>9286</v>
      </c>
      <c r="D572" s="670" t="s">
        <v>9327</v>
      </c>
      <c r="E572" s="670" t="s">
        <v>9288</v>
      </c>
      <c r="F572" s="670" t="s">
        <v>9397</v>
      </c>
      <c r="G572" s="671"/>
      <c r="H572" s="671">
        <v>50172.08</v>
      </c>
      <c r="I572" s="671"/>
      <c r="J572" s="671">
        <v>15000</v>
      </c>
      <c r="K572" s="670" t="s">
        <v>9290</v>
      </c>
      <c r="L572" s="670" t="s">
        <v>8811</v>
      </c>
      <c r="M572" s="670" t="s">
        <v>8832</v>
      </c>
      <c r="N572" s="670"/>
    </row>
    <row r="573" spans="1:14">
      <c r="A573" s="1066"/>
      <c r="B573" s="678" t="s">
        <v>9437</v>
      </c>
      <c r="C573" s="670" t="s">
        <v>9286</v>
      </c>
      <c r="D573" s="670" t="s">
        <v>9296</v>
      </c>
      <c r="E573" s="670" t="s">
        <v>9288</v>
      </c>
      <c r="F573" s="670" t="s">
        <v>9438</v>
      </c>
      <c r="G573" s="671"/>
      <c r="H573" s="671">
        <v>200000</v>
      </c>
      <c r="I573" s="671"/>
      <c r="J573" s="671">
        <v>9950</v>
      </c>
      <c r="K573" s="670" t="s">
        <v>9298</v>
      </c>
      <c r="L573" s="670" t="s">
        <v>8811</v>
      </c>
      <c r="M573" s="670" t="s">
        <v>9299</v>
      </c>
      <c r="N573" s="670"/>
    </row>
    <row r="574" spans="1:14">
      <c r="A574" s="1066"/>
      <c r="B574" s="678" t="s">
        <v>3220</v>
      </c>
      <c r="C574" s="670" t="s">
        <v>9286</v>
      </c>
      <c r="D574" s="670" t="s">
        <v>9439</v>
      </c>
      <c r="E574" s="670" t="s">
        <v>9288</v>
      </c>
      <c r="F574" s="670" t="s">
        <v>9440</v>
      </c>
      <c r="G574" s="671"/>
      <c r="H574" s="671">
        <v>7000</v>
      </c>
      <c r="I574" s="671"/>
      <c r="J574" s="671">
        <v>7000</v>
      </c>
      <c r="K574" s="670" t="s">
        <v>9356</v>
      </c>
      <c r="L574" s="670" t="s">
        <v>8811</v>
      </c>
      <c r="M574" s="670" t="s">
        <v>8832</v>
      </c>
      <c r="N574" s="670"/>
    </row>
    <row r="575" spans="1:14">
      <c r="A575" s="1066"/>
      <c r="B575" s="678" t="s">
        <v>9441</v>
      </c>
      <c r="C575" s="670" t="s">
        <v>9286</v>
      </c>
      <c r="D575" s="670" t="s">
        <v>9442</v>
      </c>
      <c r="E575" s="670" t="s">
        <v>9288</v>
      </c>
      <c r="F575" s="670" t="s">
        <v>9443</v>
      </c>
      <c r="G575" s="671"/>
      <c r="H575" s="671">
        <v>375740</v>
      </c>
      <c r="I575" s="671"/>
      <c r="J575" s="671">
        <v>8000</v>
      </c>
      <c r="K575" s="670" t="s">
        <v>9444</v>
      </c>
      <c r="L575" s="670" t="s">
        <v>8811</v>
      </c>
      <c r="M575" s="670" t="s">
        <v>8832</v>
      </c>
      <c r="N575" s="670"/>
    </row>
    <row r="576" spans="1:14">
      <c r="A576" s="1066"/>
      <c r="B576" s="678" t="s">
        <v>9441</v>
      </c>
      <c r="C576" s="670" t="s">
        <v>9286</v>
      </c>
      <c r="D576" s="670" t="s">
        <v>9329</v>
      </c>
      <c r="E576" s="670" t="s">
        <v>9288</v>
      </c>
      <c r="F576" s="670" t="s">
        <v>9349</v>
      </c>
      <c r="G576" s="671"/>
      <c r="H576" s="671">
        <v>188150.2</v>
      </c>
      <c r="I576" s="671"/>
      <c r="J576" s="671">
        <v>8000</v>
      </c>
      <c r="K576" s="670" t="s">
        <v>9393</v>
      </c>
      <c r="L576" s="670" t="s">
        <v>8811</v>
      </c>
      <c r="M576" s="670" t="s">
        <v>8832</v>
      </c>
      <c r="N576" s="670"/>
    </row>
    <row r="577" spans="1:14">
      <c r="A577" s="1066"/>
      <c r="B577" s="678" t="s">
        <v>9441</v>
      </c>
      <c r="C577" s="670" t="s">
        <v>9286</v>
      </c>
      <c r="D577" s="670" t="s">
        <v>9445</v>
      </c>
      <c r="E577" s="670" t="s">
        <v>9288</v>
      </c>
      <c r="F577" s="670" t="s">
        <v>9397</v>
      </c>
      <c r="G577" s="671"/>
      <c r="H577" s="671">
        <v>48652.36</v>
      </c>
      <c r="I577" s="671"/>
      <c r="J577" s="671">
        <v>8000</v>
      </c>
      <c r="K577" s="670" t="s">
        <v>9290</v>
      </c>
      <c r="L577" s="670" t="s">
        <v>8811</v>
      </c>
      <c r="M577" s="670" t="s">
        <v>8832</v>
      </c>
      <c r="N577" s="670"/>
    </row>
    <row r="578" spans="1:14">
      <c r="A578" s="1066"/>
      <c r="B578" s="678" t="s">
        <v>9441</v>
      </c>
      <c r="C578" s="670" t="s">
        <v>9286</v>
      </c>
      <c r="D578" s="670" t="s">
        <v>9446</v>
      </c>
      <c r="E578" s="670" t="s">
        <v>9288</v>
      </c>
      <c r="F578" s="670" t="s">
        <v>9447</v>
      </c>
      <c r="G578" s="671"/>
      <c r="H578" s="671">
        <v>48000</v>
      </c>
      <c r="I578" s="671"/>
      <c r="J578" s="671">
        <v>8000</v>
      </c>
      <c r="K578" s="670" t="s">
        <v>9448</v>
      </c>
      <c r="L578" s="670" t="s">
        <v>8811</v>
      </c>
      <c r="M578" s="670" t="s">
        <v>8832</v>
      </c>
      <c r="N578" s="670"/>
    </row>
    <row r="579" spans="1:14">
      <c r="A579" s="1066"/>
      <c r="B579" s="678" t="s">
        <v>9449</v>
      </c>
      <c r="C579" s="670" t="s">
        <v>9286</v>
      </c>
      <c r="D579" s="670" t="s">
        <v>9336</v>
      </c>
      <c r="E579" s="670" t="s">
        <v>9288</v>
      </c>
      <c r="F579" s="670" t="s">
        <v>9447</v>
      </c>
      <c r="G579" s="671"/>
      <c r="H579" s="671">
        <v>6000</v>
      </c>
      <c r="I579" s="671"/>
      <c r="J579" s="671">
        <v>6000</v>
      </c>
      <c r="K579" s="670" t="s">
        <v>9338</v>
      </c>
      <c r="L579" s="670" t="s">
        <v>8811</v>
      </c>
      <c r="M579" s="670" t="s">
        <v>8832</v>
      </c>
      <c r="N579" s="670"/>
    </row>
    <row r="580" spans="1:14">
      <c r="A580" s="1066"/>
      <c r="B580" s="678" t="s">
        <v>9449</v>
      </c>
      <c r="C580" s="670" t="s">
        <v>9286</v>
      </c>
      <c r="D580" s="670" t="s">
        <v>9378</v>
      </c>
      <c r="E580" s="670" t="s">
        <v>9288</v>
      </c>
      <c r="F580" s="670" t="s">
        <v>9349</v>
      </c>
      <c r="G580" s="671"/>
      <c r="H580" s="671">
        <v>162077.5</v>
      </c>
      <c r="I580" s="671"/>
      <c r="J580" s="671">
        <v>8000</v>
      </c>
      <c r="K580" s="670" t="s">
        <v>9381</v>
      </c>
      <c r="L580" s="670" t="s">
        <v>8811</v>
      </c>
      <c r="M580" s="670" t="s">
        <v>8832</v>
      </c>
      <c r="N580" s="670"/>
    </row>
    <row r="581" spans="1:14">
      <c r="A581" s="1066"/>
      <c r="B581" s="678" t="s">
        <v>9449</v>
      </c>
      <c r="C581" s="670" t="s">
        <v>9286</v>
      </c>
      <c r="D581" s="670" t="s">
        <v>9450</v>
      </c>
      <c r="E581" s="670" t="s">
        <v>9288</v>
      </c>
      <c r="F581" s="670" t="s">
        <v>9451</v>
      </c>
      <c r="G581" s="671"/>
      <c r="H581" s="671">
        <v>77498.880000000005</v>
      </c>
      <c r="I581" s="671"/>
      <c r="J581" s="671">
        <v>8000</v>
      </c>
      <c r="K581" s="670" t="s">
        <v>9452</v>
      </c>
      <c r="L581" s="670" t="s">
        <v>8811</v>
      </c>
      <c r="M581" s="670" t="s">
        <v>8832</v>
      </c>
      <c r="N581" s="670"/>
    </row>
    <row r="582" spans="1:14">
      <c r="A582" s="1066"/>
      <c r="B582" s="678" t="s">
        <v>9449</v>
      </c>
      <c r="C582" s="670" t="s">
        <v>9286</v>
      </c>
      <c r="D582" s="670" t="s">
        <v>9453</v>
      </c>
      <c r="E582" s="670" t="s">
        <v>9288</v>
      </c>
      <c r="F582" s="670" t="s">
        <v>9349</v>
      </c>
      <c r="G582" s="671"/>
      <c r="H582" s="671">
        <v>189335.7</v>
      </c>
      <c r="I582" s="671"/>
      <c r="J582" s="671">
        <v>8000</v>
      </c>
      <c r="K582" s="670" t="s">
        <v>9352</v>
      </c>
      <c r="L582" s="670" t="s">
        <v>8811</v>
      </c>
      <c r="M582" s="670" t="s">
        <v>8832</v>
      </c>
      <c r="N582" s="670"/>
    </row>
    <row r="583" spans="1:14">
      <c r="A583" s="1066"/>
      <c r="B583" s="678" t="s">
        <v>9449</v>
      </c>
      <c r="C583" s="670" t="s">
        <v>9286</v>
      </c>
      <c r="D583" s="670" t="s">
        <v>9318</v>
      </c>
      <c r="E583" s="670" t="s">
        <v>9288</v>
      </c>
      <c r="F583" s="670" t="s">
        <v>9405</v>
      </c>
      <c r="G583" s="671"/>
      <c r="H583" s="671">
        <v>161687.37</v>
      </c>
      <c r="I583" s="671"/>
      <c r="J583" s="671">
        <v>10000</v>
      </c>
      <c r="K583" s="670" t="s">
        <v>9371</v>
      </c>
      <c r="L583" s="670" t="s">
        <v>8811</v>
      </c>
      <c r="M583" s="670" t="s">
        <v>8832</v>
      </c>
      <c r="N583" s="670"/>
    </row>
    <row r="584" spans="1:14">
      <c r="A584" s="1066"/>
      <c r="B584" s="678" t="s">
        <v>9449</v>
      </c>
      <c r="C584" s="670" t="s">
        <v>9286</v>
      </c>
      <c r="D584" s="670" t="s">
        <v>9372</v>
      </c>
      <c r="E584" s="670" t="s">
        <v>9288</v>
      </c>
      <c r="F584" s="670" t="s">
        <v>9349</v>
      </c>
      <c r="G584" s="671"/>
      <c r="H584" s="671">
        <v>188343.1</v>
      </c>
      <c r="I584" s="671"/>
      <c r="J584" s="671">
        <v>8000</v>
      </c>
      <c r="K584" s="670" t="s">
        <v>9373</v>
      </c>
      <c r="L584" s="670" t="s">
        <v>8811</v>
      </c>
      <c r="M584" s="670" t="s">
        <v>8832</v>
      </c>
      <c r="N584" s="670"/>
    </row>
    <row r="585" spans="1:14">
      <c r="A585" s="1066"/>
      <c r="B585" s="678" t="s">
        <v>9449</v>
      </c>
      <c r="C585" s="670" t="s">
        <v>9286</v>
      </c>
      <c r="D585" s="670" t="s">
        <v>9402</v>
      </c>
      <c r="E585" s="670" t="s">
        <v>9288</v>
      </c>
      <c r="F585" s="670" t="s">
        <v>9454</v>
      </c>
      <c r="G585" s="671"/>
      <c r="H585" s="671">
        <v>180851.78</v>
      </c>
      <c r="I585" s="671"/>
      <c r="J585" s="671">
        <v>8000</v>
      </c>
      <c r="K585" s="670" t="s">
        <v>9295</v>
      </c>
      <c r="L585" s="670" t="s">
        <v>8811</v>
      </c>
      <c r="M585" s="670" t="s">
        <v>8832</v>
      </c>
      <c r="N585" s="670"/>
    </row>
    <row r="586" spans="1:14">
      <c r="A586" s="1066"/>
      <c r="B586" s="678" t="s">
        <v>9449</v>
      </c>
      <c r="C586" s="670" t="s">
        <v>9286</v>
      </c>
      <c r="D586" s="670" t="s">
        <v>9307</v>
      </c>
      <c r="E586" s="670" t="s">
        <v>9288</v>
      </c>
      <c r="F586" s="670" t="s">
        <v>9405</v>
      </c>
      <c r="G586" s="671"/>
      <c r="H586" s="671">
        <v>8000</v>
      </c>
      <c r="I586" s="671"/>
      <c r="J586" s="671">
        <v>8000</v>
      </c>
      <c r="K586" s="670" t="s">
        <v>9455</v>
      </c>
      <c r="L586" s="670" t="s">
        <v>8811</v>
      </c>
      <c r="M586" s="670" t="s">
        <v>8832</v>
      </c>
      <c r="N586" s="670"/>
    </row>
    <row r="587" spans="1:14">
      <c r="A587" s="1066"/>
      <c r="B587" s="678" t="s">
        <v>9449</v>
      </c>
      <c r="C587" s="670" t="s">
        <v>9286</v>
      </c>
      <c r="D587" s="670" t="s">
        <v>9402</v>
      </c>
      <c r="E587" s="670" t="s">
        <v>9288</v>
      </c>
      <c r="F587" s="670" t="s">
        <v>9405</v>
      </c>
      <c r="G587" s="671"/>
      <c r="H587" s="671">
        <v>184471.77</v>
      </c>
      <c r="I587" s="671"/>
      <c r="J587" s="671">
        <v>12000</v>
      </c>
      <c r="K587" s="670" t="s">
        <v>9406</v>
      </c>
      <c r="L587" s="670" t="s">
        <v>8811</v>
      </c>
      <c r="M587" s="670" t="s">
        <v>8832</v>
      </c>
      <c r="N587" s="670"/>
    </row>
    <row r="588" spans="1:14">
      <c r="A588" s="1066"/>
      <c r="B588" s="678" t="s">
        <v>9449</v>
      </c>
      <c r="C588" s="670" t="s">
        <v>9286</v>
      </c>
      <c r="D588" s="670" t="s">
        <v>9329</v>
      </c>
      <c r="E588" s="670" t="s">
        <v>9288</v>
      </c>
      <c r="F588" s="670" t="s">
        <v>9349</v>
      </c>
      <c r="G588" s="671"/>
      <c r="H588" s="671">
        <v>188150.2</v>
      </c>
      <c r="I588" s="671"/>
      <c r="J588" s="671">
        <v>10000</v>
      </c>
      <c r="K588" s="670" t="s">
        <v>9393</v>
      </c>
      <c r="L588" s="670" t="s">
        <v>8811</v>
      </c>
      <c r="M588" s="670" t="s">
        <v>8832</v>
      </c>
      <c r="N588" s="670"/>
    </row>
    <row r="589" spans="1:14">
      <c r="A589" s="1066"/>
      <c r="B589" s="678" t="s">
        <v>9449</v>
      </c>
      <c r="C589" s="670" t="s">
        <v>9286</v>
      </c>
      <c r="D589" s="670" t="s">
        <v>9375</v>
      </c>
      <c r="E589" s="670" t="s">
        <v>9288</v>
      </c>
      <c r="F589" s="670" t="s">
        <v>9349</v>
      </c>
      <c r="G589" s="671"/>
      <c r="H589" s="671">
        <v>189745.2</v>
      </c>
      <c r="I589" s="671"/>
      <c r="J589" s="671">
        <v>8000</v>
      </c>
      <c r="K589" s="670" t="s">
        <v>9376</v>
      </c>
      <c r="L589" s="670" t="s">
        <v>8811</v>
      </c>
      <c r="M589" s="670" t="s">
        <v>8832</v>
      </c>
      <c r="N589" s="670"/>
    </row>
    <row r="590" spans="1:14">
      <c r="A590" s="1066"/>
      <c r="B590" s="678" t="s">
        <v>9449</v>
      </c>
      <c r="C590" s="670" t="s">
        <v>9286</v>
      </c>
      <c r="D590" s="670" t="s">
        <v>9309</v>
      </c>
      <c r="E590" s="670" t="s">
        <v>9288</v>
      </c>
      <c r="F590" s="670" t="s">
        <v>9332</v>
      </c>
      <c r="G590" s="671"/>
      <c r="H590" s="671">
        <v>249707.46</v>
      </c>
      <c r="I590" s="671"/>
      <c r="J590" s="671">
        <v>6676</v>
      </c>
      <c r="K590" s="670" t="s">
        <v>9311</v>
      </c>
      <c r="L590" s="670" t="s">
        <v>8811</v>
      </c>
      <c r="M590" s="670" t="s">
        <v>8832</v>
      </c>
      <c r="N590" s="670"/>
    </row>
    <row r="591" spans="1:14">
      <c r="A591" s="1066"/>
      <c r="B591" s="678" t="s">
        <v>9449</v>
      </c>
      <c r="C591" s="670" t="s">
        <v>9286</v>
      </c>
      <c r="D591" s="670" t="s">
        <v>9456</v>
      </c>
      <c r="E591" s="670" t="s">
        <v>9288</v>
      </c>
      <c r="F591" s="670" t="s">
        <v>9374</v>
      </c>
      <c r="G591" s="671"/>
      <c r="H591" s="671">
        <v>328672.46999999997</v>
      </c>
      <c r="I591" s="671"/>
      <c r="J591" s="671">
        <v>15000</v>
      </c>
      <c r="K591" s="670" t="s">
        <v>9304</v>
      </c>
      <c r="L591" s="670" t="s">
        <v>8811</v>
      </c>
      <c r="M591" s="670" t="s">
        <v>8832</v>
      </c>
      <c r="N591" s="670"/>
    </row>
    <row r="592" spans="1:14">
      <c r="A592" s="1066"/>
      <c r="B592" s="678" t="s">
        <v>9449</v>
      </c>
      <c r="C592" s="670" t="s">
        <v>9286</v>
      </c>
      <c r="D592" s="670" t="s">
        <v>9358</v>
      </c>
      <c r="E592" s="670" t="s">
        <v>9288</v>
      </c>
      <c r="F592" s="670" t="s">
        <v>9457</v>
      </c>
      <c r="G592" s="671"/>
      <c r="H592" s="671">
        <v>68248.7</v>
      </c>
      <c r="I592" s="671"/>
      <c r="J592" s="671">
        <v>5889.37</v>
      </c>
      <c r="K592" s="670" t="s">
        <v>9086</v>
      </c>
      <c r="L592" s="670" t="s">
        <v>8811</v>
      </c>
      <c r="M592" s="670" t="s">
        <v>8832</v>
      </c>
      <c r="N592" s="670"/>
    </row>
    <row r="593" spans="1:14">
      <c r="A593" s="1066"/>
      <c r="B593" s="678" t="s">
        <v>9449</v>
      </c>
      <c r="C593" s="670" t="s">
        <v>9286</v>
      </c>
      <c r="D593" s="670" t="s">
        <v>9380</v>
      </c>
      <c r="E593" s="670" t="s">
        <v>9288</v>
      </c>
      <c r="F593" s="670" t="s">
        <v>9349</v>
      </c>
      <c r="G593" s="671"/>
      <c r="H593" s="671">
        <v>189253.95</v>
      </c>
      <c r="I593" s="671"/>
      <c r="J593" s="671">
        <v>10000</v>
      </c>
      <c r="K593" s="670" t="s">
        <v>9065</v>
      </c>
      <c r="L593" s="670" t="s">
        <v>8811</v>
      </c>
      <c r="M593" s="670" t="s">
        <v>8832</v>
      </c>
      <c r="N593" s="670"/>
    </row>
    <row r="594" spans="1:14">
      <c r="A594" s="1066"/>
      <c r="B594" s="678" t="s">
        <v>9449</v>
      </c>
      <c r="C594" s="670" t="s">
        <v>9286</v>
      </c>
      <c r="D594" s="670" t="s">
        <v>9458</v>
      </c>
      <c r="E594" s="670" t="s">
        <v>9288</v>
      </c>
      <c r="F594" s="670" t="s">
        <v>9459</v>
      </c>
      <c r="G594" s="671"/>
      <c r="H594" s="671">
        <v>172999.9</v>
      </c>
      <c r="I594" s="671"/>
      <c r="J594" s="671">
        <v>10000</v>
      </c>
      <c r="K594" s="670" t="s">
        <v>3002</v>
      </c>
      <c r="L594" s="670" t="s">
        <v>8811</v>
      </c>
      <c r="M594" s="670" t="s">
        <v>8832</v>
      </c>
      <c r="N594" s="670"/>
    </row>
    <row r="595" spans="1:14">
      <c r="A595" s="1066"/>
      <c r="B595" s="678" t="s">
        <v>9449</v>
      </c>
      <c r="C595" s="670" t="s">
        <v>9286</v>
      </c>
      <c r="D595" s="670" t="s">
        <v>9460</v>
      </c>
      <c r="E595" s="670" t="s">
        <v>9288</v>
      </c>
      <c r="F595" s="670" t="s">
        <v>9349</v>
      </c>
      <c r="G595" s="671"/>
      <c r="H595" s="671">
        <v>160894.53</v>
      </c>
      <c r="I595" s="671"/>
      <c r="J595" s="671">
        <v>8000</v>
      </c>
      <c r="K595" s="670" t="s">
        <v>9317</v>
      </c>
      <c r="L595" s="670" t="s">
        <v>8811</v>
      </c>
      <c r="M595" s="670" t="s">
        <v>8832</v>
      </c>
      <c r="N595" s="670"/>
    </row>
    <row r="596" spans="1:14">
      <c r="A596" s="1066"/>
      <c r="B596" s="678" t="s">
        <v>9449</v>
      </c>
      <c r="C596" s="670" t="s">
        <v>9286</v>
      </c>
      <c r="D596" s="670" t="s">
        <v>9315</v>
      </c>
      <c r="E596" s="670" t="s">
        <v>9288</v>
      </c>
      <c r="F596" s="670" t="s">
        <v>9461</v>
      </c>
      <c r="G596" s="671"/>
      <c r="H596" s="671">
        <v>147680.29999999999</v>
      </c>
      <c r="I596" s="671"/>
      <c r="J596" s="671">
        <v>18000</v>
      </c>
      <c r="K596" s="670" t="s">
        <v>9326</v>
      </c>
      <c r="L596" s="670" t="s">
        <v>8811</v>
      </c>
      <c r="M596" s="670" t="s">
        <v>8832</v>
      </c>
      <c r="N596" s="670"/>
    </row>
    <row r="597" spans="1:14">
      <c r="A597" s="1066"/>
      <c r="B597" s="678" t="s">
        <v>3393</v>
      </c>
      <c r="C597" s="670" t="s">
        <v>9286</v>
      </c>
      <c r="D597" s="670" t="s">
        <v>9348</v>
      </c>
      <c r="E597" s="670" t="s">
        <v>9288</v>
      </c>
      <c r="F597" s="670" t="s">
        <v>9349</v>
      </c>
      <c r="G597" s="671"/>
      <c r="H597" s="671">
        <v>191534.7</v>
      </c>
      <c r="I597" s="671"/>
      <c r="J597" s="671">
        <v>9000</v>
      </c>
      <c r="K597" s="670" t="s">
        <v>9350</v>
      </c>
      <c r="L597" s="670" t="s">
        <v>8811</v>
      </c>
      <c r="M597" s="670" t="s">
        <v>8832</v>
      </c>
      <c r="N597" s="670"/>
    </row>
    <row r="598" spans="1:14">
      <c r="A598" s="1066"/>
      <c r="B598" s="678" t="s">
        <v>3393</v>
      </c>
      <c r="C598" s="670" t="s">
        <v>9286</v>
      </c>
      <c r="D598" s="670" t="s">
        <v>9361</v>
      </c>
      <c r="E598" s="670" t="s">
        <v>9288</v>
      </c>
      <c r="F598" s="670" t="s">
        <v>9332</v>
      </c>
      <c r="G598" s="671"/>
      <c r="H598" s="671">
        <v>384012.33</v>
      </c>
      <c r="I598" s="671"/>
      <c r="J598" s="671">
        <v>9000</v>
      </c>
      <c r="K598" s="670" t="s">
        <v>9333</v>
      </c>
      <c r="L598" s="670" t="s">
        <v>8811</v>
      </c>
      <c r="M598" s="670" t="s">
        <v>8832</v>
      </c>
      <c r="N598" s="670"/>
    </row>
    <row r="599" spans="1:14">
      <c r="A599" s="1066"/>
      <c r="B599" s="678" t="s">
        <v>3393</v>
      </c>
      <c r="C599" s="670" t="s">
        <v>9286</v>
      </c>
      <c r="D599" s="670" t="s">
        <v>9296</v>
      </c>
      <c r="E599" s="670" t="s">
        <v>9288</v>
      </c>
      <c r="F599" s="670" t="s">
        <v>9462</v>
      </c>
      <c r="G599" s="671"/>
      <c r="H599" s="671">
        <v>200000</v>
      </c>
      <c r="I599" s="671"/>
      <c r="J599" s="671">
        <v>8000</v>
      </c>
      <c r="K599" s="670" t="s">
        <v>9298</v>
      </c>
      <c r="L599" s="670" t="s">
        <v>8811</v>
      </c>
      <c r="M599" s="670" t="s">
        <v>8832</v>
      </c>
      <c r="N599" s="670"/>
    </row>
    <row r="600" spans="1:14">
      <c r="A600" s="1066"/>
      <c r="B600" s="678" t="s">
        <v>3393</v>
      </c>
      <c r="C600" s="670" t="s">
        <v>9286</v>
      </c>
      <c r="D600" s="670" t="s">
        <v>9362</v>
      </c>
      <c r="E600" s="670" t="s">
        <v>9288</v>
      </c>
      <c r="F600" s="670" t="s">
        <v>9463</v>
      </c>
      <c r="G600" s="671"/>
      <c r="H600" s="671">
        <v>84251.32</v>
      </c>
      <c r="I600" s="671"/>
      <c r="J600" s="671">
        <v>13000</v>
      </c>
      <c r="K600" s="670" t="s">
        <v>9290</v>
      </c>
      <c r="L600" s="670" t="s">
        <v>8811</v>
      </c>
      <c r="M600" s="670" t="s">
        <v>8832</v>
      </c>
      <c r="N600" s="670"/>
    </row>
    <row r="601" spans="1:14">
      <c r="A601" s="1066"/>
      <c r="B601" s="678" t="s">
        <v>3393</v>
      </c>
      <c r="C601" s="670" t="s">
        <v>9286</v>
      </c>
      <c r="D601" s="670" t="s">
        <v>9453</v>
      </c>
      <c r="E601" s="670" t="s">
        <v>9288</v>
      </c>
      <c r="F601" s="670" t="s">
        <v>9349</v>
      </c>
      <c r="G601" s="671"/>
      <c r="H601" s="671">
        <v>189335.7</v>
      </c>
      <c r="I601" s="671"/>
      <c r="J601" s="671">
        <v>10000</v>
      </c>
      <c r="K601" s="670" t="s">
        <v>9352</v>
      </c>
      <c r="L601" s="670" t="s">
        <v>8811</v>
      </c>
      <c r="M601" s="670" t="s">
        <v>8832</v>
      </c>
      <c r="N601" s="670"/>
    </row>
    <row r="602" spans="1:14">
      <c r="A602" s="1066"/>
      <c r="B602" s="678" t="s">
        <v>3393</v>
      </c>
      <c r="C602" s="670" t="s">
        <v>9286</v>
      </c>
      <c r="D602" s="670" t="s">
        <v>9302</v>
      </c>
      <c r="E602" s="670" t="s">
        <v>9288</v>
      </c>
      <c r="F602" s="670" t="s">
        <v>9374</v>
      </c>
      <c r="G602" s="671"/>
      <c r="H602" s="671">
        <v>328672.46999999997</v>
      </c>
      <c r="I602" s="671"/>
      <c r="J602" s="671">
        <v>12000</v>
      </c>
      <c r="K602" s="670" t="s">
        <v>9304</v>
      </c>
      <c r="L602" s="670" t="s">
        <v>8811</v>
      </c>
      <c r="M602" s="670" t="s">
        <v>8832</v>
      </c>
      <c r="N602" s="670"/>
    </row>
    <row r="603" spans="1:14">
      <c r="A603" s="1066"/>
      <c r="B603" s="678" t="s">
        <v>3393</v>
      </c>
      <c r="C603" s="670" t="s">
        <v>9286</v>
      </c>
      <c r="D603" s="670" t="s">
        <v>9464</v>
      </c>
      <c r="E603" s="670" t="s">
        <v>9288</v>
      </c>
      <c r="F603" s="670" t="s">
        <v>9368</v>
      </c>
      <c r="G603" s="671"/>
      <c r="H603" s="671">
        <v>143100</v>
      </c>
      <c r="I603" s="671"/>
      <c r="J603" s="671">
        <v>8000</v>
      </c>
      <c r="K603" s="670" t="s">
        <v>9290</v>
      </c>
      <c r="L603" s="670" t="s">
        <v>8811</v>
      </c>
      <c r="M603" s="670" t="s">
        <v>8832</v>
      </c>
      <c r="N603" s="670"/>
    </row>
    <row r="604" spans="1:14">
      <c r="A604" s="1066"/>
      <c r="B604" s="678" t="s">
        <v>3393</v>
      </c>
      <c r="C604" s="670" t="s">
        <v>9286</v>
      </c>
      <c r="D604" s="670" t="s">
        <v>9336</v>
      </c>
      <c r="E604" s="670" t="s">
        <v>9288</v>
      </c>
      <c r="F604" s="670" t="s">
        <v>9349</v>
      </c>
      <c r="G604" s="671"/>
      <c r="H604" s="671">
        <v>171908.56</v>
      </c>
      <c r="I604" s="671"/>
      <c r="J604" s="671">
        <v>13000</v>
      </c>
      <c r="K604" s="670" t="s">
        <v>9338</v>
      </c>
      <c r="L604" s="670" t="s">
        <v>8811</v>
      </c>
      <c r="M604" s="670" t="s">
        <v>8832</v>
      </c>
      <c r="N604" s="670"/>
    </row>
    <row r="605" spans="1:14">
      <c r="A605" s="1066"/>
      <c r="B605" s="678" t="s">
        <v>3393</v>
      </c>
      <c r="C605" s="670" t="s">
        <v>9286</v>
      </c>
      <c r="D605" s="670" t="s">
        <v>9465</v>
      </c>
      <c r="E605" s="670" t="s">
        <v>9288</v>
      </c>
      <c r="F605" s="670" t="s">
        <v>9349</v>
      </c>
      <c r="G605" s="671"/>
      <c r="H605" s="671">
        <v>264035.57</v>
      </c>
      <c r="I605" s="671"/>
      <c r="J605" s="671">
        <v>13000</v>
      </c>
      <c r="K605" s="670" t="s">
        <v>9393</v>
      </c>
      <c r="L605" s="670" t="s">
        <v>8811</v>
      </c>
      <c r="M605" s="670" t="s">
        <v>8832</v>
      </c>
      <c r="N605" s="670"/>
    </row>
    <row r="606" spans="1:14">
      <c r="A606" s="1066"/>
      <c r="B606" s="678" t="s">
        <v>3393</v>
      </c>
      <c r="C606" s="670" t="s">
        <v>9286</v>
      </c>
      <c r="D606" s="670" t="s">
        <v>9375</v>
      </c>
      <c r="E606" s="670" t="s">
        <v>9288</v>
      </c>
      <c r="F606" s="670" t="s">
        <v>9349</v>
      </c>
      <c r="G606" s="671"/>
      <c r="H606" s="671">
        <v>186843.9</v>
      </c>
      <c r="I606" s="671"/>
      <c r="J606" s="671">
        <v>11000</v>
      </c>
      <c r="K606" s="670" t="s">
        <v>9409</v>
      </c>
      <c r="L606" s="670" t="s">
        <v>8811</v>
      </c>
      <c r="M606" s="670" t="s">
        <v>8832</v>
      </c>
      <c r="N606" s="670"/>
    </row>
    <row r="607" spans="1:14">
      <c r="A607" s="1066"/>
      <c r="B607" s="678" t="s">
        <v>3393</v>
      </c>
      <c r="C607" s="670" t="s">
        <v>9286</v>
      </c>
      <c r="D607" s="670" t="s">
        <v>9466</v>
      </c>
      <c r="E607" s="670" t="s">
        <v>9288</v>
      </c>
      <c r="F607" s="670" t="s">
        <v>9349</v>
      </c>
      <c r="G607" s="671"/>
      <c r="H607" s="671">
        <v>194390.3</v>
      </c>
      <c r="I607" s="671"/>
      <c r="J607" s="671">
        <v>13000</v>
      </c>
      <c r="K607" s="670" t="s">
        <v>9467</v>
      </c>
      <c r="L607" s="670" t="s">
        <v>8811</v>
      </c>
      <c r="M607" s="670" t="s">
        <v>8832</v>
      </c>
      <c r="N607" s="670"/>
    </row>
    <row r="608" spans="1:14">
      <c r="A608" s="1066"/>
      <c r="B608" s="678" t="s">
        <v>3393</v>
      </c>
      <c r="C608" s="670" t="s">
        <v>9286</v>
      </c>
      <c r="D608" s="670" t="s">
        <v>9307</v>
      </c>
      <c r="E608" s="670" t="s">
        <v>9288</v>
      </c>
      <c r="F608" s="670" t="s">
        <v>9421</v>
      </c>
      <c r="G608" s="671"/>
      <c r="H608" s="671">
        <v>946315.5</v>
      </c>
      <c r="I608" s="671"/>
      <c r="J608" s="671">
        <v>100000</v>
      </c>
      <c r="K608" s="670" t="s">
        <v>9422</v>
      </c>
      <c r="L608" s="670" t="s">
        <v>8811</v>
      </c>
      <c r="M608" s="670" t="s">
        <v>8832</v>
      </c>
      <c r="N608" s="670"/>
    </row>
    <row r="609" spans="1:14">
      <c r="A609" s="1066"/>
      <c r="B609" s="678" t="s">
        <v>8582</v>
      </c>
      <c r="C609" s="670" t="s">
        <v>9364</v>
      </c>
      <c r="D609" s="670" t="s">
        <v>9315</v>
      </c>
      <c r="E609" s="670" t="s">
        <v>9279</v>
      </c>
      <c r="F609" s="670" t="s">
        <v>9279</v>
      </c>
      <c r="G609" s="671"/>
      <c r="H609" s="671" t="s">
        <v>1921</v>
      </c>
      <c r="I609" s="671"/>
      <c r="J609" s="671">
        <v>78420</v>
      </c>
      <c r="K609" s="670" t="s">
        <v>1234</v>
      </c>
      <c r="L609" s="670" t="s">
        <v>9365</v>
      </c>
      <c r="M609" s="670" t="s">
        <v>9366</v>
      </c>
      <c r="N609" s="670"/>
    </row>
    <row r="610" spans="1:14">
      <c r="A610" s="1066"/>
      <c r="B610" s="678" t="s">
        <v>9468</v>
      </c>
      <c r="C610" s="670" t="s">
        <v>9384</v>
      </c>
      <c r="D610" s="670" t="s">
        <v>14</v>
      </c>
      <c r="E610" s="670" t="s">
        <v>9288</v>
      </c>
      <c r="F610" s="670" t="s">
        <v>9385</v>
      </c>
      <c r="G610" s="671"/>
      <c r="H610" s="671" t="s">
        <v>1921</v>
      </c>
      <c r="I610" s="671"/>
      <c r="J610" s="671">
        <v>9900</v>
      </c>
      <c r="K610" s="670" t="s">
        <v>9283</v>
      </c>
      <c r="L610" s="670" t="s">
        <v>8811</v>
      </c>
      <c r="M610" s="670" t="s">
        <v>8832</v>
      </c>
      <c r="N610" s="670"/>
    </row>
    <row r="611" spans="1:14">
      <c r="A611" s="1066"/>
      <c r="B611" s="678" t="s">
        <v>9468</v>
      </c>
      <c r="C611" s="670" t="s">
        <v>9384</v>
      </c>
      <c r="D611" s="670" t="s">
        <v>14</v>
      </c>
      <c r="E611" s="670" t="s">
        <v>9288</v>
      </c>
      <c r="F611" s="670" t="s">
        <v>9385</v>
      </c>
      <c r="G611" s="671"/>
      <c r="H611" s="671" t="s">
        <v>1921</v>
      </c>
      <c r="I611" s="671"/>
      <c r="J611" s="671">
        <v>9000</v>
      </c>
      <c r="K611" s="670" t="s">
        <v>9283</v>
      </c>
      <c r="L611" s="670" t="s">
        <v>8811</v>
      </c>
      <c r="M611" s="670" t="s">
        <v>8832</v>
      </c>
      <c r="N611" s="670"/>
    </row>
    <row r="612" spans="1:14">
      <c r="A612" s="1066"/>
      <c r="B612" s="678" t="s">
        <v>9468</v>
      </c>
      <c r="C612" s="670" t="s">
        <v>9384</v>
      </c>
      <c r="D612" s="670" t="s">
        <v>14</v>
      </c>
      <c r="E612" s="670" t="s">
        <v>9288</v>
      </c>
      <c r="F612" s="670" t="s">
        <v>9385</v>
      </c>
      <c r="G612" s="671"/>
      <c r="H612" s="671" t="s">
        <v>1921</v>
      </c>
      <c r="I612" s="671"/>
      <c r="J612" s="671">
        <v>6100</v>
      </c>
      <c r="K612" s="670" t="s">
        <v>9283</v>
      </c>
      <c r="L612" s="670" t="s">
        <v>8811</v>
      </c>
      <c r="M612" s="670" t="s">
        <v>8832</v>
      </c>
      <c r="N612" s="670"/>
    </row>
    <row r="613" spans="1:14">
      <c r="A613" s="1066"/>
      <c r="B613" s="678" t="s">
        <v>9469</v>
      </c>
      <c r="C613" s="670" t="s">
        <v>9286</v>
      </c>
      <c r="D613" s="670" t="s">
        <v>9313</v>
      </c>
      <c r="E613" s="670" t="s">
        <v>9288</v>
      </c>
      <c r="F613" s="670" t="s">
        <v>9374</v>
      </c>
      <c r="G613" s="671"/>
      <c r="H613" s="671">
        <v>928267.74</v>
      </c>
      <c r="I613" s="671"/>
      <c r="J613" s="671">
        <v>12000</v>
      </c>
      <c r="K613" s="670" t="s">
        <v>9314</v>
      </c>
      <c r="L613" s="670" t="s">
        <v>8811</v>
      </c>
      <c r="M613" s="670" t="s">
        <v>8832</v>
      </c>
      <c r="N613" s="670"/>
    </row>
    <row r="614" spans="1:14">
      <c r="A614" s="1066"/>
      <c r="B614" s="678" t="s">
        <v>9469</v>
      </c>
      <c r="C614" s="670" t="s">
        <v>9286</v>
      </c>
      <c r="D614" s="670" t="s">
        <v>9315</v>
      </c>
      <c r="E614" s="670" t="s">
        <v>9288</v>
      </c>
      <c r="F614" s="670" t="s">
        <v>9470</v>
      </c>
      <c r="G614" s="671"/>
      <c r="H614" s="671">
        <v>245277.22</v>
      </c>
      <c r="I614" s="671"/>
      <c r="J614" s="671">
        <v>24000</v>
      </c>
      <c r="K614" s="670" t="s">
        <v>9003</v>
      </c>
      <c r="L614" s="670" t="s">
        <v>8811</v>
      </c>
      <c r="M614" s="670" t="s">
        <v>8832</v>
      </c>
      <c r="N614" s="670"/>
    </row>
    <row r="615" spans="1:14">
      <c r="A615" s="1066"/>
      <c r="B615" s="678" t="s">
        <v>3758</v>
      </c>
      <c r="C615" s="670" t="s">
        <v>9286</v>
      </c>
      <c r="D615" s="670" t="s">
        <v>9348</v>
      </c>
      <c r="E615" s="670" t="s">
        <v>9288</v>
      </c>
      <c r="F615" s="670" t="s">
        <v>9349</v>
      </c>
      <c r="G615" s="671"/>
      <c r="H615" s="671">
        <v>191534.7</v>
      </c>
      <c r="I615" s="671"/>
      <c r="J615" s="671">
        <v>12000</v>
      </c>
      <c r="K615" s="670" t="s">
        <v>9350</v>
      </c>
      <c r="L615" s="670" t="s">
        <v>8811</v>
      </c>
      <c r="M615" s="670" t="s">
        <v>8832</v>
      </c>
      <c r="N615" s="670"/>
    </row>
    <row r="616" spans="1:14">
      <c r="A616" s="1066"/>
      <c r="B616" s="678" t="s">
        <v>3758</v>
      </c>
      <c r="C616" s="670" t="s">
        <v>9286</v>
      </c>
      <c r="D616" s="670" t="s">
        <v>9372</v>
      </c>
      <c r="E616" s="670" t="s">
        <v>9288</v>
      </c>
      <c r="F616" s="670" t="s">
        <v>9349</v>
      </c>
      <c r="G616" s="671"/>
      <c r="H616" s="671">
        <v>188343.1</v>
      </c>
      <c r="I616" s="671"/>
      <c r="J616" s="671">
        <v>1500</v>
      </c>
      <c r="K616" s="670" t="s">
        <v>9373</v>
      </c>
      <c r="L616" s="670" t="s">
        <v>8811</v>
      </c>
      <c r="M616" s="670" t="s">
        <v>8832</v>
      </c>
      <c r="N616" s="670"/>
    </row>
    <row r="617" spans="1:14">
      <c r="A617" s="1066"/>
      <c r="B617" s="678" t="s">
        <v>9471</v>
      </c>
      <c r="C617" s="670" t="s">
        <v>9286</v>
      </c>
      <c r="D617" s="670" t="s">
        <v>9296</v>
      </c>
      <c r="E617" s="670" t="s">
        <v>9288</v>
      </c>
      <c r="F617" s="670" t="s">
        <v>9297</v>
      </c>
      <c r="G617" s="671"/>
      <c r="H617" s="671">
        <v>200000</v>
      </c>
      <c r="I617" s="671"/>
      <c r="J617" s="671">
        <v>9000</v>
      </c>
      <c r="K617" s="670" t="s">
        <v>9298</v>
      </c>
      <c r="L617" s="670" t="s">
        <v>8811</v>
      </c>
      <c r="M617" s="670" t="s">
        <v>8832</v>
      </c>
      <c r="N617" s="670"/>
    </row>
    <row r="618" spans="1:14">
      <c r="A618" s="1066"/>
      <c r="B618" s="678" t="s">
        <v>9471</v>
      </c>
      <c r="C618" s="670" t="s">
        <v>9286</v>
      </c>
      <c r="D618" s="670" t="s">
        <v>9362</v>
      </c>
      <c r="E618" s="670" t="s">
        <v>9288</v>
      </c>
      <c r="F618" s="670" t="s">
        <v>9391</v>
      </c>
      <c r="G618" s="671"/>
      <c r="H618" s="671">
        <v>98690.5</v>
      </c>
      <c r="I618" s="671"/>
      <c r="J618" s="671">
        <v>26400</v>
      </c>
      <c r="K618" s="670" t="s">
        <v>9290</v>
      </c>
      <c r="L618" s="670" t="s">
        <v>8811</v>
      </c>
      <c r="M618" s="670" t="s">
        <v>8832</v>
      </c>
      <c r="N618" s="670"/>
    </row>
    <row r="619" spans="1:14">
      <c r="A619" s="1066"/>
      <c r="B619" s="678" t="s">
        <v>9471</v>
      </c>
      <c r="C619" s="670" t="s">
        <v>9286</v>
      </c>
      <c r="D619" s="670" t="s">
        <v>9402</v>
      </c>
      <c r="E619" s="670" t="s">
        <v>9288</v>
      </c>
      <c r="F619" s="670" t="s">
        <v>9349</v>
      </c>
      <c r="G619" s="671"/>
      <c r="H619" s="671">
        <v>154843.1</v>
      </c>
      <c r="I619" s="671"/>
      <c r="J619" s="671">
        <v>20000</v>
      </c>
      <c r="K619" s="670" t="s">
        <v>9393</v>
      </c>
      <c r="L619" s="670" t="s">
        <v>8811</v>
      </c>
      <c r="M619" s="670" t="s">
        <v>8832</v>
      </c>
      <c r="N619" s="670"/>
    </row>
    <row r="620" spans="1:14">
      <c r="A620" s="1066"/>
      <c r="B620" s="678" t="s">
        <v>9472</v>
      </c>
      <c r="C620" s="670" t="s">
        <v>9286</v>
      </c>
      <c r="D620" s="670" t="s">
        <v>9361</v>
      </c>
      <c r="E620" s="670" t="s">
        <v>9288</v>
      </c>
      <c r="F620" s="670" t="s">
        <v>9332</v>
      </c>
      <c r="G620" s="671"/>
      <c r="H620" s="671">
        <v>384012.33</v>
      </c>
      <c r="I620" s="671"/>
      <c r="J620" s="671">
        <v>8000</v>
      </c>
      <c r="K620" s="670" t="s">
        <v>9333</v>
      </c>
      <c r="L620" s="670" t="s">
        <v>8811</v>
      </c>
      <c r="M620" s="670" t="s">
        <v>8832</v>
      </c>
      <c r="N620" s="670"/>
    </row>
    <row r="621" spans="1:14">
      <c r="A621" s="1066"/>
      <c r="B621" s="678" t="s">
        <v>9472</v>
      </c>
      <c r="C621" s="670" t="s">
        <v>9426</v>
      </c>
      <c r="D621" s="670" t="s">
        <v>9411</v>
      </c>
      <c r="E621" s="670" t="s">
        <v>9288</v>
      </c>
      <c r="F621" s="670" t="s">
        <v>9473</v>
      </c>
      <c r="G621" s="671"/>
      <c r="H621" s="671">
        <v>20600</v>
      </c>
      <c r="I621" s="671"/>
      <c r="J621" s="671">
        <v>20600</v>
      </c>
      <c r="K621" s="670" t="s">
        <v>9474</v>
      </c>
      <c r="L621" s="670" t="s">
        <v>8811</v>
      </c>
      <c r="M621" s="670" t="s">
        <v>8832</v>
      </c>
      <c r="N621" s="670"/>
    </row>
    <row r="622" spans="1:14">
      <c r="A622" s="1066"/>
      <c r="B622" s="678" t="s">
        <v>9472</v>
      </c>
      <c r="C622" s="670" t="s">
        <v>9286</v>
      </c>
      <c r="D622" s="670" t="s">
        <v>9475</v>
      </c>
      <c r="E622" s="670" t="s">
        <v>9288</v>
      </c>
      <c r="F622" s="670" t="s">
        <v>9374</v>
      </c>
      <c r="G622" s="671"/>
      <c r="H622" s="671">
        <v>375740</v>
      </c>
      <c r="I622" s="671"/>
      <c r="J622" s="671">
        <v>14000</v>
      </c>
      <c r="K622" s="670" t="s">
        <v>9444</v>
      </c>
      <c r="L622" s="670" t="s">
        <v>8811</v>
      </c>
      <c r="M622" s="670" t="s">
        <v>8832</v>
      </c>
      <c r="N622" s="670"/>
    </row>
    <row r="623" spans="1:14">
      <c r="A623" s="1066"/>
      <c r="B623" s="678" t="s">
        <v>9472</v>
      </c>
      <c r="C623" s="670" t="s">
        <v>9286</v>
      </c>
      <c r="D623" s="670" t="s">
        <v>9464</v>
      </c>
      <c r="E623" s="670" t="s">
        <v>9288</v>
      </c>
      <c r="F623" s="670" t="s">
        <v>9368</v>
      </c>
      <c r="G623" s="671"/>
      <c r="H623" s="671">
        <v>204476</v>
      </c>
      <c r="I623" s="671"/>
      <c r="J623" s="671">
        <v>15600</v>
      </c>
      <c r="K623" s="670" t="s">
        <v>9290</v>
      </c>
      <c r="L623" s="670" t="s">
        <v>8811</v>
      </c>
      <c r="M623" s="670" t="s">
        <v>8832</v>
      </c>
      <c r="N623" s="670"/>
    </row>
    <row r="624" spans="1:14">
      <c r="A624" s="1066"/>
      <c r="B624" s="678" t="s">
        <v>9472</v>
      </c>
      <c r="C624" s="670" t="s">
        <v>9286</v>
      </c>
      <c r="D624" s="670" t="s">
        <v>9329</v>
      </c>
      <c r="E624" s="670" t="s">
        <v>9288</v>
      </c>
      <c r="F624" s="670" t="s">
        <v>9349</v>
      </c>
      <c r="G624" s="671"/>
      <c r="H624" s="671">
        <v>196529</v>
      </c>
      <c r="I624" s="671"/>
      <c r="J624" s="671">
        <v>25000</v>
      </c>
      <c r="K624" s="670" t="s">
        <v>9331</v>
      </c>
      <c r="L624" s="670" t="s">
        <v>8811</v>
      </c>
      <c r="M624" s="670" t="s">
        <v>8832</v>
      </c>
      <c r="N624" s="670"/>
    </row>
    <row r="625" spans="1:14">
      <c r="A625" s="1066"/>
      <c r="B625" s="678" t="s">
        <v>9472</v>
      </c>
      <c r="C625" s="670" t="s">
        <v>9286</v>
      </c>
      <c r="D625" s="670" t="s">
        <v>9362</v>
      </c>
      <c r="E625" s="670" t="s">
        <v>9288</v>
      </c>
      <c r="F625" s="670" t="s">
        <v>9388</v>
      </c>
      <c r="G625" s="671"/>
      <c r="H625" s="671">
        <v>299024.11</v>
      </c>
      <c r="I625" s="671"/>
      <c r="J625" s="671">
        <v>40000</v>
      </c>
      <c r="K625" s="670" t="s">
        <v>9476</v>
      </c>
      <c r="L625" s="670" t="s">
        <v>8811</v>
      </c>
      <c r="M625" s="670" t="s">
        <v>8832</v>
      </c>
      <c r="N625" s="670"/>
    </row>
    <row r="626" spans="1:14">
      <c r="A626" s="1066"/>
      <c r="B626" s="678" t="s">
        <v>9477</v>
      </c>
      <c r="C626" s="670" t="s">
        <v>9286</v>
      </c>
      <c r="D626" s="670" t="s">
        <v>9296</v>
      </c>
      <c r="E626" s="670" t="s">
        <v>9288</v>
      </c>
      <c r="F626" s="670" t="s">
        <v>9478</v>
      </c>
      <c r="G626" s="671"/>
      <c r="H626" s="671">
        <v>200000</v>
      </c>
      <c r="I626" s="671"/>
      <c r="J626" s="671">
        <v>9500</v>
      </c>
      <c r="K626" s="670" t="s">
        <v>9298</v>
      </c>
      <c r="L626" s="670" t="s">
        <v>8811</v>
      </c>
      <c r="M626" s="670" t="s">
        <v>9299</v>
      </c>
      <c r="N626" s="670"/>
    </row>
    <row r="627" spans="1:14">
      <c r="A627" s="1066"/>
      <c r="B627" s="678" t="s">
        <v>9477</v>
      </c>
      <c r="C627" s="670" t="s">
        <v>9286</v>
      </c>
      <c r="D627" s="670" t="s">
        <v>9327</v>
      </c>
      <c r="E627" s="670" t="s">
        <v>9288</v>
      </c>
      <c r="F627" s="670" t="s">
        <v>9479</v>
      </c>
      <c r="G627" s="671"/>
      <c r="H627" s="671">
        <v>558742.12</v>
      </c>
      <c r="I627" s="671"/>
      <c r="J627" s="671">
        <v>13000</v>
      </c>
      <c r="K627" s="670" t="s">
        <v>9404</v>
      </c>
      <c r="L627" s="670" t="s">
        <v>8811</v>
      </c>
      <c r="M627" s="670" t="s">
        <v>8832</v>
      </c>
      <c r="N627" s="670"/>
    </row>
    <row r="628" spans="1:14">
      <c r="A628" s="1066"/>
      <c r="B628" s="678" t="s">
        <v>9477</v>
      </c>
      <c r="C628" s="670" t="s">
        <v>9286</v>
      </c>
      <c r="D628" s="670" t="s">
        <v>9362</v>
      </c>
      <c r="E628" s="670" t="s">
        <v>9288</v>
      </c>
      <c r="F628" s="670" t="s">
        <v>9480</v>
      </c>
      <c r="G628" s="671"/>
      <c r="H628" s="671">
        <v>84251.32</v>
      </c>
      <c r="I628" s="671"/>
      <c r="J628" s="671">
        <v>18000</v>
      </c>
      <c r="K628" s="670" t="s">
        <v>9290</v>
      </c>
      <c r="L628" s="670" t="s">
        <v>8811</v>
      </c>
      <c r="M628" s="670" t="s">
        <v>8832</v>
      </c>
      <c r="N628" s="670"/>
    </row>
    <row r="629" spans="1:14">
      <c r="A629" s="1066"/>
      <c r="B629" s="678" t="s">
        <v>9477</v>
      </c>
      <c r="C629" s="670" t="s">
        <v>9286</v>
      </c>
      <c r="D629" s="670" t="s">
        <v>9302</v>
      </c>
      <c r="E629" s="670" t="s">
        <v>9288</v>
      </c>
      <c r="F629" s="670" t="s">
        <v>9374</v>
      </c>
      <c r="G629" s="671"/>
      <c r="H629" s="671">
        <v>328672.46999999997</v>
      </c>
      <c r="I629" s="671"/>
      <c r="J629" s="671">
        <v>14000</v>
      </c>
      <c r="K629" s="670" t="s">
        <v>9304</v>
      </c>
      <c r="L629" s="670" t="s">
        <v>8811</v>
      </c>
      <c r="M629" s="670" t="s">
        <v>8832</v>
      </c>
      <c r="N629" s="670"/>
    </row>
    <row r="630" spans="1:14">
      <c r="A630" s="1066"/>
      <c r="B630" s="678" t="s">
        <v>9481</v>
      </c>
      <c r="C630" s="670" t="s">
        <v>9286</v>
      </c>
      <c r="D630" s="670" t="s">
        <v>9482</v>
      </c>
      <c r="E630" s="670" t="s">
        <v>9288</v>
      </c>
      <c r="F630" s="670" t="s">
        <v>9483</v>
      </c>
      <c r="G630" s="671"/>
      <c r="H630" s="671">
        <v>75943.199999999997</v>
      </c>
      <c r="I630" s="671"/>
      <c r="J630" s="671">
        <v>15000</v>
      </c>
      <c r="K630" s="670" t="s">
        <v>9304</v>
      </c>
      <c r="L630" s="670" t="s">
        <v>8811</v>
      </c>
      <c r="M630" s="670" t="s">
        <v>8832</v>
      </c>
      <c r="N630" s="670"/>
    </row>
    <row r="631" spans="1:14">
      <c r="A631" s="1066"/>
      <c r="B631" s="678" t="s">
        <v>9481</v>
      </c>
      <c r="C631" s="670" t="s">
        <v>9286</v>
      </c>
      <c r="D631" s="670" t="s">
        <v>9482</v>
      </c>
      <c r="E631" s="670" t="s">
        <v>9288</v>
      </c>
      <c r="F631" s="670" t="s">
        <v>9484</v>
      </c>
      <c r="G631" s="671"/>
      <c r="H631" s="671">
        <v>98727.24</v>
      </c>
      <c r="I631" s="671"/>
      <c r="J631" s="671">
        <v>2000</v>
      </c>
      <c r="K631" s="670" t="s">
        <v>9485</v>
      </c>
      <c r="L631" s="670" t="s">
        <v>8811</v>
      </c>
      <c r="M631" s="670" t="s">
        <v>8832</v>
      </c>
      <c r="N631" s="670"/>
    </row>
    <row r="632" spans="1:14">
      <c r="A632" s="1066"/>
      <c r="B632" s="678" t="s">
        <v>9481</v>
      </c>
      <c r="C632" s="670" t="s">
        <v>9286</v>
      </c>
      <c r="D632" s="670" t="s">
        <v>9372</v>
      </c>
      <c r="E632" s="670" t="s">
        <v>9288</v>
      </c>
      <c r="F632" s="670" t="s">
        <v>9349</v>
      </c>
      <c r="G632" s="671"/>
      <c r="H632" s="671">
        <v>188343.1</v>
      </c>
      <c r="I632" s="671"/>
      <c r="J632" s="671">
        <v>9000</v>
      </c>
      <c r="K632" s="670" t="s">
        <v>9373</v>
      </c>
      <c r="L632" s="670" t="s">
        <v>8811</v>
      </c>
      <c r="M632" s="670" t="s">
        <v>8832</v>
      </c>
      <c r="N632" s="670"/>
    </row>
    <row r="633" spans="1:14">
      <c r="A633" s="1066"/>
      <c r="B633" s="678" t="s">
        <v>9481</v>
      </c>
      <c r="C633" s="670" t="s">
        <v>9286</v>
      </c>
      <c r="D633" s="670" t="s">
        <v>9348</v>
      </c>
      <c r="E633" s="670" t="s">
        <v>9288</v>
      </c>
      <c r="F633" s="670" t="s">
        <v>9349</v>
      </c>
      <c r="G633" s="671"/>
      <c r="H633" s="671">
        <v>191534.7</v>
      </c>
      <c r="I633" s="671"/>
      <c r="J633" s="671">
        <v>10000</v>
      </c>
      <c r="K633" s="670" t="s">
        <v>9350</v>
      </c>
      <c r="L633" s="670" t="s">
        <v>8811</v>
      </c>
      <c r="M633" s="670" t="s">
        <v>8832</v>
      </c>
      <c r="N633" s="670"/>
    </row>
    <row r="634" spans="1:14">
      <c r="A634" s="1066"/>
      <c r="B634" s="678" t="s">
        <v>9481</v>
      </c>
      <c r="C634" s="670" t="s">
        <v>9286</v>
      </c>
      <c r="D634" s="670" t="s">
        <v>9315</v>
      </c>
      <c r="E634" s="670" t="s">
        <v>9288</v>
      </c>
      <c r="F634" s="670" t="s">
        <v>9486</v>
      </c>
      <c r="G634" s="671"/>
      <c r="H634" s="671">
        <v>142459.9</v>
      </c>
      <c r="I634" s="671"/>
      <c r="J634" s="671">
        <v>12000</v>
      </c>
      <c r="K634" s="670" t="s">
        <v>9324</v>
      </c>
      <c r="L634" s="670" t="s">
        <v>8811</v>
      </c>
      <c r="M634" s="670" t="s">
        <v>8832</v>
      </c>
      <c r="N634" s="670"/>
    </row>
    <row r="635" spans="1:14">
      <c r="A635" s="1066"/>
      <c r="B635" s="678" t="s">
        <v>3332</v>
      </c>
      <c r="C635" s="670" t="s">
        <v>9286</v>
      </c>
      <c r="D635" s="670" t="s">
        <v>9460</v>
      </c>
      <c r="E635" s="670" t="s">
        <v>9288</v>
      </c>
      <c r="F635" s="670" t="s">
        <v>9349</v>
      </c>
      <c r="G635" s="671"/>
      <c r="H635" s="671">
        <v>160894.53</v>
      </c>
      <c r="I635" s="671"/>
      <c r="J635" s="671">
        <v>10000</v>
      </c>
      <c r="K635" s="670" t="s">
        <v>9317</v>
      </c>
      <c r="L635" s="670" t="s">
        <v>8811</v>
      </c>
      <c r="M635" s="670" t="s">
        <v>8832</v>
      </c>
      <c r="N635" s="670"/>
    </row>
    <row r="636" spans="1:14">
      <c r="A636" s="1066"/>
      <c r="B636" s="678" t="s">
        <v>3332</v>
      </c>
      <c r="C636" s="670" t="s">
        <v>9286</v>
      </c>
      <c r="D636" s="670" t="s">
        <v>9482</v>
      </c>
      <c r="E636" s="670" t="s">
        <v>9288</v>
      </c>
      <c r="F636" s="670" t="s">
        <v>9349</v>
      </c>
      <c r="G636" s="671"/>
      <c r="H636" s="671">
        <v>154843.1</v>
      </c>
      <c r="I636" s="671"/>
      <c r="J636" s="671">
        <v>17000</v>
      </c>
      <c r="K636" s="670" t="s">
        <v>9393</v>
      </c>
      <c r="L636" s="670" t="s">
        <v>8811</v>
      </c>
      <c r="M636" s="670" t="s">
        <v>8832</v>
      </c>
      <c r="N636" s="670"/>
    </row>
    <row r="637" spans="1:14">
      <c r="A637" s="1066"/>
      <c r="B637" s="678" t="s">
        <v>3332</v>
      </c>
      <c r="C637" s="670" t="s">
        <v>9286</v>
      </c>
      <c r="D637" s="670" t="s">
        <v>9378</v>
      </c>
      <c r="E637" s="670" t="s">
        <v>9288</v>
      </c>
      <c r="F637" s="670" t="s">
        <v>9349</v>
      </c>
      <c r="G637" s="671"/>
      <c r="H637" s="671">
        <v>162077.5</v>
      </c>
      <c r="I637" s="671"/>
      <c r="J637" s="671">
        <v>10000</v>
      </c>
      <c r="K637" s="670" t="s">
        <v>9381</v>
      </c>
      <c r="L637" s="670" t="s">
        <v>8811</v>
      </c>
      <c r="M637" s="670" t="s">
        <v>8832</v>
      </c>
      <c r="N637" s="670"/>
    </row>
    <row r="638" spans="1:14">
      <c r="A638" s="1066"/>
      <c r="B638" s="678" t="s">
        <v>3332</v>
      </c>
      <c r="C638" s="670" t="s">
        <v>9286</v>
      </c>
      <c r="D638" s="670" t="s">
        <v>4520</v>
      </c>
      <c r="E638" s="670" t="s">
        <v>9288</v>
      </c>
      <c r="F638" s="670" t="s">
        <v>9484</v>
      </c>
      <c r="G638" s="671"/>
      <c r="H638" s="671">
        <v>98727.3</v>
      </c>
      <c r="I638" s="671"/>
      <c r="J638" s="671">
        <v>13000</v>
      </c>
      <c r="K638" s="670" t="s">
        <v>9485</v>
      </c>
      <c r="L638" s="670" t="s">
        <v>8811</v>
      </c>
      <c r="M638" s="670" t="s">
        <v>8832</v>
      </c>
      <c r="N638" s="670"/>
    </row>
    <row r="639" spans="1:14">
      <c r="A639" s="1066"/>
      <c r="B639" s="678" t="s">
        <v>3332</v>
      </c>
      <c r="C639" s="670" t="s">
        <v>9286</v>
      </c>
      <c r="D639" s="670" t="s">
        <v>9380</v>
      </c>
      <c r="E639" s="670" t="s">
        <v>9288</v>
      </c>
      <c r="F639" s="670" t="s">
        <v>9349</v>
      </c>
      <c r="G639" s="671"/>
      <c r="H639" s="671">
        <v>189253.95</v>
      </c>
      <c r="I639" s="671"/>
      <c r="J639" s="671">
        <v>13000</v>
      </c>
      <c r="K639" s="670" t="s">
        <v>9065</v>
      </c>
      <c r="L639" s="670" t="s">
        <v>8811</v>
      </c>
      <c r="M639" s="670" t="s">
        <v>8832</v>
      </c>
      <c r="N639" s="670"/>
    </row>
    <row r="640" spans="1:14">
      <c r="A640" s="1066"/>
      <c r="B640" s="678" t="s">
        <v>3332</v>
      </c>
      <c r="C640" s="670" t="s">
        <v>9286</v>
      </c>
      <c r="D640" s="670" t="s">
        <v>9358</v>
      </c>
      <c r="E640" s="670" t="s">
        <v>9288</v>
      </c>
      <c r="F640" s="670" t="s">
        <v>9306</v>
      </c>
      <c r="G640" s="671"/>
      <c r="H640" s="671"/>
      <c r="I640" s="671"/>
      <c r="J640" s="671">
        <v>2655</v>
      </c>
      <c r="K640" s="670" t="s">
        <v>9086</v>
      </c>
      <c r="L640" s="670" t="s">
        <v>8811</v>
      </c>
      <c r="M640" s="670" t="s">
        <v>8832</v>
      </c>
      <c r="N640" s="670"/>
    </row>
    <row r="641" spans="1:14">
      <c r="A641" s="1066"/>
      <c r="B641" s="678" t="s">
        <v>9487</v>
      </c>
      <c r="C641" s="670" t="s">
        <v>9286</v>
      </c>
      <c r="D641" s="670" t="s">
        <v>9361</v>
      </c>
      <c r="E641" s="670" t="s">
        <v>9288</v>
      </c>
      <c r="F641" s="670" t="s">
        <v>9332</v>
      </c>
      <c r="G641" s="671"/>
      <c r="H641" s="671">
        <v>384012.33</v>
      </c>
      <c r="I641" s="671"/>
      <c r="J641" s="671">
        <v>13000</v>
      </c>
      <c r="K641" s="670" t="s">
        <v>9333</v>
      </c>
      <c r="L641" s="670" t="s">
        <v>8811</v>
      </c>
      <c r="M641" s="670" t="s">
        <v>8832</v>
      </c>
      <c r="N641" s="670"/>
    </row>
    <row r="642" spans="1:14">
      <c r="A642" s="1066"/>
      <c r="B642" s="678" t="s">
        <v>9487</v>
      </c>
      <c r="C642" s="670" t="s">
        <v>9286</v>
      </c>
      <c r="D642" s="670" t="s">
        <v>14</v>
      </c>
      <c r="E642" s="670" t="s">
        <v>9288</v>
      </c>
      <c r="F642" s="670" t="s">
        <v>9385</v>
      </c>
      <c r="G642" s="671"/>
      <c r="H642" s="671"/>
      <c r="I642" s="671"/>
      <c r="J642" s="671">
        <v>9000</v>
      </c>
      <c r="K642" s="670" t="s">
        <v>9283</v>
      </c>
      <c r="L642" s="670" t="s">
        <v>9284</v>
      </c>
      <c r="M642" s="670" t="s">
        <v>9285</v>
      </c>
      <c r="N642" s="670"/>
    </row>
    <row r="643" spans="1:14">
      <c r="A643" s="1066"/>
      <c r="B643" s="678" t="s">
        <v>9487</v>
      </c>
      <c r="C643" s="670" t="s">
        <v>9286</v>
      </c>
      <c r="D643" s="670" t="s">
        <v>9427</v>
      </c>
      <c r="E643" s="670" t="s">
        <v>9288</v>
      </c>
      <c r="F643" s="670" t="s">
        <v>9488</v>
      </c>
      <c r="G643" s="671"/>
      <c r="H643" s="671">
        <v>8000</v>
      </c>
      <c r="I643" s="671"/>
      <c r="J643" s="671">
        <v>8000</v>
      </c>
      <c r="K643" s="670" t="s">
        <v>9489</v>
      </c>
      <c r="L643" s="670" t="s">
        <v>8811</v>
      </c>
      <c r="M643" s="670" t="s">
        <v>8832</v>
      </c>
      <c r="N643" s="670"/>
    </row>
    <row r="644" spans="1:14">
      <c r="A644" s="1066"/>
      <c r="B644" s="678" t="s">
        <v>9487</v>
      </c>
      <c r="C644" s="670" t="s">
        <v>9286</v>
      </c>
      <c r="D644" s="670" t="s">
        <v>9327</v>
      </c>
      <c r="E644" s="670" t="s">
        <v>9288</v>
      </c>
      <c r="F644" s="670" t="s">
        <v>9397</v>
      </c>
      <c r="G644" s="671"/>
      <c r="H644" s="671">
        <v>50172.08</v>
      </c>
      <c r="I644" s="671"/>
      <c r="J644" s="671">
        <v>9900</v>
      </c>
      <c r="K644" s="670" t="s">
        <v>9290</v>
      </c>
      <c r="L644" s="670" t="s">
        <v>8811</v>
      </c>
      <c r="M644" s="670" t="s">
        <v>8832</v>
      </c>
      <c r="N644" s="670"/>
    </row>
    <row r="645" spans="1:14">
      <c r="A645" s="1066"/>
      <c r="B645" s="678" t="s">
        <v>9487</v>
      </c>
      <c r="C645" s="670" t="s">
        <v>9286</v>
      </c>
      <c r="D645" s="670"/>
      <c r="E645" s="670" t="s">
        <v>9288</v>
      </c>
      <c r="F645" s="670" t="s">
        <v>9349</v>
      </c>
      <c r="G645" s="671"/>
      <c r="H645" s="671"/>
      <c r="I645" s="671"/>
      <c r="J645" s="671">
        <v>10000</v>
      </c>
      <c r="K645" s="670" t="s">
        <v>9490</v>
      </c>
      <c r="L645" s="670" t="s">
        <v>8811</v>
      </c>
      <c r="M645" s="670" t="s">
        <v>8832</v>
      </c>
      <c r="N645" s="670"/>
    </row>
    <row r="646" spans="1:14">
      <c r="A646" s="1066"/>
      <c r="B646" s="678" t="s">
        <v>9487</v>
      </c>
      <c r="C646" s="670" t="s">
        <v>9286</v>
      </c>
      <c r="D646" s="670" t="s">
        <v>9361</v>
      </c>
      <c r="E646" s="670" t="s">
        <v>9288</v>
      </c>
      <c r="F646" s="670" t="s">
        <v>9332</v>
      </c>
      <c r="G646" s="671"/>
      <c r="H646" s="671">
        <v>384012.33</v>
      </c>
      <c r="I646" s="671"/>
      <c r="J646" s="671">
        <v>10000</v>
      </c>
      <c r="K646" s="670" t="s">
        <v>9333</v>
      </c>
      <c r="L646" s="670" t="s">
        <v>8811</v>
      </c>
      <c r="M646" s="670" t="s">
        <v>8832</v>
      </c>
      <c r="N646" s="670"/>
    </row>
    <row r="647" spans="1:14">
      <c r="A647" s="1066"/>
      <c r="B647" s="678" t="s">
        <v>9487</v>
      </c>
      <c r="C647" s="670" t="s">
        <v>9286</v>
      </c>
      <c r="D647" s="670" t="s">
        <v>9427</v>
      </c>
      <c r="E647" s="670" t="s">
        <v>9288</v>
      </c>
      <c r="F647" s="670" t="s">
        <v>9491</v>
      </c>
      <c r="G647" s="671"/>
      <c r="H647" s="671">
        <v>48000</v>
      </c>
      <c r="I647" s="671"/>
      <c r="J647" s="671">
        <v>12000</v>
      </c>
      <c r="K647" s="670" t="s">
        <v>9448</v>
      </c>
      <c r="L647" s="670" t="s">
        <v>8811</v>
      </c>
      <c r="M647" s="670" t="s">
        <v>8832</v>
      </c>
      <c r="N647" s="670"/>
    </row>
    <row r="648" spans="1:14">
      <c r="A648" s="1066"/>
      <c r="B648" s="678" t="s">
        <v>9487</v>
      </c>
      <c r="C648" s="670" t="s">
        <v>9286</v>
      </c>
      <c r="D648" s="670" t="s">
        <v>9450</v>
      </c>
      <c r="E648" s="670" t="s">
        <v>9288</v>
      </c>
      <c r="F648" s="670" t="s">
        <v>9451</v>
      </c>
      <c r="G648" s="671"/>
      <c r="H648" s="671">
        <v>77498.880000000005</v>
      </c>
      <c r="I648" s="671"/>
      <c r="J648" s="671">
        <v>10000</v>
      </c>
      <c r="K648" s="670" t="s">
        <v>9452</v>
      </c>
      <c r="L648" s="670" t="s">
        <v>8811</v>
      </c>
      <c r="M648" s="670" t="s">
        <v>8832</v>
      </c>
      <c r="N648" s="670"/>
    </row>
    <row r="649" spans="1:14">
      <c r="A649" s="1066"/>
      <c r="B649" s="678" t="s">
        <v>9487</v>
      </c>
      <c r="C649" s="670" t="s">
        <v>9286</v>
      </c>
      <c r="D649" s="670" t="s">
        <v>9482</v>
      </c>
      <c r="E649" s="670" t="s">
        <v>9288</v>
      </c>
      <c r="F649" s="670" t="s">
        <v>9405</v>
      </c>
      <c r="G649" s="671"/>
      <c r="H649" s="671"/>
      <c r="I649" s="671"/>
      <c r="J649" s="671">
        <v>10000</v>
      </c>
      <c r="K649" s="670" t="s">
        <v>9371</v>
      </c>
      <c r="L649" s="670" t="s">
        <v>8811</v>
      </c>
      <c r="M649" s="670" t="s">
        <v>8832</v>
      </c>
      <c r="N649" s="670"/>
    </row>
    <row r="650" spans="1:14">
      <c r="A650" s="1066"/>
      <c r="B650" s="678" t="s">
        <v>9487</v>
      </c>
      <c r="C650" s="670" t="s">
        <v>9286</v>
      </c>
      <c r="D650" s="670" t="s">
        <v>9315</v>
      </c>
      <c r="E650" s="670" t="s">
        <v>9288</v>
      </c>
      <c r="F650" s="670" t="s">
        <v>9461</v>
      </c>
      <c r="G650" s="671"/>
      <c r="H650" s="671">
        <v>147680.29999999999</v>
      </c>
      <c r="I650" s="671"/>
      <c r="J650" s="671">
        <v>10000</v>
      </c>
      <c r="K650" s="670" t="s">
        <v>9326</v>
      </c>
      <c r="L650" s="670" t="s">
        <v>8811</v>
      </c>
      <c r="M650" s="670" t="s">
        <v>8832</v>
      </c>
      <c r="N650" s="670"/>
    </row>
    <row r="651" spans="1:14">
      <c r="A651" s="1066"/>
      <c r="B651" s="678" t="s">
        <v>9487</v>
      </c>
      <c r="C651" s="670" t="s">
        <v>9286</v>
      </c>
      <c r="D651" s="670" t="s">
        <v>9492</v>
      </c>
      <c r="E651" s="670" t="s">
        <v>9288</v>
      </c>
      <c r="F651" s="670" t="s">
        <v>9349</v>
      </c>
      <c r="G651" s="671"/>
      <c r="H651" s="671">
        <v>189745.2</v>
      </c>
      <c r="I651" s="671"/>
      <c r="J651" s="671">
        <v>10000</v>
      </c>
      <c r="K651" s="670" t="s">
        <v>9376</v>
      </c>
      <c r="L651" s="670" t="s">
        <v>8811</v>
      </c>
      <c r="M651" s="670" t="s">
        <v>8832</v>
      </c>
      <c r="N651" s="670"/>
    </row>
    <row r="652" spans="1:14">
      <c r="A652" s="1066"/>
      <c r="B652" s="678" t="s">
        <v>9487</v>
      </c>
      <c r="C652" s="670" t="s">
        <v>9286</v>
      </c>
      <c r="D652" s="670" t="s">
        <v>9458</v>
      </c>
      <c r="E652" s="670" t="s">
        <v>9288</v>
      </c>
      <c r="F652" s="670" t="s">
        <v>9459</v>
      </c>
      <c r="G652" s="671"/>
      <c r="H652" s="671">
        <v>172999.9</v>
      </c>
      <c r="I652" s="671"/>
      <c r="J652" s="671">
        <v>10000</v>
      </c>
      <c r="K652" s="670" t="s">
        <v>3002</v>
      </c>
      <c r="L652" s="670" t="s">
        <v>8811</v>
      </c>
      <c r="M652" s="670" t="s">
        <v>8832</v>
      </c>
      <c r="N652" s="670"/>
    </row>
    <row r="653" spans="1:14">
      <c r="A653" s="1066"/>
      <c r="B653" s="678" t="s">
        <v>9487</v>
      </c>
      <c r="C653" s="670" t="s">
        <v>9286</v>
      </c>
      <c r="D653" s="670" t="s">
        <v>9329</v>
      </c>
      <c r="E653" s="670" t="s">
        <v>9288</v>
      </c>
      <c r="F653" s="670" t="s">
        <v>9349</v>
      </c>
      <c r="G653" s="671"/>
      <c r="H653" s="671">
        <v>196529</v>
      </c>
      <c r="I653" s="671"/>
      <c r="J653" s="671">
        <v>12000</v>
      </c>
      <c r="K653" s="670" t="s">
        <v>9331</v>
      </c>
      <c r="L653" s="670" t="s">
        <v>8811</v>
      </c>
      <c r="M653" s="670" t="s">
        <v>8832</v>
      </c>
      <c r="N653" s="670"/>
    </row>
    <row r="654" spans="1:14">
      <c r="A654" s="1066"/>
      <c r="B654" s="678" t="s">
        <v>9493</v>
      </c>
      <c r="C654" s="670" t="s">
        <v>9286</v>
      </c>
      <c r="D654" s="670" t="s">
        <v>14</v>
      </c>
      <c r="E654" s="670" t="s">
        <v>9288</v>
      </c>
      <c r="F654" s="670" t="s">
        <v>9385</v>
      </c>
      <c r="G654" s="671"/>
      <c r="H654" s="671" t="s">
        <v>1921</v>
      </c>
      <c r="I654" s="671"/>
      <c r="J654" s="671">
        <v>9000</v>
      </c>
      <c r="K654" s="670" t="s">
        <v>9283</v>
      </c>
      <c r="L654" s="670" t="s">
        <v>9284</v>
      </c>
      <c r="M654" s="670" t="s">
        <v>9285</v>
      </c>
      <c r="N654" s="670"/>
    </row>
    <row r="655" spans="1:14">
      <c r="A655" s="1066"/>
      <c r="B655" s="678" t="s">
        <v>9493</v>
      </c>
      <c r="C655" s="670" t="s">
        <v>9286</v>
      </c>
      <c r="D655" s="670" t="s">
        <v>9445</v>
      </c>
      <c r="E655" s="670" t="s">
        <v>9288</v>
      </c>
      <c r="F655" s="670" t="s">
        <v>9397</v>
      </c>
      <c r="G655" s="671"/>
      <c r="H655" s="671">
        <v>48652.36</v>
      </c>
      <c r="I655" s="671"/>
      <c r="J655" s="671">
        <v>2000</v>
      </c>
      <c r="K655" s="670" t="s">
        <v>9290</v>
      </c>
      <c r="L655" s="670" t="s">
        <v>8811</v>
      </c>
      <c r="M655" s="670" t="s">
        <v>8832</v>
      </c>
      <c r="N655" s="670"/>
    </row>
    <row r="656" spans="1:14">
      <c r="A656" s="1066"/>
      <c r="B656" s="678" t="s">
        <v>9493</v>
      </c>
      <c r="C656" s="670" t="s">
        <v>9286</v>
      </c>
      <c r="D656" s="670" t="s">
        <v>9402</v>
      </c>
      <c r="E656" s="670" t="s">
        <v>9288</v>
      </c>
      <c r="F656" s="670" t="s">
        <v>9494</v>
      </c>
      <c r="G656" s="671"/>
      <c r="H656" s="671" t="s">
        <v>1921</v>
      </c>
      <c r="I656" s="671"/>
      <c r="J656" s="671">
        <v>4500</v>
      </c>
      <c r="K656" s="670" t="s">
        <v>9415</v>
      </c>
      <c r="L656" s="670" t="s">
        <v>8811</v>
      </c>
      <c r="M656" s="670" t="s">
        <v>8832</v>
      </c>
      <c r="N656" s="670"/>
    </row>
    <row r="657" spans="1:14">
      <c r="A657" s="1066"/>
      <c r="B657" s="678" t="s">
        <v>9495</v>
      </c>
      <c r="C657" s="670" t="s">
        <v>9364</v>
      </c>
      <c r="D657" s="670" t="s">
        <v>9315</v>
      </c>
      <c r="E657" s="670" t="s">
        <v>9279</v>
      </c>
      <c r="F657" s="670" t="s">
        <v>9279</v>
      </c>
      <c r="G657" s="671"/>
      <c r="H657" s="671" t="s">
        <v>1921</v>
      </c>
      <c r="I657" s="671"/>
      <c r="J657" s="671">
        <v>30680</v>
      </c>
      <c r="K657" s="670" t="s">
        <v>1234</v>
      </c>
      <c r="L657" s="670" t="s">
        <v>9365</v>
      </c>
      <c r="M657" s="670" t="s">
        <v>9366</v>
      </c>
      <c r="N657" s="670"/>
    </row>
    <row r="658" spans="1:14">
      <c r="A658" s="1066"/>
      <c r="B658" s="678" t="s">
        <v>9496</v>
      </c>
      <c r="C658" s="670" t="s">
        <v>9286</v>
      </c>
      <c r="D658" s="670" t="s">
        <v>9296</v>
      </c>
      <c r="E658" s="670" t="s">
        <v>9288</v>
      </c>
      <c r="F658" s="670" t="s">
        <v>9497</v>
      </c>
      <c r="G658" s="671"/>
      <c r="H658" s="671">
        <v>200000</v>
      </c>
      <c r="I658" s="671"/>
      <c r="J658" s="671">
        <v>20000</v>
      </c>
      <c r="K658" s="670" t="s">
        <v>9298</v>
      </c>
      <c r="L658" s="670" t="s">
        <v>8811</v>
      </c>
      <c r="M658" s="670" t="s">
        <v>8832</v>
      </c>
      <c r="N658" s="670"/>
    </row>
    <row r="659" spans="1:14">
      <c r="A659" s="1066"/>
      <c r="B659" s="678" t="s">
        <v>9496</v>
      </c>
      <c r="C659" s="670" t="s">
        <v>9286</v>
      </c>
      <c r="D659" s="670" t="s">
        <v>9362</v>
      </c>
      <c r="E659" s="670" t="s">
        <v>9288</v>
      </c>
      <c r="F659" s="670" t="s">
        <v>9498</v>
      </c>
      <c r="G659" s="671"/>
      <c r="H659" s="671">
        <v>84251.32</v>
      </c>
      <c r="I659" s="671"/>
      <c r="J659" s="671">
        <v>20000</v>
      </c>
      <c r="K659" s="670" t="s">
        <v>9290</v>
      </c>
      <c r="L659" s="670" t="s">
        <v>8811</v>
      </c>
      <c r="M659" s="670" t="s">
        <v>8832</v>
      </c>
      <c r="N659" s="670"/>
    </row>
    <row r="660" spans="1:14">
      <c r="A660" s="1066"/>
      <c r="B660" s="678" t="s">
        <v>9496</v>
      </c>
      <c r="C660" s="670" t="s">
        <v>9286</v>
      </c>
      <c r="D660" s="670" t="s">
        <v>9362</v>
      </c>
      <c r="E660" s="670" t="s">
        <v>9288</v>
      </c>
      <c r="F660" s="670" t="s">
        <v>9498</v>
      </c>
      <c r="G660" s="671"/>
      <c r="H660" s="671">
        <v>84251.32</v>
      </c>
      <c r="I660" s="671"/>
      <c r="J660" s="671">
        <v>25000</v>
      </c>
      <c r="K660" s="670" t="s">
        <v>9290</v>
      </c>
      <c r="L660" s="670" t="s">
        <v>8811</v>
      </c>
      <c r="M660" s="670" t="s">
        <v>8832</v>
      </c>
      <c r="N660" s="670"/>
    </row>
    <row r="661" spans="1:14">
      <c r="A661" s="1066"/>
      <c r="B661" s="678" t="s">
        <v>9499</v>
      </c>
      <c r="C661" s="670" t="s">
        <v>9286</v>
      </c>
      <c r="D661" s="670" t="s">
        <v>9307</v>
      </c>
      <c r="E661" s="670" t="s">
        <v>9288</v>
      </c>
      <c r="F661" s="670" t="s">
        <v>9308</v>
      </c>
      <c r="G661" s="671"/>
      <c r="H661" s="671">
        <v>172220.58</v>
      </c>
      <c r="I661" s="671"/>
      <c r="J661" s="671">
        <v>25000</v>
      </c>
      <c r="K661" s="670" t="s">
        <v>9290</v>
      </c>
      <c r="L661" s="670" t="s">
        <v>8811</v>
      </c>
      <c r="M661" s="670" t="s">
        <v>8832</v>
      </c>
      <c r="N661" s="670"/>
    </row>
    <row r="662" spans="1:14">
      <c r="A662" s="1066"/>
      <c r="B662" s="678" t="s">
        <v>3230</v>
      </c>
      <c r="C662" s="670" t="s">
        <v>9286</v>
      </c>
      <c r="D662" s="670" t="s">
        <v>9434</v>
      </c>
      <c r="E662" s="670" t="s">
        <v>9288</v>
      </c>
      <c r="F662" s="670" t="s">
        <v>9349</v>
      </c>
      <c r="G662" s="671"/>
      <c r="H662" s="671">
        <v>223519</v>
      </c>
      <c r="I662" s="671"/>
      <c r="J662" s="671">
        <v>15000</v>
      </c>
      <c r="K662" s="670" t="s">
        <v>9435</v>
      </c>
      <c r="L662" s="670" t="s">
        <v>8811</v>
      </c>
      <c r="M662" s="670" t="s">
        <v>8832</v>
      </c>
      <c r="N662" s="670"/>
    </row>
    <row r="663" spans="1:14">
      <c r="A663" s="1066"/>
      <c r="B663" s="678" t="s">
        <v>9500</v>
      </c>
      <c r="C663" s="670" t="s">
        <v>9286</v>
      </c>
      <c r="D663" s="670" t="s">
        <v>14</v>
      </c>
      <c r="E663" s="670" t="s">
        <v>14</v>
      </c>
      <c r="F663" s="670" t="s">
        <v>9385</v>
      </c>
      <c r="G663" s="671"/>
      <c r="H663" s="671" t="s">
        <v>1921</v>
      </c>
      <c r="I663" s="671"/>
      <c r="J663" s="671">
        <v>3000</v>
      </c>
      <c r="K663" s="670" t="s">
        <v>9283</v>
      </c>
      <c r="L663" s="670" t="s">
        <v>9284</v>
      </c>
      <c r="M663" s="670" t="s">
        <v>9285</v>
      </c>
      <c r="N663" s="670"/>
    </row>
    <row r="664" spans="1:14">
      <c r="A664" s="1066"/>
      <c r="B664" s="678" t="s">
        <v>9500</v>
      </c>
      <c r="C664" s="670" t="s">
        <v>9286</v>
      </c>
      <c r="D664" s="670" t="s">
        <v>9313</v>
      </c>
      <c r="E664" s="670" t="s">
        <v>9288</v>
      </c>
      <c r="F664" s="670" t="s">
        <v>9374</v>
      </c>
      <c r="G664" s="671"/>
      <c r="H664" s="671">
        <v>1250023.3500000001</v>
      </c>
      <c r="I664" s="671"/>
      <c r="J664" s="671">
        <v>35000</v>
      </c>
      <c r="K664" s="670" t="s">
        <v>9356</v>
      </c>
      <c r="L664" s="670" t="s">
        <v>8811</v>
      </c>
      <c r="M664" s="670" t="s">
        <v>8832</v>
      </c>
      <c r="N664" s="670"/>
    </row>
    <row r="665" spans="1:14">
      <c r="A665" s="1066"/>
      <c r="B665" s="678" t="s">
        <v>9500</v>
      </c>
      <c r="C665" s="670" t="s">
        <v>9286</v>
      </c>
      <c r="D665" s="670" t="s">
        <v>4520</v>
      </c>
      <c r="E665" s="670" t="s">
        <v>9288</v>
      </c>
      <c r="F665" s="670" t="s">
        <v>9349</v>
      </c>
      <c r="G665" s="671"/>
      <c r="H665" s="671"/>
      <c r="I665" s="671"/>
      <c r="J665" s="671">
        <v>15000</v>
      </c>
      <c r="K665" s="670" t="s">
        <v>9304</v>
      </c>
      <c r="L665" s="670" t="s">
        <v>8811</v>
      </c>
      <c r="M665" s="670" t="s">
        <v>8832</v>
      </c>
      <c r="N665" s="670"/>
    </row>
    <row r="666" spans="1:14">
      <c r="A666" s="1066"/>
      <c r="B666" s="678" t="s">
        <v>9501</v>
      </c>
      <c r="C666" s="670" t="s">
        <v>9286</v>
      </c>
      <c r="D666" s="670" t="s">
        <v>9307</v>
      </c>
      <c r="E666" s="670" t="s">
        <v>9288</v>
      </c>
      <c r="F666" s="670" t="s">
        <v>9502</v>
      </c>
      <c r="G666" s="671"/>
      <c r="H666" s="671">
        <v>15000</v>
      </c>
      <c r="I666" s="671"/>
      <c r="J666" s="671">
        <v>15000</v>
      </c>
      <c r="K666" s="670" t="s">
        <v>9290</v>
      </c>
      <c r="L666" s="670" t="s">
        <v>8811</v>
      </c>
      <c r="M666" s="670" t="s">
        <v>8832</v>
      </c>
      <c r="N666" s="670"/>
    </row>
    <row r="667" spans="1:14">
      <c r="A667" s="1066"/>
      <c r="B667" s="678" t="s">
        <v>9501</v>
      </c>
      <c r="C667" s="670" t="s">
        <v>9286</v>
      </c>
      <c r="D667" s="670" t="s">
        <v>9402</v>
      </c>
      <c r="E667" s="670" t="s">
        <v>9288</v>
      </c>
      <c r="F667" s="670" t="s">
        <v>9484</v>
      </c>
      <c r="G667" s="671"/>
      <c r="H667" s="671">
        <v>98727.24</v>
      </c>
      <c r="I667" s="671"/>
      <c r="J667" s="671">
        <v>10000</v>
      </c>
      <c r="K667" s="670" t="s">
        <v>9485</v>
      </c>
      <c r="L667" s="670" t="s">
        <v>8811</v>
      </c>
      <c r="M667" s="670" t="s">
        <v>8832</v>
      </c>
      <c r="N667" s="670"/>
    </row>
    <row r="668" spans="1:14">
      <c r="A668" s="1066"/>
      <c r="B668" s="678" t="s">
        <v>9501</v>
      </c>
      <c r="C668" s="670" t="s">
        <v>9286</v>
      </c>
      <c r="D668" s="670" t="s">
        <v>9411</v>
      </c>
      <c r="E668" s="670" t="s">
        <v>9288</v>
      </c>
      <c r="F668" s="670" t="s">
        <v>9503</v>
      </c>
      <c r="G668" s="671"/>
      <c r="H668" s="671">
        <v>55000</v>
      </c>
      <c r="I668" s="671"/>
      <c r="J668" s="671">
        <v>55000</v>
      </c>
      <c r="K668" s="670" t="s">
        <v>9504</v>
      </c>
      <c r="L668" s="670" t="s">
        <v>8811</v>
      </c>
      <c r="M668" s="670" t="s">
        <v>8832</v>
      </c>
      <c r="N668" s="670"/>
    </row>
    <row r="669" spans="1:14">
      <c r="A669" s="1066"/>
      <c r="B669" s="678" t="s">
        <v>9501</v>
      </c>
      <c r="C669" s="670" t="s">
        <v>9286</v>
      </c>
      <c r="D669" s="670" t="s">
        <v>9505</v>
      </c>
      <c r="E669" s="670" t="s">
        <v>9288</v>
      </c>
      <c r="F669" s="670" t="s">
        <v>9459</v>
      </c>
      <c r="G669" s="671"/>
      <c r="H669" s="671">
        <v>172999.9</v>
      </c>
      <c r="I669" s="671"/>
      <c r="J669" s="671">
        <v>10000</v>
      </c>
      <c r="K669" s="670" t="s">
        <v>3002</v>
      </c>
      <c r="L669" s="670" t="s">
        <v>8811</v>
      </c>
      <c r="M669" s="670" t="s">
        <v>8832</v>
      </c>
      <c r="N669" s="670"/>
    </row>
    <row r="670" spans="1:14">
      <c r="A670" s="1066"/>
      <c r="B670" s="678" t="s">
        <v>9506</v>
      </c>
      <c r="C670" s="670" t="s">
        <v>9286</v>
      </c>
      <c r="D670" s="670" t="s">
        <v>9411</v>
      </c>
      <c r="E670" s="670" t="s">
        <v>9288</v>
      </c>
      <c r="F670" s="670" t="s">
        <v>9428</v>
      </c>
      <c r="G670" s="671"/>
      <c r="H670" s="671">
        <v>18000</v>
      </c>
      <c r="I670" s="671"/>
      <c r="J670" s="671">
        <v>9000</v>
      </c>
      <c r="K670" s="670" t="s">
        <v>9507</v>
      </c>
      <c r="L670" s="670" t="s">
        <v>8811</v>
      </c>
      <c r="M670" s="670" t="s">
        <v>8832</v>
      </c>
      <c r="N670" s="670"/>
    </row>
    <row r="671" spans="1:14">
      <c r="A671" s="1066"/>
      <c r="B671" s="678" t="s">
        <v>9506</v>
      </c>
      <c r="C671" s="670" t="s">
        <v>9286</v>
      </c>
      <c r="D671" s="670" t="s">
        <v>9361</v>
      </c>
      <c r="E671" s="670" t="s">
        <v>9288</v>
      </c>
      <c r="F671" s="670" t="s">
        <v>9332</v>
      </c>
      <c r="G671" s="671"/>
      <c r="H671" s="671">
        <v>384012.33</v>
      </c>
      <c r="I671" s="671"/>
      <c r="J671" s="671">
        <v>10000</v>
      </c>
      <c r="K671" s="670" t="s">
        <v>9333</v>
      </c>
      <c r="L671" s="670" t="s">
        <v>8811</v>
      </c>
      <c r="M671" s="670" t="s">
        <v>8832</v>
      </c>
      <c r="N671" s="670"/>
    </row>
    <row r="672" spans="1:14">
      <c r="A672" s="1066"/>
      <c r="B672" s="678" t="s">
        <v>9506</v>
      </c>
      <c r="C672" s="670" t="s">
        <v>9286</v>
      </c>
      <c r="D672" s="670" t="s">
        <v>9380</v>
      </c>
      <c r="E672" s="670" t="s">
        <v>9288</v>
      </c>
      <c r="F672" s="670" t="s">
        <v>9349</v>
      </c>
      <c r="G672" s="671"/>
      <c r="H672" s="671">
        <v>189253.95</v>
      </c>
      <c r="I672" s="671"/>
      <c r="J672" s="671">
        <v>11000</v>
      </c>
      <c r="K672" s="670" t="s">
        <v>9065</v>
      </c>
      <c r="L672" s="670" t="s">
        <v>8811</v>
      </c>
      <c r="M672" s="670" t="s">
        <v>8832</v>
      </c>
      <c r="N672" s="670"/>
    </row>
    <row r="673" spans="1:14">
      <c r="A673" s="1066"/>
      <c r="B673" s="678" t="s">
        <v>9506</v>
      </c>
      <c r="C673" s="670" t="s">
        <v>9286</v>
      </c>
      <c r="D673" s="670" t="s">
        <v>9411</v>
      </c>
      <c r="E673" s="670" t="s">
        <v>9288</v>
      </c>
      <c r="F673" s="670" t="s">
        <v>9368</v>
      </c>
      <c r="G673" s="671"/>
      <c r="H673" s="671">
        <v>252212.1</v>
      </c>
      <c r="I673" s="671"/>
      <c r="J673" s="671">
        <v>15000</v>
      </c>
      <c r="K673" s="670" t="s">
        <v>9345</v>
      </c>
      <c r="L673" s="670" t="s">
        <v>8811</v>
      </c>
      <c r="M673" s="670" t="s">
        <v>8832</v>
      </c>
      <c r="N673" s="670"/>
    </row>
    <row r="674" spans="1:14">
      <c r="A674" s="1066"/>
      <c r="B674" s="678" t="s">
        <v>9506</v>
      </c>
      <c r="C674" s="670" t="s">
        <v>9286</v>
      </c>
      <c r="D674" s="670" t="s">
        <v>9362</v>
      </c>
      <c r="E674" s="670" t="s">
        <v>9288</v>
      </c>
      <c r="F674" s="670" t="s">
        <v>9498</v>
      </c>
      <c r="G674" s="671"/>
      <c r="H674" s="671">
        <v>84251.32</v>
      </c>
      <c r="I674" s="671"/>
      <c r="J674" s="671">
        <v>15000</v>
      </c>
      <c r="K674" s="670" t="s">
        <v>9290</v>
      </c>
      <c r="L674" s="670" t="s">
        <v>8811</v>
      </c>
      <c r="M674" s="670" t="s">
        <v>8832</v>
      </c>
      <c r="N674" s="670"/>
    </row>
    <row r="675" spans="1:14">
      <c r="A675" s="1066"/>
      <c r="B675" s="678" t="s">
        <v>9508</v>
      </c>
      <c r="C675" s="670" t="s">
        <v>9286</v>
      </c>
      <c r="D675" s="670" t="s">
        <v>9434</v>
      </c>
      <c r="E675" s="670" t="s">
        <v>9288</v>
      </c>
      <c r="F675" s="670" t="s">
        <v>9349</v>
      </c>
      <c r="G675" s="671"/>
      <c r="H675" s="671">
        <v>223519</v>
      </c>
      <c r="I675" s="671"/>
      <c r="J675" s="671">
        <v>9031</v>
      </c>
      <c r="K675" s="670" t="s">
        <v>9435</v>
      </c>
      <c r="L675" s="670" t="s">
        <v>8811</v>
      </c>
      <c r="M675" s="670" t="s">
        <v>8832</v>
      </c>
      <c r="N675" s="670"/>
    </row>
    <row r="676" spans="1:14">
      <c r="A676" s="1066"/>
      <c r="B676" s="678" t="s">
        <v>9509</v>
      </c>
      <c r="C676" s="670" t="s">
        <v>9286</v>
      </c>
      <c r="D676" s="670" t="s">
        <v>9309</v>
      </c>
      <c r="E676" s="670" t="s">
        <v>9288</v>
      </c>
      <c r="F676" s="670" t="s">
        <v>9349</v>
      </c>
      <c r="G676" s="671"/>
      <c r="H676" s="671"/>
      <c r="I676" s="671"/>
      <c r="J676" s="671">
        <v>13000</v>
      </c>
      <c r="K676" s="670" t="s">
        <v>9304</v>
      </c>
      <c r="L676" s="670" t="s">
        <v>8811</v>
      </c>
      <c r="M676" s="670" t="s">
        <v>8832</v>
      </c>
      <c r="N676" s="670"/>
    </row>
    <row r="677" spans="1:14">
      <c r="A677" s="1066"/>
      <c r="B677" s="678" t="s">
        <v>9509</v>
      </c>
      <c r="C677" s="670" t="s">
        <v>9286</v>
      </c>
      <c r="D677" s="670" t="s">
        <v>9313</v>
      </c>
      <c r="E677" s="670" t="s">
        <v>9288</v>
      </c>
      <c r="F677" s="670" t="s">
        <v>9484</v>
      </c>
      <c r="G677" s="671"/>
      <c r="H677" s="671">
        <v>184471.77</v>
      </c>
      <c r="I677" s="671"/>
      <c r="J677" s="671">
        <v>14000</v>
      </c>
      <c r="K677" s="670" t="s">
        <v>9406</v>
      </c>
      <c r="L677" s="670" t="s">
        <v>8811</v>
      </c>
      <c r="M677" s="670" t="s">
        <v>8832</v>
      </c>
      <c r="N677" s="670"/>
    </row>
    <row r="678" spans="1:14">
      <c r="A678" s="1066"/>
      <c r="B678" s="678" t="s">
        <v>9509</v>
      </c>
      <c r="C678" s="670" t="s">
        <v>9286</v>
      </c>
      <c r="D678" s="670" t="s">
        <v>9329</v>
      </c>
      <c r="E678" s="670" t="s">
        <v>9288</v>
      </c>
      <c r="F678" s="670" t="s">
        <v>9349</v>
      </c>
      <c r="G678" s="671"/>
      <c r="H678" s="671">
        <v>196529</v>
      </c>
      <c r="I678" s="671"/>
      <c r="J678" s="671">
        <v>6000</v>
      </c>
      <c r="K678" s="670" t="s">
        <v>9331</v>
      </c>
      <c r="L678" s="670" t="s">
        <v>8811</v>
      </c>
      <c r="M678" s="670" t="s">
        <v>8832</v>
      </c>
      <c r="N678" s="670"/>
    </row>
    <row r="679" spans="1:14">
      <c r="A679" s="1066"/>
      <c r="B679" s="678" t="s">
        <v>9509</v>
      </c>
      <c r="C679" s="670" t="s">
        <v>9286</v>
      </c>
      <c r="D679" s="670" t="s">
        <v>9464</v>
      </c>
      <c r="E679" s="670" t="s">
        <v>9288</v>
      </c>
      <c r="F679" s="670" t="s">
        <v>9510</v>
      </c>
      <c r="G679" s="671"/>
      <c r="H679" s="671">
        <v>240322</v>
      </c>
      <c r="I679" s="671"/>
      <c r="J679" s="671">
        <v>8500</v>
      </c>
      <c r="K679" s="670" t="s">
        <v>9290</v>
      </c>
      <c r="L679" s="670" t="s">
        <v>8811</v>
      </c>
      <c r="M679" s="670" t="s">
        <v>8832</v>
      </c>
      <c r="N679" s="670"/>
    </row>
    <row r="680" spans="1:14">
      <c r="A680" s="1066"/>
      <c r="B680" s="678" t="s">
        <v>9509</v>
      </c>
      <c r="C680" s="670" t="s">
        <v>9286</v>
      </c>
      <c r="D680" s="670" t="s">
        <v>9411</v>
      </c>
      <c r="E680" s="670" t="s">
        <v>9288</v>
      </c>
      <c r="F680" s="670" t="s">
        <v>9488</v>
      </c>
      <c r="G680" s="671"/>
      <c r="H680" s="671">
        <v>48000</v>
      </c>
      <c r="I680" s="671"/>
      <c r="J680" s="671">
        <v>8000</v>
      </c>
      <c r="K680" s="670" t="s">
        <v>9448</v>
      </c>
      <c r="L680" s="670" t="s">
        <v>8811</v>
      </c>
      <c r="M680" s="670" t="s">
        <v>8832</v>
      </c>
      <c r="N680" s="670"/>
    </row>
    <row r="681" spans="1:14">
      <c r="A681" s="1066"/>
      <c r="B681" s="678" t="s">
        <v>9509</v>
      </c>
      <c r="C681" s="670" t="s">
        <v>9286</v>
      </c>
      <c r="D681" s="670" t="s">
        <v>9453</v>
      </c>
      <c r="E681" s="670" t="s">
        <v>9288</v>
      </c>
      <c r="F681" s="670" t="s">
        <v>9349</v>
      </c>
      <c r="G681" s="671"/>
      <c r="H681" s="671">
        <v>189335.7</v>
      </c>
      <c r="I681" s="671"/>
      <c r="J681" s="671">
        <v>5000</v>
      </c>
      <c r="K681" s="670" t="s">
        <v>9352</v>
      </c>
      <c r="L681" s="670" t="s">
        <v>8811</v>
      </c>
      <c r="M681" s="670" t="s">
        <v>8832</v>
      </c>
      <c r="N681" s="670"/>
    </row>
    <row r="682" spans="1:14">
      <c r="A682" s="1066"/>
      <c r="B682" s="678" t="s">
        <v>9509</v>
      </c>
      <c r="C682" s="670" t="s">
        <v>9286</v>
      </c>
      <c r="D682" s="670" t="s">
        <v>9372</v>
      </c>
      <c r="E682" s="670" t="s">
        <v>9288</v>
      </c>
      <c r="F682" s="670" t="s">
        <v>9349</v>
      </c>
      <c r="G682" s="671"/>
      <c r="H682" s="671">
        <v>188343.1</v>
      </c>
      <c r="I682" s="671"/>
      <c r="J682" s="671">
        <v>6000</v>
      </c>
      <c r="K682" s="670" t="s">
        <v>9373</v>
      </c>
      <c r="L682" s="670" t="s">
        <v>8811</v>
      </c>
      <c r="M682" s="670" t="s">
        <v>8832</v>
      </c>
      <c r="N682" s="670"/>
    </row>
    <row r="683" spans="1:14">
      <c r="A683" s="1066"/>
      <c r="B683" s="678" t="s">
        <v>9509</v>
      </c>
      <c r="C683" s="670" t="s">
        <v>9286</v>
      </c>
      <c r="D683" s="670" t="s">
        <v>9460</v>
      </c>
      <c r="E683" s="670" t="s">
        <v>9288</v>
      </c>
      <c r="F683" s="670" t="s">
        <v>9349</v>
      </c>
      <c r="G683" s="671"/>
      <c r="H683" s="671">
        <v>160894.53</v>
      </c>
      <c r="I683" s="671"/>
      <c r="J683" s="671">
        <v>5000</v>
      </c>
      <c r="K683" s="670" t="s">
        <v>9317</v>
      </c>
      <c r="L683" s="670" t="s">
        <v>8811</v>
      </c>
      <c r="M683" s="670" t="s">
        <v>8832</v>
      </c>
      <c r="N683" s="670"/>
    </row>
    <row r="684" spans="1:14">
      <c r="A684" s="1066"/>
      <c r="B684" s="678" t="s">
        <v>9509</v>
      </c>
      <c r="C684" s="670" t="s">
        <v>9286</v>
      </c>
      <c r="D684" s="670" t="s">
        <v>9511</v>
      </c>
      <c r="E684" s="670" t="s">
        <v>9288</v>
      </c>
      <c r="F684" s="670" t="s">
        <v>9405</v>
      </c>
      <c r="G684" s="671"/>
      <c r="H684" s="671"/>
      <c r="I684" s="671"/>
      <c r="J684" s="671">
        <v>5000</v>
      </c>
      <c r="K684" s="670" t="s">
        <v>9371</v>
      </c>
      <c r="L684" s="670" t="s">
        <v>8811</v>
      </c>
      <c r="M684" s="670" t="s">
        <v>8832</v>
      </c>
      <c r="N684" s="670"/>
    </row>
    <row r="685" spans="1:14">
      <c r="A685" s="1066"/>
      <c r="B685" s="678" t="s">
        <v>9509</v>
      </c>
      <c r="C685" s="670" t="s">
        <v>9286</v>
      </c>
      <c r="D685" s="670" t="s">
        <v>9296</v>
      </c>
      <c r="E685" s="670" t="s">
        <v>9288</v>
      </c>
      <c r="F685" s="670" t="s">
        <v>9512</v>
      </c>
      <c r="G685" s="671"/>
      <c r="H685" s="671">
        <v>200000</v>
      </c>
      <c r="I685" s="671"/>
      <c r="J685" s="671">
        <v>4000</v>
      </c>
      <c r="K685" s="670" t="s">
        <v>9298</v>
      </c>
      <c r="L685" s="670" t="s">
        <v>8811</v>
      </c>
      <c r="M685" s="670" t="s">
        <v>9299</v>
      </c>
      <c r="N685" s="670"/>
    </row>
    <row r="686" spans="1:14">
      <c r="A686" s="1066"/>
      <c r="B686" s="678" t="s">
        <v>9509</v>
      </c>
      <c r="C686" s="670" t="s">
        <v>9286</v>
      </c>
      <c r="D686" s="670" t="s">
        <v>9513</v>
      </c>
      <c r="E686" s="670" t="s">
        <v>9288</v>
      </c>
      <c r="F686" s="670" t="s">
        <v>9405</v>
      </c>
      <c r="G686" s="671"/>
      <c r="H686" s="671">
        <v>184471.77</v>
      </c>
      <c r="I686" s="671"/>
      <c r="J686" s="671">
        <v>7002.32</v>
      </c>
      <c r="K686" s="670" t="s">
        <v>9301</v>
      </c>
      <c r="L686" s="670" t="s">
        <v>8811</v>
      </c>
      <c r="M686" s="670" t="s">
        <v>8832</v>
      </c>
      <c r="N686" s="670"/>
    </row>
    <row r="687" spans="1:14">
      <c r="A687" s="1066"/>
      <c r="B687" s="678" t="s">
        <v>9509</v>
      </c>
      <c r="C687" s="670" t="s">
        <v>9286</v>
      </c>
      <c r="D687" s="670" t="s">
        <v>9465</v>
      </c>
      <c r="E687" s="670" t="s">
        <v>9288</v>
      </c>
      <c r="F687" s="670" t="s">
        <v>9349</v>
      </c>
      <c r="G687" s="671"/>
      <c r="H687" s="671">
        <v>264035.57</v>
      </c>
      <c r="I687" s="671"/>
      <c r="J687" s="671">
        <v>20000</v>
      </c>
      <c r="K687" s="670" t="s">
        <v>9393</v>
      </c>
      <c r="L687" s="670" t="s">
        <v>8811</v>
      </c>
      <c r="M687" s="670" t="s">
        <v>8832</v>
      </c>
      <c r="N687" s="670"/>
    </row>
    <row r="688" spans="1:14">
      <c r="A688" s="1066"/>
      <c r="B688" s="678" t="s">
        <v>9509</v>
      </c>
      <c r="C688" s="670" t="s">
        <v>9286</v>
      </c>
      <c r="D688" s="670" t="s">
        <v>9348</v>
      </c>
      <c r="E688" s="670" t="s">
        <v>9288</v>
      </c>
      <c r="F688" s="670" t="s">
        <v>9349</v>
      </c>
      <c r="G688" s="671"/>
      <c r="H688" s="671">
        <v>191534.7</v>
      </c>
      <c r="I688" s="671"/>
      <c r="J688" s="671">
        <v>15000</v>
      </c>
      <c r="K688" s="670" t="s">
        <v>9350</v>
      </c>
      <c r="L688" s="670" t="s">
        <v>8811</v>
      </c>
      <c r="M688" s="670" t="s">
        <v>8832</v>
      </c>
      <c r="N688" s="670"/>
    </row>
    <row r="689" spans="1:14">
      <c r="A689" s="1066"/>
      <c r="B689" s="678" t="s">
        <v>3310</v>
      </c>
      <c r="C689" s="670" t="s">
        <v>9364</v>
      </c>
      <c r="D689" s="670" t="s">
        <v>9315</v>
      </c>
      <c r="E689" s="670" t="s">
        <v>9279</v>
      </c>
      <c r="F689" s="670" t="s">
        <v>9279</v>
      </c>
      <c r="G689" s="671"/>
      <c r="H689" s="671" t="s">
        <v>1921</v>
      </c>
      <c r="I689" s="671"/>
      <c r="J689" s="671">
        <v>43800</v>
      </c>
      <c r="K689" s="670" t="s">
        <v>1234</v>
      </c>
      <c r="L689" s="670" t="s">
        <v>9365</v>
      </c>
      <c r="M689" s="670" t="s">
        <v>9366</v>
      </c>
      <c r="N689" s="670"/>
    </row>
    <row r="690" spans="1:14">
      <c r="A690" s="1066"/>
      <c r="B690" s="678">
        <v>45078</v>
      </c>
      <c r="C690" s="670" t="s">
        <v>9384</v>
      </c>
      <c r="D690" s="670" t="s">
        <v>9514</v>
      </c>
      <c r="E690" s="670" t="s">
        <v>9282</v>
      </c>
      <c r="F690" s="670" t="s">
        <v>9515</v>
      </c>
      <c r="G690" s="671"/>
      <c r="H690" s="671" t="s">
        <v>1921</v>
      </c>
      <c r="I690" s="671"/>
      <c r="J690" s="671">
        <v>9990</v>
      </c>
      <c r="K690" s="670" t="s">
        <v>9516</v>
      </c>
      <c r="L690" s="670" t="s">
        <v>9517</v>
      </c>
      <c r="M690" s="670" t="s">
        <v>9299</v>
      </c>
      <c r="N690" s="670"/>
    </row>
    <row r="691" spans="1:14">
      <c r="A691" s="1066"/>
      <c r="B691" s="678">
        <v>45078</v>
      </c>
      <c r="C691" s="670" t="s">
        <v>9518</v>
      </c>
      <c r="D691" s="670" t="s">
        <v>9387</v>
      </c>
      <c r="E691" s="670" t="s">
        <v>9001</v>
      </c>
      <c r="F691" s="670" t="s">
        <v>9454</v>
      </c>
      <c r="G691" s="671"/>
      <c r="H691" s="671">
        <v>180851.78</v>
      </c>
      <c r="I691" s="671"/>
      <c r="J691" s="671">
        <v>5000</v>
      </c>
      <c r="K691" s="670" t="s">
        <v>9295</v>
      </c>
      <c r="L691" s="670" t="s">
        <v>9519</v>
      </c>
      <c r="M691" s="670" t="s">
        <v>8832</v>
      </c>
      <c r="N691" s="670"/>
    </row>
    <row r="692" spans="1:14">
      <c r="A692" s="1066"/>
      <c r="B692" s="678">
        <v>45079</v>
      </c>
      <c r="C692" s="670" t="s">
        <v>9518</v>
      </c>
      <c r="D692" s="670" t="s">
        <v>9516</v>
      </c>
      <c r="E692" s="670" t="s">
        <v>9001</v>
      </c>
      <c r="F692" s="670" t="s">
        <v>9520</v>
      </c>
      <c r="G692" s="671"/>
      <c r="H692" s="671">
        <v>200000</v>
      </c>
      <c r="I692" s="671"/>
      <c r="J692" s="671">
        <v>18300</v>
      </c>
      <c r="K692" s="670" t="s">
        <v>9298</v>
      </c>
      <c r="L692" s="670" t="s">
        <v>9519</v>
      </c>
      <c r="M692" s="670" t="s">
        <v>9299</v>
      </c>
      <c r="N692" s="670"/>
    </row>
    <row r="693" spans="1:14">
      <c r="A693" s="1066"/>
      <c r="B693" s="678">
        <v>45079</v>
      </c>
      <c r="C693" s="670" t="s">
        <v>9518</v>
      </c>
      <c r="D693" s="670" t="s">
        <v>9521</v>
      </c>
      <c r="E693" s="670" t="s">
        <v>9001</v>
      </c>
      <c r="F693" s="670" t="s">
        <v>9522</v>
      </c>
      <c r="G693" s="671"/>
      <c r="H693" s="671">
        <v>946315.5</v>
      </c>
      <c r="I693" s="671"/>
      <c r="J693" s="671">
        <v>20000</v>
      </c>
      <c r="K693" s="670" t="s">
        <v>9422</v>
      </c>
      <c r="L693" s="670" t="s">
        <v>9519</v>
      </c>
      <c r="M693" s="670" t="s">
        <v>8832</v>
      </c>
      <c r="N693" s="670"/>
    </row>
    <row r="694" spans="1:14">
      <c r="A694" s="1066"/>
      <c r="B694" s="678">
        <v>45079</v>
      </c>
      <c r="C694" s="670" t="s">
        <v>9518</v>
      </c>
      <c r="D694" s="670" t="s">
        <v>9387</v>
      </c>
      <c r="E694" s="670" t="s">
        <v>9043</v>
      </c>
      <c r="F694" s="670" t="s">
        <v>9523</v>
      </c>
      <c r="G694" s="671"/>
      <c r="H694" s="671">
        <v>187790.91</v>
      </c>
      <c r="I694" s="671"/>
      <c r="J694" s="671">
        <v>9200</v>
      </c>
      <c r="K694" s="670" t="s">
        <v>9304</v>
      </c>
      <c r="L694" s="670" t="s">
        <v>9519</v>
      </c>
      <c r="M694" s="670" t="s">
        <v>8832</v>
      </c>
      <c r="N694" s="670"/>
    </row>
    <row r="695" spans="1:14">
      <c r="A695" s="1066"/>
      <c r="B695" s="678">
        <v>45082</v>
      </c>
      <c r="C695" s="670" t="s">
        <v>9518</v>
      </c>
      <c r="D695" s="670" t="s">
        <v>9524</v>
      </c>
      <c r="E695" s="670" t="s">
        <v>9001</v>
      </c>
      <c r="F695" s="670" t="s">
        <v>9525</v>
      </c>
      <c r="G695" s="671"/>
      <c r="H695" s="671">
        <v>265487.42</v>
      </c>
      <c r="I695" s="671"/>
      <c r="J695" s="671">
        <v>5000</v>
      </c>
      <c r="K695" s="670" t="s">
        <v>9526</v>
      </c>
      <c r="L695" s="670" t="s">
        <v>9519</v>
      </c>
      <c r="M695" s="670" t="s">
        <v>8832</v>
      </c>
      <c r="N695" s="670"/>
    </row>
    <row r="696" spans="1:14">
      <c r="A696" s="1066"/>
      <c r="B696" s="678">
        <v>45084</v>
      </c>
      <c r="C696" s="670" t="s">
        <v>9518</v>
      </c>
      <c r="D696" s="670" t="s">
        <v>9367</v>
      </c>
      <c r="E696" s="670" t="s">
        <v>9043</v>
      </c>
      <c r="F696" s="670" t="s">
        <v>9527</v>
      </c>
      <c r="G696" s="671"/>
      <c r="H696" s="671">
        <v>194390.3</v>
      </c>
      <c r="I696" s="671"/>
      <c r="J696" s="671">
        <v>5000</v>
      </c>
      <c r="K696" s="670" t="s">
        <v>9528</v>
      </c>
      <c r="L696" s="670" t="s">
        <v>9519</v>
      </c>
      <c r="M696" s="670" t="s">
        <v>8832</v>
      </c>
      <c r="N696" s="670"/>
    </row>
    <row r="697" spans="1:14">
      <c r="A697" s="1066"/>
      <c r="B697" s="678">
        <v>45094</v>
      </c>
      <c r="C697" s="670" t="s">
        <v>9518</v>
      </c>
      <c r="D697" s="670" t="s">
        <v>9529</v>
      </c>
      <c r="E697" s="670" t="s">
        <v>9001</v>
      </c>
      <c r="F697" s="670" t="s">
        <v>9530</v>
      </c>
      <c r="G697" s="671"/>
      <c r="H697" s="671">
        <v>200000</v>
      </c>
      <c r="I697" s="671"/>
      <c r="J697" s="671">
        <v>4500</v>
      </c>
      <c r="K697" s="670" t="s">
        <v>9298</v>
      </c>
      <c r="L697" s="670" t="s">
        <v>9519</v>
      </c>
      <c r="M697" s="670" t="s">
        <v>9299</v>
      </c>
      <c r="N697" s="670"/>
    </row>
    <row r="698" spans="1:14">
      <c r="A698" s="1066"/>
      <c r="B698" s="678">
        <v>45094</v>
      </c>
      <c r="C698" s="670" t="s">
        <v>9518</v>
      </c>
      <c r="D698" s="670" t="s">
        <v>9387</v>
      </c>
      <c r="E698" s="670" t="s">
        <v>9043</v>
      </c>
      <c r="F698" s="670" t="s">
        <v>9523</v>
      </c>
      <c r="G698" s="671"/>
      <c r="H698" s="671">
        <v>187790.91</v>
      </c>
      <c r="I698" s="671"/>
      <c r="J698" s="671">
        <v>15500</v>
      </c>
      <c r="K698" s="670" t="s">
        <v>9304</v>
      </c>
      <c r="L698" s="670" t="s">
        <v>9519</v>
      </c>
      <c r="M698" s="670" t="s">
        <v>8832</v>
      </c>
      <c r="N698" s="670"/>
    </row>
    <row r="699" spans="1:14">
      <c r="A699" s="1066"/>
      <c r="B699" s="678">
        <v>45096</v>
      </c>
      <c r="C699" s="670" t="s">
        <v>9518</v>
      </c>
      <c r="D699" s="670" t="s">
        <v>9531</v>
      </c>
      <c r="E699" s="670" t="s">
        <v>9001</v>
      </c>
      <c r="F699" s="670" t="s">
        <v>9525</v>
      </c>
      <c r="G699" s="671"/>
      <c r="H699" s="671">
        <v>254701.5</v>
      </c>
      <c r="I699" s="671"/>
      <c r="J699" s="671">
        <v>15500</v>
      </c>
      <c r="K699" s="670" t="s">
        <v>9532</v>
      </c>
      <c r="L699" s="670" t="s">
        <v>9519</v>
      </c>
      <c r="M699" s="670" t="s">
        <v>8832</v>
      </c>
      <c r="N699" s="670"/>
    </row>
    <row r="700" spans="1:14">
      <c r="A700" s="1066"/>
      <c r="B700" s="678">
        <v>45096</v>
      </c>
      <c r="C700" s="670" t="s">
        <v>9518</v>
      </c>
      <c r="D700" s="670" t="s">
        <v>9516</v>
      </c>
      <c r="E700" s="670" t="s">
        <v>9001</v>
      </c>
      <c r="F700" s="670" t="s">
        <v>9533</v>
      </c>
      <c r="G700" s="671"/>
      <c r="H700" s="671">
        <v>142459.9</v>
      </c>
      <c r="I700" s="671"/>
      <c r="J700" s="671">
        <v>9500</v>
      </c>
      <c r="K700" s="670" t="s">
        <v>9324</v>
      </c>
      <c r="L700" s="670" t="s">
        <v>9519</v>
      </c>
      <c r="M700" s="670" t="s">
        <v>8832</v>
      </c>
      <c r="N700" s="670"/>
    </row>
    <row r="701" spans="1:14">
      <c r="A701" s="1066"/>
      <c r="B701" s="678">
        <v>45098</v>
      </c>
      <c r="C701" s="670" t="s">
        <v>9518</v>
      </c>
      <c r="D701" s="670" t="s">
        <v>9534</v>
      </c>
      <c r="E701" s="670" t="s">
        <v>9001</v>
      </c>
      <c r="F701" s="670" t="s">
        <v>9535</v>
      </c>
      <c r="G701" s="671"/>
      <c r="H701" s="671">
        <v>350000</v>
      </c>
      <c r="I701" s="671"/>
      <c r="J701" s="671">
        <v>33000</v>
      </c>
      <c r="K701" s="670" t="s">
        <v>9356</v>
      </c>
      <c r="L701" s="670" t="s">
        <v>9519</v>
      </c>
      <c r="M701" s="670" t="s">
        <v>8832</v>
      </c>
      <c r="N701" s="670"/>
    </row>
    <row r="702" spans="1:14">
      <c r="A702" s="1066"/>
      <c r="B702" s="678">
        <v>45099</v>
      </c>
      <c r="C702" s="670" t="s">
        <v>9518</v>
      </c>
      <c r="D702" s="670" t="s">
        <v>9516</v>
      </c>
      <c r="E702" s="670" t="s">
        <v>9001</v>
      </c>
      <c r="F702" s="670" t="s">
        <v>9536</v>
      </c>
      <c r="G702" s="671"/>
      <c r="H702" s="671">
        <v>350000</v>
      </c>
      <c r="I702" s="671"/>
      <c r="J702" s="671">
        <v>100000</v>
      </c>
      <c r="K702" s="670" t="s">
        <v>9356</v>
      </c>
      <c r="L702" s="670" t="s">
        <v>9519</v>
      </c>
      <c r="M702" s="670" t="s">
        <v>8832</v>
      </c>
      <c r="N702" s="670"/>
    </row>
    <row r="703" spans="1:14">
      <c r="A703" s="1066"/>
      <c r="B703" s="678">
        <v>45099</v>
      </c>
      <c r="C703" s="670" t="s">
        <v>9518</v>
      </c>
      <c r="D703" s="670" t="s">
        <v>9531</v>
      </c>
      <c r="E703" s="670" t="s">
        <v>9043</v>
      </c>
      <c r="F703" s="670" t="s">
        <v>9537</v>
      </c>
      <c r="G703" s="671"/>
      <c r="H703" s="671">
        <v>188343.1</v>
      </c>
      <c r="I703" s="671"/>
      <c r="J703" s="671">
        <v>11000</v>
      </c>
      <c r="K703" s="670" t="s">
        <v>9538</v>
      </c>
      <c r="L703" s="670" t="s">
        <v>9519</v>
      </c>
      <c r="M703" s="670" t="s">
        <v>8832</v>
      </c>
      <c r="N703" s="670"/>
    </row>
    <row r="704" spans="1:14">
      <c r="A704" s="1066"/>
      <c r="B704" s="678">
        <v>45099</v>
      </c>
      <c r="C704" s="670" t="s">
        <v>9518</v>
      </c>
      <c r="D704" s="670" t="s">
        <v>9387</v>
      </c>
      <c r="E704" s="670" t="s">
        <v>9001</v>
      </c>
      <c r="F704" s="670" t="s">
        <v>9539</v>
      </c>
      <c r="G704" s="671"/>
      <c r="H704" s="671">
        <v>98727.24</v>
      </c>
      <c r="I704" s="671"/>
      <c r="J704" s="671">
        <v>15000</v>
      </c>
      <c r="K704" s="670" t="s">
        <v>9540</v>
      </c>
      <c r="L704" s="670" t="s">
        <v>9519</v>
      </c>
      <c r="M704" s="670" t="s">
        <v>8832</v>
      </c>
      <c r="N704" s="670"/>
    </row>
    <row r="705" spans="1:14">
      <c r="A705" s="1066"/>
      <c r="B705" s="678">
        <v>45099</v>
      </c>
      <c r="C705" s="670" t="s">
        <v>9541</v>
      </c>
      <c r="D705" s="670" t="s">
        <v>9542</v>
      </c>
      <c r="E705" s="670" t="s">
        <v>9001</v>
      </c>
      <c r="F705" s="670" t="s">
        <v>9543</v>
      </c>
      <c r="G705" s="671"/>
      <c r="H705" s="671">
        <v>25000</v>
      </c>
      <c r="I705" s="671"/>
      <c r="J705" s="671">
        <v>25000</v>
      </c>
      <c r="K705" s="670" t="s">
        <v>9290</v>
      </c>
      <c r="L705" s="670" t="s">
        <v>9519</v>
      </c>
      <c r="M705" s="670" t="s">
        <v>8832</v>
      </c>
      <c r="N705" s="670"/>
    </row>
    <row r="706" spans="1:14">
      <c r="A706" s="1066"/>
      <c r="B706" s="678">
        <v>45099</v>
      </c>
      <c r="C706" s="670" t="s">
        <v>9518</v>
      </c>
      <c r="D706" s="670" t="s">
        <v>9531</v>
      </c>
      <c r="E706" s="670" t="s">
        <v>9043</v>
      </c>
      <c r="F706" s="670" t="s">
        <v>9544</v>
      </c>
      <c r="G706" s="671"/>
      <c r="H706" s="671">
        <v>196529</v>
      </c>
      <c r="I706" s="671"/>
      <c r="J706" s="671">
        <v>15000</v>
      </c>
      <c r="K706" s="670" t="s">
        <v>9331</v>
      </c>
      <c r="L706" s="670" t="s">
        <v>9519</v>
      </c>
      <c r="M706" s="670" t="s">
        <v>8832</v>
      </c>
      <c r="N706" s="670"/>
    </row>
    <row r="707" spans="1:14">
      <c r="A707" s="1066"/>
      <c r="B707" s="678">
        <v>45099</v>
      </c>
      <c r="C707" s="670" t="s">
        <v>9518</v>
      </c>
      <c r="D707" s="670" t="s">
        <v>9545</v>
      </c>
      <c r="E707" s="670" t="s">
        <v>9001</v>
      </c>
      <c r="F707" s="670" t="s">
        <v>9546</v>
      </c>
      <c r="G707" s="671"/>
      <c r="H707" s="671">
        <v>384012.33</v>
      </c>
      <c r="I707" s="671"/>
      <c r="J707" s="671">
        <v>15000</v>
      </c>
      <c r="K707" s="670" t="s">
        <v>9333</v>
      </c>
      <c r="L707" s="670" t="s">
        <v>9519</v>
      </c>
      <c r="M707" s="670" t="s">
        <v>8832</v>
      </c>
      <c r="N707" s="670"/>
    </row>
    <row r="708" spans="1:14">
      <c r="A708" s="1066"/>
      <c r="B708" s="678">
        <v>45099</v>
      </c>
      <c r="C708" s="670" t="s">
        <v>9518</v>
      </c>
      <c r="D708" s="670" t="s">
        <v>9387</v>
      </c>
      <c r="E708" s="670" t="s">
        <v>9043</v>
      </c>
      <c r="F708" s="670" t="s">
        <v>9537</v>
      </c>
      <c r="G708" s="671"/>
      <c r="H708" s="671">
        <v>154843.1</v>
      </c>
      <c r="I708" s="671"/>
      <c r="J708" s="671">
        <v>15000</v>
      </c>
      <c r="K708" s="670" t="s">
        <v>9393</v>
      </c>
      <c r="L708" s="670" t="s">
        <v>9519</v>
      </c>
      <c r="M708" s="670" t="s">
        <v>8832</v>
      </c>
      <c r="N708" s="670"/>
    </row>
    <row r="709" spans="1:14">
      <c r="A709" s="1066"/>
      <c r="B709" s="678">
        <v>45099</v>
      </c>
      <c r="C709" s="670" t="s">
        <v>9541</v>
      </c>
      <c r="D709" s="670" t="s">
        <v>9516</v>
      </c>
      <c r="E709" s="670" t="s">
        <v>9043</v>
      </c>
      <c r="F709" s="670" t="s">
        <v>9547</v>
      </c>
      <c r="G709" s="671"/>
      <c r="H709" s="671">
        <v>12000</v>
      </c>
      <c r="I709" s="671"/>
      <c r="J709" s="671">
        <v>5000</v>
      </c>
      <c r="K709" s="670" t="s">
        <v>9548</v>
      </c>
      <c r="L709" s="670" t="s">
        <v>9519</v>
      </c>
      <c r="M709" s="670" t="s">
        <v>8832</v>
      </c>
      <c r="N709" s="670"/>
    </row>
    <row r="710" spans="1:14">
      <c r="A710" s="1066"/>
      <c r="B710" s="678">
        <v>45100</v>
      </c>
      <c r="C710" s="670" t="s">
        <v>9541</v>
      </c>
      <c r="D710" s="670" t="s">
        <v>9516</v>
      </c>
      <c r="E710" s="670" t="s">
        <v>9001</v>
      </c>
      <c r="F710" s="670" t="s">
        <v>9549</v>
      </c>
      <c r="G710" s="671"/>
      <c r="H710" s="671">
        <v>5000</v>
      </c>
      <c r="I710" s="671"/>
      <c r="J710" s="671">
        <v>5000</v>
      </c>
      <c r="K710" s="670" t="s">
        <v>9345</v>
      </c>
      <c r="L710" s="670" t="s">
        <v>9519</v>
      </c>
      <c r="M710" s="670" t="s">
        <v>9550</v>
      </c>
      <c r="N710" s="670"/>
    </row>
    <row r="711" spans="1:14">
      <c r="A711" s="1066"/>
      <c r="B711" s="678">
        <v>45103</v>
      </c>
      <c r="C711" s="670" t="s">
        <v>9551</v>
      </c>
      <c r="D711" s="670" t="s">
        <v>9516</v>
      </c>
      <c r="E711" s="670" t="s">
        <v>9001</v>
      </c>
      <c r="F711" s="670" t="s">
        <v>9552</v>
      </c>
      <c r="G711" s="671"/>
      <c r="H711" s="671">
        <v>5030</v>
      </c>
      <c r="I711" s="671"/>
      <c r="J711" s="671">
        <v>5030</v>
      </c>
      <c r="K711" s="670" t="s">
        <v>9553</v>
      </c>
      <c r="L711" s="670" t="s">
        <v>9519</v>
      </c>
      <c r="M711" s="670" t="s">
        <v>8832</v>
      </c>
      <c r="N711" s="670"/>
    </row>
    <row r="712" spans="1:14">
      <c r="A712" s="1066"/>
      <c r="B712" s="678">
        <v>45103</v>
      </c>
      <c r="C712" s="670" t="s">
        <v>9518</v>
      </c>
      <c r="D712" s="670" t="s">
        <v>9554</v>
      </c>
      <c r="E712" s="670" t="s">
        <v>9001</v>
      </c>
      <c r="F712" s="670" t="s">
        <v>9555</v>
      </c>
      <c r="G712" s="671"/>
      <c r="H712" s="671">
        <v>558742.12</v>
      </c>
      <c r="I712" s="671"/>
      <c r="J712" s="671">
        <v>9000</v>
      </c>
      <c r="K712" s="670" t="s">
        <v>9404</v>
      </c>
      <c r="L712" s="670" t="s">
        <v>9519</v>
      </c>
      <c r="M712" s="670" t="s">
        <v>8832</v>
      </c>
      <c r="N712" s="670"/>
    </row>
    <row r="713" spans="1:14">
      <c r="A713" s="1066"/>
      <c r="B713" s="678">
        <v>45103</v>
      </c>
      <c r="C713" s="670" t="s">
        <v>9518</v>
      </c>
      <c r="D713" s="670" t="s">
        <v>9516</v>
      </c>
      <c r="E713" s="670" t="s">
        <v>9043</v>
      </c>
      <c r="F713" s="670" t="s">
        <v>9537</v>
      </c>
      <c r="G713" s="671"/>
      <c r="H713" s="671">
        <v>189335.7</v>
      </c>
      <c r="I713" s="671"/>
      <c r="J713" s="671">
        <v>10000</v>
      </c>
      <c r="K713" s="670" t="s">
        <v>9556</v>
      </c>
      <c r="L713" s="670" t="s">
        <v>9519</v>
      </c>
      <c r="M713" s="670" t="s">
        <v>8832</v>
      </c>
      <c r="N713" s="670"/>
    </row>
    <row r="714" spans="1:14">
      <c r="A714" s="1066"/>
      <c r="B714" s="678">
        <v>45103</v>
      </c>
      <c r="C714" s="670" t="s">
        <v>9518</v>
      </c>
      <c r="D714" s="670" t="s">
        <v>9516</v>
      </c>
      <c r="E714" s="670" t="s">
        <v>9001</v>
      </c>
      <c r="F714" s="670" t="s">
        <v>9454</v>
      </c>
      <c r="G714" s="671"/>
      <c r="H714" s="671">
        <v>180851.78</v>
      </c>
      <c r="I714" s="671"/>
      <c r="J714" s="671">
        <v>8000</v>
      </c>
      <c r="K714" s="670" t="s">
        <v>9557</v>
      </c>
      <c r="L714" s="670" t="s">
        <v>9519</v>
      </c>
      <c r="M714" s="670" t="s">
        <v>8832</v>
      </c>
      <c r="N714" s="670"/>
    </row>
    <row r="715" spans="1:14">
      <c r="A715" s="1066"/>
      <c r="B715" s="678">
        <v>45103</v>
      </c>
      <c r="C715" s="670" t="s">
        <v>9541</v>
      </c>
      <c r="D715" s="670" t="s">
        <v>9516</v>
      </c>
      <c r="E715" s="670" t="s">
        <v>9043</v>
      </c>
      <c r="F715" s="670" t="s">
        <v>9558</v>
      </c>
      <c r="G715" s="671"/>
      <c r="H715" s="671">
        <v>48000</v>
      </c>
      <c r="I715" s="671"/>
      <c r="J715" s="671">
        <v>8000</v>
      </c>
      <c r="K715" s="670" t="s">
        <v>9559</v>
      </c>
      <c r="L715" s="670" t="s">
        <v>9519</v>
      </c>
      <c r="M715" s="670" t="s">
        <v>9550</v>
      </c>
      <c r="N715" s="670"/>
    </row>
    <row r="716" spans="1:14">
      <c r="A716" s="1066"/>
      <c r="B716" s="678">
        <v>45103</v>
      </c>
      <c r="C716" s="670" t="s">
        <v>9518</v>
      </c>
      <c r="D716" s="670" t="s">
        <v>9524</v>
      </c>
      <c r="E716" s="670" t="s">
        <v>9043</v>
      </c>
      <c r="F716" s="670" t="s">
        <v>9560</v>
      </c>
      <c r="G716" s="671"/>
      <c r="H716" s="671">
        <v>265487.42</v>
      </c>
      <c r="I716" s="671"/>
      <c r="J716" s="671">
        <v>10000</v>
      </c>
      <c r="K716" s="670" t="s">
        <v>9526</v>
      </c>
      <c r="L716" s="670" t="s">
        <v>9519</v>
      </c>
      <c r="M716" s="670" t="s">
        <v>8832</v>
      </c>
      <c r="N716" s="670"/>
    </row>
    <row r="717" spans="1:14">
      <c r="A717" s="1066"/>
      <c r="B717" s="678">
        <v>45103</v>
      </c>
      <c r="C717" s="670" t="s">
        <v>9518</v>
      </c>
      <c r="D717" s="670" t="s">
        <v>9516</v>
      </c>
      <c r="E717" s="670" t="s">
        <v>9001</v>
      </c>
      <c r="F717" s="670" t="s">
        <v>9561</v>
      </c>
      <c r="G717" s="671"/>
      <c r="H717" s="671">
        <v>180851.78</v>
      </c>
      <c r="I717" s="671"/>
      <c r="J717" s="671">
        <v>12000</v>
      </c>
      <c r="K717" s="670" t="s">
        <v>9562</v>
      </c>
      <c r="L717" s="670" t="s">
        <v>9519</v>
      </c>
      <c r="M717" s="670" t="s">
        <v>8832</v>
      </c>
      <c r="N717" s="670"/>
    </row>
    <row r="718" spans="1:14">
      <c r="A718" s="1066"/>
      <c r="B718" s="678">
        <v>45103</v>
      </c>
      <c r="C718" s="670" t="s">
        <v>9518</v>
      </c>
      <c r="D718" s="670" t="s">
        <v>9516</v>
      </c>
      <c r="E718" s="670" t="s">
        <v>9001</v>
      </c>
      <c r="F718" s="670" t="s">
        <v>9561</v>
      </c>
      <c r="G718" s="671"/>
      <c r="H718" s="671">
        <v>180851.78</v>
      </c>
      <c r="I718" s="671"/>
      <c r="J718" s="671">
        <v>5000</v>
      </c>
      <c r="K718" s="670" t="s">
        <v>9562</v>
      </c>
      <c r="L718" s="670" t="s">
        <v>9519</v>
      </c>
      <c r="M718" s="670" t="s">
        <v>8832</v>
      </c>
      <c r="N718" s="670"/>
    </row>
    <row r="719" spans="1:14">
      <c r="A719" s="1066"/>
      <c r="B719" s="678">
        <v>45103</v>
      </c>
      <c r="C719" s="670" t="s">
        <v>9518</v>
      </c>
      <c r="D719" s="670" t="s">
        <v>9563</v>
      </c>
      <c r="E719" s="670" t="s">
        <v>9001</v>
      </c>
      <c r="F719" s="670" t="s">
        <v>9560</v>
      </c>
      <c r="G719" s="671"/>
      <c r="H719" s="671">
        <v>259738.12</v>
      </c>
      <c r="I719" s="671"/>
      <c r="J719" s="671">
        <v>13000</v>
      </c>
      <c r="K719" s="670" t="s">
        <v>9350</v>
      </c>
      <c r="L719" s="670" t="s">
        <v>9519</v>
      </c>
      <c r="M719" s="670" t="s">
        <v>8832</v>
      </c>
      <c r="N719" s="670"/>
    </row>
    <row r="720" spans="1:14">
      <c r="A720" s="1066"/>
      <c r="B720" s="678">
        <v>45103</v>
      </c>
      <c r="C720" s="670" t="s">
        <v>9518</v>
      </c>
      <c r="D720" s="670" t="s">
        <v>9564</v>
      </c>
      <c r="E720" s="670" t="s">
        <v>9043</v>
      </c>
      <c r="F720" s="670" t="s">
        <v>9565</v>
      </c>
      <c r="G720" s="671"/>
      <c r="H720" s="671">
        <v>187720.7</v>
      </c>
      <c r="I720" s="671"/>
      <c r="J720" s="671">
        <v>12000</v>
      </c>
      <c r="K720" s="670" t="s">
        <v>9414</v>
      </c>
      <c r="L720" s="670" t="s">
        <v>9519</v>
      </c>
      <c r="M720" s="670" t="s">
        <v>8832</v>
      </c>
      <c r="N720" s="670"/>
    </row>
    <row r="721" spans="1:14">
      <c r="A721" s="1066"/>
      <c r="B721" s="678">
        <v>45103</v>
      </c>
      <c r="C721" s="670" t="s">
        <v>9518</v>
      </c>
      <c r="D721" s="670" t="s">
        <v>9566</v>
      </c>
      <c r="E721" s="670" t="s">
        <v>9043</v>
      </c>
      <c r="F721" s="670" t="s">
        <v>9537</v>
      </c>
      <c r="G721" s="671"/>
      <c r="H721" s="671">
        <v>189253.95</v>
      </c>
      <c r="I721" s="671"/>
      <c r="J721" s="671">
        <v>12000</v>
      </c>
      <c r="K721" s="670" t="s">
        <v>9567</v>
      </c>
      <c r="L721" s="670" t="s">
        <v>9519</v>
      </c>
      <c r="M721" s="670" t="s">
        <v>8832</v>
      </c>
      <c r="N721" s="670"/>
    </row>
    <row r="722" spans="1:14">
      <c r="A722" s="1066"/>
      <c r="B722" s="678">
        <v>45103</v>
      </c>
      <c r="C722" s="670" t="s">
        <v>9518</v>
      </c>
      <c r="D722" s="670" t="s">
        <v>9568</v>
      </c>
      <c r="E722" s="670" t="s">
        <v>9043</v>
      </c>
      <c r="F722" s="670" t="s">
        <v>9537</v>
      </c>
      <c r="G722" s="671"/>
      <c r="H722" s="671">
        <v>171908.56</v>
      </c>
      <c r="I722" s="671"/>
      <c r="J722" s="671">
        <v>10000</v>
      </c>
      <c r="K722" s="670" t="s">
        <v>9338</v>
      </c>
      <c r="L722" s="670" t="s">
        <v>9519</v>
      </c>
      <c r="M722" s="670" t="s">
        <v>8832</v>
      </c>
      <c r="N722" s="670"/>
    </row>
    <row r="723" spans="1:14">
      <c r="A723" s="1066"/>
      <c r="B723" s="678">
        <v>45103</v>
      </c>
      <c r="C723" s="670" t="s">
        <v>9541</v>
      </c>
      <c r="D723" s="670" t="s">
        <v>9516</v>
      </c>
      <c r="E723" s="670" t="s">
        <v>9043</v>
      </c>
      <c r="F723" s="670" t="s">
        <v>9547</v>
      </c>
      <c r="G723" s="671"/>
      <c r="H723" s="671">
        <v>12000</v>
      </c>
      <c r="I723" s="671"/>
      <c r="J723" s="671">
        <v>7000</v>
      </c>
      <c r="K723" s="670" t="s">
        <v>9548</v>
      </c>
      <c r="L723" s="670" t="s">
        <v>9519</v>
      </c>
      <c r="M723" s="670" t="s">
        <v>8832</v>
      </c>
      <c r="N723" s="670"/>
    </row>
    <row r="724" spans="1:14">
      <c r="A724" s="1066"/>
      <c r="B724" s="678">
        <v>45105</v>
      </c>
      <c r="C724" s="670" t="s">
        <v>9518</v>
      </c>
      <c r="D724" s="670" t="s">
        <v>9569</v>
      </c>
      <c r="E724" s="670" t="s">
        <v>9001</v>
      </c>
      <c r="F724" s="670" t="s">
        <v>9570</v>
      </c>
      <c r="G724" s="671"/>
      <c r="H724" s="671">
        <v>172999.9</v>
      </c>
      <c r="I724" s="671"/>
      <c r="J724" s="671">
        <v>5000</v>
      </c>
      <c r="K724" s="670" t="s">
        <v>3002</v>
      </c>
      <c r="L724" s="670" t="s">
        <v>9519</v>
      </c>
      <c r="M724" s="670" t="s">
        <v>8832</v>
      </c>
      <c r="N724" s="670"/>
    </row>
    <row r="725" spans="1:14">
      <c r="A725" s="1066"/>
      <c r="B725" s="678">
        <v>45105</v>
      </c>
      <c r="C725" s="670" t="s">
        <v>9518</v>
      </c>
      <c r="D725" s="670" t="s">
        <v>9571</v>
      </c>
      <c r="E725" s="670" t="s">
        <v>9001</v>
      </c>
      <c r="F725" s="670" t="s">
        <v>9572</v>
      </c>
      <c r="G725" s="671"/>
      <c r="H725" s="671">
        <v>689805</v>
      </c>
      <c r="I725" s="671"/>
      <c r="J725" s="671">
        <v>20000</v>
      </c>
      <c r="K725" s="670" t="s">
        <v>9342</v>
      </c>
      <c r="L725" s="670" t="s">
        <v>9519</v>
      </c>
      <c r="M725" s="670" t="s">
        <v>8832</v>
      </c>
      <c r="N725" s="670"/>
    </row>
    <row r="726" spans="1:14">
      <c r="A726" s="1066"/>
      <c r="B726" s="678">
        <v>45105</v>
      </c>
      <c r="C726" s="670" t="s">
        <v>9518</v>
      </c>
      <c r="D726" s="670" t="s">
        <v>9573</v>
      </c>
      <c r="E726" s="670" t="s">
        <v>9043</v>
      </c>
      <c r="F726" s="670" t="s">
        <v>9537</v>
      </c>
      <c r="G726" s="671"/>
      <c r="H726" s="671">
        <v>189745.2</v>
      </c>
      <c r="I726" s="671"/>
      <c r="J726" s="671">
        <v>4500</v>
      </c>
      <c r="K726" s="670" t="s">
        <v>9376</v>
      </c>
      <c r="L726" s="670" t="s">
        <v>9519</v>
      </c>
      <c r="M726" s="670" t="s">
        <v>8832</v>
      </c>
      <c r="N726" s="670"/>
    </row>
    <row r="727" spans="1:14">
      <c r="A727" s="1066"/>
      <c r="B727" s="678">
        <v>45107</v>
      </c>
      <c r="C727" s="670" t="s">
        <v>9364</v>
      </c>
      <c r="D727" s="670" t="s">
        <v>9516</v>
      </c>
      <c r="E727" s="670" t="s">
        <v>9279</v>
      </c>
      <c r="F727" s="670" t="s">
        <v>9364</v>
      </c>
      <c r="G727" s="671"/>
      <c r="H727" s="671" t="s">
        <v>1921</v>
      </c>
      <c r="I727" s="671"/>
      <c r="J727" s="671">
        <v>57340</v>
      </c>
      <c r="K727" s="670" t="s">
        <v>9516</v>
      </c>
      <c r="L727" s="670" t="s">
        <v>9365</v>
      </c>
      <c r="M727" s="670" t="s">
        <v>9366</v>
      </c>
      <c r="N727" s="670"/>
    </row>
    <row r="728" spans="1:14">
      <c r="A728" s="1066"/>
      <c r="B728" s="678">
        <v>45125</v>
      </c>
      <c r="C728" s="670" t="s">
        <v>9518</v>
      </c>
      <c r="D728" s="670" t="s">
        <v>9563</v>
      </c>
      <c r="E728" s="670" t="s">
        <v>9001</v>
      </c>
      <c r="F728" s="670" t="s">
        <v>9574</v>
      </c>
      <c r="G728" s="671"/>
      <c r="H728" s="671">
        <v>259738.12</v>
      </c>
      <c r="I728" s="671"/>
      <c r="J728" s="671">
        <v>14500</v>
      </c>
      <c r="K728" s="670" t="s">
        <v>9350</v>
      </c>
      <c r="L728" s="670" t="s">
        <v>9519</v>
      </c>
      <c r="M728" s="670" t="s">
        <v>8832</v>
      </c>
      <c r="N728" s="670"/>
    </row>
    <row r="729" spans="1:14">
      <c r="A729" s="1066"/>
      <c r="B729" s="678">
        <v>45125</v>
      </c>
      <c r="C729" s="670" t="s">
        <v>9518</v>
      </c>
      <c r="D729" s="670" t="s">
        <v>9564</v>
      </c>
      <c r="E729" s="670" t="s">
        <v>9001</v>
      </c>
      <c r="F729" s="670" t="s">
        <v>9575</v>
      </c>
      <c r="G729" s="671"/>
      <c r="H729" s="671">
        <v>187790.91</v>
      </c>
      <c r="I729" s="671"/>
      <c r="J729" s="671">
        <v>15000</v>
      </c>
      <c r="K729" s="670" t="s">
        <v>9304</v>
      </c>
      <c r="L729" s="670" t="s">
        <v>9519</v>
      </c>
      <c r="M729" s="670" t="s">
        <v>8832</v>
      </c>
      <c r="N729" s="670"/>
    </row>
    <row r="730" spans="1:14">
      <c r="A730" s="1066"/>
      <c r="B730" s="678">
        <v>44945</v>
      </c>
      <c r="C730" s="670" t="s">
        <v>9518</v>
      </c>
      <c r="D730" s="670" t="s">
        <v>9576</v>
      </c>
      <c r="E730" s="670" t="s">
        <v>9001</v>
      </c>
      <c r="F730" s="670" t="s">
        <v>9577</v>
      </c>
      <c r="G730" s="671"/>
      <c r="H730" s="671">
        <v>205371.32</v>
      </c>
      <c r="I730" s="671"/>
      <c r="J730" s="671">
        <v>10000</v>
      </c>
      <c r="K730" s="670" t="s">
        <v>9290</v>
      </c>
      <c r="L730" s="670" t="s">
        <v>9519</v>
      </c>
      <c r="M730" s="670" t="s">
        <v>8832</v>
      </c>
      <c r="N730" s="670"/>
    </row>
    <row r="731" spans="1:14">
      <c r="A731" s="1066"/>
      <c r="B731" s="678">
        <v>45132</v>
      </c>
      <c r="C731" s="670" t="s">
        <v>9518</v>
      </c>
      <c r="D731" s="670" t="s">
        <v>9563</v>
      </c>
      <c r="E731" s="670" t="s">
        <v>9001</v>
      </c>
      <c r="F731" s="670" t="s">
        <v>9574</v>
      </c>
      <c r="G731" s="671"/>
      <c r="H731" s="671">
        <v>259738.12</v>
      </c>
      <c r="I731" s="671"/>
      <c r="J731" s="671">
        <v>22000</v>
      </c>
      <c r="K731" s="670" t="s">
        <v>9350</v>
      </c>
      <c r="L731" s="670" t="s">
        <v>9519</v>
      </c>
      <c r="M731" s="670" t="s">
        <v>8832</v>
      </c>
      <c r="N731" s="670"/>
    </row>
    <row r="732" spans="1:14">
      <c r="A732" s="1066"/>
      <c r="B732" s="678">
        <v>45132</v>
      </c>
      <c r="C732" s="670" t="s">
        <v>9578</v>
      </c>
      <c r="D732" s="670" t="s">
        <v>9516</v>
      </c>
      <c r="E732" s="670" t="s">
        <v>9043</v>
      </c>
      <c r="F732" s="670" t="s">
        <v>9579</v>
      </c>
      <c r="G732" s="671"/>
      <c r="H732" s="671">
        <v>6000</v>
      </c>
      <c r="I732" s="671"/>
      <c r="J732" s="671">
        <v>6000</v>
      </c>
      <c r="K732" s="670" t="s">
        <v>9580</v>
      </c>
      <c r="L732" s="670" t="s">
        <v>9519</v>
      </c>
      <c r="M732" s="670" t="s">
        <v>9550</v>
      </c>
      <c r="N732" s="670"/>
    </row>
    <row r="733" spans="1:14">
      <c r="A733" s="1066"/>
      <c r="B733" s="678">
        <v>45132</v>
      </c>
      <c r="C733" s="670" t="s">
        <v>9578</v>
      </c>
      <c r="D733" s="670" t="s">
        <v>9516</v>
      </c>
      <c r="E733" s="670" t="s">
        <v>9043</v>
      </c>
      <c r="F733" s="670" t="s">
        <v>9579</v>
      </c>
      <c r="G733" s="671"/>
      <c r="H733" s="671">
        <v>6000</v>
      </c>
      <c r="I733" s="671"/>
      <c r="J733" s="671">
        <v>6000</v>
      </c>
      <c r="K733" s="670" t="s">
        <v>9548</v>
      </c>
      <c r="L733" s="670" t="s">
        <v>9519</v>
      </c>
      <c r="M733" s="670" t="s">
        <v>9550</v>
      </c>
      <c r="N733" s="670"/>
    </row>
    <row r="734" spans="1:14">
      <c r="A734" s="1066"/>
      <c r="B734" s="678">
        <v>45133</v>
      </c>
      <c r="C734" s="670" t="s">
        <v>9578</v>
      </c>
      <c r="D734" s="670" t="s">
        <v>9516</v>
      </c>
      <c r="E734" s="670" t="s">
        <v>9043</v>
      </c>
      <c r="F734" s="670" t="s">
        <v>9579</v>
      </c>
      <c r="G734" s="671"/>
      <c r="H734" s="671">
        <v>6000</v>
      </c>
      <c r="I734" s="671"/>
      <c r="J734" s="671">
        <v>6000</v>
      </c>
      <c r="K734" s="670" t="s">
        <v>9548</v>
      </c>
      <c r="L734" s="670" t="s">
        <v>9519</v>
      </c>
      <c r="M734" s="670" t="s">
        <v>9550</v>
      </c>
      <c r="N734" s="670"/>
    </row>
    <row r="735" spans="1:14">
      <c r="A735" s="1066"/>
      <c r="B735" s="678">
        <v>45138</v>
      </c>
      <c r="C735" s="670" t="s">
        <v>9518</v>
      </c>
      <c r="D735" s="670" t="s">
        <v>9529</v>
      </c>
      <c r="E735" s="670" t="s">
        <v>9001</v>
      </c>
      <c r="F735" s="670" t="s">
        <v>9581</v>
      </c>
      <c r="G735" s="671"/>
      <c r="H735" s="671">
        <v>200000</v>
      </c>
      <c r="I735" s="671"/>
      <c r="J735" s="671">
        <v>2500</v>
      </c>
      <c r="K735" s="670" t="s">
        <v>9298</v>
      </c>
      <c r="L735" s="670" t="s">
        <v>9519</v>
      </c>
      <c r="M735" s="670" t="s">
        <v>8832</v>
      </c>
      <c r="N735" s="670"/>
    </row>
    <row r="736" spans="1:14">
      <c r="A736" s="1066"/>
      <c r="B736" s="678">
        <v>45138</v>
      </c>
      <c r="C736" s="670" t="s">
        <v>9364</v>
      </c>
      <c r="D736" s="670" t="s">
        <v>9516</v>
      </c>
      <c r="E736" s="670"/>
      <c r="F736" s="670" t="s">
        <v>9364</v>
      </c>
      <c r="G736" s="671"/>
      <c r="H736" s="671" t="s">
        <v>1921</v>
      </c>
      <c r="I736" s="671"/>
      <c r="J736" s="671">
        <v>53450</v>
      </c>
      <c r="K736" s="670" t="s">
        <v>1234</v>
      </c>
      <c r="L736" s="670" t="s">
        <v>9365</v>
      </c>
      <c r="M736" s="670" t="s">
        <v>9366</v>
      </c>
      <c r="N736" s="670"/>
    </row>
    <row r="737" spans="1:14">
      <c r="A737" s="1066"/>
      <c r="B737" s="678">
        <v>45141</v>
      </c>
      <c r="C737" s="670" t="s">
        <v>9518</v>
      </c>
      <c r="D737" s="670" t="s">
        <v>9582</v>
      </c>
      <c r="E737" s="670" t="s">
        <v>9001</v>
      </c>
      <c r="F737" s="670" t="s">
        <v>9583</v>
      </c>
      <c r="G737" s="671"/>
      <c r="H737" s="671">
        <v>7500</v>
      </c>
      <c r="I737" s="671"/>
      <c r="J737" s="671">
        <v>3500</v>
      </c>
      <c r="K737" s="670" t="s">
        <v>9324</v>
      </c>
      <c r="L737" s="670" t="s">
        <v>9519</v>
      </c>
      <c r="M737" s="670" t="s">
        <v>8832</v>
      </c>
      <c r="N737" s="670"/>
    </row>
    <row r="738" spans="1:14">
      <c r="A738" s="1066"/>
      <c r="B738" s="678">
        <v>45141</v>
      </c>
      <c r="C738" s="670" t="s">
        <v>9584</v>
      </c>
      <c r="D738" s="670" t="s">
        <v>9514</v>
      </c>
      <c r="E738" s="670" t="s">
        <v>9282</v>
      </c>
      <c r="F738" s="670" t="s">
        <v>9585</v>
      </c>
      <c r="G738" s="671"/>
      <c r="H738" s="671" t="s">
        <v>1921</v>
      </c>
      <c r="I738" s="671"/>
      <c r="J738" s="671">
        <v>9900</v>
      </c>
      <c r="K738" s="670" t="s">
        <v>9516</v>
      </c>
      <c r="L738" s="670" t="s">
        <v>9517</v>
      </c>
      <c r="M738" s="670" t="s">
        <v>9299</v>
      </c>
      <c r="N738" s="670"/>
    </row>
    <row r="739" spans="1:14">
      <c r="A739" s="1066"/>
      <c r="B739" s="678">
        <v>45143</v>
      </c>
      <c r="C739" s="670" t="s">
        <v>9584</v>
      </c>
      <c r="D739" s="670" t="s">
        <v>9514</v>
      </c>
      <c r="E739" s="670" t="s">
        <v>9282</v>
      </c>
      <c r="F739" s="670" t="s">
        <v>9585</v>
      </c>
      <c r="G739" s="671"/>
      <c r="H739" s="671" t="s">
        <v>1921</v>
      </c>
      <c r="I739" s="671"/>
      <c r="J739" s="671">
        <v>9900</v>
      </c>
      <c r="K739" s="670" t="s">
        <v>9516</v>
      </c>
      <c r="L739" s="670" t="s">
        <v>9517</v>
      </c>
      <c r="M739" s="670" t="s">
        <v>9299</v>
      </c>
      <c r="N739" s="670"/>
    </row>
    <row r="740" spans="1:14">
      <c r="A740" s="1066"/>
      <c r="B740" s="678">
        <v>45146</v>
      </c>
      <c r="C740" s="670" t="s">
        <v>9518</v>
      </c>
      <c r="D740" s="670"/>
      <c r="E740" s="670" t="s">
        <v>9001</v>
      </c>
      <c r="F740" s="670" t="s">
        <v>9586</v>
      </c>
      <c r="G740" s="671"/>
      <c r="H740" s="671">
        <v>103415.24</v>
      </c>
      <c r="I740" s="671"/>
      <c r="J740" s="671">
        <v>21000</v>
      </c>
      <c r="K740" s="670" t="s">
        <v>9290</v>
      </c>
      <c r="L740" s="670" t="s">
        <v>9519</v>
      </c>
      <c r="M740" s="670" t="s">
        <v>8832</v>
      </c>
      <c r="N740" s="670"/>
    </row>
    <row r="741" spans="1:14">
      <c r="A741" s="1066"/>
      <c r="B741" s="678">
        <v>45146</v>
      </c>
      <c r="C741" s="670" t="s">
        <v>9518</v>
      </c>
      <c r="D741" s="670" t="s">
        <v>9387</v>
      </c>
      <c r="E741" s="670" t="s">
        <v>9043</v>
      </c>
      <c r="F741" s="670" t="s">
        <v>9537</v>
      </c>
      <c r="G741" s="671"/>
      <c r="H741" s="671">
        <v>187790.91</v>
      </c>
      <c r="I741" s="671"/>
      <c r="J741" s="671">
        <v>13000</v>
      </c>
      <c r="K741" s="670" t="s">
        <v>9304</v>
      </c>
      <c r="L741" s="670" t="s">
        <v>9519</v>
      </c>
      <c r="M741" s="670" t="s">
        <v>9519</v>
      </c>
      <c r="N741" s="670"/>
    </row>
    <row r="742" spans="1:14">
      <c r="A742" s="1066"/>
      <c r="B742" s="678">
        <v>45147</v>
      </c>
      <c r="C742" s="670" t="s">
        <v>9518</v>
      </c>
      <c r="D742" s="670" t="s">
        <v>9563</v>
      </c>
      <c r="E742" s="670" t="s">
        <v>9001</v>
      </c>
      <c r="F742" s="670" t="s">
        <v>9525</v>
      </c>
      <c r="G742" s="671"/>
      <c r="H742" s="671">
        <v>259738.12</v>
      </c>
      <c r="I742" s="671"/>
      <c r="J742" s="671">
        <v>21000</v>
      </c>
      <c r="K742" s="670" t="s">
        <v>9350</v>
      </c>
      <c r="L742" s="670" t="s">
        <v>9519</v>
      </c>
      <c r="M742" s="670" t="s">
        <v>8832</v>
      </c>
      <c r="N742" s="670"/>
    </row>
    <row r="743" spans="1:14">
      <c r="A743" s="1066"/>
      <c r="B743" s="678">
        <v>45147</v>
      </c>
      <c r="C743" s="670" t="s">
        <v>9518</v>
      </c>
      <c r="D743" s="670" t="s">
        <v>9531</v>
      </c>
      <c r="E743" s="670" t="s">
        <v>9001</v>
      </c>
      <c r="F743" s="670" t="s">
        <v>9525</v>
      </c>
      <c r="G743" s="671"/>
      <c r="H743" s="671">
        <v>254701.5</v>
      </c>
      <c r="I743" s="671"/>
      <c r="J743" s="671">
        <v>15000</v>
      </c>
      <c r="K743" s="670" t="s">
        <v>9587</v>
      </c>
      <c r="L743" s="670" t="s">
        <v>9519</v>
      </c>
      <c r="M743" s="670" t="s">
        <v>8832</v>
      </c>
      <c r="N743" s="670"/>
    </row>
    <row r="744" spans="1:14">
      <c r="A744" s="1066"/>
      <c r="B744" s="678">
        <v>45149</v>
      </c>
      <c r="C744" s="670" t="s">
        <v>9518</v>
      </c>
      <c r="D744" s="670" t="s">
        <v>9516</v>
      </c>
      <c r="E744" s="670" t="s">
        <v>9001</v>
      </c>
      <c r="F744" s="670" t="s">
        <v>9588</v>
      </c>
      <c r="G744" s="671"/>
      <c r="H744" s="671">
        <v>15000</v>
      </c>
      <c r="I744" s="671"/>
      <c r="J744" s="671">
        <v>15000</v>
      </c>
      <c r="K744" s="670" t="s">
        <v>9290</v>
      </c>
      <c r="L744" s="670" t="s">
        <v>9519</v>
      </c>
      <c r="M744" s="670" t="s">
        <v>8832</v>
      </c>
      <c r="N744" s="670"/>
    </row>
    <row r="745" spans="1:14">
      <c r="A745" s="1066"/>
      <c r="B745" s="678">
        <v>45155</v>
      </c>
      <c r="C745" s="670" t="s">
        <v>9518</v>
      </c>
      <c r="D745" s="670" t="s">
        <v>9367</v>
      </c>
      <c r="E745" s="670" t="s">
        <v>9043</v>
      </c>
      <c r="F745" s="670" t="s">
        <v>9589</v>
      </c>
      <c r="G745" s="671"/>
      <c r="H745" s="671">
        <v>194390.3</v>
      </c>
      <c r="I745" s="671"/>
      <c r="J745" s="671">
        <v>15000</v>
      </c>
      <c r="K745" s="670" t="s">
        <v>9467</v>
      </c>
      <c r="L745" s="670" t="s">
        <v>9519</v>
      </c>
      <c r="M745" s="670" t="s">
        <v>8832</v>
      </c>
      <c r="N745" s="670"/>
    </row>
    <row r="746" spans="1:14">
      <c r="A746" s="1066"/>
      <c r="B746" s="678">
        <v>45155</v>
      </c>
      <c r="C746" s="670" t="s">
        <v>9518</v>
      </c>
      <c r="D746" s="670" t="s">
        <v>9590</v>
      </c>
      <c r="E746" s="670" t="s">
        <v>9001</v>
      </c>
      <c r="F746" s="670" t="s">
        <v>9591</v>
      </c>
      <c r="G746" s="671"/>
      <c r="H746" s="671">
        <v>70000</v>
      </c>
      <c r="I746" s="671"/>
      <c r="J746" s="671">
        <v>12000</v>
      </c>
      <c r="K746" s="670" t="s">
        <v>9345</v>
      </c>
      <c r="L746" s="670" t="s">
        <v>9519</v>
      </c>
      <c r="M746" s="670" t="s">
        <v>8832</v>
      </c>
      <c r="N746" s="670"/>
    </row>
    <row r="747" spans="1:14">
      <c r="A747" s="1066"/>
      <c r="B747" s="678">
        <v>45155</v>
      </c>
      <c r="C747" s="670" t="s">
        <v>9518</v>
      </c>
      <c r="D747" s="670" t="s">
        <v>9592</v>
      </c>
      <c r="E747" s="670" t="s">
        <v>9001</v>
      </c>
      <c r="F747" s="670" t="s">
        <v>9593</v>
      </c>
      <c r="G747" s="671"/>
      <c r="H747" s="671">
        <v>84251.32</v>
      </c>
      <c r="I747" s="671"/>
      <c r="J747" s="671">
        <v>15600</v>
      </c>
      <c r="K747" s="670" t="s">
        <v>9290</v>
      </c>
      <c r="L747" s="670" t="s">
        <v>9519</v>
      </c>
      <c r="M747" s="670" t="s">
        <v>8832</v>
      </c>
      <c r="N747" s="670"/>
    </row>
    <row r="748" spans="1:14">
      <c r="A748" s="1066"/>
      <c r="B748" s="678">
        <v>45155</v>
      </c>
      <c r="C748" s="670" t="s">
        <v>9518</v>
      </c>
      <c r="D748" s="670" t="s">
        <v>9564</v>
      </c>
      <c r="E748" s="670" t="s">
        <v>9043</v>
      </c>
      <c r="F748" s="670" t="s">
        <v>9537</v>
      </c>
      <c r="G748" s="671"/>
      <c r="H748" s="671">
        <v>187790.91</v>
      </c>
      <c r="I748" s="671"/>
      <c r="J748" s="671">
        <v>13000</v>
      </c>
      <c r="K748" s="670" t="s">
        <v>9304</v>
      </c>
      <c r="L748" s="670" t="s">
        <v>9519</v>
      </c>
      <c r="M748" s="670" t="s">
        <v>9594</v>
      </c>
      <c r="N748" s="670"/>
    </row>
    <row r="749" spans="1:14">
      <c r="A749" s="1066"/>
      <c r="B749" s="678">
        <v>45155</v>
      </c>
      <c r="C749" s="670" t="s">
        <v>9518</v>
      </c>
      <c r="D749" s="670" t="s">
        <v>9595</v>
      </c>
      <c r="E749" s="670" t="s">
        <v>9043</v>
      </c>
      <c r="F749" s="670" t="s">
        <v>9596</v>
      </c>
      <c r="G749" s="671"/>
      <c r="H749" s="671">
        <v>670227.96</v>
      </c>
      <c r="I749" s="671"/>
      <c r="J749" s="671">
        <v>60000</v>
      </c>
      <c r="K749" s="670" t="s">
        <v>9597</v>
      </c>
      <c r="L749" s="670" t="s">
        <v>9519</v>
      </c>
      <c r="M749" s="670" t="s">
        <v>8832</v>
      </c>
      <c r="N749" s="670"/>
    </row>
    <row r="750" spans="1:14">
      <c r="A750" s="1066"/>
      <c r="B750" s="678">
        <v>45155</v>
      </c>
      <c r="C750" s="670" t="s">
        <v>9518</v>
      </c>
      <c r="D750" s="670" t="s">
        <v>9564</v>
      </c>
      <c r="E750" s="670" t="s">
        <v>9043</v>
      </c>
      <c r="F750" s="670" t="s">
        <v>9598</v>
      </c>
      <c r="G750" s="671"/>
      <c r="H750" s="671">
        <v>187720.7</v>
      </c>
      <c r="I750" s="671"/>
      <c r="J750" s="671">
        <v>12000</v>
      </c>
      <c r="K750" s="670" t="s">
        <v>9414</v>
      </c>
      <c r="L750" s="670" t="s">
        <v>9519</v>
      </c>
      <c r="M750" s="670" t="s">
        <v>8832</v>
      </c>
      <c r="N750" s="670"/>
    </row>
    <row r="751" spans="1:14">
      <c r="A751" s="1066"/>
      <c r="B751" s="678">
        <v>45156</v>
      </c>
      <c r="C751" s="670"/>
      <c r="D751" s="670" t="s">
        <v>9514</v>
      </c>
      <c r="E751" s="670" t="s">
        <v>9282</v>
      </c>
      <c r="F751" s="670" t="s">
        <v>9585</v>
      </c>
      <c r="G751" s="671"/>
      <c r="H751" s="671" t="s">
        <v>1921</v>
      </c>
      <c r="I751" s="671"/>
      <c r="J751" s="671">
        <v>9990</v>
      </c>
      <c r="K751" s="670" t="s">
        <v>9283</v>
      </c>
      <c r="L751" s="670" t="s">
        <v>9517</v>
      </c>
      <c r="M751" s="670" t="s">
        <v>9285</v>
      </c>
      <c r="N751" s="670"/>
    </row>
    <row r="752" spans="1:14">
      <c r="A752" s="1066"/>
      <c r="B752" s="678">
        <v>45156</v>
      </c>
      <c r="C752" s="670" t="s">
        <v>9518</v>
      </c>
      <c r="D752" s="670" t="s">
        <v>9571</v>
      </c>
      <c r="E752" s="670" t="s">
        <v>9001</v>
      </c>
      <c r="F752" s="670" t="s">
        <v>9599</v>
      </c>
      <c r="G752" s="671"/>
      <c r="H752" s="671">
        <v>689805</v>
      </c>
      <c r="I752" s="671"/>
      <c r="J752" s="671">
        <v>35000</v>
      </c>
      <c r="K752" s="670" t="s">
        <v>9342</v>
      </c>
      <c r="L752" s="670" t="s">
        <v>9519</v>
      </c>
      <c r="M752" s="670" t="s">
        <v>8832</v>
      </c>
      <c r="N752" s="670"/>
    </row>
    <row r="753" spans="1:14">
      <c r="A753" s="1066"/>
      <c r="B753" s="678">
        <v>45156</v>
      </c>
      <c r="C753" s="670" t="s">
        <v>9518</v>
      </c>
      <c r="D753" s="670" t="s">
        <v>9563</v>
      </c>
      <c r="E753" s="670" t="s">
        <v>9001</v>
      </c>
      <c r="F753" s="670" t="s">
        <v>9525</v>
      </c>
      <c r="G753" s="671"/>
      <c r="H753" s="671">
        <v>259738.12</v>
      </c>
      <c r="I753" s="671"/>
      <c r="J753" s="671">
        <v>22000</v>
      </c>
      <c r="K753" s="670" t="s">
        <v>9350</v>
      </c>
      <c r="L753" s="670" t="s">
        <v>9519</v>
      </c>
      <c r="M753" s="670" t="s">
        <v>8832</v>
      </c>
      <c r="N753" s="670"/>
    </row>
    <row r="754" spans="1:14">
      <c r="A754" s="1066"/>
      <c r="B754" s="678">
        <v>45156</v>
      </c>
      <c r="C754" s="670" t="s">
        <v>8625</v>
      </c>
      <c r="D754" s="670" t="s">
        <v>9516</v>
      </c>
      <c r="E754" s="670" t="s">
        <v>9043</v>
      </c>
      <c r="F754" s="670" t="s">
        <v>9600</v>
      </c>
      <c r="G754" s="671"/>
      <c r="H754" s="671">
        <v>48000</v>
      </c>
      <c r="I754" s="671"/>
      <c r="J754" s="671">
        <v>8000</v>
      </c>
      <c r="K754" s="670" t="s">
        <v>9559</v>
      </c>
      <c r="L754" s="670" t="s">
        <v>9519</v>
      </c>
      <c r="M754" s="670" t="s">
        <v>9550</v>
      </c>
      <c r="N754" s="670"/>
    </row>
    <row r="755" spans="1:14">
      <c r="A755" s="1066"/>
      <c r="B755" s="678">
        <v>45156</v>
      </c>
      <c r="C755" s="670" t="s">
        <v>9518</v>
      </c>
      <c r="D755" s="670" t="s">
        <v>9387</v>
      </c>
      <c r="E755" s="670" t="s">
        <v>9001</v>
      </c>
      <c r="F755" s="670" t="s">
        <v>9601</v>
      </c>
      <c r="G755" s="671"/>
      <c r="H755" s="671">
        <v>180851.78</v>
      </c>
      <c r="I755" s="671"/>
      <c r="J755" s="671">
        <v>13700</v>
      </c>
      <c r="K755" s="670" t="s">
        <v>9295</v>
      </c>
      <c r="L755" s="670" t="s">
        <v>9519</v>
      </c>
      <c r="M755" s="670" t="s">
        <v>8832</v>
      </c>
      <c r="N755" s="670"/>
    </row>
    <row r="756" spans="1:14">
      <c r="A756" s="1066"/>
      <c r="B756" s="678">
        <v>45156</v>
      </c>
      <c r="C756" s="670" t="s">
        <v>9518</v>
      </c>
      <c r="D756" s="670" t="s">
        <v>9531</v>
      </c>
      <c r="E756" s="670" t="s">
        <v>9001</v>
      </c>
      <c r="F756" s="670" t="s">
        <v>9525</v>
      </c>
      <c r="G756" s="671"/>
      <c r="H756" s="671">
        <v>239006.86</v>
      </c>
      <c r="I756" s="671"/>
      <c r="J756" s="671">
        <v>18000</v>
      </c>
      <c r="K756" s="670" t="s">
        <v>9538</v>
      </c>
      <c r="L756" s="670" t="s">
        <v>9519</v>
      </c>
      <c r="M756" s="670" t="s">
        <v>8832</v>
      </c>
      <c r="N756" s="670"/>
    </row>
    <row r="757" spans="1:14">
      <c r="A757" s="1066"/>
      <c r="B757" s="678">
        <v>45156</v>
      </c>
      <c r="C757" s="670" t="s">
        <v>9518</v>
      </c>
      <c r="D757" s="670" t="s">
        <v>9602</v>
      </c>
      <c r="E757" s="670" t="s">
        <v>9001</v>
      </c>
      <c r="F757" s="670" t="s">
        <v>9603</v>
      </c>
      <c r="G757" s="671"/>
      <c r="H757" s="671"/>
      <c r="I757" s="671"/>
      <c r="J757" s="671">
        <v>8000</v>
      </c>
      <c r="K757" s="670" t="s">
        <v>9371</v>
      </c>
      <c r="L757" s="670" t="s">
        <v>9519</v>
      </c>
      <c r="M757" s="670" t="s">
        <v>8832</v>
      </c>
      <c r="N757" s="670"/>
    </row>
    <row r="758" spans="1:14">
      <c r="A758" s="1066"/>
      <c r="B758" s="678">
        <v>45156</v>
      </c>
      <c r="C758" s="670" t="s">
        <v>9518</v>
      </c>
      <c r="D758" s="670" t="s">
        <v>9389</v>
      </c>
      <c r="E758" s="670" t="s">
        <v>9043</v>
      </c>
      <c r="F758" s="670" t="s">
        <v>9537</v>
      </c>
      <c r="G758" s="671"/>
      <c r="H758" s="671">
        <v>189335.7</v>
      </c>
      <c r="I758" s="671"/>
      <c r="J758" s="671">
        <v>8000</v>
      </c>
      <c r="K758" s="670" t="s">
        <v>9352</v>
      </c>
      <c r="L758" s="670" t="s">
        <v>9519</v>
      </c>
      <c r="M758" s="670" t="s">
        <v>8832</v>
      </c>
      <c r="N758" s="670"/>
    </row>
    <row r="759" spans="1:14">
      <c r="A759" s="1066"/>
      <c r="B759" s="678">
        <v>45156</v>
      </c>
      <c r="C759" s="670" t="s">
        <v>9518</v>
      </c>
      <c r="D759" s="670" t="s">
        <v>9524</v>
      </c>
      <c r="E759" s="670" t="s">
        <v>9043</v>
      </c>
      <c r="F759" s="670" t="s">
        <v>9604</v>
      </c>
      <c r="G759" s="671"/>
      <c r="H759" s="671">
        <v>164228.087</v>
      </c>
      <c r="I759" s="671"/>
      <c r="J759" s="671">
        <v>10600</v>
      </c>
      <c r="K759" s="670" t="s">
        <v>9605</v>
      </c>
      <c r="L759" s="670" t="s">
        <v>9519</v>
      </c>
      <c r="M759" s="670" t="s">
        <v>8832</v>
      </c>
      <c r="N759" s="670"/>
    </row>
    <row r="760" spans="1:14">
      <c r="A760" s="1066"/>
      <c r="B760" s="678">
        <v>45156</v>
      </c>
      <c r="C760" s="670" t="s">
        <v>9518</v>
      </c>
      <c r="D760" s="670" t="s">
        <v>9529</v>
      </c>
      <c r="E760" s="670" t="s">
        <v>9001</v>
      </c>
      <c r="F760" s="670" t="s">
        <v>9581</v>
      </c>
      <c r="G760" s="671"/>
      <c r="H760" s="671">
        <v>200000</v>
      </c>
      <c r="I760" s="671"/>
      <c r="J760" s="671">
        <v>3000</v>
      </c>
      <c r="K760" s="670" t="s">
        <v>9606</v>
      </c>
      <c r="L760" s="670" t="s">
        <v>9519</v>
      </c>
      <c r="M760" s="670" t="s">
        <v>9299</v>
      </c>
      <c r="N760" s="670"/>
    </row>
    <row r="761" spans="1:14">
      <c r="A761" s="1066"/>
      <c r="B761" s="678">
        <v>45159</v>
      </c>
      <c r="C761" s="670"/>
      <c r="D761" s="670" t="s">
        <v>9514</v>
      </c>
      <c r="E761" s="670" t="s">
        <v>9282</v>
      </c>
      <c r="F761" s="670" t="s">
        <v>9585</v>
      </c>
      <c r="G761" s="671"/>
      <c r="H761" s="671" t="s">
        <v>1921</v>
      </c>
      <c r="I761" s="671"/>
      <c r="J761" s="671">
        <v>9990</v>
      </c>
      <c r="K761" s="670" t="s">
        <v>9516</v>
      </c>
      <c r="L761" s="670" t="s">
        <v>9365</v>
      </c>
      <c r="M761" s="670" t="s">
        <v>9366</v>
      </c>
      <c r="N761" s="670"/>
    </row>
    <row r="762" spans="1:14">
      <c r="A762" s="1066"/>
      <c r="B762" s="678">
        <v>45160</v>
      </c>
      <c r="C762" s="670" t="s">
        <v>9518</v>
      </c>
      <c r="D762" s="670" t="s">
        <v>9592</v>
      </c>
      <c r="E762" s="670" t="s">
        <v>9001</v>
      </c>
      <c r="F762" s="670" t="s">
        <v>9607</v>
      </c>
      <c r="G762" s="671"/>
      <c r="H762" s="671">
        <v>98690.5</v>
      </c>
      <c r="I762" s="671"/>
      <c r="J762" s="671">
        <v>8000</v>
      </c>
      <c r="K762" s="670" t="s">
        <v>9290</v>
      </c>
      <c r="L762" s="670" t="s">
        <v>9519</v>
      </c>
      <c r="M762" s="670" t="s">
        <v>8832</v>
      </c>
      <c r="N762" s="670"/>
    </row>
    <row r="763" spans="1:14">
      <c r="A763" s="1066"/>
      <c r="B763" s="678">
        <v>45160</v>
      </c>
      <c r="C763" s="670" t="s">
        <v>9518</v>
      </c>
      <c r="D763" s="670"/>
      <c r="E763" s="670" t="s">
        <v>9001</v>
      </c>
      <c r="F763" s="670" t="s">
        <v>9608</v>
      </c>
      <c r="G763" s="671"/>
      <c r="H763" s="671" t="s">
        <v>1921</v>
      </c>
      <c r="I763" s="671"/>
      <c r="J763" s="671">
        <v>15000</v>
      </c>
      <c r="K763" s="670" t="s">
        <v>9609</v>
      </c>
      <c r="L763" s="670" t="s">
        <v>9519</v>
      </c>
      <c r="M763" s="670" t="s">
        <v>8832</v>
      </c>
      <c r="N763" s="670"/>
    </row>
    <row r="764" spans="1:14">
      <c r="A764" s="1066"/>
      <c r="B764" s="678">
        <v>45160</v>
      </c>
      <c r="C764" s="670" t="s">
        <v>9518</v>
      </c>
      <c r="D764" s="670" t="s">
        <v>9582</v>
      </c>
      <c r="E764" s="670" t="s">
        <v>9001</v>
      </c>
      <c r="F764" s="670" t="s">
        <v>9610</v>
      </c>
      <c r="G764" s="671"/>
      <c r="H764" s="671">
        <v>147680.29999999999</v>
      </c>
      <c r="I764" s="671"/>
      <c r="J764" s="671">
        <v>10000</v>
      </c>
      <c r="K764" s="670" t="s">
        <v>9326</v>
      </c>
      <c r="L764" s="670" t="s">
        <v>9519</v>
      </c>
      <c r="M764" s="670" t="s">
        <v>8832</v>
      </c>
      <c r="N764" s="670"/>
    </row>
    <row r="765" spans="1:14">
      <c r="A765" s="1066"/>
      <c r="B765" s="678">
        <v>45160</v>
      </c>
      <c r="C765" s="670" t="s">
        <v>9518</v>
      </c>
      <c r="D765" s="670"/>
      <c r="E765" s="670" t="s">
        <v>9043</v>
      </c>
      <c r="F765" s="670" t="s">
        <v>9611</v>
      </c>
      <c r="G765" s="671"/>
      <c r="H765" s="671">
        <v>160894.53</v>
      </c>
      <c r="I765" s="671"/>
      <c r="J765" s="671">
        <v>8000</v>
      </c>
      <c r="K765" s="670" t="s">
        <v>9317</v>
      </c>
      <c r="L765" s="670" t="s">
        <v>9519</v>
      </c>
      <c r="M765" s="670" t="s">
        <v>8832</v>
      </c>
      <c r="N765" s="670"/>
    </row>
    <row r="766" spans="1:14">
      <c r="A766" s="1066"/>
      <c r="B766" s="678">
        <v>45160</v>
      </c>
      <c r="C766" s="670" t="s">
        <v>9518</v>
      </c>
      <c r="D766" s="670" t="s">
        <v>9531</v>
      </c>
      <c r="E766" s="670" t="s">
        <v>9043</v>
      </c>
      <c r="F766" s="670" t="s">
        <v>9330</v>
      </c>
      <c r="G766" s="671"/>
      <c r="H766" s="671">
        <v>196529</v>
      </c>
      <c r="I766" s="671"/>
      <c r="J766" s="671">
        <v>8000</v>
      </c>
      <c r="K766" s="670" t="s">
        <v>9331</v>
      </c>
      <c r="L766" s="670" t="s">
        <v>9519</v>
      </c>
      <c r="M766" s="670" t="s">
        <v>8832</v>
      </c>
      <c r="N766" s="670"/>
    </row>
    <row r="767" spans="1:14">
      <c r="A767" s="1066"/>
      <c r="B767" s="678">
        <v>45160</v>
      </c>
      <c r="C767" s="670" t="s">
        <v>9518</v>
      </c>
      <c r="D767" s="670" t="s">
        <v>9387</v>
      </c>
      <c r="E767" s="670" t="s">
        <v>9043</v>
      </c>
      <c r="F767" s="670" t="s">
        <v>9523</v>
      </c>
      <c r="G767" s="671"/>
      <c r="H767" s="671">
        <v>187790.91</v>
      </c>
      <c r="I767" s="671"/>
      <c r="J767" s="671">
        <v>13000</v>
      </c>
      <c r="K767" s="670" t="s">
        <v>9304</v>
      </c>
      <c r="L767" s="670" t="s">
        <v>9519</v>
      </c>
      <c r="M767" s="670" t="s">
        <v>8832</v>
      </c>
      <c r="N767" s="670"/>
    </row>
    <row r="768" spans="1:14">
      <c r="A768" s="1066"/>
      <c r="B768" s="678">
        <v>45160</v>
      </c>
      <c r="C768" s="670" t="s">
        <v>9518</v>
      </c>
      <c r="D768" s="670" t="s">
        <v>9563</v>
      </c>
      <c r="E768" s="670" t="s">
        <v>9001</v>
      </c>
      <c r="F768" s="670" t="s">
        <v>9525</v>
      </c>
      <c r="G768" s="671"/>
      <c r="H768" s="671">
        <v>259738.12</v>
      </c>
      <c r="I768" s="671"/>
      <c r="J768" s="671">
        <v>8000</v>
      </c>
      <c r="K768" s="670" t="s">
        <v>9350</v>
      </c>
      <c r="L768" s="670" t="s">
        <v>9519</v>
      </c>
      <c r="M768" s="670" t="s">
        <v>8832</v>
      </c>
      <c r="N768" s="670"/>
    </row>
    <row r="769" spans="1:14">
      <c r="A769" s="1066"/>
      <c r="B769" s="678">
        <v>45160</v>
      </c>
      <c r="C769" s="670" t="s">
        <v>9518</v>
      </c>
      <c r="D769" s="670"/>
      <c r="E769" s="670"/>
      <c r="F769" s="670" t="s">
        <v>9608</v>
      </c>
      <c r="G769" s="671"/>
      <c r="H769" s="671">
        <v>254701.5</v>
      </c>
      <c r="I769" s="671"/>
      <c r="J769" s="671">
        <v>12000</v>
      </c>
      <c r="K769" s="670" t="s">
        <v>9587</v>
      </c>
      <c r="L769" s="670" t="s">
        <v>9519</v>
      </c>
      <c r="M769" s="670" t="s">
        <v>8832</v>
      </c>
      <c r="N769" s="670"/>
    </row>
    <row r="770" spans="1:14">
      <c r="A770" s="1066"/>
      <c r="B770" s="678">
        <v>45160</v>
      </c>
      <c r="C770" s="670" t="s">
        <v>9518</v>
      </c>
      <c r="D770" s="670" t="s">
        <v>9612</v>
      </c>
      <c r="E770" s="670" t="s">
        <v>9043</v>
      </c>
      <c r="F770" s="670" t="s">
        <v>9613</v>
      </c>
      <c r="G770" s="671"/>
      <c r="H770" s="671">
        <v>264035.57</v>
      </c>
      <c r="I770" s="671"/>
      <c r="J770" s="671">
        <v>10000</v>
      </c>
      <c r="K770" s="670" t="s">
        <v>9393</v>
      </c>
      <c r="L770" s="670" t="s">
        <v>9519</v>
      </c>
      <c r="M770" s="670" t="s">
        <v>8832</v>
      </c>
      <c r="N770" s="670"/>
    </row>
    <row r="771" spans="1:14">
      <c r="A771" s="1066"/>
      <c r="B771" s="678">
        <v>45162</v>
      </c>
      <c r="C771" s="670" t="s">
        <v>9518</v>
      </c>
      <c r="D771" s="670" t="s">
        <v>9524</v>
      </c>
      <c r="E771" s="670" t="s">
        <v>9001</v>
      </c>
      <c r="F771" s="670" t="s">
        <v>9525</v>
      </c>
      <c r="G771" s="671"/>
      <c r="H771" s="671">
        <v>265487.42</v>
      </c>
      <c r="I771" s="671"/>
      <c r="J771" s="671">
        <v>8000</v>
      </c>
      <c r="K771" s="670" t="s">
        <v>9526</v>
      </c>
      <c r="L771" s="670" t="s">
        <v>9519</v>
      </c>
      <c r="M771" s="670" t="s">
        <v>8832</v>
      </c>
      <c r="N771" s="670"/>
    </row>
    <row r="772" spans="1:14">
      <c r="A772" s="1066"/>
      <c r="B772" s="678">
        <v>45162</v>
      </c>
      <c r="C772" s="670" t="s">
        <v>9518</v>
      </c>
      <c r="D772" s="670" t="s">
        <v>9529</v>
      </c>
      <c r="E772" s="670" t="s">
        <v>9001</v>
      </c>
      <c r="F772" s="670" t="s">
        <v>9581</v>
      </c>
      <c r="G772" s="671"/>
      <c r="H772" s="671">
        <v>200000</v>
      </c>
      <c r="I772" s="671"/>
      <c r="J772" s="671">
        <v>4500</v>
      </c>
      <c r="K772" s="670" t="s">
        <v>9298</v>
      </c>
      <c r="L772" s="670" t="s">
        <v>9519</v>
      </c>
      <c r="M772" s="670" t="s">
        <v>9299</v>
      </c>
      <c r="N772" s="670"/>
    </row>
    <row r="773" spans="1:14">
      <c r="A773" s="1066"/>
      <c r="B773" s="678">
        <v>45162</v>
      </c>
      <c r="C773" s="670" t="s">
        <v>9518</v>
      </c>
      <c r="D773" s="670" t="s">
        <v>9573</v>
      </c>
      <c r="E773" s="670" t="s">
        <v>9043</v>
      </c>
      <c r="F773" s="670" t="s">
        <v>9614</v>
      </c>
      <c r="G773" s="671"/>
      <c r="H773" s="671">
        <v>189745.2</v>
      </c>
      <c r="I773" s="671"/>
      <c r="J773" s="671">
        <v>5000</v>
      </c>
      <c r="K773" s="670" t="s">
        <v>9376</v>
      </c>
      <c r="L773" s="670" t="s">
        <v>9519</v>
      </c>
      <c r="M773" s="670" t="s">
        <v>8832</v>
      </c>
      <c r="N773" s="670"/>
    </row>
    <row r="774" spans="1:14">
      <c r="A774" s="1066"/>
      <c r="B774" s="678">
        <v>45162</v>
      </c>
      <c r="C774" s="670" t="s">
        <v>9518</v>
      </c>
      <c r="D774" s="670" t="s">
        <v>9615</v>
      </c>
      <c r="E774" s="670" t="s">
        <v>9001</v>
      </c>
      <c r="F774" s="670" t="s">
        <v>9555</v>
      </c>
      <c r="G774" s="671"/>
      <c r="H774" s="671">
        <v>328672.46999999997</v>
      </c>
      <c r="I774" s="671"/>
      <c r="J774" s="671">
        <v>40000</v>
      </c>
      <c r="K774" s="670" t="s">
        <v>9304</v>
      </c>
      <c r="L774" s="670" t="s">
        <v>9519</v>
      </c>
      <c r="M774" s="670" t="s">
        <v>8832</v>
      </c>
      <c r="N774" s="670"/>
    </row>
    <row r="775" spans="1:14">
      <c r="A775" s="1066"/>
      <c r="B775" s="678">
        <v>45162</v>
      </c>
      <c r="C775" s="670" t="s">
        <v>9518</v>
      </c>
      <c r="D775" s="670" t="s">
        <v>9566</v>
      </c>
      <c r="E775" s="670" t="s">
        <v>9043</v>
      </c>
      <c r="F775" s="670" t="s">
        <v>9330</v>
      </c>
      <c r="G775" s="671"/>
      <c r="H775" s="671">
        <v>189253.95</v>
      </c>
      <c r="I775" s="671"/>
      <c r="J775" s="671">
        <v>5000</v>
      </c>
      <c r="K775" s="670" t="s">
        <v>9567</v>
      </c>
      <c r="L775" s="670" t="s">
        <v>9519</v>
      </c>
      <c r="M775" s="670" t="s">
        <v>8832</v>
      </c>
      <c r="N775" s="670"/>
    </row>
    <row r="776" spans="1:14">
      <c r="A776" s="1066"/>
      <c r="B776" s="678">
        <v>45162</v>
      </c>
      <c r="C776" s="670" t="s">
        <v>9518</v>
      </c>
      <c r="D776" s="670" t="s">
        <v>9582</v>
      </c>
      <c r="E776" s="670" t="s">
        <v>9001</v>
      </c>
      <c r="F776" s="670" t="s">
        <v>9616</v>
      </c>
      <c r="G776" s="671"/>
      <c r="H776" s="671">
        <v>7500</v>
      </c>
      <c r="I776" s="671"/>
      <c r="J776" s="671">
        <v>5600</v>
      </c>
      <c r="K776" s="670" t="s">
        <v>9324</v>
      </c>
      <c r="L776" s="670" t="s">
        <v>9519</v>
      </c>
      <c r="M776" s="670" t="s">
        <v>8832</v>
      </c>
      <c r="N776" s="670"/>
    </row>
    <row r="777" spans="1:14">
      <c r="A777" s="1066"/>
      <c r="B777" s="678">
        <v>45163</v>
      </c>
      <c r="C777" s="670" t="s">
        <v>9518</v>
      </c>
      <c r="D777" s="670"/>
      <c r="E777" s="670" t="s">
        <v>9043</v>
      </c>
      <c r="F777" s="670" t="s">
        <v>9330</v>
      </c>
      <c r="G777" s="671"/>
      <c r="H777" s="671">
        <v>260826.3</v>
      </c>
      <c r="I777" s="671"/>
      <c r="J777" s="671">
        <v>10000</v>
      </c>
      <c r="K777" s="670" t="s">
        <v>9617</v>
      </c>
      <c r="L777" s="670" t="s">
        <v>9519</v>
      </c>
      <c r="M777" s="670" t="s">
        <v>8832</v>
      </c>
      <c r="N777" s="670"/>
    </row>
    <row r="778" spans="1:14">
      <c r="A778" s="1066"/>
      <c r="B778" s="678">
        <v>45163</v>
      </c>
      <c r="C778" s="670" t="s">
        <v>9518</v>
      </c>
      <c r="D778" s="670"/>
      <c r="E778" s="670" t="s">
        <v>9043</v>
      </c>
      <c r="F778" s="670" t="s">
        <v>9330</v>
      </c>
      <c r="G778" s="671"/>
      <c r="H778" s="671">
        <v>186843.9</v>
      </c>
      <c r="I778" s="671"/>
      <c r="J778" s="671">
        <v>5000</v>
      </c>
      <c r="K778" s="670" t="s">
        <v>9618</v>
      </c>
      <c r="L778" s="670" t="s">
        <v>9519</v>
      </c>
      <c r="M778" s="670" t="s">
        <v>8832</v>
      </c>
      <c r="N778" s="670"/>
    </row>
    <row r="779" spans="1:14">
      <c r="A779" s="1066"/>
      <c r="B779" s="678">
        <v>45166</v>
      </c>
      <c r="C779" s="670" t="s">
        <v>9518</v>
      </c>
      <c r="D779" s="670" t="s">
        <v>9564</v>
      </c>
      <c r="E779" s="670" t="s">
        <v>9043</v>
      </c>
      <c r="F779" s="670" t="s">
        <v>9525</v>
      </c>
      <c r="G779" s="671"/>
      <c r="H779" s="671">
        <v>284636.78000000003</v>
      </c>
      <c r="I779" s="671"/>
      <c r="J779" s="671">
        <v>5000</v>
      </c>
      <c r="K779" s="670" t="s">
        <v>9311</v>
      </c>
      <c r="L779" s="670" t="s">
        <v>9519</v>
      </c>
      <c r="M779" s="670" t="s">
        <v>8832</v>
      </c>
      <c r="N779" s="670"/>
    </row>
    <row r="780" spans="1:14">
      <c r="A780" s="1066"/>
      <c r="B780" s="678">
        <v>45166</v>
      </c>
      <c r="C780" s="670" t="s">
        <v>9518</v>
      </c>
      <c r="D780" s="670" t="s">
        <v>9545</v>
      </c>
      <c r="E780" s="670" t="s">
        <v>9001</v>
      </c>
      <c r="F780" s="670" t="s">
        <v>9596</v>
      </c>
      <c r="G780" s="671"/>
      <c r="H780" s="671">
        <v>384012.33</v>
      </c>
      <c r="I780" s="671"/>
      <c r="J780" s="671">
        <v>5000</v>
      </c>
      <c r="K780" s="670" t="s">
        <v>9333</v>
      </c>
      <c r="L780" s="670" t="s">
        <v>9519</v>
      </c>
      <c r="M780" s="670" t="s">
        <v>8832</v>
      </c>
      <c r="N780" s="670"/>
    </row>
    <row r="781" spans="1:14">
      <c r="A781" s="1066"/>
      <c r="B781" s="678">
        <v>45166</v>
      </c>
      <c r="C781" s="670" t="s">
        <v>9518</v>
      </c>
      <c r="D781" s="670" t="s">
        <v>9582</v>
      </c>
      <c r="E781" s="670" t="s">
        <v>9001</v>
      </c>
      <c r="F781" s="670" t="s">
        <v>9379</v>
      </c>
      <c r="G781" s="671"/>
      <c r="H781" s="671"/>
      <c r="I781" s="671"/>
      <c r="J781" s="671">
        <v>10000</v>
      </c>
      <c r="K781" s="670" t="s">
        <v>9619</v>
      </c>
      <c r="L781" s="670" t="s">
        <v>9519</v>
      </c>
      <c r="M781" s="670" t="s">
        <v>8832</v>
      </c>
      <c r="N781" s="670"/>
    </row>
    <row r="782" spans="1:14">
      <c r="A782" s="1066"/>
      <c r="B782" s="678">
        <v>45166</v>
      </c>
      <c r="C782" s="670" t="s">
        <v>9518</v>
      </c>
      <c r="D782" s="670" t="s">
        <v>9367</v>
      </c>
      <c r="E782" s="670" t="s">
        <v>9001</v>
      </c>
      <c r="F782" s="670" t="s">
        <v>9620</v>
      </c>
      <c r="G782" s="671"/>
      <c r="H782" s="671">
        <v>120950.86</v>
      </c>
      <c r="I782" s="671"/>
      <c r="J782" s="671">
        <v>12000</v>
      </c>
      <c r="K782" s="670" t="s">
        <v>9467</v>
      </c>
      <c r="L782" s="670" t="s">
        <v>9519</v>
      </c>
      <c r="M782" s="670" t="s">
        <v>8832</v>
      </c>
      <c r="N782" s="670"/>
    </row>
    <row r="783" spans="1:14">
      <c r="A783" s="1066"/>
      <c r="B783" s="678">
        <v>45166</v>
      </c>
      <c r="C783" s="670" t="s">
        <v>9518</v>
      </c>
      <c r="D783" s="670" t="s">
        <v>9387</v>
      </c>
      <c r="E783" s="670" t="s">
        <v>9001</v>
      </c>
      <c r="F783" s="670" t="s">
        <v>9621</v>
      </c>
      <c r="G783" s="671"/>
      <c r="H783" s="671">
        <v>98727.24</v>
      </c>
      <c r="I783" s="671"/>
      <c r="J783" s="671">
        <v>5000</v>
      </c>
      <c r="K783" s="670" t="s">
        <v>9622</v>
      </c>
      <c r="L783" s="670" t="s">
        <v>9519</v>
      </c>
      <c r="M783" s="670" t="s">
        <v>8832</v>
      </c>
      <c r="N783" s="670"/>
    </row>
    <row r="784" spans="1:14">
      <c r="A784" s="1066"/>
      <c r="B784" s="678">
        <v>45168</v>
      </c>
      <c r="C784" s="670" t="s">
        <v>9541</v>
      </c>
      <c r="D784" s="670" t="s">
        <v>9531</v>
      </c>
      <c r="E784" s="670" t="s">
        <v>9623</v>
      </c>
      <c r="F784" s="670" t="s">
        <v>9624</v>
      </c>
      <c r="G784" s="671"/>
      <c r="H784" s="671">
        <v>1200</v>
      </c>
      <c r="I784" s="671"/>
      <c r="J784" s="671">
        <v>1200</v>
      </c>
      <c r="K784" s="670" t="s">
        <v>9290</v>
      </c>
      <c r="L784" s="670" t="s">
        <v>9519</v>
      </c>
      <c r="M784" s="670" t="s">
        <v>9550</v>
      </c>
      <c r="N784" s="670"/>
    </row>
    <row r="785" spans="1:14">
      <c r="A785" s="1066"/>
      <c r="B785" s="678">
        <v>45168</v>
      </c>
      <c r="C785" s="670" t="s">
        <v>9364</v>
      </c>
      <c r="D785" s="670" t="s">
        <v>9516</v>
      </c>
      <c r="E785" s="670" t="s">
        <v>1234</v>
      </c>
      <c r="F785" s="670" t="s">
        <v>9364</v>
      </c>
      <c r="G785" s="671"/>
      <c r="H785" s="671" t="s">
        <v>1921</v>
      </c>
      <c r="I785" s="671"/>
      <c r="J785" s="671">
        <v>113650</v>
      </c>
      <c r="K785" s="670" t="s">
        <v>1234</v>
      </c>
      <c r="L785" s="670" t="s">
        <v>9365</v>
      </c>
      <c r="M785" s="670" t="s">
        <v>9366</v>
      </c>
      <c r="N785" s="670"/>
    </row>
    <row r="786" spans="1:14">
      <c r="A786" s="1066"/>
      <c r="B786" s="678">
        <v>45189</v>
      </c>
      <c r="C786" s="670" t="s">
        <v>9518</v>
      </c>
      <c r="D786" s="670" t="s">
        <v>9542</v>
      </c>
      <c r="E786" s="670" t="s">
        <v>9001</v>
      </c>
      <c r="F786" s="670" t="s">
        <v>9625</v>
      </c>
      <c r="G786" s="671"/>
      <c r="H786" s="671">
        <v>172220.58</v>
      </c>
      <c r="I786" s="671"/>
      <c r="J786" s="671">
        <v>8000</v>
      </c>
      <c r="K786" s="670" t="s">
        <v>9290</v>
      </c>
      <c r="L786" s="670" t="s">
        <v>9519</v>
      </c>
      <c r="M786" s="670" t="s">
        <v>8832</v>
      </c>
      <c r="N786" s="670"/>
    </row>
    <row r="787" spans="1:14">
      <c r="A787" s="1066"/>
      <c r="B787" s="678">
        <v>45189</v>
      </c>
      <c r="C787" s="670" t="s">
        <v>9518</v>
      </c>
      <c r="D787" s="670" t="s">
        <v>9626</v>
      </c>
      <c r="E787" s="670" t="s">
        <v>9001</v>
      </c>
      <c r="F787" s="670" t="s">
        <v>9535</v>
      </c>
      <c r="G787" s="671"/>
      <c r="H787" s="671">
        <v>205371.32</v>
      </c>
      <c r="I787" s="671"/>
      <c r="J787" s="671">
        <v>17000</v>
      </c>
      <c r="K787" s="670" t="s">
        <v>9290</v>
      </c>
      <c r="L787" s="670" t="s">
        <v>9519</v>
      </c>
      <c r="M787" s="670" t="s">
        <v>8832</v>
      </c>
      <c r="N787" s="670"/>
    </row>
    <row r="788" spans="1:14">
      <c r="A788" s="1066"/>
      <c r="B788" s="678">
        <v>45189</v>
      </c>
      <c r="C788" s="670" t="s">
        <v>9518</v>
      </c>
      <c r="D788" s="670" t="s">
        <v>9563</v>
      </c>
      <c r="E788" s="670" t="s">
        <v>9001</v>
      </c>
      <c r="F788" s="670" t="s">
        <v>9525</v>
      </c>
      <c r="G788" s="671"/>
      <c r="H788" s="671">
        <v>259738.12</v>
      </c>
      <c r="I788" s="671"/>
      <c r="J788" s="671">
        <v>28000</v>
      </c>
      <c r="K788" s="670" t="s">
        <v>9350</v>
      </c>
      <c r="L788" s="670" t="s">
        <v>9519</v>
      </c>
      <c r="M788" s="670" t="s">
        <v>8832</v>
      </c>
      <c r="N788" s="670"/>
    </row>
    <row r="789" spans="1:14">
      <c r="A789" s="1066"/>
      <c r="B789" s="678">
        <v>45189</v>
      </c>
      <c r="C789" s="670" t="s">
        <v>9518</v>
      </c>
      <c r="D789" s="670" t="s">
        <v>9627</v>
      </c>
      <c r="E789" s="670" t="s">
        <v>9001</v>
      </c>
      <c r="F789" s="670" t="s">
        <v>9628</v>
      </c>
      <c r="G789" s="671"/>
      <c r="H789" s="671">
        <v>204476</v>
      </c>
      <c r="I789" s="671"/>
      <c r="J789" s="671">
        <v>13000</v>
      </c>
      <c r="K789" s="670" t="s">
        <v>9290</v>
      </c>
      <c r="L789" s="670" t="s">
        <v>9519</v>
      </c>
      <c r="M789" s="670" t="s">
        <v>8832</v>
      </c>
      <c r="N789" s="670"/>
    </row>
    <row r="790" spans="1:14">
      <c r="A790" s="1066"/>
      <c r="B790" s="678">
        <v>45189</v>
      </c>
      <c r="C790" s="670" t="s">
        <v>9518</v>
      </c>
      <c r="D790" s="670" t="s">
        <v>9564</v>
      </c>
      <c r="E790" s="670" t="s">
        <v>9043</v>
      </c>
      <c r="F790" s="670" t="s">
        <v>9523</v>
      </c>
      <c r="G790" s="671"/>
      <c r="H790" s="671">
        <v>187790.91</v>
      </c>
      <c r="I790" s="671"/>
      <c r="J790" s="671">
        <v>17000</v>
      </c>
      <c r="K790" s="670" t="s">
        <v>9304</v>
      </c>
      <c r="L790" s="670" t="s">
        <v>9519</v>
      </c>
      <c r="M790" s="670" t="s">
        <v>8832</v>
      </c>
      <c r="N790" s="670"/>
    </row>
    <row r="791" spans="1:14">
      <c r="A791" s="1066"/>
      <c r="B791" s="678">
        <v>45199</v>
      </c>
      <c r="C791" s="670" t="s">
        <v>9518</v>
      </c>
      <c r="D791" s="670" t="s">
        <v>9516</v>
      </c>
      <c r="E791" s="670"/>
      <c r="F791" s="670" t="s">
        <v>9364</v>
      </c>
      <c r="G791" s="671"/>
      <c r="H791" s="671" t="s">
        <v>1921</v>
      </c>
      <c r="I791" s="671"/>
      <c r="J791" s="671">
        <v>1400</v>
      </c>
      <c r="K791" s="670" t="s">
        <v>1234</v>
      </c>
      <c r="L791" s="670" t="s">
        <v>9365</v>
      </c>
      <c r="M791" s="670"/>
      <c r="N791" s="670"/>
    </row>
    <row r="792" spans="1:14">
      <c r="A792" s="1066"/>
      <c r="B792" s="678">
        <v>45203</v>
      </c>
      <c r="C792" s="670" t="s">
        <v>9518</v>
      </c>
      <c r="D792" s="670" t="s">
        <v>9563</v>
      </c>
      <c r="E792" s="670" t="s">
        <v>9001</v>
      </c>
      <c r="F792" s="670" t="s">
        <v>9525</v>
      </c>
      <c r="G792" s="671"/>
      <c r="H792" s="671">
        <v>259738.12</v>
      </c>
      <c r="I792" s="671"/>
      <c r="J792" s="671">
        <v>20000</v>
      </c>
      <c r="K792" s="670" t="s">
        <v>9350</v>
      </c>
      <c r="L792" s="670" t="s">
        <v>9519</v>
      </c>
      <c r="M792" s="670" t="s">
        <v>8832</v>
      </c>
      <c r="N792" s="670"/>
    </row>
    <row r="793" spans="1:14">
      <c r="A793" s="1066"/>
      <c r="B793" s="678">
        <v>45203</v>
      </c>
      <c r="C793" s="670" t="s">
        <v>9518</v>
      </c>
      <c r="D793" s="670" t="s">
        <v>9529</v>
      </c>
      <c r="E793" s="670" t="s">
        <v>9001</v>
      </c>
      <c r="F793" s="670" t="s">
        <v>9629</v>
      </c>
      <c r="G793" s="671"/>
      <c r="H793" s="671">
        <v>200000</v>
      </c>
      <c r="I793" s="671"/>
      <c r="J793" s="671">
        <v>20000</v>
      </c>
      <c r="K793" s="670" t="s">
        <v>9298</v>
      </c>
      <c r="L793" s="670" t="s">
        <v>9519</v>
      </c>
      <c r="M793" s="670" t="s">
        <v>8832</v>
      </c>
      <c r="N793" s="670"/>
    </row>
    <row r="794" spans="1:14">
      <c r="A794" s="1066"/>
      <c r="B794" s="678">
        <v>45203</v>
      </c>
      <c r="C794" s="670" t="s">
        <v>9518</v>
      </c>
      <c r="D794" s="670" t="s">
        <v>9542</v>
      </c>
      <c r="E794" s="670" t="s">
        <v>9001</v>
      </c>
      <c r="F794" s="670" t="s">
        <v>9630</v>
      </c>
      <c r="G794" s="671"/>
      <c r="H794" s="671">
        <v>205371.32</v>
      </c>
      <c r="I794" s="671"/>
      <c r="J794" s="671">
        <v>20000</v>
      </c>
      <c r="K794" s="670" t="s">
        <v>9290</v>
      </c>
      <c r="L794" s="670" t="s">
        <v>9519</v>
      </c>
      <c r="M794" s="670" t="s">
        <v>8832</v>
      </c>
      <c r="N794" s="670"/>
    </row>
    <row r="795" spans="1:14">
      <c r="A795" s="1066"/>
      <c r="B795" s="678">
        <v>45203</v>
      </c>
      <c r="C795" s="670" t="s">
        <v>9518</v>
      </c>
      <c r="D795" s="670" t="s">
        <v>9631</v>
      </c>
      <c r="E795" s="670" t="s">
        <v>9001</v>
      </c>
      <c r="F795" s="670" t="s">
        <v>9630</v>
      </c>
      <c r="G795" s="671"/>
      <c r="H795" s="671">
        <v>205371.32</v>
      </c>
      <c r="I795" s="671"/>
      <c r="J795" s="671">
        <v>20000</v>
      </c>
      <c r="K795" s="670" t="s">
        <v>9290</v>
      </c>
      <c r="L795" s="670" t="s">
        <v>9519</v>
      </c>
      <c r="M795" s="670" t="s">
        <v>8832</v>
      </c>
      <c r="N795" s="670"/>
    </row>
    <row r="796" spans="1:14">
      <c r="A796" s="1066"/>
      <c r="B796" s="678">
        <v>45208</v>
      </c>
      <c r="C796" s="670" t="s">
        <v>9518</v>
      </c>
      <c r="D796" s="670" t="s">
        <v>9582</v>
      </c>
      <c r="E796" s="670" t="s">
        <v>9001</v>
      </c>
      <c r="F796" s="670" t="s">
        <v>9632</v>
      </c>
      <c r="G796" s="671"/>
      <c r="H796" s="671">
        <v>245277.22</v>
      </c>
      <c r="I796" s="671"/>
      <c r="J796" s="671">
        <v>50000</v>
      </c>
      <c r="K796" s="670" t="s">
        <v>9003</v>
      </c>
      <c r="L796" s="670" t="s">
        <v>9519</v>
      </c>
      <c r="M796" s="670" t="s">
        <v>8832</v>
      </c>
      <c r="N796" s="670"/>
    </row>
    <row r="797" spans="1:14">
      <c r="A797" s="1066"/>
      <c r="B797" s="678">
        <v>45210</v>
      </c>
      <c r="C797" s="670" t="s">
        <v>9518</v>
      </c>
      <c r="D797" s="670" t="s">
        <v>9592</v>
      </c>
      <c r="E797" s="670" t="s">
        <v>9623</v>
      </c>
      <c r="F797" s="670" t="s">
        <v>9633</v>
      </c>
      <c r="G797" s="671"/>
      <c r="H797" s="671">
        <v>98690.5</v>
      </c>
      <c r="I797" s="671"/>
      <c r="J797" s="671">
        <v>9500</v>
      </c>
      <c r="K797" s="670" t="s">
        <v>9290</v>
      </c>
      <c r="L797" s="670" t="s">
        <v>9519</v>
      </c>
      <c r="M797" s="670" t="s">
        <v>8832</v>
      </c>
      <c r="N797" s="670"/>
    </row>
    <row r="798" spans="1:14">
      <c r="A798" s="1066"/>
      <c r="B798" s="678">
        <v>45226</v>
      </c>
      <c r="C798" s="670"/>
      <c r="D798" s="670" t="s">
        <v>9516</v>
      </c>
      <c r="E798" s="670" t="s">
        <v>9001</v>
      </c>
      <c r="F798" s="670" t="s">
        <v>9634</v>
      </c>
      <c r="G798" s="671"/>
      <c r="H798" s="671">
        <v>69600</v>
      </c>
      <c r="I798" s="671"/>
      <c r="J798" s="671">
        <v>23200</v>
      </c>
      <c r="K798" s="670" t="s">
        <v>9635</v>
      </c>
      <c r="L798" s="670" t="s">
        <v>9519</v>
      </c>
      <c r="M798" s="670" t="s">
        <v>9550</v>
      </c>
      <c r="N798" s="670"/>
    </row>
    <row r="799" spans="1:14">
      <c r="A799" s="1066"/>
      <c r="B799" s="678">
        <v>45226</v>
      </c>
      <c r="C799" s="670" t="s">
        <v>9518</v>
      </c>
      <c r="D799" s="670" t="s">
        <v>9542</v>
      </c>
      <c r="E799" s="670" t="s">
        <v>9001</v>
      </c>
      <c r="F799" s="670" t="s">
        <v>9636</v>
      </c>
      <c r="G799" s="671"/>
      <c r="H799" s="671">
        <v>205371.32</v>
      </c>
      <c r="I799" s="671"/>
      <c r="J799" s="671">
        <v>26000</v>
      </c>
      <c r="K799" s="670" t="s">
        <v>9290</v>
      </c>
      <c r="L799" s="670" t="s">
        <v>9519</v>
      </c>
      <c r="M799" s="670" t="s">
        <v>8832</v>
      </c>
      <c r="N799" s="670"/>
    </row>
    <row r="800" spans="1:14">
      <c r="A800" s="1066"/>
      <c r="B800" s="678">
        <v>45229</v>
      </c>
      <c r="C800" s="670" t="s">
        <v>9518</v>
      </c>
      <c r="D800" s="670" t="s">
        <v>9576</v>
      </c>
      <c r="E800" s="670" t="s">
        <v>9001</v>
      </c>
      <c r="F800" s="670" t="s">
        <v>9637</v>
      </c>
      <c r="G800" s="671"/>
      <c r="H800" s="671">
        <v>48652.36</v>
      </c>
      <c r="I800" s="671"/>
      <c r="J800" s="671">
        <v>20000</v>
      </c>
      <c r="K800" s="670" t="s">
        <v>9290</v>
      </c>
      <c r="L800" s="670" t="s">
        <v>9519</v>
      </c>
      <c r="M800" s="670" t="s">
        <v>8832</v>
      </c>
      <c r="N800" s="670"/>
    </row>
    <row r="801" spans="1:14">
      <c r="A801" s="1066"/>
      <c r="B801" s="678">
        <v>45230</v>
      </c>
      <c r="C801" s="670" t="s">
        <v>9364</v>
      </c>
      <c r="D801" s="670" t="s">
        <v>9516</v>
      </c>
      <c r="E801" s="670" t="s">
        <v>9638</v>
      </c>
      <c r="F801" s="670" t="s">
        <v>9364</v>
      </c>
      <c r="G801" s="671"/>
      <c r="H801" s="671" t="s">
        <v>1921</v>
      </c>
      <c r="I801" s="671"/>
      <c r="J801" s="671">
        <v>242580</v>
      </c>
      <c r="K801" s="670" t="s">
        <v>1234</v>
      </c>
      <c r="L801" s="670" t="s">
        <v>9365</v>
      </c>
      <c r="M801" s="670" t="s">
        <v>9366</v>
      </c>
      <c r="N801" s="670"/>
    </row>
    <row r="802" spans="1:14">
      <c r="A802" s="1066"/>
      <c r="B802" s="678">
        <v>45232</v>
      </c>
      <c r="C802" s="670" t="s">
        <v>9518</v>
      </c>
      <c r="D802" s="670" t="s">
        <v>9639</v>
      </c>
      <c r="E802" s="670" t="s">
        <v>9043</v>
      </c>
      <c r="F802" s="670" t="s">
        <v>9640</v>
      </c>
      <c r="G802" s="671"/>
      <c r="H802" s="671">
        <v>188090.16</v>
      </c>
      <c r="I802" s="671"/>
      <c r="J802" s="671">
        <v>80000</v>
      </c>
      <c r="K802" s="670" t="s">
        <v>9290</v>
      </c>
      <c r="L802" s="670" t="s">
        <v>9519</v>
      </c>
      <c r="M802" s="670" t="s">
        <v>8832</v>
      </c>
      <c r="N802" s="670"/>
    </row>
    <row r="803" spans="1:14">
      <c r="A803" s="1066"/>
      <c r="B803" s="678">
        <v>45232</v>
      </c>
      <c r="C803" s="670" t="s">
        <v>9518</v>
      </c>
      <c r="D803" s="670" t="s">
        <v>9387</v>
      </c>
      <c r="E803" s="670" t="s">
        <v>9043</v>
      </c>
      <c r="F803" s="670" t="s">
        <v>9641</v>
      </c>
      <c r="G803" s="671"/>
      <c r="H803" s="671">
        <v>154843.1</v>
      </c>
      <c r="I803" s="671"/>
      <c r="J803" s="671">
        <v>30000</v>
      </c>
      <c r="K803" s="670" t="s">
        <v>9393</v>
      </c>
      <c r="L803" s="670" t="s">
        <v>9519</v>
      </c>
      <c r="M803" s="670" t="s">
        <v>8832</v>
      </c>
      <c r="N803" s="670"/>
    </row>
    <row r="804" spans="1:14">
      <c r="A804" s="1066"/>
      <c r="B804" s="678">
        <v>45232</v>
      </c>
      <c r="C804" s="670" t="s">
        <v>9518</v>
      </c>
      <c r="D804" s="670" t="s">
        <v>9642</v>
      </c>
      <c r="E804" s="670" t="s">
        <v>9001</v>
      </c>
      <c r="F804" s="670" t="s">
        <v>9643</v>
      </c>
      <c r="G804" s="671"/>
      <c r="H804" s="671">
        <v>205371.32</v>
      </c>
      <c r="I804" s="671"/>
      <c r="J804" s="671">
        <v>30000</v>
      </c>
      <c r="K804" s="670" t="s">
        <v>9290</v>
      </c>
      <c r="L804" s="670" t="s">
        <v>9519</v>
      </c>
      <c r="M804" s="670" t="s">
        <v>8832</v>
      </c>
      <c r="N804" s="670"/>
    </row>
    <row r="805" spans="1:14">
      <c r="A805" s="1066"/>
      <c r="B805" s="678">
        <v>45234</v>
      </c>
      <c r="C805" s="670" t="s">
        <v>9518</v>
      </c>
      <c r="D805" s="670" t="s">
        <v>9516</v>
      </c>
      <c r="E805" s="670" t="s">
        <v>9001</v>
      </c>
      <c r="F805" s="670" t="s">
        <v>9644</v>
      </c>
      <c r="G805" s="671"/>
      <c r="H805" s="671">
        <v>240322</v>
      </c>
      <c r="I805" s="671"/>
      <c r="J805" s="671">
        <v>15000</v>
      </c>
      <c r="K805" s="670" t="s">
        <v>9290</v>
      </c>
      <c r="L805" s="670" t="s">
        <v>9519</v>
      </c>
      <c r="M805" s="670" t="s">
        <v>8832</v>
      </c>
      <c r="N805" s="670"/>
    </row>
    <row r="806" spans="1:14">
      <c r="A806" s="1066"/>
      <c r="B806" s="678">
        <v>45245</v>
      </c>
      <c r="C806" s="670" t="s">
        <v>9518</v>
      </c>
      <c r="D806" s="670" t="s">
        <v>9516</v>
      </c>
      <c r="E806" s="670" t="s">
        <v>9001</v>
      </c>
      <c r="F806" s="670" t="s">
        <v>9628</v>
      </c>
      <c r="G806" s="671"/>
      <c r="H806" s="671">
        <v>350000</v>
      </c>
      <c r="I806" s="671"/>
      <c r="J806" s="671">
        <v>50000</v>
      </c>
      <c r="K806" s="670" t="s">
        <v>9356</v>
      </c>
      <c r="L806" s="670" t="s">
        <v>9519</v>
      </c>
      <c r="M806" s="670" t="s">
        <v>8832</v>
      </c>
      <c r="N806" s="670"/>
    </row>
    <row r="807" spans="1:14">
      <c r="A807" s="1066"/>
      <c r="B807" s="678">
        <v>45245</v>
      </c>
      <c r="C807" s="670" t="s">
        <v>9518</v>
      </c>
      <c r="D807" s="670" t="s">
        <v>9516</v>
      </c>
      <c r="E807" s="670" t="s">
        <v>9001</v>
      </c>
      <c r="F807" s="670" t="s">
        <v>9645</v>
      </c>
      <c r="G807" s="671"/>
      <c r="H807" s="671">
        <v>20000</v>
      </c>
      <c r="I807" s="671"/>
      <c r="J807" s="671">
        <v>20000</v>
      </c>
      <c r="K807" s="670" t="s">
        <v>9290</v>
      </c>
      <c r="L807" s="670" t="s">
        <v>9519</v>
      </c>
      <c r="M807" s="670" t="s">
        <v>9646</v>
      </c>
      <c r="N807" s="670"/>
    </row>
    <row r="808" spans="1:14">
      <c r="A808" s="1066"/>
      <c r="B808" s="678">
        <v>45245</v>
      </c>
      <c r="C808" s="670" t="s">
        <v>9518</v>
      </c>
      <c r="D808" s="670" t="s">
        <v>9529</v>
      </c>
      <c r="E808" s="670" t="s">
        <v>9001</v>
      </c>
      <c r="F808" s="670" t="s">
        <v>9530</v>
      </c>
      <c r="G808" s="671"/>
      <c r="H808" s="671">
        <v>200000</v>
      </c>
      <c r="I808" s="671"/>
      <c r="J808" s="671">
        <v>10000</v>
      </c>
      <c r="K808" s="670" t="s">
        <v>9298</v>
      </c>
      <c r="L808" s="670" t="s">
        <v>9519</v>
      </c>
      <c r="M808" s="670" t="s">
        <v>8832</v>
      </c>
      <c r="N808" s="670"/>
    </row>
    <row r="809" spans="1:14">
      <c r="A809" s="1066"/>
      <c r="B809" s="678">
        <v>45245</v>
      </c>
      <c r="C809" s="670" t="s">
        <v>9518</v>
      </c>
      <c r="D809" s="670" t="s">
        <v>9542</v>
      </c>
      <c r="E809" s="670" t="s">
        <v>9001</v>
      </c>
      <c r="F809" s="670" t="s">
        <v>9484</v>
      </c>
      <c r="G809" s="671"/>
      <c r="H809" s="671">
        <v>374669.05</v>
      </c>
      <c r="I809" s="671"/>
      <c r="J809" s="671">
        <v>50000</v>
      </c>
      <c r="K809" s="670" t="s">
        <v>9333</v>
      </c>
      <c r="L809" s="670" t="s">
        <v>9519</v>
      </c>
      <c r="M809" s="670" t="s">
        <v>8832</v>
      </c>
      <c r="N809" s="670"/>
    </row>
    <row r="810" spans="1:14">
      <c r="A810" s="1066"/>
      <c r="B810" s="678">
        <v>45245</v>
      </c>
      <c r="C810" s="670" t="s">
        <v>9518</v>
      </c>
      <c r="D810" s="670" t="s">
        <v>9573</v>
      </c>
      <c r="E810" s="670" t="s">
        <v>9043</v>
      </c>
      <c r="F810" s="670" t="s">
        <v>9647</v>
      </c>
      <c r="G810" s="671"/>
      <c r="H810" s="671">
        <v>189745.2</v>
      </c>
      <c r="I810" s="671"/>
      <c r="J810" s="671">
        <v>25000</v>
      </c>
      <c r="K810" s="670" t="s">
        <v>9376</v>
      </c>
      <c r="L810" s="670" t="s">
        <v>9519</v>
      </c>
      <c r="M810" s="670" t="s">
        <v>8832</v>
      </c>
      <c r="N810" s="670"/>
    </row>
    <row r="811" spans="1:14">
      <c r="A811" s="1066"/>
      <c r="B811" s="678">
        <v>45246</v>
      </c>
      <c r="C811" s="670" t="s">
        <v>9648</v>
      </c>
      <c r="D811" s="670" t="s">
        <v>9514</v>
      </c>
      <c r="E811" s="670" t="s">
        <v>9282</v>
      </c>
      <c r="F811" s="670" t="s">
        <v>9585</v>
      </c>
      <c r="G811" s="671"/>
      <c r="H811" s="671" t="s">
        <v>1921</v>
      </c>
      <c r="I811" s="671"/>
      <c r="J811" s="671">
        <v>9900</v>
      </c>
      <c r="K811" s="670" t="s">
        <v>9516</v>
      </c>
      <c r="L811" s="670" t="s">
        <v>9517</v>
      </c>
      <c r="M811" s="670" t="s">
        <v>9299</v>
      </c>
      <c r="N811" s="670"/>
    </row>
    <row r="812" spans="1:14">
      <c r="A812" s="1066"/>
      <c r="B812" s="678">
        <v>45247</v>
      </c>
      <c r="C812" s="670" t="s">
        <v>9648</v>
      </c>
      <c r="D812" s="670" t="s">
        <v>9514</v>
      </c>
      <c r="E812" s="670" t="s">
        <v>9282</v>
      </c>
      <c r="F812" s="670" t="s">
        <v>9585</v>
      </c>
      <c r="G812" s="671"/>
      <c r="H812" s="671" t="s">
        <v>1921</v>
      </c>
      <c r="I812" s="671"/>
      <c r="J812" s="671">
        <v>9900</v>
      </c>
      <c r="K812" s="670" t="s">
        <v>9516</v>
      </c>
      <c r="L812" s="670" t="s">
        <v>9517</v>
      </c>
      <c r="M812" s="670" t="s">
        <v>9299</v>
      </c>
      <c r="N812" s="670"/>
    </row>
    <row r="813" spans="1:14">
      <c r="A813" s="1066"/>
      <c r="B813" s="678">
        <v>45250</v>
      </c>
      <c r="C813" s="670" t="s">
        <v>9541</v>
      </c>
      <c r="D813" s="670" t="s">
        <v>9516</v>
      </c>
      <c r="E813" s="670" t="s">
        <v>9001</v>
      </c>
      <c r="F813" s="670" t="s">
        <v>9649</v>
      </c>
      <c r="G813" s="671"/>
      <c r="H813" s="671">
        <v>69600</v>
      </c>
      <c r="I813" s="671"/>
      <c r="J813" s="671">
        <v>23200</v>
      </c>
      <c r="K813" s="670" t="s">
        <v>9635</v>
      </c>
      <c r="L813" s="670" t="s">
        <v>9519</v>
      </c>
      <c r="M813" s="670" t="s">
        <v>9550</v>
      </c>
      <c r="N813" s="670"/>
    </row>
    <row r="814" spans="1:14">
      <c r="A814" s="1066"/>
      <c r="B814" s="678">
        <v>45252</v>
      </c>
      <c r="C814" s="670" t="s">
        <v>9648</v>
      </c>
      <c r="D814" s="670" t="s">
        <v>9514</v>
      </c>
      <c r="E814" s="670" t="s">
        <v>9282</v>
      </c>
      <c r="F814" s="670" t="s">
        <v>9585</v>
      </c>
      <c r="G814" s="671"/>
      <c r="H814" s="671" t="s">
        <v>1921</v>
      </c>
      <c r="I814" s="671"/>
      <c r="J814" s="671">
        <v>9900</v>
      </c>
      <c r="K814" s="670" t="s">
        <v>9516</v>
      </c>
      <c r="L814" s="670" t="s">
        <v>9517</v>
      </c>
      <c r="M814" s="670" t="s">
        <v>9299</v>
      </c>
      <c r="N814" s="670"/>
    </row>
    <row r="815" spans="1:14">
      <c r="A815" s="1066"/>
      <c r="B815" s="678">
        <v>45252</v>
      </c>
      <c r="C815" s="670" t="s">
        <v>9518</v>
      </c>
      <c r="D815" s="670" t="s">
        <v>9531</v>
      </c>
      <c r="E815" s="670" t="s">
        <v>9043</v>
      </c>
      <c r="F815" s="670" t="s">
        <v>9650</v>
      </c>
      <c r="G815" s="671"/>
      <c r="H815" s="671">
        <v>188090.16</v>
      </c>
      <c r="I815" s="671"/>
      <c r="J815" s="671">
        <v>80000</v>
      </c>
      <c r="K815" s="670" t="s">
        <v>9290</v>
      </c>
      <c r="L815" s="670" t="s">
        <v>9519</v>
      </c>
      <c r="M815" s="670" t="s">
        <v>8832</v>
      </c>
      <c r="N815" s="670"/>
    </row>
    <row r="816" spans="1:14">
      <c r="A816" s="1066"/>
      <c r="B816" s="678">
        <v>45252</v>
      </c>
      <c r="C816" s="670" t="s">
        <v>9518</v>
      </c>
      <c r="D816" s="670" t="s">
        <v>9563</v>
      </c>
      <c r="E816" s="670" t="s">
        <v>9001</v>
      </c>
      <c r="F816" s="670" t="s">
        <v>9651</v>
      </c>
      <c r="G816" s="671"/>
      <c r="H816" s="671">
        <v>259738.12</v>
      </c>
      <c r="I816" s="671"/>
      <c r="J816" s="671">
        <v>30000</v>
      </c>
      <c r="K816" s="670" t="s">
        <v>9350</v>
      </c>
      <c r="L816" s="670" t="s">
        <v>9519</v>
      </c>
      <c r="M816" s="670" t="s">
        <v>8832</v>
      </c>
      <c r="N816" s="670"/>
    </row>
    <row r="817" spans="1:14">
      <c r="A817" s="1066"/>
      <c r="B817" s="678">
        <v>45252</v>
      </c>
      <c r="C817" s="670" t="s">
        <v>9518</v>
      </c>
      <c r="D817" s="670" t="s">
        <v>9387</v>
      </c>
      <c r="E817" s="670" t="s">
        <v>9043</v>
      </c>
      <c r="F817" s="670" t="s">
        <v>9652</v>
      </c>
      <c r="G817" s="671"/>
      <c r="H817" s="671">
        <v>154843.1</v>
      </c>
      <c r="I817" s="671"/>
      <c r="J817" s="671">
        <v>50000</v>
      </c>
      <c r="K817" s="670" t="s">
        <v>9393</v>
      </c>
      <c r="L817" s="670" t="s">
        <v>9519</v>
      </c>
      <c r="M817" s="670" t="s">
        <v>8832</v>
      </c>
      <c r="N817" s="670"/>
    </row>
    <row r="818" spans="1:14">
      <c r="A818" s="1066"/>
      <c r="B818" s="678">
        <v>45252</v>
      </c>
      <c r="C818" s="670" t="s">
        <v>9518</v>
      </c>
      <c r="D818" s="670" t="s">
        <v>9387</v>
      </c>
      <c r="E818" s="670" t="s">
        <v>9001</v>
      </c>
      <c r="F818" s="670" t="s">
        <v>9653</v>
      </c>
      <c r="G818" s="671"/>
      <c r="H818" s="671">
        <v>689805</v>
      </c>
      <c r="I818" s="671"/>
      <c r="J818" s="671">
        <v>70000</v>
      </c>
      <c r="K818" s="670" t="s">
        <v>9485</v>
      </c>
      <c r="L818" s="670" t="s">
        <v>9519</v>
      </c>
      <c r="M818" s="670" t="s">
        <v>8832</v>
      </c>
      <c r="N818" s="670"/>
    </row>
    <row r="819" spans="1:14">
      <c r="A819" s="1066"/>
      <c r="B819" s="678">
        <v>45252</v>
      </c>
      <c r="C819" s="670" t="s">
        <v>9518</v>
      </c>
      <c r="D819" s="670" t="s">
        <v>9387</v>
      </c>
      <c r="E819" s="670" t="s">
        <v>9001</v>
      </c>
      <c r="F819" s="670" t="s">
        <v>9494</v>
      </c>
      <c r="G819" s="671"/>
      <c r="H819" s="671">
        <v>98727.24</v>
      </c>
      <c r="I819" s="671"/>
      <c r="J819" s="671">
        <v>80000</v>
      </c>
      <c r="K819" s="670" t="s">
        <v>9654</v>
      </c>
      <c r="L819" s="670" t="s">
        <v>9519</v>
      </c>
      <c r="M819" s="670" t="s">
        <v>8832</v>
      </c>
      <c r="N819" s="670"/>
    </row>
    <row r="820" spans="1:14">
      <c r="A820" s="1066"/>
      <c r="B820" s="678">
        <v>45252</v>
      </c>
      <c r="C820" s="670" t="s">
        <v>9518</v>
      </c>
      <c r="D820" s="670" t="s">
        <v>9612</v>
      </c>
      <c r="E820" s="670" t="s">
        <v>9001</v>
      </c>
      <c r="F820" s="670" t="s">
        <v>9655</v>
      </c>
      <c r="G820" s="671"/>
      <c r="H820" s="671"/>
      <c r="I820" s="671"/>
      <c r="J820" s="671">
        <v>50000</v>
      </c>
      <c r="K820" s="670" t="s">
        <v>9345</v>
      </c>
      <c r="L820" s="670" t="s">
        <v>9519</v>
      </c>
      <c r="M820" s="670" t="s">
        <v>8832</v>
      </c>
      <c r="N820" s="670"/>
    </row>
    <row r="821" spans="1:14">
      <c r="A821" s="1066"/>
      <c r="B821" s="678">
        <v>45253</v>
      </c>
      <c r="C821" s="670" t="s">
        <v>9518</v>
      </c>
      <c r="D821" s="670" t="s">
        <v>9564</v>
      </c>
      <c r="E821" s="670" t="s">
        <v>9043</v>
      </c>
      <c r="F821" s="670" t="s">
        <v>9656</v>
      </c>
      <c r="G821" s="671"/>
      <c r="H821" s="671">
        <v>187790.91</v>
      </c>
      <c r="I821" s="671"/>
      <c r="J821" s="671">
        <v>20000</v>
      </c>
      <c r="K821" s="670" t="s">
        <v>9304</v>
      </c>
      <c r="L821" s="670" t="s">
        <v>9519</v>
      </c>
      <c r="M821" s="670" t="s">
        <v>8832</v>
      </c>
      <c r="N821" s="670"/>
    </row>
    <row r="822" spans="1:14">
      <c r="A822" s="1066"/>
      <c r="B822" s="678">
        <v>45253</v>
      </c>
      <c r="C822" s="670" t="s">
        <v>9518</v>
      </c>
      <c r="D822" s="670" t="s">
        <v>9657</v>
      </c>
      <c r="E822" s="670" t="s">
        <v>9001</v>
      </c>
      <c r="F822" s="670" t="s">
        <v>9525</v>
      </c>
      <c r="G822" s="671"/>
      <c r="H822" s="671">
        <v>239006.86</v>
      </c>
      <c r="I822" s="671"/>
      <c r="J822" s="671">
        <v>15000</v>
      </c>
      <c r="K822" s="670" t="s">
        <v>9538</v>
      </c>
      <c r="L822" s="670" t="s">
        <v>9519</v>
      </c>
      <c r="M822" s="670" t="s">
        <v>8832</v>
      </c>
      <c r="N822" s="670"/>
    </row>
    <row r="823" spans="1:14">
      <c r="A823" s="1066"/>
      <c r="B823" s="678">
        <v>45253</v>
      </c>
      <c r="C823" s="670" t="s">
        <v>9518</v>
      </c>
      <c r="D823" s="670" t="s">
        <v>9516</v>
      </c>
      <c r="E823" s="670" t="s">
        <v>9001</v>
      </c>
      <c r="F823" s="670" t="s">
        <v>9658</v>
      </c>
      <c r="G823" s="671"/>
      <c r="H823" s="671" t="s">
        <v>1921</v>
      </c>
      <c r="I823" s="671"/>
      <c r="J823" s="671">
        <v>6000</v>
      </c>
      <c r="K823" s="670" t="s">
        <v>9516</v>
      </c>
      <c r="L823" s="670" t="s">
        <v>9659</v>
      </c>
      <c r="M823" s="670" t="s">
        <v>9366</v>
      </c>
      <c r="N823" s="670"/>
    </row>
    <row r="824" spans="1:14">
      <c r="A824" s="1066"/>
      <c r="B824" s="678">
        <v>45253</v>
      </c>
      <c r="C824" s="670" t="s">
        <v>9660</v>
      </c>
      <c r="D824" s="670" t="s">
        <v>9516</v>
      </c>
      <c r="E824" s="670" t="s">
        <v>9001</v>
      </c>
      <c r="F824" s="670" t="s">
        <v>9658</v>
      </c>
      <c r="G824" s="671"/>
      <c r="H824" s="671" t="s">
        <v>1921</v>
      </c>
      <c r="I824" s="671"/>
      <c r="J824" s="671">
        <v>6000</v>
      </c>
      <c r="K824" s="670" t="s">
        <v>9516</v>
      </c>
      <c r="L824" s="670" t="s">
        <v>9659</v>
      </c>
      <c r="M824" s="670" t="s">
        <v>9366</v>
      </c>
      <c r="N824" s="670"/>
    </row>
    <row r="825" spans="1:14">
      <c r="A825" s="1066"/>
      <c r="B825" s="678">
        <v>45253</v>
      </c>
      <c r="C825" s="670" t="s">
        <v>9660</v>
      </c>
      <c r="D825" s="670" t="s">
        <v>9516</v>
      </c>
      <c r="E825" s="670" t="s">
        <v>9001</v>
      </c>
      <c r="F825" s="670" t="s">
        <v>9658</v>
      </c>
      <c r="G825" s="671"/>
      <c r="H825" s="671" t="s">
        <v>1921</v>
      </c>
      <c r="I825" s="671"/>
      <c r="J825" s="671">
        <v>6000</v>
      </c>
      <c r="K825" s="670" t="s">
        <v>9516</v>
      </c>
      <c r="L825" s="670" t="s">
        <v>9659</v>
      </c>
      <c r="M825" s="670" t="s">
        <v>9366</v>
      </c>
      <c r="N825" s="670"/>
    </row>
    <row r="826" spans="1:14">
      <c r="A826" s="1066"/>
      <c r="B826" s="678">
        <v>45254</v>
      </c>
      <c r="C826" s="670" t="s">
        <v>9660</v>
      </c>
      <c r="D826" s="670" t="s">
        <v>9514</v>
      </c>
      <c r="E826" s="670" t="s">
        <v>9282</v>
      </c>
      <c r="F826" s="670" t="s">
        <v>9585</v>
      </c>
      <c r="G826" s="671"/>
      <c r="H826" s="671" t="s">
        <v>1921</v>
      </c>
      <c r="I826" s="671"/>
      <c r="J826" s="671">
        <v>63000</v>
      </c>
      <c r="K826" s="670" t="s">
        <v>9516</v>
      </c>
      <c r="L826" s="670" t="s">
        <v>9517</v>
      </c>
      <c r="M826" s="670" t="s">
        <v>9299</v>
      </c>
      <c r="N826" s="670"/>
    </row>
    <row r="827" spans="1:14">
      <c r="A827" s="1066"/>
      <c r="B827" s="678">
        <v>45254</v>
      </c>
      <c r="C827" s="670" t="s">
        <v>9660</v>
      </c>
      <c r="D827" s="670" t="s">
        <v>9516</v>
      </c>
      <c r="E827" s="670" t="s">
        <v>9001</v>
      </c>
      <c r="F827" s="670" t="s">
        <v>9658</v>
      </c>
      <c r="G827" s="671"/>
      <c r="H827" s="671" t="s">
        <v>1921</v>
      </c>
      <c r="I827" s="671"/>
      <c r="J827" s="671">
        <v>6000</v>
      </c>
      <c r="K827" s="670" t="s">
        <v>9516</v>
      </c>
      <c r="L827" s="670" t="s">
        <v>9659</v>
      </c>
      <c r="M827" s="670" t="s">
        <v>9366</v>
      </c>
      <c r="N827" s="670"/>
    </row>
    <row r="828" spans="1:14">
      <c r="A828" s="1066"/>
      <c r="B828" s="678">
        <v>45257</v>
      </c>
      <c r="C828" s="670" t="s">
        <v>9660</v>
      </c>
      <c r="D828" s="670" t="s">
        <v>9516</v>
      </c>
      <c r="E828" s="670" t="s">
        <v>9001</v>
      </c>
      <c r="F828" s="670" t="s">
        <v>9658</v>
      </c>
      <c r="G828" s="671"/>
      <c r="H828" s="671" t="s">
        <v>1921</v>
      </c>
      <c r="I828" s="671"/>
      <c r="J828" s="671">
        <v>6000</v>
      </c>
      <c r="K828" s="670" t="s">
        <v>9516</v>
      </c>
      <c r="L828" s="670" t="s">
        <v>9659</v>
      </c>
      <c r="M828" s="670" t="s">
        <v>9366</v>
      </c>
      <c r="N828" s="670"/>
    </row>
    <row r="829" spans="1:14">
      <c r="A829" s="1066"/>
      <c r="B829" s="678">
        <v>45257</v>
      </c>
      <c r="C829" s="670" t="s">
        <v>9661</v>
      </c>
      <c r="D829" s="670" t="s">
        <v>9516</v>
      </c>
      <c r="E829" s="670" t="s">
        <v>9662</v>
      </c>
      <c r="F829" s="670" t="s">
        <v>9663</v>
      </c>
      <c r="G829" s="671"/>
      <c r="H829" s="671" t="s">
        <v>1921</v>
      </c>
      <c r="I829" s="671"/>
      <c r="J829" s="671">
        <v>3000</v>
      </c>
      <c r="K829" s="670" t="s">
        <v>9516</v>
      </c>
      <c r="L829" s="670" t="s">
        <v>9659</v>
      </c>
      <c r="M829" s="670" t="s">
        <v>9366</v>
      </c>
      <c r="N829" s="670"/>
    </row>
    <row r="830" spans="1:14">
      <c r="A830" s="1066"/>
      <c r="B830" s="678">
        <v>45257</v>
      </c>
      <c r="C830" s="670" t="s">
        <v>9541</v>
      </c>
      <c r="D830" s="670" t="s">
        <v>9516</v>
      </c>
      <c r="E830" s="670" t="s">
        <v>9043</v>
      </c>
      <c r="F830" s="670" t="s">
        <v>9664</v>
      </c>
      <c r="G830" s="671"/>
      <c r="H830" s="671">
        <v>12000</v>
      </c>
      <c r="I830" s="671"/>
      <c r="J830" s="671">
        <v>10000</v>
      </c>
      <c r="K830" s="670" t="s">
        <v>9665</v>
      </c>
      <c r="L830" s="670" t="s">
        <v>9519</v>
      </c>
      <c r="M830" s="670" t="s">
        <v>9550</v>
      </c>
      <c r="N830" s="670"/>
    </row>
    <row r="831" spans="1:14">
      <c r="A831" s="1066"/>
      <c r="B831" s="678">
        <v>45257</v>
      </c>
      <c r="C831" s="670" t="s">
        <v>9518</v>
      </c>
      <c r="D831" s="670" t="s">
        <v>9516</v>
      </c>
      <c r="E831" s="670" t="s">
        <v>9001</v>
      </c>
      <c r="F831" s="670" t="s">
        <v>9644</v>
      </c>
      <c r="G831" s="671"/>
      <c r="H831" s="671">
        <v>30000</v>
      </c>
      <c r="I831" s="671"/>
      <c r="J831" s="671">
        <v>30000</v>
      </c>
      <c r="K831" s="670" t="s">
        <v>9290</v>
      </c>
      <c r="L831" s="670" t="s">
        <v>9519</v>
      </c>
      <c r="M831" s="670" t="s">
        <v>8832</v>
      </c>
      <c r="N831" s="670"/>
    </row>
    <row r="832" spans="1:14">
      <c r="A832" s="1066"/>
      <c r="B832" s="678">
        <v>45257</v>
      </c>
      <c r="C832" s="670" t="s">
        <v>9518</v>
      </c>
      <c r="D832" s="670" t="s">
        <v>9367</v>
      </c>
      <c r="E832" s="670" t="s">
        <v>9043</v>
      </c>
      <c r="F832" s="670" t="s">
        <v>9537</v>
      </c>
      <c r="G832" s="671"/>
      <c r="H832" s="671">
        <v>120950.86</v>
      </c>
      <c r="I832" s="671"/>
      <c r="J832" s="671">
        <v>15000</v>
      </c>
      <c r="K832" s="670" t="s">
        <v>9528</v>
      </c>
      <c r="L832" s="670" t="s">
        <v>9519</v>
      </c>
      <c r="M832" s="670" t="s">
        <v>8832</v>
      </c>
      <c r="N832" s="670"/>
    </row>
    <row r="833" spans="1:14">
      <c r="A833" s="1066"/>
      <c r="B833" s="678">
        <v>45257</v>
      </c>
      <c r="C833" s="670" t="s">
        <v>9518</v>
      </c>
      <c r="D833" s="670" t="s">
        <v>9505</v>
      </c>
      <c r="E833" s="670" t="s">
        <v>9001</v>
      </c>
      <c r="F833" s="670" t="s">
        <v>9666</v>
      </c>
      <c r="G833" s="671"/>
      <c r="H833" s="671">
        <v>172999.9</v>
      </c>
      <c r="I833" s="671"/>
      <c r="J833" s="671">
        <v>20000</v>
      </c>
      <c r="K833" s="670" t="s">
        <v>9667</v>
      </c>
      <c r="L833" s="670" t="s">
        <v>9519</v>
      </c>
      <c r="M833" s="670" t="s">
        <v>8832</v>
      </c>
      <c r="N833" s="670"/>
    </row>
    <row r="834" spans="1:14">
      <c r="A834" s="1066"/>
      <c r="B834" s="678">
        <v>45258</v>
      </c>
      <c r="C834" s="670" t="s">
        <v>9668</v>
      </c>
      <c r="D834" s="670" t="s">
        <v>9669</v>
      </c>
      <c r="E834" s="670" t="s">
        <v>9001</v>
      </c>
      <c r="F834" s="670" t="s">
        <v>9658</v>
      </c>
      <c r="G834" s="671"/>
      <c r="H834" s="671" t="s">
        <v>1921</v>
      </c>
      <c r="I834" s="671"/>
      <c r="J834" s="671">
        <v>6000</v>
      </c>
      <c r="K834" s="670" t="s">
        <v>9516</v>
      </c>
      <c r="L834" s="670" t="s">
        <v>9517</v>
      </c>
      <c r="M834" s="670" t="s">
        <v>9366</v>
      </c>
      <c r="N834" s="670"/>
    </row>
    <row r="835" spans="1:14">
      <c r="A835" s="1066"/>
      <c r="B835" s="678">
        <v>45259</v>
      </c>
      <c r="C835" s="670" t="s">
        <v>9668</v>
      </c>
      <c r="D835" s="670" t="s">
        <v>9669</v>
      </c>
      <c r="E835" s="670" t="s">
        <v>9001</v>
      </c>
      <c r="F835" s="670" t="s">
        <v>9658</v>
      </c>
      <c r="G835" s="671"/>
      <c r="H835" s="671" t="s">
        <v>1921</v>
      </c>
      <c r="I835" s="671"/>
      <c r="J835" s="671">
        <v>6000</v>
      </c>
      <c r="K835" s="670" t="s">
        <v>9516</v>
      </c>
      <c r="L835" s="670" t="s">
        <v>9517</v>
      </c>
      <c r="M835" s="670" t="s">
        <v>9366</v>
      </c>
      <c r="N835" s="670"/>
    </row>
    <row r="836" spans="1:14">
      <c r="A836" s="1066"/>
      <c r="B836" s="678">
        <v>45259</v>
      </c>
      <c r="C836" s="670" t="s">
        <v>9541</v>
      </c>
      <c r="D836" s="670" t="s">
        <v>9516</v>
      </c>
      <c r="E836" s="670" t="s">
        <v>9001</v>
      </c>
      <c r="F836" s="670" t="s">
        <v>9670</v>
      </c>
      <c r="G836" s="671"/>
      <c r="H836" s="671">
        <v>5000</v>
      </c>
      <c r="I836" s="671"/>
      <c r="J836" s="671">
        <v>5000</v>
      </c>
      <c r="K836" s="670" t="s">
        <v>9290</v>
      </c>
      <c r="L836" s="670" t="s">
        <v>9519</v>
      </c>
      <c r="M836" s="670" t="s">
        <v>9550</v>
      </c>
      <c r="N836" s="670"/>
    </row>
    <row r="837" spans="1:14">
      <c r="A837" s="1066"/>
      <c r="B837" s="678">
        <v>45259</v>
      </c>
      <c r="C837" s="670" t="s">
        <v>9541</v>
      </c>
      <c r="D837" s="670" t="s">
        <v>9516</v>
      </c>
      <c r="E837" s="670" t="s">
        <v>9001</v>
      </c>
      <c r="F837" s="670" t="s">
        <v>9670</v>
      </c>
      <c r="G837" s="671"/>
      <c r="H837" s="671">
        <v>3400</v>
      </c>
      <c r="I837" s="671"/>
      <c r="J837" s="671">
        <v>3400</v>
      </c>
      <c r="K837" s="670" t="s">
        <v>9553</v>
      </c>
      <c r="L837" s="670" t="s">
        <v>9519</v>
      </c>
      <c r="M837" s="670" t="s">
        <v>9550</v>
      </c>
      <c r="N837" s="670"/>
    </row>
    <row r="838" spans="1:14">
      <c r="A838" s="1066"/>
      <c r="B838" s="678">
        <v>45259</v>
      </c>
      <c r="C838" s="670" t="s">
        <v>9518</v>
      </c>
      <c r="D838" s="670" t="s">
        <v>9367</v>
      </c>
      <c r="E838" s="670" t="s">
        <v>9043</v>
      </c>
      <c r="F838" s="670" t="s">
        <v>9537</v>
      </c>
      <c r="G838" s="671"/>
      <c r="H838" s="671">
        <v>120950.86</v>
      </c>
      <c r="I838" s="671"/>
      <c r="J838" s="671">
        <v>15000</v>
      </c>
      <c r="K838" s="670" t="s">
        <v>9528</v>
      </c>
      <c r="L838" s="670" t="s">
        <v>9519</v>
      </c>
      <c r="M838" s="670" t="s">
        <v>8832</v>
      </c>
      <c r="N838" s="670"/>
    </row>
    <row r="839" spans="1:14">
      <c r="A839" s="1066"/>
      <c r="B839" s="678">
        <v>45260</v>
      </c>
      <c r="C839" s="670" t="s">
        <v>9364</v>
      </c>
      <c r="D839" s="670" t="s">
        <v>9516</v>
      </c>
      <c r="E839" s="670" t="s">
        <v>9638</v>
      </c>
      <c r="F839" s="670" t="s">
        <v>9364</v>
      </c>
      <c r="G839" s="671"/>
      <c r="H839" s="671" t="s">
        <v>1921</v>
      </c>
      <c r="I839" s="671"/>
      <c r="J839" s="671">
        <v>138390</v>
      </c>
      <c r="K839" s="670" t="s">
        <v>1234</v>
      </c>
      <c r="L839" s="670" t="s">
        <v>9659</v>
      </c>
      <c r="M839" s="670" t="s">
        <v>9366</v>
      </c>
      <c r="N839" s="670"/>
    </row>
    <row r="840" spans="1:14">
      <c r="A840" s="1066"/>
      <c r="B840" s="678">
        <v>45264</v>
      </c>
      <c r="C840" s="670" t="s">
        <v>9518</v>
      </c>
      <c r="D840" s="670" t="s">
        <v>9387</v>
      </c>
      <c r="E840" s="670" t="s">
        <v>9001</v>
      </c>
      <c r="F840" s="670" t="s">
        <v>9653</v>
      </c>
      <c r="G840" s="671"/>
      <c r="H840" s="671">
        <v>98727.3</v>
      </c>
      <c r="I840" s="671"/>
      <c r="J840" s="671">
        <v>25000</v>
      </c>
      <c r="K840" s="670" t="s">
        <v>9622</v>
      </c>
      <c r="L840" s="670" t="s">
        <v>9519</v>
      </c>
      <c r="M840" s="670" t="s">
        <v>8832</v>
      </c>
      <c r="N840" s="670"/>
    </row>
    <row r="841" spans="1:14">
      <c r="A841" s="1066"/>
      <c r="B841" s="678">
        <v>45264</v>
      </c>
      <c r="C841" s="670" t="s">
        <v>9518</v>
      </c>
      <c r="D841" s="670" t="s">
        <v>9592</v>
      </c>
      <c r="E841" s="670" t="s">
        <v>9001</v>
      </c>
      <c r="F841" s="670" t="s">
        <v>9671</v>
      </c>
      <c r="G841" s="671"/>
      <c r="H841" s="671">
        <v>84251.32</v>
      </c>
      <c r="I841" s="671"/>
      <c r="J841" s="671">
        <v>35000</v>
      </c>
      <c r="K841" s="670" t="s">
        <v>9290</v>
      </c>
      <c r="L841" s="670" t="s">
        <v>9519</v>
      </c>
      <c r="M841" s="670" t="s">
        <v>8832</v>
      </c>
      <c r="N841" s="670"/>
    </row>
    <row r="842" spans="1:14">
      <c r="A842" s="1066"/>
      <c r="B842" s="678">
        <v>45264</v>
      </c>
      <c r="C842" s="670" t="s">
        <v>9518</v>
      </c>
      <c r="D842" s="670" t="s">
        <v>9592</v>
      </c>
      <c r="E842" s="670" t="s">
        <v>9001</v>
      </c>
      <c r="F842" s="670" t="s">
        <v>9672</v>
      </c>
      <c r="G842" s="671"/>
      <c r="H842" s="671">
        <v>689805</v>
      </c>
      <c r="I842" s="671"/>
      <c r="J842" s="671">
        <v>45000</v>
      </c>
      <c r="K842" s="670" t="s">
        <v>9342</v>
      </c>
      <c r="L842" s="670" t="s">
        <v>9519</v>
      </c>
      <c r="M842" s="670" t="s">
        <v>8832</v>
      </c>
      <c r="N842" s="670"/>
    </row>
    <row r="843" spans="1:14">
      <c r="A843" s="1066"/>
      <c r="B843" s="678">
        <v>45266</v>
      </c>
      <c r="C843" s="670" t="s">
        <v>9518</v>
      </c>
      <c r="D843" s="670" t="s">
        <v>9542</v>
      </c>
      <c r="E843" s="670" t="s">
        <v>9001</v>
      </c>
      <c r="F843" s="670" t="s">
        <v>9673</v>
      </c>
      <c r="G843" s="671"/>
      <c r="H843" s="671">
        <v>172220.58</v>
      </c>
      <c r="I843" s="671"/>
      <c r="J843" s="671">
        <v>33000</v>
      </c>
      <c r="K843" s="670" t="s">
        <v>9290</v>
      </c>
      <c r="L843" s="670" t="s">
        <v>9519</v>
      </c>
      <c r="M843" s="670" t="s">
        <v>8832</v>
      </c>
      <c r="N843" s="670"/>
    </row>
    <row r="844" spans="1:14">
      <c r="A844" s="1066"/>
      <c r="B844" s="678">
        <v>45266</v>
      </c>
      <c r="C844" s="670" t="s">
        <v>9518</v>
      </c>
      <c r="D844" s="670" t="s">
        <v>9627</v>
      </c>
      <c r="E844" s="670" t="s">
        <v>9043</v>
      </c>
      <c r="F844" s="670" t="s">
        <v>9674</v>
      </c>
      <c r="G844" s="671"/>
      <c r="H844" s="671">
        <v>223519</v>
      </c>
      <c r="I844" s="671"/>
      <c r="J844" s="671">
        <v>13000</v>
      </c>
      <c r="K844" s="670" t="s">
        <v>9675</v>
      </c>
      <c r="L844" s="670" t="s">
        <v>9519</v>
      </c>
      <c r="M844" s="670" t="s">
        <v>8832</v>
      </c>
      <c r="N844" s="670"/>
    </row>
    <row r="845" spans="1:14">
      <c r="A845" s="1066"/>
      <c r="B845" s="678">
        <v>45266</v>
      </c>
      <c r="C845" s="670" t="s">
        <v>9518</v>
      </c>
      <c r="D845" s="670" t="s">
        <v>9389</v>
      </c>
      <c r="E845" s="670" t="s">
        <v>9043</v>
      </c>
      <c r="F845" s="670" t="s">
        <v>9349</v>
      </c>
      <c r="G845" s="671"/>
      <c r="H845" s="671">
        <v>189335.7</v>
      </c>
      <c r="I845" s="671"/>
      <c r="J845" s="671">
        <v>23000</v>
      </c>
      <c r="K845" s="670" t="s">
        <v>9352</v>
      </c>
      <c r="L845" s="670" t="s">
        <v>9519</v>
      </c>
      <c r="M845" s="670" t="s">
        <v>8832</v>
      </c>
      <c r="N845" s="670"/>
    </row>
    <row r="846" spans="1:14">
      <c r="A846" s="1066"/>
      <c r="B846" s="678">
        <v>45266</v>
      </c>
      <c r="C846" s="670" t="s">
        <v>9518</v>
      </c>
      <c r="D846" s="670" t="s">
        <v>9676</v>
      </c>
      <c r="E846" s="670" t="s">
        <v>9001</v>
      </c>
      <c r="F846" s="670" t="s">
        <v>9677</v>
      </c>
      <c r="G846" s="671"/>
      <c r="H846" s="671">
        <v>946315.5</v>
      </c>
      <c r="I846" s="671"/>
      <c r="J846" s="671">
        <v>20000</v>
      </c>
      <c r="K846" s="670" t="s">
        <v>9422</v>
      </c>
      <c r="L846" s="670" t="s">
        <v>9519</v>
      </c>
      <c r="M846" s="670" t="s">
        <v>8832</v>
      </c>
      <c r="N846" s="670"/>
    </row>
    <row r="847" spans="1:14">
      <c r="A847" s="1066"/>
      <c r="B847" s="678">
        <v>45268</v>
      </c>
      <c r="C847" s="670" t="s">
        <v>9518</v>
      </c>
      <c r="D847" s="670" t="s">
        <v>9531</v>
      </c>
      <c r="E847" s="670" t="s">
        <v>9043</v>
      </c>
      <c r="F847" s="670" t="s">
        <v>9678</v>
      </c>
      <c r="G847" s="671"/>
      <c r="H847" s="671">
        <v>188090.16</v>
      </c>
      <c r="I847" s="671"/>
      <c r="J847" s="671">
        <v>30000</v>
      </c>
      <c r="K847" s="670" t="s">
        <v>9290</v>
      </c>
      <c r="L847" s="670" t="s">
        <v>9519</v>
      </c>
      <c r="M847" s="670" t="s">
        <v>8832</v>
      </c>
      <c r="N847" s="670"/>
    </row>
    <row r="848" spans="1:14">
      <c r="A848" s="1066"/>
      <c r="B848" s="678">
        <v>45268</v>
      </c>
      <c r="C848" s="670" t="s">
        <v>9541</v>
      </c>
      <c r="D848" s="670" t="s">
        <v>9542</v>
      </c>
      <c r="E848" s="670" t="s">
        <v>9001</v>
      </c>
      <c r="F848" s="670" t="s">
        <v>9679</v>
      </c>
      <c r="G848" s="671"/>
      <c r="H848" s="671">
        <v>1900</v>
      </c>
      <c r="I848" s="671"/>
      <c r="J848" s="671">
        <v>1900</v>
      </c>
      <c r="K848" s="670" t="s">
        <v>9680</v>
      </c>
      <c r="L848" s="670" t="s">
        <v>9659</v>
      </c>
      <c r="M848" s="670" t="s">
        <v>9366</v>
      </c>
      <c r="N848" s="670"/>
    </row>
    <row r="849" spans="1:14">
      <c r="A849" s="1066"/>
      <c r="B849" s="678">
        <v>45268</v>
      </c>
      <c r="C849" s="670" t="s">
        <v>9541</v>
      </c>
      <c r="D849" s="670" t="s">
        <v>9516</v>
      </c>
      <c r="E849" s="670" t="s">
        <v>9043</v>
      </c>
      <c r="F849" s="670" t="s">
        <v>9681</v>
      </c>
      <c r="G849" s="671"/>
      <c r="H849" s="671">
        <v>48000</v>
      </c>
      <c r="I849" s="671"/>
      <c r="J849" s="671">
        <v>6000</v>
      </c>
      <c r="K849" s="670" t="s">
        <v>9559</v>
      </c>
      <c r="L849" s="670" t="s">
        <v>9519</v>
      </c>
      <c r="M849" s="670" t="s">
        <v>9550</v>
      </c>
      <c r="N849" s="670"/>
    </row>
    <row r="850" spans="1:14">
      <c r="A850" s="1066"/>
      <c r="B850" s="678">
        <v>45268</v>
      </c>
      <c r="C850" s="670" t="s">
        <v>9518</v>
      </c>
      <c r="D850" s="670" t="s">
        <v>9529</v>
      </c>
      <c r="E850" s="670" t="s">
        <v>9001</v>
      </c>
      <c r="F850" s="670" t="s">
        <v>9530</v>
      </c>
      <c r="G850" s="671"/>
      <c r="H850" s="671">
        <v>200000</v>
      </c>
      <c r="I850" s="671"/>
      <c r="J850" s="671">
        <v>5000</v>
      </c>
      <c r="K850" s="670" t="s">
        <v>9298</v>
      </c>
      <c r="L850" s="670" t="s">
        <v>9519</v>
      </c>
      <c r="M850" s="670" t="s">
        <v>8832</v>
      </c>
      <c r="N850" s="670"/>
    </row>
    <row r="851" spans="1:14">
      <c r="A851" s="1066"/>
      <c r="B851" s="678">
        <v>45268</v>
      </c>
      <c r="C851" s="670" t="s">
        <v>9518</v>
      </c>
      <c r="D851" s="670" t="s">
        <v>9682</v>
      </c>
      <c r="E851" s="670" t="s">
        <v>9043</v>
      </c>
      <c r="F851" s="670" t="s">
        <v>9683</v>
      </c>
      <c r="G851" s="671"/>
      <c r="H851" s="671">
        <v>169081</v>
      </c>
      <c r="I851" s="671"/>
      <c r="J851" s="671">
        <v>30000</v>
      </c>
      <c r="K851" s="670" t="s">
        <v>9622</v>
      </c>
      <c r="L851" s="670" t="s">
        <v>9519</v>
      </c>
      <c r="M851" s="670" t="s">
        <v>8832</v>
      </c>
      <c r="N851" s="670"/>
    </row>
    <row r="852" spans="1:14">
      <c r="A852" s="1066"/>
      <c r="B852" s="678">
        <v>45268</v>
      </c>
      <c r="C852" s="670" t="s">
        <v>9541</v>
      </c>
      <c r="D852" s="670" t="s">
        <v>9516</v>
      </c>
      <c r="E852" s="670" t="s">
        <v>9001</v>
      </c>
      <c r="F852" s="670" t="s">
        <v>9684</v>
      </c>
      <c r="G852" s="671"/>
      <c r="H852" s="671">
        <v>69600</v>
      </c>
      <c r="I852" s="671"/>
      <c r="J852" s="671">
        <v>23200</v>
      </c>
      <c r="K852" s="670" t="s">
        <v>9635</v>
      </c>
      <c r="L852" s="670" t="s">
        <v>9519</v>
      </c>
      <c r="M852" s="670" t="s">
        <v>9550</v>
      </c>
      <c r="N852" s="670"/>
    </row>
    <row r="853" spans="1:14">
      <c r="A853" s="1066"/>
      <c r="B853" s="678">
        <v>45268</v>
      </c>
      <c r="C853" s="670" t="s">
        <v>9518</v>
      </c>
      <c r="D853" s="670" t="s">
        <v>9569</v>
      </c>
      <c r="E853" s="670" t="s">
        <v>9001</v>
      </c>
      <c r="F853" s="670" t="s">
        <v>9685</v>
      </c>
      <c r="G853" s="671"/>
      <c r="H853" s="671">
        <v>172999.9</v>
      </c>
      <c r="I853" s="671"/>
      <c r="J853" s="671">
        <v>10000</v>
      </c>
      <c r="K853" s="670" t="s">
        <v>3002</v>
      </c>
      <c r="L853" s="670" t="s">
        <v>9519</v>
      </c>
      <c r="M853" s="670" t="s">
        <v>8832</v>
      </c>
      <c r="N853" s="670"/>
    </row>
    <row r="854" spans="1:14">
      <c r="A854" s="1066"/>
      <c r="B854" s="678">
        <v>45283</v>
      </c>
      <c r="C854" s="670" t="s">
        <v>9518</v>
      </c>
      <c r="D854" s="670" t="s">
        <v>9682</v>
      </c>
      <c r="E854" s="670" t="s">
        <v>9043</v>
      </c>
      <c r="F854" s="670" t="s">
        <v>9683</v>
      </c>
      <c r="G854" s="671"/>
      <c r="H854" s="671">
        <v>169081</v>
      </c>
      <c r="I854" s="671"/>
      <c r="J854" s="671">
        <v>25000</v>
      </c>
      <c r="K854" s="670" t="s">
        <v>9622</v>
      </c>
      <c r="L854" s="670" t="s">
        <v>9519</v>
      </c>
      <c r="M854" s="670" t="s">
        <v>8832</v>
      </c>
      <c r="N854" s="670"/>
    </row>
    <row r="855" spans="1:14">
      <c r="A855" s="1066"/>
      <c r="B855" s="678">
        <v>45283</v>
      </c>
      <c r="C855" s="670" t="s">
        <v>9518</v>
      </c>
      <c r="D855" s="670" t="s">
        <v>9542</v>
      </c>
      <c r="E855" s="670" t="s">
        <v>9001</v>
      </c>
      <c r="F855" s="670" t="s">
        <v>9308</v>
      </c>
      <c r="G855" s="671"/>
      <c r="H855" s="671">
        <v>172220.58</v>
      </c>
      <c r="I855" s="671"/>
      <c r="J855" s="671">
        <v>30000</v>
      </c>
      <c r="K855" s="670" t="s">
        <v>9290</v>
      </c>
      <c r="L855" s="670" t="s">
        <v>9519</v>
      </c>
      <c r="M855" s="670" t="s">
        <v>8832</v>
      </c>
      <c r="N855" s="670"/>
    </row>
    <row r="856" spans="1:14">
      <c r="A856" s="1066"/>
      <c r="B856" s="678">
        <v>45290</v>
      </c>
      <c r="C856" s="670" t="s">
        <v>9364</v>
      </c>
      <c r="D856" s="670" t="s">
        <v>9516</v>
      </c>
      <c r="E856" s="670"/>
      <c r="F856" s="670" t="s">
        <v>9364</v>
      </c>
      <c r="G856" s="671"/>
      <c r="H856" s="671" t="s">
        <v>1921</v>
      </c>
      <c r="I856" s="671"/>
      <c r="J856" s="671">
        <v>163540</v>
      </c>
      <c r="K856" s="670" t="s">
        <v>1234</v>
      </c>
      <c r="L856" s="670" t="s">
        <v>9659</v>
      </c>
      <c r="M856" s="670" t="s">
        <v>9366</v>
      </c>
      <c r="N856" s="670"/>
    </row>
    <row r="857" spans="1:14">
      <c r="A857" s="672" t="s">
        <v>9686</v>
      </c>
      <c r="B857" s="672"/>
      <c r="C857" s="672"/>
      <c r="D857" s="672"/>
      <c r="E857" s="672"/>
      <c r="F857" s="676"/>
      <c r="G857" s="677">
        <f>+SUM(G466:G856)</f>
        <v>0</v>
      </c>
      <c r="H857" s="677">
        <f t="shared" ref="H857:J857" si="1">+SUM(H466:H856)</f>
        <v>71857261.756999955</v>
      </c>
      <c r="I857" s="677">
        <f t="shared" si="1"/>
        <v>0</v>
      </c>
      <c r="J857" s="677">
        <f t="shared" si="1"/>
        <v>6693706.0099999998</v>
      </c>
      <c r="K857" s="673"/>
      <c r="L857" s="673"/>
      <c r="M857" s="673"/>
      <c r="N857" s="673"/>
    </row>
    <row r="858" spans="1:14">
      <c r="A858" s="1067" t="s">
        <v>855</v>
      </c>
      <c r="B858" s="679">
        <v>44933</v>
      </c>
      <c r="C858" s="674" t="s">
        <v>9687</v>
      </c>
      <c r="D858" s="674" t="s">
        <v>9688</v>
      </c>
      <c r="E858" s="674" t="s">
        <v>9689</v>
      </c>
      <c r="F858" s="674" t="s">
        <v>9690</v>
      </c>
      <c r="G858" s="680"/>
      <c r="H858" s="680">
        <v>347082.5</v>
      </c>
      <c r="I858" s="680"/>
      <c r="J858" s="680">
        <v>10000</v>
      </c>
      <c r="K858" s="674" t="s">
        <v>9691</v>
      </c>
      <c r="L858" s="674" t="s">
        <v>9692</v>
      </c>
      <c r="M858" s="674"/>
      <c r="N858" s="674"/>
    </row>
    <row r="859" spans="1:14">
      <c r="A859" s="1067"/>
      <c r="B859" s="679">
        <v>44933</v>
      </c>
      <c r="C859" s="674" t="s">
        <v>9693</v>
      </c>
      <c r="D859" s="674"/>
      <c r="E859" s="674"/>
      <c r="F859" s="674" t="s">
        <v>9694</v>
      </c>
      <c r="G859" s="680"/>
      <c r="H859" s="680">
        <v>149914</v>
      </c>
      <c r="I859" s="680"/>
      <c r="J859" s="680">
        <v>5000</v>
      </c>
      <c r="K859" s="674" t="s">
        <v>9695</v>
      </c>
      <c r="L859" s="674" t="s">
        <v>9696</v>
      </c>
      <c r="M859" s="674"/>
      <c r="N859" s="674"/>
    </row>
    <row r="860" spans="1:14">
      <c r="A860" s="1067"/>
      <c r="B860" s="679">
        <v>44933</v>
      </c>
      <c r="C860" s="674" t="s">
        <v>9697</v>
      </c>
      <c r="D860" s="674" t="s">
        <v>9688</v>
      </c>
      <c r="E860" s="674" t="s">
        <v>9689</v>
      </c>
      <c r="F860" s="674" t="s">
        <v>9698</v>
      </c>
      <c r="G860" s="680"/>
      <c r="H860" s="680">
        <v>294984</v>
      </c>
      <c r="I860" s="680"/>
      <c r="J860" s="680">
        <v>5000</v>
      </c>
      <c r="K860" s="674" t="s">
        <v>9699</v>
      </c>
      <c r="L860" s="674" t="s">
        <v>9700</v>
      </c>
      <c r="M860" s="674"/>
      <c r="N860" s="674"/>
    </row>
    <row r="861" spans="1:14">
      <c r="A861" s="1067"/>
      <c r="B861" s="679">
        <v>44936</v>
      </c>
      <c r="C861" s="674" t="s">
        <v>9701</v>
      </c>
      <c r="D861" s="674" t="s">
        <v>9702</v>
      </c>
      <c r="E861" s="674" t="s">
        <v>9689</v>
      </c>
      <c r="F861" s="674" t="s">
        <v>9687</v>
      </c>
      <c r="G861" s="680"/>
      <c r="H861" s="680"/>
      <c r="I861" s="680"/>
      <c r="J861" s="680">
        <v>15000</v>
      </c>
      <c r="K861" s="674" t="s">
        <v>9703</v>
      </c>
      <c r="L861" s="674"/>
      <c r="M861" s="674"/>
      <c r="N861" s="674"/>
    </row>
    <row r="862" spans="1:14">
      <c r="A862" s="1067"/>
      <c r="B862" s="679">
        <v>44936</v>
      </c>
      <c r="C862" s="674" t="s">
        <v>9687</v>
      </c>
      <c r="D862" s="674" t="s">
        <v>9688</v>
      </c>
      <c r="E862" s="674" t="s">
        <v>9689</v>
      </c>
      <c r="F862" s="674" t="s">
        <v>9704</v>
      </c>
      <c r="G862" s="680"/>
      <c r="H862" s="680">
        <v>347082.5</v>
      </c>
      <c r="I862" s="680"/>
      <c r="J862" s="680">
        <v>10000</v>
      </c>
      <c r="K862" s="674" t="s">
        <v>9691</v>
      </c>
      <c r="L862" s="674"/>
      <c r="M862" s="674"/>
      <c r="N862" s="674"/>
    </row>
    <row r="863" spans="1:14">
      <c r="A863" s="1067"/>
      <c r="B863" s="679">
        <v>44938</v>
      </c>
      <c r="C863" s="674" t="s">
        <v>9697</v>
      </c>
      <c r="D863" s="674" t="s">
        <v>9688</v>
      </c>
      <c r="E863" s="674" t="s">
        <v>9689</v>
      </c>
      <c r="F863" s="674" t="s">
        <v>9698</v>
      </c>
      <c r="G863" s="680"/>
      <c r="H863" s="680">
        <v>294984</v>
      </c>
      <c r="I863" s="680"/>
      <c r="J863" s="680">
        <v>5000</v>
      </c>
      <c r="K863" s="674" t="s">
        <v>9699</v>
      </c>
      <c r="L863" s="674" t="s">
        <v>9705</v>
      </c>
      <c r="M863" s="674"/>
      <c r="N863" s="674"/>
    </row>
    <row r="864" spans="1:14">
      <c r="A864" s="1067"/>
      <c r="B864" s="679">
        <v>45132</v>
      </c>
      <c r="C864" s="674" t="s">
        <v>9687</v>
      </c>
      <c r="D864" s="674" t="s">
        <v>9688</v>
      </c>
      <c r="E864" s="674" t="s">
        <v>9689</v>
      </c>
      <c r="F864" s="674" t="s">
        <v>9704</v>
      </c>
      <c r="G864" s="680"/>
      <c r="H864" s="680">
        <v>347082.5</v>
      </c>
      <c r="I864" s="680"/>
      <c r="J864" s="680">
        <v>100000</v>
      </c>
      <c r="K864" s="674" t="s">
        <v>9691</v>
      </c>
      <c r="L864" s="674" t="s">
        <v>9706</v>
      </c>
      <c r="M864" s="674"/>
      <c r="N864" s="674"/>
    </row>
    <row r="865" spans="1:14">
      <c r="A865" s="1067"/>
      <c r="B865" s="679">
        <v>45161</v>
      </c>
      <c r="C865" s="674" t="s">
        <v>9687</v>
      </c>
      <c r="D865" s="674" t="s">
        <v>9688</v>
      </c>
      <c r="E865" s="674" t="s">
        <v>9689</v>
      </c>
      <c r="F865" s="674" t="s">
        <v>9704</v>
      </c>
      <c r="G865" s="680"/>
      <c r="H865" s="680">
        <v>347082.5</v>
      </c>
      <c r="I865" s="680"/>
      <c r="J865" s="680">
        <v>306000</v>
      </c>
      <c r="K865" s="674" t="s">
        <v>9691</v>
      </c>
      <c r="L865" s="674" t="s">
        <v>9707</v>
      </c>
      <c r="M865" s="674"/>
      <c r="N865" s="674"/>
    </row>
    <row r="866" spans="1:14">
      <c r="A866" s="1067"/>
      <c r="B866" s="679">
        <v>45198</v>
      </c>
      <c r="C866" s="674" t="s">
        <v>9708</v>
      </c>
      <c r="D866" s="674" t="s">
        <v>9709</v>
      </c>
      <c r="E866" s="674" t="s">
        <v>9710</v>
      </c>
      <c r="F866" s="674" t="s">
        <v>9711</v>
      </c>
      <c r="G866" s="680"/>
      <c r="H866" s="680">
        <v>45000</v>
      </c>
      <c r="I866" s="680"/>
      <c r="J866" s="680">
        <v>45000</v>
      </c>
      <c r="K866" s="674"/>
      <c r="L866" s="674"/>
      <c r="M866" s="674"/>
      <c r="N866" s="674"/>
    </row>
    <row r="867" spans="1:14">
      <c r="A867" s="1067"/>
      <c r="B867" s="679">
        <v>45245</v>
      </c>
      <c r="C867" s="674" t="s">
        <v>9693</v>
      </c>
      <c r="D867" s="674"/>
      <c r="E867" s="674"/>
      <c r="F867" s="674" t="s">
        <v>9694</v>
      </c>
      <c r="G867" s="680"/>
      <c r="H867" s="680">
        <v>149914</v>
      </c>
      <c r="I867" s="680"/>
      <c r="J867" s="680">
        <v>15125</v>
      </c>
      <c r="K867" s="674" t="s">
        <v>9695</v>
      </c>
      <c r="L867" s="674" t="s">
        <v>9712</v>
      </c>
      <c r="M867" s="674"/>
      <c r="N867" s="674"/>
    </row>
    <row r="868" spans="1:14">
      <c r="A868" s="1067"/>
      <c r="B868" s="679">
        <v>45254</v>
      </c>
      <c r="C868" s="674" t="s">
        <v>9701</v>
      </c>
      <c r="D868" s="674" t="s">
        <v>9702</v>
      </c>
      <c r="E868" s="674" t="s">
        <v>9689</v>
      </c>
      <c r="F868" s="674" t="s">
        <v>9687</v>
      </c>
      <c r="G868" s="680"/>
      <c r="H868" s="680">
        <v>9900</v>
      </c>
      <c r="I868" s="680"/>
      <c r="J868" s="680">
        <v>9900</v>
      </c>
      <c r="K868" s="674" t="s">
        <v>9703</v>
      </c>
      <c r="L868" s="674" t="s">
        <v>9713</v>
      </c>
      <c r="M868" s="674"/>
      <c r="N868" s="674"/>
    </row>
    <row r="869" spans="1:14">
      <c r="A869" s="1067"/>
      <c r="B869" s="679">
        <v>45257</v>
      </c>
      <c r="C869" s="674" t="s">
        <v>9701</v>
      </c>
      <c r="D869" s="674" t="s">
        <v>9702</v>
      </c>
      <c r="E869" s="674" t="s">
        <v>9689</v>
      </c>
      <c r="F869" s="674" t="s">
        <v>9687</v>
      </c>
      <c r="G869" s="680"/>
      <c r="H869" s="680">
        <v>9900</v>
      </c>
      <c r="I869" s="680"/>
      <c r="J869" s="680">
        <v>9900</v>
      </c>
      <c r="K869" s="674" t="s">
        <v>9703</v>
      </c>
      <c r="L869" s="674" t="s">
        <v>9714</v>
      </c>
      <c r="M869" s="674"/>
      <c r="N869" s="674"/>
    </row>
    <row r="870" spans="1:14">
      <c r="A870" s="1067"/>
      <c r="B870" s="679">
        <v>45258</v>
      </c>
      <c r="C870" s="674" t="s">
        <v>9701</v>
      </c>
      <c r="D870" s="674" t="s">
        <v>9702</v>
      </c>
      <c r="E870" s="674" t="s">
        <v>9689</v>
      </c>
      <c r="F870" s="674" t="s">
        <v>9687</v>
      </c>
      <c r="G870" s="680"/>
      <c r="H870" s="680">
        <v>9900</v>
      </c>
      <c r="I870" s="680"/>
      <c r="J870" s="680">
        <v>9900</v>
      </c>
      <c r="K870" s="674" t="s">
        <v>9703</v>
      </c>
      <c r="L870" s="674" t="s">
        <v>9715</v>
      </c>
      <c r="M870" s="674"/>
      <c r="N870" s="674"/>
    </row>
    <row r="871" spans="1:14">
      <c r="A871" s="1067"/>
      <c r="B871" s="679">
        <v>45259</v>
      </c>
      <c r="C871" s="674" t="s">
        <v>9697</v>
      </c>
      <c r="D871" s="674" t="s">
        <v>9688</v>
      </c>
      <c r="E871" s="674" t="s">
        <v>9689</v>
      </c>
      <c r="F871" s="674" t="s">
        <v>9716</v>
      </c>
      <c r="G871" s="680"/>
      <c r="H871" s="680">
        <v>294984</v>
      </c>
      <c r="I871" s="680"/>
      <c r="J871" s="680">
        <v>23492</v>
      </c>
      <c r="K871" s="674" t="s">
        <v>9699</v>
      </c>
      <c r="L871" s="674"/>
      <c r="M871" s="674"/>
      <c r="N871" s="674"/>
    </row>
    <row r="872" spans="1:14">
      <c r="A872" s="1067"/>
      <c r="B872" s="679">
        <v>45261</v>
      </c>
      <c r="C872" s="674" t="s">
        <v>9697</v>
      </c>
      <c r="D872" s="674" t="s">
        <v>9702</v>
      </c>
      <c r="E872" s="674" t="s">
        <v>9689</v>
      </c>
      <c r="F872" s="674" t="s">
        <v>9717</v>
      </c>
      <c r="G872" s="680"/>
      <c r="H872" s="680">
        <v>823000</v>
      </c>
      <c r="I872" s="680"/>
      <c r="J872" s="680">
        <v>100000</v>
      </c>
      <c r="K872" s="674" t="s">
        <v>9718</v>
      </c>
      <c r="L872" s="674" t="s">
        <v>9719</v>
      </c>
      <c r="M872" s="674"/>
      <c r="N872" s="674"/>
    </row>
    <row r="873" spans="1:14">
      <c r="A873" s="1067"/>
      <c r="B873" s="679">
        <v>45272</v>
      </c>
      <c r="C873" s="674" t="s">
        <v>9697</v>
      </c>
      <c r="D873" s="674" t="s">
        <v>9688</v>
      </c>
      <c r="E873" s="674" t="s">
        <v>9689</v>
      </c>
      <c r="F873" s="674" t="s">
        <v>9698</v>
      </c>
      <c r="G873" s="680"/>
      <c r="H873" s="680">
        <v>294984</v>
      </c>
      <c r="I873" s="680"/>
      <c r="J873" s="680">
        <v>50000</v>
      </c>
      <c r="K873" s="674" t="s">
        <v>9699</v>
      </c>
      <c r="L873" s="674" t="s">
        <v>9720</v>
      </c>
      <c r="M873" s="674"/>
      <c r="N873" s="674"/>
    </row>
    <row r="874" spans="1:14">
      <c r="A874" s="1067"/>
      <c r="B874" s="679">
        <v>45272</v>
      </c>
      <c r="C874" s="674" t="s">
        <v>9721</v>
      </c>
      <c r="D874" s="674" t="s">
        <v>9722</v>
      </c>
      <c r="E874" s="674" t="s">
        <v>9689</v>
      </c>
      <c r="F874" s="674" t="s">
        <v>9723</v>
      </c>
      <c r="G874" s="680"/>
      <c r="H874" s="680">
        <v>206000</v>
      </c>
      <c r="I874" s="680"/>
      <c r="J874" s="680">
        <v>206000</v>
      </c>
      <c r="K874" s="674"/>
      <c r="L874" s="674" t="s">
        <v>9724</v>
      </c>
      <c r="M874" s="674"/>
      <c r="N874" s="674"/>
    </row>
    <row r="875" spans="1:14">
      <c r="A875" s="1067"/>
      <c r="B875" s="679">
        <v>45272</v>
      </c>
      <c r="C875" s="674" t="s">
        <v>9697</v>
      </c>
      <c r="D875" s="674" t="s">
        <v>9702</v>
      </c>
      <c r="E875" s="674" t="s">
        <v>9689</v>
      </c>
      <c r="F875" s="674" t="s">
        <v>9717</v>
      </c>
      <c r="G875" s="680"/>
      <c r="H875" s="680">
        <v>823000</v>
      </c>
      <c r="I875" s="680"/>
      <c r="J875" s="680">
        <v>200000</v>
      </c>
      <c r="K875" s="674" t="s">
        <v>9718</v>
      </c>
      <c r="L875" s="674" t="s">
        <v>9725</v>
      </c>
      <c r="M875" s="674"/>
      <c r="N875" s="674"/>
    </row>
    <row r="876" spans="1:14">
      <c r="A876" s="1067"/>
      <c r="B876" s="679">
        <v>45279</v>
      </c>
      <c r="C876" s="674" t="s">
        <v>9693</v>
      </c>
      <c r="D876" s="674"/>
      <c r="E876" s="674"/>
      <c r="F876" s="674" t="s">
        <v>9694</v>
      </c>
      <c r="G876" s="680"/>
      <c r="H876" s="680">
        <v>149914</v>
      </c>
      <c r="I876" s="680"/>
      <c r="J876" s="680">
        <v>57000</v>
      </c>
      <c r="K876" s="674" t="s">
        <v>9695</v>
      </c>
      <c r="L876" s="674"/>
      <c r="M876" s="674"/>
      <c r="N876" s="674"/>
    </row>
    <row r="877" spans="1:14">
      <c r="A877" s="672" t="s">
        <v>9726</v>
      </c>
      <c r="B877" s="672"/>
      <c r="C877" s="672"/>
      <c r="D877" s="672"/>
      <c r="E877" s="672"/>
      <c r="F877" s="672"/>
      <c r="G877" s="681">
        <f>+SUM(G858:G876)</f>
        <v>0</v>
      </c>
      <c r="H877" s="681">
        <f>+SUM(H858:H876)</f>
        <v>4944708</v>
      </c>
      <c r="I877" s="681">
        <f>+SUM(I858:I876)</f>
        <v>0</v>
      </c>
      <c r="J877" s="681">
        <f>+SUM(J858:J876)</f>
        <v>1182317</v>
      </c>
      <c r="K877" s="673"/>
      <c r="L877" s="673"/>
      <c r="M877" s="673"/>
      <c r="N877" s="673"/>
    </row>
    <row r="878" spans="1:14">
      <c r="A878" s="1066" t="s">
        <v>9727</v>
      </c>
      <c r="B878" s="678">
        <v>44949</v>
      </c>
      <c r="C878" s="670" t="s">
        <v>9728</v>
      </c>
      <c r="D878" s="670" t="s">
        <v>9729</v>
      </c>
      <c r="E878" s="670" t="s">
        <v>9730</v>
      </c>
      <c r="F878" s="670" t="s">
        <v>9731</v>
      </c>
      <c r="G878" s="671"/>
      <c r="H878" s="671">
        <v>181000</v>
      </c>
      <c r="I878" s="671"/>
      <c r="J878" s="671">
        <v>20000</v>
      </c>
      <c r="K878" s="670" t="s">
        <v>9732</v>
      </c>
      <c r="L878" s="670" t="s">
        <v>9733</v>
      </c>
      <c r="M878" s="670" t="s">
        <v>9594</v>
      </c>
      <c r="N878" s="670" t="s">
        <v>9734</v>
      </c>
    </row>
    <row r="879" spans="1:14">
      <c r="A879" s="1066"/>
      <c r="B879" s="678">
        <v>44959</v>
      </c>
      <c r="C879" s="670" t="s">
        <v>9735</v>
      </c>
      <c r="D879" s="670" t="s">
        <v>9729</v>
      </c>
      <c r="E879" s="670" t="s">
        <v>9730</v>
      </c>
      <c r="F879" s="670" t="s">
        <v>9731</v>
      </c>
      <c r="G879" s="671"/>
      <c r="H879" s="671"/>
      <c r="I879" s="671"/>
      <c r="J879" s="671">
        <v>65844.399999999994</v>
      </c>
      <c r="K879" s="670" t="s">
        <v>9732</v>
      </c>
      <c r="L879" s="670" t="s">
        <v>9736</v>
      </c>
      <c r="M879" s="670" t="s">
        <v>9594</v>
      </c>
      <c r="N879" s="670" t="s">
        <v>9734</v>
      </c>
    </row>
    <row r="880" spans="1:14">
      <c r="A880" s="1066"/>
      <c r="B880" s="678">
        <v>44967</v>
      </c>
      <c r="C880" s="670" t="s">
        <v>9737</v>
      </c>
      <c r="D880" s="670" t="s">
        <v>9729</v>
      </c>
      <c r="E880" s="670" t="s">
        <v>9738</v>
      </c>
      <c r="F880" s="670" t="s">
        <v>9739</v>
      </c>
      <c r="G880" s="671"/>
      <c r="H880" s="671">
        <v>2148342</v>
      </c>
      <c r="I880" s="671"/>
      <c r="J880" s="671">
        <v>35650</v>
      </c>
      <c r="K880" s="670" t="s">
        <v>9105</v>
      </c>
      <c r="L880" s="670" t="s">
        <v>9740</v>
      </c>
      <c r="M880" s="670" t="s">
        <v>9594</v>
      </c>
      <c r="N880" s="670" t="s">
        <v>9741</v>
      </c>
    </row>
    <row r="881" spans="1:14">
      <c r="A881" s="1066"/>
      <c r="B881" s="678">
        <v>45001</v>
      </c>
      <c r="C881" s="670" t="s">
        <v>9735</v>
      </c>
      <c r="D881" s="670" t="s">
        <v>9729</v>
      </c>
      <c r="E881" s="670" t="s">
        <v>9738</v>
      </c>
      <c r="F881" s="670" t="s">
        <v>9739</v>
      </c>
      <c r="G881" s="671"/>
      <c r="H881" s="671"/>
      <c r="I881" s="671"/>
      <c r="J881" s="671">
        <v>29714</v>
      </c>
      <c r="K881" s="670" t="s">
        <v>9105</v>
      </c>
      <c r="L881" s="670" t="s">
        <v>9742</v>
      </c>
      <c r="M881" s="670" t="s">
        <v>9594</v>
      </c>
      <c r="N881" s="670" t="s">
        <v>9741</v>
      </c>
    </row>
    <row r="882" spans="1:14">
      <c r="A882" s="1066"/>
      <c r="B882" s="678">
        <v>45204</v>
      </c>
      <c r="C882" s="670" t="s">
        <v>9743</v>
      </c>
      <c r="D882" s="670" t="s">
        <v>9729</v>
      </c>
      <c r="E882" s="670" t="s">
        <v>9738</v>
      </c>
      <c r="F882" s="670" t="s">
        <v>9739</v>
      </c>
      <c r="G882" s="671"/>
      <c r="H882" s="671"/>
      <c r="I882" s="671"/>
      <c r="J882" s="671">
        <v>4500</v>
      </c>
      <c r="K882" s="670" t="s">
        <v>9105</v>
      </c>
      <c r="L882" s="670" t="s">
        <v>9744</v>
      </c>
      <c r="M882" s="670" t="s">
        <v>9594</v>
      </c>
      <c r="N882" s="670" t="s">
        <v>9741</v>
      </c>
    </row>
    <row r="883" spans="1:14">
      <c r="A883" s="1066"/>
      <c r="B883" s="678">
        <v>44970</v>
      </c>
      <c r="C883" s="670" t="s">
        <v>9745</v>
      </c>
      <c r="D883" s="670" t="s">
        <v>9746</v>
      </c>
      <c r="E883" s="670" t="s">
        <v>9738</v>
      </c>
      <c r="F883" s="670" t="s">
        <v>9747</v>
      </c>
      <c r="G883" s="671"/>
      <c r="H883" s="671"/>
      <c r="I883" s="671"/>
      <c r="J883" s="671">
        <v>200000</v>
      </c>
      <c r="K883" s="670" t="s">
        <v>9748</v>
      </c>
      <c r="L883" s="670" t="s">
        <v>9749</v>
      </c>
      <c r="M883" s="670" t="s">
        <v>9594</v>
      </c>
      <c r="N883" s="670" t="s">
        <v>9741</v>
      </c>
    </row>
    <row r="884" spans="1:14">
      <c r="A884" s="1066"/>
      <c r="B884" s="678">
        <v>45001</v>
      </c>
      <c r="C884" s="670" t="s">
        <v>9735</v>
      </c>
      <c r="D884" s="670" t="s">
        <v>9746</v>
      </c>
      <c r="E884" s="670" t="s">
        <v>9738</v>
      </c>
      <c r="F884" s="670" t="s">
        <v>9747</v>
      </c>
      <c r="G884" s="671"/>
      <c r="H884" s="671"/>
      <c r="I884" s="671"/>
      <c r="J884" s="671">
        <v>200000</v>
      </c>
      <c r="K884" s="670" t="s">
        <v>9748</v>
      </c>
      <c r="L884" s="670" t="s">
        <v>9750</v>
      </c>
      <c r="M884" s="670" t="s">
        <v>9594</v>
      </c>
      <c r="N884" s="670" t="s">
        <v>9741</v>
      </c>
    </row>
    <row r="885" spans="1:14">
      <c r="A885" s="1066"/>
      <c r="B885" s="678">
        <v>45012</v>
      </c>
      <c r="C885" s="670" t="s">
        <v>9751</v>
      </c>
      <c r="D885" s="670" t="s">
        <v>9746</v>
      </c>
      <c r="E885" s="670" t="s">
        <v>9738</v>
      </c>
      <c r="F885" s="670" t="s">
        <v>9747</v>
      </c>
      <c r="G885" s="671"/>
      <c r="H885" s="671"/>
      <c r="I885" s="671"/>
      <c r="J885" s="671">
        <v>200000</v>
      </c>
      <c r="K885" s="670" t="s">
        <v>9748</v>
      </c>
      <c r="L885" s="670" t="s">
        <v>9752</v>
      </c>
      <c r="M885" s="670" t="s">
        <v>9594</v>
      </c>
      <c r="N885" s="670" t="s">
        <v>9741</v>
      </c>
    </row>
    <row r="886" spans="1:14">
      <c r="A886" s="1066"/>
      <c r="B886" s="678">
        <v>45061</v>
      </c>
      <c r="C886" s="670" t="s">
        <v>9753</v>
      </c>
      <c r="D886" s="670" t="s">
        <v>9746</v>
      </c>
      <c r="E886" s="670" t="s">
        <v>9738</v>
      </c>
      <c r="F886" s="670" t="s">
        <v>9747</v>
      </c>
      <c r="G886" s="671"/>
      <c r="H886" s="671"/>
      <c r="I886" s="671"/>
      <c r="J886" s="671">
        <v>100000</v>
      </c>
      <c r="K886" s="670" t="s">
        <v>9748</v>
      </c>
      <c r="L886" s="670" t="s">
        <v>9754</v>
      </c>
      <c r="M886" s="670" t="s">
        <v>9594</v>
      </c>
      <c r="N886" s="670" t="s">
        <v>9741</v>
      </c>
    </row>
    <row r="887" spans="1:14">
      <c r="A887" s="1066"/>
      <c r="B887" s="678">
        <v>45176</v>
      </c>
      <c r="C887" s="670" t="s">
        <v>9743</v>
      </c>
      <c r="D887" s="670" t="s">
        <v>9746</v>
      </c>
      <c r="E887" s="670" t="s">
        <v>9738</v>
      </c>
      <c r="F887" s="670" t="s">
        <v>9747</v>
      </c>
      <c r="G887" s="671"/>
      <c r="H887" s="671"/>
      <c r="I887" s="671"/>
      <c r="J887" s="671">
        <v>100000</v>
      </c>
      <c r="K887" s="670" t="s">
        <v>9748</v>
      </c>
      <c r="L887" s="670" t="s">
        <v>9755</v>
      </c>
      <c r="M887" s="670" t="s">
        <v>9594</v>
      </c>
      <c r="N887" s="670" t="s">
        <v>9741</v>
      </c>
    </row>
    <row r="888" spans="1:14">
      <c r="A888" s="1066"/>
      <c r="B888" s="678">
        <v>45098</v>
      </c>
      <c r="C888" s="670" t="s">
        <v>9756</v>
      </c>
      <c r="D888" s="670" t="s">
        <v>9746</v>
      </c>
      <c r="E888" s="670" t="s">
        <v>9738</v>
      </c>
      <c r="F888" s="670" t="s">
        <v>9747</v>
      </c>
      <c r="G888" s="671"/>
      <c r="H888" s="671"/>
      <c r="I888" s="671"/>
      <c r="J888" s="671">
        <v>100000</v>
      </c>
      <c r="K888" s="670" t="s">
        <v>9748</v>
      </c>
      <c r="L888" s="670" t="s">
        <v>9740</v>
      </c>
      <c r="M888" s="670" t="s">
        <v>9594</v>
      </c>
      <c r="N888" s="670" t="s">
        <v>9741</v>
      </c>
    </row>
    <row r="889" spans="1:14">
      <c r="A889" s="1066"/>
      <c r="B889" s="678">
        <v>45205</v>
      </c>
      <c r="C889" s="670" t="s">
        <v>9757</v>
      </c>
      <c r="D889" s="670" t="s">
        <v>9746</v>
      </c>
      <c r="E889" s="670" t="s">
        <v>9738</v>
      </c>
      <c r="F889" s="670" t="s">
        <v>9747</v>
      </c>
      <c r="G889" s="671"/>
      <c r="H889" s="671"/>
      <c r="I889" s="671"/>
      <c r="J889" s="671">
        <v>300000</v>
      </c>
      <c r="K889" s="670" t="s">
        <v>9748</v>
      </c>
      <c r="L889" s="670" t="s">
        <v>9758</v>
      </c>
      <c r="M889" s="670" t="s">
        <v>9594</v>
      </c>
      <c r="N889" s="670" t="s">
        <v>9741</v>
      </c>
    </row>
    <row r="890" spans="1:14">
      <c r="A890" s="1066"/>
      <c r="B890" s="678">
        <v>45128</v>
      </c>
      <c r="C890" s="670" t="s">
        <v>9759</v>
      </c>
      <c r="D890" s="670" t="s">
        <v>9746</v>
      </c>
      <c r="E890" s="670" t="s">
        <v>9738</v>
      </c>
      <c r="F890" s="670" t="s">
        <v>9747</v>
      </c>
      <c r="G890" s="671"/>
      <c r="H890" s="671"/>
      <c r="I890" s="671"/>
      <c r="J890" s="671">
        <v>100000</v>
      </c>
      <c r="K890" s="670" t="s">
        <v>9748</v>
      </c>
      <c r="L890" s="670" t="s">
        <v>9760</v>
      </c>
      <c r="M890" s="670" t="s">
        <v>9594</v>
      </c>
      <c r="N890" s="670" t="s">
        <v>9741</v>
      </c>
    </row>
    <row r="891" spans="1:14">
      <c r="A891" s="1066"/>
      <c r="B891" s="678">
        <v>44971</v>
      </c>
      <c r="C891" s="670" t="s">
        <v>9761</v>
      </c>
      <c r="D891" s="670" t="s">
        <v>9762</v>
      </c>
      <c r="E891" s="670" t="s">
        <v>9738</v>
      </c>
      <c r="F891" s="670" t="s">
        <v>9747</v>
      </c>
      <c r="G891" s="671"/>
      <c r="H891" s="671">
        <v>1534000</v>
      </c>
      <c r="I891" s="671"/>
      <c r="J891" s="671">
        <v>100000</v>
      </c>
      <c r="K891" s="670" t="s">
        <v>9763</v>
      </c>
      <c r="L891" s="670" t="s">
        <v>9764</v>
      </c>
      <c r="M891" s="670" t="s">
        <v>9594</v>
      </c>
      <c r="N891" s="670" t="s">
        <v>9741</v>
      </c>
    </row>
    <row r="892" spans="1:14">
      <c r="A892" s="1066"/>
      <c r="B892" s="678">
        <v>45106</v>
      </c>
      <c r="C892" s="670" t="s">
        <v>9735</v>
      </c>
      <c r="D892" s="670" t="s">
        <v>9762</v>
      </c>
      <c r="E892" s="670" t="s">
        <v>9738</v>
      </c>
      <c r="F892" s="670" t="s">
        <v>9747</v>
      </c>
      <c r="G892" s="671"/>
      <c r="H892" s="671"/>
      <c r="I892" s="671"/>
      <c r="J892" s="671">
        <v>100000</v>
      </c>
      <c r="K892" s="670" t="s">
        <v>9763</v>
      </c>
      <c r="L892" s="670" t="s">
        <v>9765</v>
      </c>
      <c r="M892" s="670" t="s">
        <v>9594</v>
      </c>
      <c r="N892" s="670" t="s">
        <v>9741</v>
      </c>
    </row>
    <row r="893" spans="1:14">
      <c r="A893" s="1066"/>
      <c r="B893" s="678">
        <v>45155</v>
      </c>
      <c r="C893" s="670" t="s">
        <v>9766</v>
      </c>
      <c r="D893" s="670" t="s">
        <v>9762</v>
      </c>
      <c r="E893" s="670" t="s">
        <v>9738</v>
      </c>
      <c r="F893" s="670" t="s">
        <v>9747</v>
      </c>
      <c r="G893" s="671"/>
      <c r="H893" s="671"/>
      <c r="I893" s="671"/>
      <c r="J893" s="671">
        <v>100000</v>
      </c>
      <c r="K893" s="670" t="s">
        <v>9763</v>
      </c>
      <c r="L893" s="670" t="s">
        <v>9767</v>
      </c>
      <c r="M893" s="670" t="s">
        <v>9594</v>
      </c>
      <c r="N893" s="670" t="s">
        <v>9741</v>
      </c>
    </row>
    <row r="894" spans="1:14">
      <c r="A894" s="1066"/>
      <c r="B894" s="678">
        <v>45002</v>
      </c>
      <c r="C894" s="670" t="s">
        <v>9768</v>
      </c>
      <c r="D894" s="670" t="s">
        <v>9769</v>
      </c>
      <c r="E894" s="670" t="s">
        <v>9770</v>
      </c>
      <c r="F894" s="670" t="s">
        <v>9771</v>
      </c>
      <c r="G894" s="671"/>
      <c r="H894" s="671"/>
      <c r="I894" s="671"/>
      <c r="J894" s="671">
        <v>14312</v>
      </c>
      <c r="K894" s="670" t="s">
        <v>9404</v>
      </c>
      <c r="L894" s="670">
        <v>18</v>
      </c>
      <c r="M894" s="670" t="s">
        <v>9594</v>
      </c>
      <c r="N894" s="670" t="s">
        <v>9741</v>
      </c>
    </row>
    <row r="895" spans="1:14">
      <c r="A895" s="1066"/>
      <c r="B895" s="678">
        <v>45048</v>
      </c>
      <c r="C895" s="670" t="s">
        <v>9772</v>
      </c>
      <c r="D895" s="670" t="s">
        <v>9773</v>
      </c>
      <c r="E895" s="670" t="s">
        <v>9730</v>
      </c>
      <c r="F895" s="670" t="s">
        <v>9731</v>
      </c>
      <c r="G895" s="671"/>
      <c r="H895" s="671">
        <v>51374</v>
      </c>
      <c r="I895" s="671"/>
      <c r="J895" s="671">
        <v>25818</v>
      </c>
      <c r="K895" s="670" t="s">
        <v>9774</v>
      </c>
      <c r="L895" s="670" t="s">
        <v>9775</v>
      </c>
      <c r="M895" s="670" t="s">
        <v>9594</v>
      </c>
      <c r="N895" s="670" t="s">
        <v>9734</v>
      </c>
    </row>
    <row r="896" spans="1:14">
      <c r="A896" s="1066"/>
      <c r="B896" s="678">
        <v>45112</v>
      </c>
      <c r="C896" s="670" t="s">
        <v>9735</v>
      </c>
      <c r="D896" s="670" t="s">
        <v>9773</v>
      </c>
      <c r="E896" s="670" t="s">
        <v>9730</v>
      </c>
      <c r="F896" s="670" t="s">
        <v>9731</v>
      </c>
      <c r="G896" s="671"/>
      <c r="H896" s="671"/>
      <c r="I896" s="671"/>
      <c r="J896" s="671">
        <v>25556</v>
      </c>
      <c r="K896" s="670" t="s">
        <v>9774</v>
      </c>
      <c r="L896" s="670" t="s">
        <v>9776</v>
      </c>
      <c r="M896" s="670" t="s">
        <v>9594</v>
      </c>
      <c r="N896" s="670" t="s">
        <v>9734</v>
      </c>
    </row>
    <row r="897" spans="1:14">
      <c r="A897" s="1066"/>
      <c r="B897" s="678">
        <v>45176</v>
      </c>
      <c r="C897" s="670" t="s">
        <v>9735</v>
      </c>
      <c r="D897" s="670" t="s">
        <v>9777</v>
      </c>
      <c r="E897" s="670" t="s">
        <v>9778</v>
      </c>
      <c r="F897" s="670" t="s">
        <v>9779</v>
      </c>
      <c r="G897" s="671"/>
      <c r="H897" s="671"/>
      <c r="I897" s="671"/>
      <c r="J897" s="671">
        <v>48427</v>
      </c>
      <c r="K897" s="670" t="s">
        <v>9780</v>
      </c>
      <c r="L897" s="670" t="s">
        <v>9781</v>
      </c>
      <c r="M897" s="670" t="s">
        <v>9594</v>
      </c>
      <c r="N897" s="670" t="s">
        <v>9741</v>
      </c>
    </row>
    <row r="898" spans="1:14">
      <c r="A898" s="1066"/>
      <c r="B898" s="678">
        <v>45091</v>
      </c>
      <c r="C898" s="670" t="s">
        <v>9751</v>
      </c>
      <c r="D898" s="670" t="s">
        <v>9777</v>
      </c>
      <c r="E898" s="670" t="s">
        <v>9778</v>
      </c>
      <c r="F898" s="670" t="s">
        <v>9779</v>
      </c>
      <c r="G898" s="671"/>
      <c r="H898" s="671"/>
      <c r="I898" s="671"/>
      <c r="J898" s="671">
        <v>77484</v>
      </c>
      <c r="K898" s="670" t="s">
        <v>9780</v>
      </c>
      <c r="L898" s="670" t="s">
        <v>9782</v>
      </c>
      <c r="M898" s="670" t="s">
        <v>9594</v>
      </c>
      <c r="N898" s="670" t="s">
        <v>9741</v>
      </c>
    </row>
    <row r="899" spans="1:14">
      <c r="A899" s="1066"/>
      <c r="B899" s="678">
        <v>45093</v>
      </c>
      <c r="C899" s="670" t="s">
        <v>9753</v>
      </c>
      <c r="D899" s="670" t="s">
        <v>9777</v>
      </c>
      <c r="E899" s="670" t="s">
        <v>9778</v>
      </c>
      <c r="F899" s="670" t="s">
        <v>9779</v>
      </c>
      <c r="G899" s="671"/>
      <c r="H899" s="671">
        <v>112000</v>
      </c>
      <c r="I899" s="671"/>
      <c r="J899" s="671">
        <v>32256</v>
      </c>
      <c r="K899" s="670" t="s">
        <v>9780</v>
      </c>
      <c r="L899" s="670" t="s">
        <v>9783</v>
      </c>
      <c r="M899" s="670" t="s">
        <v>9594</v>
      </c>
      <c r="N899" s="670" t="s">
        <v>9741</v>
      </c>
    </row>
    <row r="900" spans="1:14">
      <c r="A900" s="1066"/>
      <c r="B900" s="678">
        <v>45120</v>
      </c>
      <c r="C900" s="670" t="s">
        <v>9743</v>
      </c>
      <c r="D900" s="670" t="s">
        <v>9777</v>
      </c>
      <c r="E900" s="670" t="s">
        <v>9778</v>
      </c>
      <c r="F900" s="670" t="s">
        <v>9779</v>
      </c>
      <c r="G900" s="671"/>
      <c r="H900" s="671"/>
      <c r="I900" s="671"/>
      <c r="J900" s="671">
        <v>42955</v>
      </c>
      <c r="K900" s="670" t="s">
        <v>9780</v>
      </c>
      <c r="L900" s="670" t="s">
        <v>9784</v>
      </c>
      <c r="M900" s="670" t="s">
        <v>9594</v>
      </c>
      <c r="N900" s="670" t="s">
        <v>9741</v>
      </c>
    </row>
    <row r="901" spans="1:14">
      <c r="A901" s="1066"/>
      <c r="B901" s="678">
        <v>45061</v>
      </c>
      <c r="C901" s="670" t="s">
        <v>9785</v>
      </c>
      <c r="D901" s="670" t="s">
        <v>9786</v>
      </c>
      <c r="E901" s="670" t="s">
        <v>9787</v>
      </c>
      <c r="F901" s="670" t="s">
        <v>9779</v>
      </c>
      <c r="G901" s="671"/>
      <c r="H901" s="671">
        <v>167000</v>
      </c>
      <c r="I901" s="671"/>
      <c r="J901" s="671">
        <v>50000</v>
      </c>
      <c r="K901" s="670" t="s">
        <v>9788</v>
      </c>
      <c r="L901" s="670" t="s">
        <v>9789</v>
      </c>
      <c r="M901" s="670" t="s">
        <v>9594</v>
      </c>
      <c r="N901" s="670" t="s">
        <v>9741</v>
      </c>
    </row>
    <row r="902" spans="1:14">
      <c r="A902" s="1066"/>
      <c r="B902" s="678">
        <v>45133</v>
      </c>
      <c r="C902" s="670" t="s">
        <v>9735</v>
      </c>
      <c r="D902" s="670" t="s">
        <v>9786</v>
      </c>
      <c r="E902" s="670" t="s">
        <v>9787</v>
      </c>
      <c r="F902" s="670" t="s">
        <v>9779</v>
      </c>
      <c r="G902" s="671"/>
      <c r="H902" s="671"/>
      <c r="I902" s="671"/>
      <c r="J902" s="671">
        <v>50000</v>
      </c>
      <c r="K902" s="670" t="s">
        <v>9788</v>
      </c>
      <c r="L902" s="670" t="s">
        <v>9790</v>
      </c>
      <c r="M902" s="670" t="s">
        <v>9594</v>
      </c>
      <c r="N902" s="670" t="s">
        <v>9741</v>
      </c>
    </row>
    <row r="903" spans="1:14">
      <c r="A903" s="1066"/>
      <c r="B903" s="678">
        <v>45133</v>
      </c>
      <c r="C903" s="670" t="s">
        <v>9766</v>
      </c>
      <c r="D903" s="670" t="s">
        <v>9786</v>
      </c>
      <c r="E903" s="670" t="s">
        <v>9787</v>
      </c>
      <c r="F903" s="670" t="s">
        <v>9779</v>
      </c>
      <c r="G903" s="671"/>
      <c r="H903" s="671"/>
      <c r="I903" s="671"/>
      <c r="J903" s="671">
        <v>50000</v>
      </c>
      <c r="K903" s="670" t="s">
        <v>9788</v>
      </c>
      <c r="L903" s="670" t="s">
        <v>9791</v>
      </c>
      <c r="M903" s="670" t="s">
        <v>9594</v>
      </c>
      <c r="N903" s="670" t="s">
        <v>9741</v>
      </c>
    </row>
    <row r="904" spans="1:14">
      <c r="A904" s="1066"/>
      <c r="B904" s="678">
        <v>45061</v>
      </c>
      <c r="C904" s="670" t="s">
        <v>9792</v>
      </c>
      <c r="D904" s="670" t="s">
        <v>9793</v>
      </c>
      <c r="E904" s="670" t="s">
        <v>9787</v>
      </c>
      <c r="F904" s="670" t="s">
        <v>9779</v>
      </c>
      <c r="G904" s="671"/>
      <c r="H904" s="671">
        <v>154000</v>
      </c>
      <c r="I904" s="671"/>
      <c r="J904" s="671">
        <v>100000</v>
      </c>
      <c r="K904" s="670" t="s">
        <v>9794</v>
      </c>
      <c r="L904" s="670" t="s">
        <v>9795</v>
      </c>
      <c r="M904" s="670" t="s">
        <v>9594</v>
      </c>
      <c r="N904" s="670" t="s">
        <v>9741</v>
      </c>
    </row>
    <row r="905" spans="1:14">
      <c r="A905" s="1066"/>
      <c r="B905" s="678">
        <v>45061</v>
      </c>
      <c r="C905" s="670" t="s">
        <v>9735</v>
      </c>
      <c r="D905" s="670" t="s">
        <v>9796</v>
      </c>
      <c r="E905" s="670" t="s">
        <v>9738</v>
      </c>
      <c r="F905" s="670" t="s">
        <v>9779</v>
      </c>
      <c r="G905" s="671"/>
      <c r="H905" s="671"/>
      <c r="I905" s="671"/>
      <c r="J905" s="671">
        <v>50000</v>
      </c>
      <c r="K905" s="670" t="s">
        <v>9794</v>
      </c>
      <c r="L905" s="670" t="s">
        <v>9797</v>
      </c>
      <c r="M905" s="670" t="s">
        <v>9594</v>
      </c>
      <c r="N905" s="670" t="s">
        <v>9741</v>
      </c>
    </row>
    <row r="906" spans="1:14">
      <c r="A906" s="1066"/>
      <c r="B906" s="678">
        <v>45061</v>
      </c>
      <c r="C906" s="670" t="s">
        <v>9798</v>
      </c>
      <c r="D906" s="670" t="s">
        <v>9799</v>
      </c>
      <c r="E906" s="670" t="s">
        <v>9800</v>
      </c>
      <c r="F906" s="670" t="s">
        <v>9779</v>
      </c>
      <c r="G906" s="671"/>
      <c r="H906" s="671">
        <v>172000</v>
      </c>
      <c r="I906" s="671"/>
      <c r="J906" s="671">
        <v>50000</v>
      </c>
      <c r="K906" s="670" t="s">
        <v>9801</v>
      </c>
      <c r="L906" s="670" t="s">
        <v>9802</v>
      </c>
      <c r="M906" s="670" t="s">
        <v>9594</v>
      </c>
      <c r="N906" s="670" t="s">
        <v>9734</v>
      </c>
    </row>
    <row r="907" spans="1:14">
      <c r="A907" s="1066"/>
      <c r="B907" s="678">
        <v>45128</v>
      </c>
      <c r="C907" s="670" t="s">
        <v>9803</v>
      </c>
      <c r="D907" s="670" t="s">
        <v>9804</v>
      </c>
      <c r="E907" s="670" t="s">
        <v>9805</v>
      </c>
      <c r="F907" s="670" t="s">
        <v>9779</v>
      </c>
      <c r="G907" s="671"/>
      <c r="H907" s="671">
        <v>112000</v>
      </c>
      <c r="I907" s="671"/>
      <c r="J907" s="671">
        <v>10000</v>
      </c>
      <c r="K907" s="670" t="s">
        <v>9801</v>
      </c>
      <c r="L907" s="670" t="s">
        <v>9806</v>
      </c>
      <c r="M907" s="670" t="s">
        <v>9594</v>
      </c>
      <c r="N907" s="670" t="s">
        <v>9734</v>
      </c>
    </row>
    <row r="908" spans="1:14">
      <c r="A908" s="1066"/>
      <c r="B908" s="678">
        <v>45224</v>
      </c>
      <c r="C908" s="670" t="s">
        <v>9807</v>
      </c>
      <c r="D908" s="670" t="s">
        <v>9808</v>
      </c>
      <c r="E908" s="670" t="s">
        <v>9738</v>
      </c>
      <c r="F908" s="670" t="s">
        <v>9809</v>
      </c>
      <c r="G908" s="671"/>
      <c r="H908" s="671">
        <v>530000</v>
      </c>
      <c r="I908" s="671"/>
      <c r="J908" s="671">
        <v>530000</v>
      </c>
      <c r="K908" s="670" t="s">
        <v>9788</v>
      </c>
      <c r="L908" s="670" t="s">
        <v>9810</v>
      </c>
      <c r="M908" s="670" t="s">
        <v>9811</v>
      </c>
      <c r="N908" s="670" t="s">
        <v>9734</v>
      </c>
    </row>
    <row r="909" spans="1:14">
      <c r="A909" s="1066"/>
      <c r="B909" s="678">
        <v>45231</v>
      </c>
      <c r="C909" s="670" t="s">
        <v>9812</v>
      </c>
      <c r="D909" s="670" t="s">
        <v>9808</v>
      </c>
      <c r="E909" s="670" t="s">
        <v>9738</v>
      </c>
      <c r="F909" s="670" t="s">
        <v>9813</v>
      </c>
      <c r="G909" s="671"/>
      <c r="H909" s="671">
        <v>265004.64</v>
      </c>
      <c r="I909" s="671"/>
      <c r="J909" s="671">
        <v>65002.32</v>
      </c>
      <c r="K909" s="670" t="s">
        <v>9814</v>
      </c>
      <c r="L909" s="670" t="s">
        <v>9815</v>
      </c>
      <c r="M909" s="670" t="s">
        <v>9594</v>
      </c>
      <c r="N909" s="670" t="s">
        <v>9734</v>
      </c>
    </row>
    <row r="910" spans="1:14">
      <c r="A910" s="1066"/>
      <c r="B910" s="678">
        <v>45231</v>
      </c>
      <c r="C910" s="670" t="s">
        <v>9735</v>
      </c>
      <c r="D910" s="670" t="s">
        <v>9808</v>
      </c>
      <c r="E910" s="670" t="s">
        <v>9738</v>
      </c>
      <c r="F910" s="670" t="s">
        <v>9813</v>
      </c>
      <c r="G910" s="671"/>
      <c r="H910" s="671"/>
      <c r="I910" s="671"/>
      <c r="J910" s="671">
        <v>200002.32</v>
      </c>
      <c r="K910" s="670" t="s">
        <v>9814</v>
      </c>
      <c r="L910" s="670" t="s">
        <v>9816</v>
      </c>
      <c r="M910" s="670" t="s">
        <v>9594</v>
      </c>
      <c r="N910" s="670" t="s">
        <v>9734</v>
      </c>
    </row>
    <row r="911" spans="1:14">
      <c r="A911" s="1066"/>
      <c r="B911" s="678">
        <v>45246</v>
      </c>
      <c r="C911" s="670" t="s">
        <v>9743</v>
      </c>
      <c r="D911" s="670" t="s">
        <v>9817</v>
      </c>
      <c r="E911" s="670" t="s">
        <v>9738</v>
      </c>
      <c r="F911" s="670" t="s">
        <v>9818</v>
      </c>
      <c r="G911" s="671"/>
      <c r="H911" s="671">
        <v>468214</v>
      </c>
      <c r="I911" s="671"/>
      <c r="J911" s="671">
        <v>100000</v>
      </c>
      <c r="K911" s="670" t="s">
        <v>9763</v>
      </c>
      <c r="L911" s="670" t="s">
        <v>9819</v>
      </c>
      <c r="M911" s="670" t="s">
        <v>9594</v>
      </c>
      <c r="N911" s="670" t="s">
        <v>9741</v>
      </c>
    </row>
    <row r="912" spans="1:14">
      <c r="A912" s="1066"/>
      <c r="B912" s="678"/>
      <c r="C912" s="670" t="s">
        <v>9820</v>
      </c>
      <c r="D912" s="670" t="s">
        <v>9821</v>
      </c>
      <c r="E912" s="670"/>
      <c r="F912" s="670" t="s">
        <v>9822</v>
      </c>
      <c r="G912" s="671"/>
      <c r="H912" s="671"/>
      <c r="I912" s="671"/>
      <c r="J912" s="671">
        <v>187896.25</v>
      </c>
      <c r="K912" s="670" t="s">
        <v>9282</v>
      </c>
      <c r="L912" s="670"/>
      <c r="M912" s="670" t="s">
        <v>9823</v>
      </c>
      <c r="N912" s="670"/>
    </row>
    <row r="913" spans="1:14">
      <c r="A913" s="1066"/>
      <c r="B913" s="678"/>
      <c r="C913" s="670" t="s">
        <v>9824</v>
      </c>
      <c r="D913" s="670" t="s">
        <v>9824</v>
      </c>
      <c r="E913" s="670"/>
      <c r="F913" s="670" t="s">
        <v>9824</v>
      </c>
      <c r="G913" s="671"/>
      <c r="H913" s="671"/>
      <c r="I913" s="671"/>
      <c r="J913" s="671">
        <v>306791.88</v>
      </c>
      <c r="K913" s="670"/>
      <c r="L913" s="670"/>
      <c r="M913" s="670"/>
      <c r="N913" s="670"/>
    </row>
    <row r="914" spans="1:14">
      <c r="A914" s="1066"/>
      <c r="B914" s="678">
        <v>45291</v>
      </c>
      <c r="C914" s="670" t="s">
        <v>9825</v>
      </c>
      <c r="D914" s="670" t="s">
        <v>9825</v>
      </c>
      <c r="E914" s="670"/>
      <c r="F914" s="670"/>
      <c r="G914" s="671"/>
      <c r="H914" s="671"/>
      <c r="I914" s="671"/>
      <c r="J914" s="671">
        <v>301163.17</v>
      </c>
      <c r="K914" s="670"/>
      <c r="L914" s="670"/>
      <c r="M914" s="670"/>
      <c r="N914" s="670"/>
    </row>
    <row r="915" spans="1:14">
      <c r="A915" s="672" t="s">
        <v>9826</v>
      </c>
      <c r="B915" s="672"/>
      <c r="C915" s="672"/>
      <c r="D915" s="672"/>
      <c r="E915" s="672"/>
      <c r="F915" s="672"/>
      <c r="G915" s="681">
        <f>+SUM(G878:G914)</f>
        <v>0</v>
      </c>
      <c r="H915" s="681">
        <f t="shared" ref="H915:J915" si="2">+SUM(H878:H914)</f>
        <v>5894934.6399999997</v>
      </c>
      <c r="I915" s="681">
        <f t="shared" si="2"/>
        <v>0</v>
      </c>
      <c r="J915" s="681">
        <f t="shared" si="2"/>
        <v>4073372.3399999994</v>
      </c>
      <c r="K915" s="673"/>
      <c r="L915" s="673"/>
      <c r="M915" s="673"/>
      <c r="N915" s="673"/>
    </row>
    <row r="916" spans="1:14">
      <c r="A916" s="1067" t="s">
        <v>1586</v>
      </c>
      <c r="B916" s="679">
        <v>44947</v>
      </c>
      <c r="C916" s="674" t="s">
        <v>9827</v>
      </c>
      <c r="D916" s="674" t="s">
        <v>9828</v>
      </c>
      <c r="E916" s="674" t="s">
        <v>9829</v>
      </c>
      <c r="F916" s="674" t="s">
        <v>9830</v>
      </c>
      <c r="G916" s="680"/>
      <c r="H916" s="680"/>
      <c r="I916" s="680"/>
      <c r="J916" s="680">
        <v>4000</v>
      </c>
      <c r="K916" s="674" t="s">
        <v>9831</v>
      </c>
      <c r="L916" s="674" t="s">
        <v>9832</v>
      </c>
      <c r="M916" s="674" t="s">
        <v>9594</v>
      </c>
      <c r="N916" s="674" t="s">
        <v>9833</v>
      </c>
    </row>
    <row r="917" spans="1:14">
      <c r="A917" s="1067"/>
      <c r="B917" s="679">
        <v>44965</v>
      </c>
      <c r="C917" s="674" t="s">
        <v>9834</v>
      </c>
      <c r="D917" s="674" t="s">
        <v>9835</v>
      </c>
      <c r="E917" s="674" t="s">
        <v>9836</v>
      </c>
      <c r="F917" s="674" t="s">
        <v>9837</v>
      </c>
      <c r="G917" s="680"/>
      <c r="H917" s="680">
        <v>256130</v>
      </c>
      <c r="I917" s="680"/>
      <c r="J917" s="680">
        <v>60000</v>
      </c>
      <c r="K917" s="674" t="s">
        <v>9831</v>
      </c>
      <c r="L917" s="674" t="s">
        <v>9838</v>
      </c>
      <c r="M917" s="674" t="s">
        <v>9594</v>
      </c>
      <c r="N917" s="674" t="s">
        <v>9833</v>
      </c>
    </row>
    <row r="918" spans="1:14">
      <c r="A918" s="1067"/>
      <c r="B918" s="679">
        <v>45077</v>
      </c>
      <c r="C918" s="674" t="s">
        <v>9839</v>
      </c>
      <c r="D918" s="674" t="s">
        <v>9840</v>
      </c>
      <c r="E918" s="674" t="s">
        <v>9841</v>
      </c>
      <c r="F918" s="674" t="s">
        <v>9842</v>
      </c>
      <c r="G918" s="680"/>
      <c r="H918" s="680"/>
      <c r="I918" s="680"/>
      <c r="J918" s="680">
        <v>50000</v>
      </c>
      <c r="K918" s="674" t="s">
        <v>9831</v>
      </c>
      <c r="L918" s="674" t="s">
        <v>9843</v>
      </c>
      <c r="M918" s="674" t="s">
        <v>9594</v>
      </c>
      <c r="N918" s="674" t="s">
        <v>9833</v>
      </c>
    </row>
    <row r="919" spans="1:14">
      <c r="A919" s="1067"/>
      <c r="B919" s="679">
        <v>45117</v>
      </c>
      <c r="C919" s="674" t="s">
        <v>9844</v>
      </c>
      <c r="D919" s="674" t="s">
        <v>9840</v>
      </c>
      <c r="E919" s="674" t="s">
        <v>9841</v>
      </c>
      <c r="F919" s="674" t="s">
        <v>9842</v>
      </c>
      <c r="G919" s="680"/>
      <c r="H919" s="680"/>
      <c r="I919" s="680"/>
      <c r="J919" s="680">
        <v>40000</v>
      </c>
      <c r="K919" s="674" t="s">
        <v>9831</v>
      </c>
      <c r="L919" s="674" t="s">
        <v>9845</v>
      </c>
      <c r="M919" s="674" t="s">
        <v>9594</v>
      </c>
      <c r="N919" s="674" t="s">
        <v>9833</v>
      </c>
    </row>
    <row r="920" spans="1:14">
      <c r="A920" s="1067"/>
      <c r="B920" s="679">
        <v>45131</v>
      </c>
      <c r="C920" s="674" t="s">
        <v>9846</v>
      </c>
      <c r="D920" s="674" t="s">
        <v>9840</v>
      </c>
      <c r="E920" s="674" t="s">
        <v>9841</v>
      </c>
      <c r="F920" s="674" t="s">
        <v>9842</v>
      </c>
      <c r="G920" s="680"/>
      <c r="H920" s="680"/>
      <c r="I920" s="680"/>
      <c r="J920" s="680">
        <v>70000</v>
      </c>
      <c r="K920" s="674" t="s">
        <v>9831</v>
      </c>
      <c r="L920" s="674" t="s">
        <v>9847</v>
      </c>
      <c r="M920" s="674" t="s">
        <v>9594</v>
      </c>
      <c r="N920" s="674" t="s">
        <v>9833</v>
      </c>
    </row>
    <row r="921" spans="1:14">
      <c r="A921" s="1067"/>
      <c r="B921" s="679">
        <v>45190</v>
      </c>
      <c r="C921" s="674" t="s">
        <v>9848</v>
      </c>
      <c r="D921" s="674" t="s">
        <v>9840</v>
      </c>
      <c r="E921" s="674" t="s">
        <v>9841</v>
      </c>
      <c r="F921" s="674" t="s">
        <v>9842</v>
      </c>
      <c r="G921" s="680"/>
      <c r="H921" s="680"/>
      <c r="I921" s="680"/>
      <c r="J921" s="680">
        <v>25000</v>
      </c>
      <c r="K921" s="674" t="s">
        <v>9831</v>
      </c>
      <c r="L921" s="674" t="s">
        <v>9849</v>
      </c>
      <c r="M921" s="674" t="s">
        <v>9594</v>
      </c>
      <c r="N921" s="674" t="s">
        <v>9833</v>
      </c>
    </row>
    <row r="922" spans="1:14">
      <c r="A922" s="1067"/>
      <c r="B922" s="679">
        <v>45196</v>
      </c>
      <c r="C922" s="674" t="s">
        <v>9850</v>
      </c>
      <c r="D922" s="674" t="s">
        <v>9840</v>
      </c>
      <c r="E922" s="674" t="s">
        <v>9841</v>
      </c>
      <c r="F922" s="674" t="s">
        <v>9842</v>
      </c>
      <c r="G922" s="680"/>
      <c r="H922" s="680"/>
      <c r="I922" s="680"/>
      <c r="J922" s="680">
        <v>55000</v>
      </c>
      <c r="K922" s="674" t="s">
        <v>9831</v>
      </c>
      <c r="L922" s="674" t="s">
        <v>9851</v>
      </c>
      <c r="M922" s="674" t="s">
        <v>9594</v>
      </c>
      <c r="N922" s="674" t="s">
        <v>9833</v>
      </c>
    </row>
    <row r="923" spans="1:14">
      <c r="A923" s="1067"/>
      <c r="B923" s="679">
        <v>44991</v>
      </c>
      <c r="C923" s="674" t="s">
        <v>9852</v>
      </c>
      <c r="D923" s="674" t="s">
        <v>9853</v>
      </c>
      <c r="E923" s="674" t="s">
        <v>9854</v>
      </c>
      <c r="F923" s="674" t="s">
        <v>9855</v>
      </c>
      <c r="G923" s="680" t="s">
        <v>8625</v>
      </c>
      <c r="H923" s="680">
        <v>94210.49</v>
      </c>
      <c r="I923" s="680"/>
      <c r="J923" s="680">
        <v>20000</v>
      </c>
      <c r="K923" s="674" t="s">
        <v>9331</v>
      </c>
      <c r="L923" s="674" t="s">
        <v>9856</v>
      </c>
      <c r="M923" s="674" t="s">
        <v>9594</v>
      </c>
      <c r="N923" s="674" t="s">
        <v>9741</v>
      </c>
    </row>
    <row r="924" spans="1:14">
      <c r="A924" s="1067"/>
      <c r="B924" s="679">
        <v>45054</v>
      </c>
      <c r="C924" s="674" t="s">
        <v>9857</v>
      </c>
      <c r="D924" s="674" t="s">
        <v>9853</v>
      </c>
      <c r="E924" s="674" t="s">
        <v>9854</v>
      </c>
      <c r="F924" s="674" t="s">
        <v>9855</v>
      </c>
      <c r="G924" s="680"/>
      <c r="H924" s="680"/>
      <c r="I924" s="680"/>
      <c r="J924" s="680">
        <v>15000</v>
      </c>
      <c r="K924" s="674" t="s">
        <v>9331</v>
      </c>
      <c r="L924" s="674" t="s">
        <v>9858</v>
      </c>
      <c r="M924" s="674" t="s">
        <v>9594</v>
      </c>
      <c r="N924" s="674" t="s">
        <v>9741</v>
      </c>
    </row>
    <row r="925" spans="1:14">
      <c r="A925" s="1067"/>
      <c r="B925" s="679">
        <v>45043</v>
      </c>
      <c r="C925" s="674" t="s">
        <v>9859</v>
      </c>
      <c r="D925" s="674" t="s">
        <v>9853</v>
      </c>
      <c r="E925" s="674" t="s">
        <v>9854</v>
      </c>
      <c r="F925" s="674" t="s">
        <v>9855</v>
      </c>
      <c r="G925" s="680"/>
      <c r="H925" s="680"/>
      <c r="I925" s="680"/>
      <c r="J925" s="680">
        <v>10000</v>
      </c>
      <c r="K925" s="674" t="s">
        <v>9331</v>
      </c>
      <c r="L925" s="674" t="s">
        <v>9860</v>
      </c>
      <c r="M925" s="674" t="s">
        <v>9594</v>
      </c>
      <c r="N925" s="674" t="s">
        <v>9741</v>
      </c>
    </row>
    <row r="926" spans="1:14">
      <c r="A926" s="1067"/>
      <c r="B926" s="679">
        <v>45069</v>
      </c>
      <c r="C926" s="674" t="s">
        <v>9861</v>
      </c>
      <c r="D926" s="674" t="s">
        <v>9862</v>
      </c>
      <c r="E926" s="674" t="s">
        <v>9863</v>
      </c>
      <c r="F926" s="674" t="s">
        <v>9864</v>
      </c>
      <c r="G926" s="680"/>
      <c r="H926" s="680">
        <v>329223</v>
      </c>
      <c r="I926" s="680"/>
      <c r="J926" s="680">
        <v>15000</v>
      </c>
      <c r="K926" s="674" t="s">
        <v>9331</v>
      </c>
      <c r="L926" s="674" t="s">
        <v>9865</v>
      </c>
      <c r="M926" s="674" t="s">
        <v>9594</v>
      </c>
      <c r="N926" s="674" t="s">
        <v>9741</v>
      </c>
    </row>
    <row r="927" spans="1:14">
      <c r="A927" s="1067"/>
      <c r="B927" s="679">
        <v>45071</v>
      </c>
      <c r="C927" s="674" t="s">
        <v>9866</v>
      </c>
      <c r="D927" s="674" t="s">
        <v>9862</v>
      </c>
      <c r="E927" s="674" t="s">
        <v>9863</v>
      </c>
      <c r="F927" s="674" t="s">
        <v>9864</v>
      </c>
      <c r="G927" s="680"/>
      <c r="H927" s="680"/>
      <c r="I927" s="680"/>
      <c r="J927" s="680">
        <v>40000</v>
      </c>
      <c r="K927" s="674" t="s">
        <v>9331</v>
      </c>
      <c r="L927" s="674" t="s">
        <v>9867</v>
      </c>
      <c r="M927" s="674" t="s">
        <v>9594</v>
      </c>
      <c r="N927" s="674" t="s">
        <v>9741</v>
      </c>
    </row>
    <row r="928" spans="1:14">
      <c r="A928" s="1067"/>
      <c r="B928" s="679">
        <v>45180</v>
      </c>
      <c r="C928" s="674" t="s">
        <v>9868</v>
      </c>
      <c r="D928" s="674" t="s">
        <v>9862</v>
      </c>
      <c r="E928" s="674" t="s">
        <v>9863</v>
      </c>
      <c r="F928" s="674" t="s">
        <v>9864</v>
      </c>
      <c r="G928" s="680"/>
      <c r="H928" s="680"/>
      <c r="I928" s="680"/>
      <c r="J928" s="680">
        <v>30000</v>
      </c>
      <c r="K928" s="674" t="s">
        <v>9331</v>
      </c>
      <c r="L928" s="674" t="s">
        <v>9869</v>
      </c>
      <c r="M928" s="674" t="s">
        <v>9594</v>
      </c>
      <c r="N928" s="674" t="s">
        <v>9741</v>
      </c>
    </row>
    <row r="929" spans="1:14">
      <c r="A929" s="1067"/>
      <c r="B929" s="679">
        <v>45156</v>
      </c>
      <c r="C929" s="674" t="s">
        <v>9870</v>
      </c>
      <c r="D929" s="674" t="s">
        <v>9862</v>
      </c>
      <c r="E929" s="674" t="s">
        <v>9863</v>
      </c>
      <c r="F929" s="674" t="s">
        <v>9864</v>
      </c>
      <c r="G929" s="680"/>
      <c r="H929" s="680"/>
      <c r="I929" s="680"/>
      <c r="J929" s="680">
        <v>20000</v>
      </c>
      <c r="K929" s="674" t="s">
        <v>9331</v>
      </c>
      <c r="L929" s="674" t="s">
        <v>9871</v>
      </c>
      <c r="M929" s="674" t="s">
        <v>9594</v>
      </c>
      <c r="N929" s="674" t="s">
        <v>9741</v>
      </c>
    </row>
    <row r="930" spans="1:14">
      <c r="A930" s="1067"/>
      <c r="B930" s="679">
        <v>45138</v>
      </c>
      <c r="C930" s="674" t="s">
        <v>9872</v>
      </c>
      <c r="D930" s="674" t="s">
        <v>9862</v>
      </c>
      <c r="E930" s="674" t="s">
        <v>9863</v>
      </c>
      <c r="F930" s="674" t="s">
        <v>9864</v>
      </c>
      <c r="G930" s="680"/>
      <c r="H930" s="680"/>
      <c r="I930" s="680"/>
      <c r="J930" s="680">
        <v>70000</v>
      </c>
      <c r="K930" s="674" t="s">
        <v>9331</v>
      </c>
      <c r="L930" s="674" t="s">
        <v>9873</v>
      </c>
      <c r="M930" s="674" t="s">
        <v>9594</v>
      </c>
      <c r="N930" s="674" t="s">
        <v>9741</v>
      </c>
    </row>
    <row r="931" spans="1:14">
      <c r="A931" s="1067"/>
      <c r="B931" s="679">
        <v>44939</v>
      </c>
      <c r="C931" s="674" t="s">
        <v>9874</v>
      </c>
      <c r="D931" s="674" t="s">
        <v>9875</v>
      </c>
      <c r="E931" s="674" t="s">
        <v>9876</v>
      </c>
      <c r="F931" s="674" t="s">
        <v>9877</v>
      </c>
      <c r="G931" s="680"/>
      <c r="H931" s="680">
        <v>89560</v>
      </c>
      <c r="I931" s="680"/>
      <c r="J931" s="680">
        <v>7000</v>
      </c>
      <c r="K931" s="674" t="s">
        <v>9878</v>
      </c>
      <c r="L931" s="674" t="s">
        <v>9879</v>
      </c>
      <c r="M931" s="674" t="s">
        <v>9594</v>
      </c>
      <c r="N931" s="674" t="s">
        <v>9833</v>
      </c>
    </row>
    <row r="932" spans="1:14">
      <c r="A932" s="1067"/>
      <c r="B932" s="679">
        <v>45163</v>
      </c>
      <c r="C932" s="674" t="s">
        <v>9880</v>
      </c>
      <c r="D932" s="674" t="s">
        <v>9875</v>
      </c>
      <c r="E932" s="674" t="s">
        <v>9881</v>
      </c>
      <c r="F932" s="674" t="s">
        <v>9877</v>
      </c>
      <c r="G932" s="680"/>
      <c r="H932" s="680"/>
      <c r="I932" s="680"/>
      <c r="J932" s="680">
        <v>5000</v>
      </c>
      <c r="K932" s="674" t="s">
        <v>9882</v>
      </c>
      <c r="L932" s="674" t="s">
        <v>9883</v>
      </c>
      <c r="M932" s="674" t="s">
        <v>9594</v>
      </c>
      <c r="N932" s="674" t="s">
        <v>9833</v>
      </c>
    </row>
    <row r="933" spans="1:14">
      <c r="A933" s="1067"/>
      <c r="B933" s="679">
        <v>45016</v>
      </c>
      <c r="C933" s="674" t="s">
        <v>9884</v>
      </c>
      <c r="D933" s="674" t="s">
        <v>9875</v>
      </c>
      <c r="E933" s="674" t="s">
        <v>9881</v>
      </c>
      <c r="F933" s="674" t="s">
        <v>9877</v>
      </c>
      <c r="G933" s="680"/>
      <c r="H933" s="680"/>
      <c r="I933" s="680"/>
      <c r="J933" s="680">
        <v>1500</v>
      </c>
      <c r="K933" s="674" t="s">
        <v>9885</v>
      </c>
      <c r="L933" s="674" t="s">
        <v>9886</v>
      </c>
      <c r="M933" s="674" t="s">
        <v>9594</v>
      </c>
      <c r="N933" s="674" t="s">
        <v>9833</v>
      </c>
    </row>
    <row r="934" spans="1:14">
      <c r="A934" s="1067"/>
      <c r="B934" s="679">
        <v>45168</v>
      </c>
      <c r="C934" s="674" t="s">
        <v>9887</v>
      </c>
      <c r="D934" s="674" t="s">
        <v>9888</v>
      </c>
      <c r="E934" s="674" t="s">
        <v>9881</v>
      </c>
      <c r="F934" s="674" t="s">
        <v>9889</v>
      </c>
      <c r="G934" s="680"/>
      <c r="H934" s="680"/>
      <c r="I934" s="680"/>
      <c r="J934" s="680">
        <v>2500</v>
      </c>
      <c r="K934" s="674" t="s">
        <v>9890</v>
      </c>
      <c r="L934" s="674" t="s">
        <v>9886</v>
      </c>
      <c r="M934" s="674" t="s">
        <v>9594</v>
      </c>
      <c r="N934" s="674" t="s">
        <v>9833</v>
      </c>
    </row>
    <row r="935" spans="1:14">
      <c r="A935" s="1067"/>
      <c r="B935" s="679">
        <v>45021</v>
      </c>
      <c r="C935" s="674" t="s">
        <v>9891</v>
      </c>
      <c r="D935" s="674" t="s">
        <v>9892</v>
      </c>
      <c r="E935" s="674" t="s">
        <v>9854</v>
      </c>
      <c r="F935" s="674" t="s">
        <v>9877</v>
      </c>
      <c r="G935" s="680"/>
      <c r="H935" s="680">
        <v>16000</v>
      </c>
      <c r="I935" s="680"/>
      <c r="J935" s="680">
        <v>3425</v>
      </c>
      <c r="K935" s="674" t="s">
        <v>9893</v>
      </c>
      <c r="L935" s="674" t="s">
        <v>9894</v>
      </c>
      <c r="M935" s="674" t="s">
        <v>9594</v>
      </c>
      <c r="N935" s="674" t="s">
        <v>9833</v>
      </c>
    </row>
    <row r="936" spans="1:14">
      <c r="A936" s="1067"/>
      <c r="B936" s="679">
        <v>44953</v>
      </c>
      <c r="C936" s="674" t="s">
        <v>9880</v>
      </c>
      <c r="D936" s="674" t="s">
        <v>9892</v>
      </c>
      <c r="E936" s="674" t="s">
        <v>9854</v>
      </c>
      <c r="F936" s="674" t="s">
        <v>9877</v>
      </c>
      <c r="G936" s="680"/>
      <c r="H936" s="680"/>
      <c r="I936" s="680"/>
      <c r="J936" s="680">
        <v>4100</v>
      </c>
      <c r="K936" s="674" t="s">
        <v>9893</v>
      </c>
      <c r="L936" s="674" t="s">
        <v>9895</v>
      </c>
      <c r="M936" s="674" t="s">
        <v>9594</v>
      </c>
      <c r="N936" s="674" t="s">
        <v>9833</v>
      </c>
    </row>
    <row r="937" spans="1:14">
      <c r="A937" s="1067"/>
      <c r="B937" s="679">
        <v>44939</v>
      </c>
      <c r="C937" s="674" t="s">
        <v>9896</v>
      </c>
      <c r="D937" s="674" t="s">
        <v>9897</v>
      </c>
      <c r="E937" s="674" t="s">
        <v>9898</v>
      </c>
      <c r="F937" s="674" t="s">
        <v>9899</v>
      </c>
      <c r="G937" s="680"/>
      <c r="H937" s="680"/>
      <c r="I937" s="680"/>
      <c r="J937" s="680">
        <v>22000</v>
      </c>
      <c r="K937" s="674" t="s">
        <v>9900</v>
      </c>
      <c r="L937" s="674" t="s">
        <v>9901</v>
      </c>
      <c r="M937" s="674" t="s">
        <v>9811</v>
      </c>
      <c r="N937" s="674" t="s">
        <v>9833</v>
      </c>
    </row>
    <row r="938" spans="1:14">
      <c r="A938" s="1067"/>
      <c r="B938" s="679">
        <v>45180</v>
      </c>
      <c r="C938" s="674" t="s">
        <v>9902</v>
      </c>
      <c r="D938" s="674" t="s">
        <v>9903</v>
      </c>
      <c r="E938" s="674" t="s">
        <v>9904</v>
      </c>
      <c r="F938" s="674" t="s">
        <v>9899</v>
      </c>
      <c r="G938" s="680"/>
      <c r="H938" s="680">
        <v>52000</v>
      </c>
      <c r="I938" s="680"/>
      <c r="J938" s="680">
        <v>8925</v>
      </c>
      <c r="K938" s="674" t="s">
        <v>9900</v>
      </c>
      <c r="L938" s="674" t="s">
        <v>9905</v>
      </c>
      <c r="M938" s="674" t="s">
        <v>9811</v>
      </c>
      <c r="N938" s="674" t="s">
        <v>9833</v>
      </c>
    </row>
    <row r="939" spans="1:14">
      <c r="A939" s="1067"/>
      <c r="B939" s="679">
        <v>45043</v>
      </c>
      <c r="C939" s="674" t="s">
        <v>9906</v>
      </c>
      <c r="D939" s="674" t="s">
        <v>9907</v>
      </c>
      <c r="E939" s="674" t="s">
        <v>9908</v>
      </c>
      <c r="F939" s="674" t="s">
        <v>9899</v>
      </c>
      <c r="G939" s="680"/>
      <c r="H939" s="680"/>
      <c r="I939" s="680"/>
      <c r="J939" s="680">
        <v>7000</v>
      </c>
      <c r="K939" s="674" t="s">
        <v>9900</v>
      </c>
      <c r="L939" s="674" t="s">
        <v>9909</v>
      </c>
      <c r="M939" s="674" t="s">
        <v>9811</v>
      </c>
      <c r="N939" s="674" t="s">
        <v>9833</v>
      </c>
    </row>
    <row r="940" spans="1:14">
      <c r="A940" s="1067"/>
      <c r="B940" s="679">
        <v>45093</v>
      </c>
      <c r="C940" s="674" t="s">
        <v>9910</v>
      </c>
      <c r="D940" s="674" t="s">
        <v>9911</v>
      </c>
      <c r="E940" s="674" t="s">
        <v>9912</v>
      </c>
      <c r="F940" s="674" t="s">
        <v>9899</v>
      </c>
      <c r="G940" s="680"/>
      <c r="H940" s="680"/>
      <c r="I940" s="680"/>
      <c r="J940" s="680">
        <v>11652</v>
      </c>
      <c r="K940" s="674" t="s">
        <v>9900</v>
      </c>
      <c r="L940" s="674" t="s">
        <v>9913</v>
      </c>
      <c r="M940" s="674" t="s">
        <v>9811</v>
      </c>
      <c r="N940" s="674" t="s">
        <v>9833</v>
      </c>
    </row>
    <row r="941" spans="1:14">
      <c r="A941" s="1067"/>
      <c r="B941" s="679">
        <v>45196</v>
      </c>
      <c r="C941" s="674" t="s">
        <v>9914</v>
      </c>
      <c r="D941" s="674" t="s">
        <v>9911</v>
      </c>
      <c r="E941" s="674" t="s">
        <v>9912</v>
      </c>
      <c r="F941" s="674" t="s">
        <v>9899</v>
      </c>
      <c r="G941" s="680"/>
      <c r="H941" s="680"/>
      <c r="I941" s="680"/>
      <c r="J941" s="680">
        <v>8000</v>
      </c>
      <c r="K941" s="674" t="s">
        <v>9900</v>
      </c>
      <c r="L941" s="674" t="s">
        <v>9915</v>
      </c>
      <c r="M941" s="674" t="s">
        <v>9811</v>
      </c>
      <c r="N941" s="674" t="s">
        <v>9833</v>
      </c>
    </row>
    <row r="942" spans="1:14">
      <c r="A942" s="1067"/>
      <c r="B942" s="679">
        <v>45113</v>
      </c>
      <c r="C942" s="674" t="s">
        <v>9916</v>
      </c>
      <c r="D942" s="674" t="s">
        <v>9917</v>
      </c>
      <c r="E942" s="674" t="s">
        <v>9918</v>
      </c>
      <c r="F942" s="674" t="s">
        <v>9919</v>
      </c>
      <c r="G942" s="680"/>
      <c r="H942" s="680">
        <v>114166.5</v>
      </c>
      <c r="I942" s="680"/>
      <c r="J942" s="680">
        <v>10945</v>
      </c>
      <c r="K942" s="674" t="s">
        <v>9900</v>
      </c>
      <c r="L942" s="674" t="s">
        <v>9920</v>
      </c>
      <c r="M942" s="674" t="s">
        <v>9811</v>
      </c>
      <c r="N942" s="674" t="s">
        <v>9833</v>
      </c>
    </row>
    <row r="943" spans="1:14">
      <c r="A943" s="1067"/>
      <c r="B943" s="679">
        <v>44950</v>
      </c>
      <c r="C943" s="674" t="s">
        <v>9921</v>
      </c>
      <c r="D943" s="674" t="s">
        <v>9917</v>
      </c>
      <c r="E943" s="674" t="s">
        <v>9922</v>
      </c>
      <c r="F943" s="674" t="s">
        <v>9919</v>
      </c>
      <c r="G943" s="680"/>
      <c r="H943" s="680"/>
      <c r="I943" s="680"/>
      <c r="J943" s="680">
        <v>7000</v>
      </c>
      <c r="K943" s="674" t="s">
        <v>3135</v>
      </c>
      <c r="L943" s="674" t="s">
        <v>9923</v>
      </c>
      <c r="M943" s="674" t="s">
        <v>9811</v>
      </c>
      <c r="N943" s="674" t="s">
        <v>9833</v>
      </c>
    </row>
    <row r="944" spans="1:14">
      <c r="A944" s="1067"/>
      <c r="B944" s="679">
        <v>45056</v>
      </c>
      <c r="C944" s="674" t="s">
        <v>9921</v>
      </c>
      <c r="D944" s="674" t="s">
        <v>9917</v>
      </c>
      <c r="E944" s="674" t="s">
        <v>9918</v>
      </c>
      <c r="F944" s="674" t="s">
        <v>9919</v>
      </c>
      <c r="G944" s="680"/>
      <c r="H944" s="680">
        <v>22945</v>
      </c>
      <c r="I944" s="680"/>
      <c r="J944" s="680">
        <v>5000</v>
      </c>
      <c r="K944" s="674" t="s">
        <v>3135</v>
      </c>
      <c r="L944" s="674" t="s">
        <v>9924</v>
      </c>
      <c r="M944" s="674" t="s">
        <v>9811</v>
      </c>
      <c r="N944" s="674" t="s">
        <v>9833</v>
      </c>
    </row>
    <row r="945" spans="1:14">
      <c r="A945" s="1067"/>
      <c r="B945" s="679">
        <v>45113</v>
      </c>
      <c r="C945" s="674" t="s">
        <v>9921</v>
      </c>
      <c r="D945" s="674" t="s">
        <v>9917</v>
      </c>
      <c r="E945" s="674" t="s">
        <v>9918</v>
      </c>
      <c r="F945" s="674" t="s">
        <v>9919</v>
      </c>
      <c r="G945" s="680"/>
      <c r="H945" s="680"/>
      <c r="I945" s="680"/>
      <c r="J945" s="680">
        <v>10945</v>
      </c>
      <c r="K945" s="674" t="s">
        <v>3135</v>
      </c>
      <c r="L945" s="674" t="s">
        <v>9925</v>
      </c>
      <c r="M945" s="674" t="s">
        <v>9811</v>
      </c>
      <c r="N945" s="674" t="s">
        <v>9833</v>
      </c>
    </row>
    <row r="946" spans="1:14">
      <c r="A946" s="1067"/>
      <c r="B946" s="679">
        <v>44939</v>
      </c>
      <c r="C946" s="674" t="s">
        <v>9926</v>
      </c>
      <c r="D946" s="674" t="s">
        <v>9927</v>
      </c>
      <c r="E946" s="674" t="s">
        <v>9928</v>
      </c>
      <c r="F946" s="674" t="s">
        <v>9926</v>
      </c>
      <c r="G946" s="680"/>
      <c r="H946" s="680">
        <v>99060</v>
      </c>
      <c r="I946" s="680"/>
      <c r="J946" s="680">
        <v>3700</v>
      </c>
      <c r="K946" s="674" t="s">
        <v>9929</v>
      </c>
      <c r="L946" s="674" t="s">
        <v>9930</v>
      </c>
      <c r="M946" s="674" t="s">
        <v>9594</v>
      </c>
      <c r="N946" s="674" t="s">
        <v>9931</v>
      </c>
    </row>
    <row r="947" spans="1:14">
      <c r="A947" s="1067"/>
      <c r="B947" s="679">
        <v>45059</v>
      </c>
      <c r="C947" s="674" t="s">
        <v>9926</v>
      </c>
      <c r="D947" s="674" t="s">
        <v>9927</v>
      </c>
      <c r="E947" s="674" t="s">
        <v>9928</v>
      </c>
      <c r="F947" s="674" t="s">
        <v>9926</v>
      </c>
      <c r="G947" s="680"/>
      <c r="H947" s="680"/>
      <c r="I947" s="680"/>
      <c r="J947" s="680">
        <v>15000</v>
      </c>
      <c r="K947" s="674" t="s">
        <v>9929</v>
      </c>
      <c r="L947" s="674" t="s">
        <v>9932</v>
      </c>
      <c r="M947" s="674" t="s">
        <v>9594</v>
      </c>
      <c r="N947" s="674" t="s">
        <v>9931</v>
      </c>
    </row>
    <row r="948" spans="1:14">
      <c r="A948" s="1067"/>
      <c r="B948" s="679">
        <v>45055</v>
      </c>
      <c r="C948" s="674" t="s">
        <v>9926</v>
      </c>
      <c r="D948" s="674" t="s">
        <v>9927</v>
      </c>
      <c r="E948" s="674" t="s">
        <v>9928</v>
      </c>
      <c r="F948" s="674" t="s">
        <v>9926</v>
      </c>
      <c r="G948" s="680"/>
      <c r="H948" s="680"/>
      <c r="I948" s="680"/>
      <c r="J948" s="680">
        <v>10000</v>
      </c>
      <c r="K948" s="674" t="s">
        <v>9929</v>
      </c>
      <c r="L948" s="674" t="s">
        <v>9933</v>
      </c>
      <c r="M948" s="674" t="s">
        <v>9594</v>
      </c>
      <c r="N948" s="674" t="s">
        <v>9931</v>
      </c>
    </row>
    <row r="949" spans="1:14">
      <c r="A949" s="1067"/>
      <c r="B949" s="679">
        <v>45097</v>
      </c>
      <c r="C949" s="674" t="s">
        <v>9926</v>
      </c>
      <c r="D949" s="674" t="s">
        <v>9927</v>
      </c>
      <c r="E949" s="674" t="s">
        <v>9928</v>
      </c>
      <c r="F949" s="674" t="s">
        <v>9926</v>
      </c>
      <c r="G949" s="680"/>
      <c r="H949" s="680"/>
      <c r="I949" s="680"/>
      <c r="J949" s="680">
        <v>4000</v>
      </c>
      <c r="K949" s="674" t="s">
        <v>9929</v>
      </c>
      <c r="L949" s="674" t="s">
        <v>9934</v>
      </c>
      <c r="M949" s="674" t="s">
        <v>9594</v>
      </c>
      <c r="N949" s="674" t="s">
        <v>9931</v>
      </c>
    </row>
    <row r="950" spans="1:14">
      <c r="A950" s="1067"/>
      <c r="B950" s="679">
        <v>45113</v>
      </c>
      <c r="C950" s="674" t="s">
        <v>9926</v>
      </c>
      <c r="D950" s="674" t="s">
        <v>9927</v>
      </c>
      <c r="E950" s="674" t="s">
        <v>9928</v>
      </c>
      <c r="F950" s="674" t="s">
        <v>9926</v>
      </c>
      <c r="G950" s="680"/>
      <c r="H950" s="680"/>
      <c r="I950" s="680"/>
      <c r="J950" s="680">
        <v>10000</v>
      </c>
      <c r="K950" s="674" t="s">
        <v>9929</v>
      </c>
      <c r="L950" s="674" t="s">
        <v>9935</v>
      </c>
      <c r="M950" s="674" t="s">
        <v>9594</v>
      </c>
      <c r="N950" s="674" t="s">
        <v>9931</v>
      </c>
    </row>
    <row r="951" spans="1:14">
      <c r="A951" s="1067"/>
      <c r="B951" s="679">
        <v>45133</v>
      </c>
      <c r="C951" s="674" t="s">
        <v>9926</v>
      </c>
      <c r="D951" s="674"/>
      <c r="E951" s="674" t="s">
        <v>9928</v>
      </c>
      <c r="F951" s="674" t="s">
        <v>9926</v>
      </c>
      <c r="G951" s="680"/>
      <c r="H951" s="680"/>
      <c r="I951" s="680"/>
      <c r="J951" s="680">
        <v>10000</v>
      </c>
      <c r="K951" s="674" t="s">
        <v>9929</v>
      </c>
      <c r="L951" s="674" t="s">
        <v>9936</v>
      </c>
      <c r="M951" s="674" t="s">
        <v>9594</v>
      </c>
      <c r="N951" s="674" t="s">
        <v>9931</v>
      </c>
    </row>
    <row r="952" spans="1:14">
      <c r="A952" s="1067"/>
      <c r="B952" s="679">
        <v>44966</v>
      </c>
      <c r="C952" s="674" t="s">
        <v>9937</v>
      </c>
      <c r="D952" s="674" t="s">
        <v>9938</v>
      </c>
      <c r="E952" s="674" t="s">
        <v>9939</v>
      </c>
      <c r="F952" s="674" t="s">
        <v>9940</v>
      </c>
      <c r="G952" s="680"/>
      <c r="H952" s="680">
        <v>9900</v>
      </c>
      <c r="I952" s="680"/>
      <c r="J952" s="680">
        <v>9900</v>
      </c>
      <c r="K952" s="674" t="s">
        <v>9941</v>
      </c>
      <c r="L952" s="674" t="s">
        <v>9942</v>
      </c>
      <c r="M952" s="674" t="s">
        <v>9594</v>
      </c>
      <c r="N952" s="674" t="s">
        <v>9833</v>
      </c>
    </row>
    <row r="953" spans="1:14">
      <c r="A953" s="1067"/>
      <c r="B953" s="679">
        <v>44991</v>
      </c>
      <c r="C953" s="674" t="s">
        <v>9943</v>
      </c>
      <c r="D953" s="674" t="s">
        <v>9944</v>
      </c>
      <c r="E953" s="674" t="s">
        <v>9945</v>
      </c>
      <c r="F953" s="674" t="s">
        <v>9946</v>
      </c>
      <c r="G953" s="680"/>
      <c r="H953" s="680">
        <v>95507.04</v>
      </c>
      <c r="I953" s="680"/>
      <c r="J953" s="680">
        <v>15000</v>
      </c>
      <c r="K953" s="674" t="s">
        <v>9941</v>
      </c>
      <c r="L953" s="674" t="s">
        <v>9947</v>
      </c>
      <c r="M953" s="674" t="s">
        <v>9594</v>
      </c>
      <c r="N953" s="674" t="s">
        <v>9833</v>
      </c>
    </row>
    <row r="954" spans="1:14">
      <c r="A954" s="1067"/>
      <c r="B954" s="679">
        <v>45035</v>
      </c>
      <c r="C954" s="674" t="s">
        <v>9943</v>
      </c>
      <c r="D954" s="674" t="s">
        <v>9944</v>
      </c>
      <c r="E954" s="674" t="s">
        <v>9945</v>
      </c>
      <c r="F954" s="674" t="s">
        <v>9946</v>
      </c>
      <c r="G954" s="680"/>
      <c r="H954" s="680"/>
      <c r="I954" s="680"/>
      <c r="J954" s="680">
        <v>35000</v>
      </c>
      <c r="K954" s="674" t="s">
        <v>9941</v>
      </c>
      <c r="L954" s="674" t="s">
        <v>9948</v>
      </c>
      <c r="M954" s="674" t="s">
        <v>9594</v>
      </c>
      <c r="N954" s="674" t="s">
        <v>9833</v>
      </c>
    </row>
    <row r="955" spans="1:14">
      <c r="A955" s="1067"/>
      <c r="B955" s="679">
        <v>45054</v>
      </c>
      <c r="C955" s="674" t="s">
        <v>9943</v>
      </c>
      <c r="D955" s="674" t="s">
        <v>9944</v>
      </c>
      <c r="E955" s="674" t="s">
        <v>9945</v>
      </c>
      <c r="F955" s="674" t="s">
        <v>9946</v>
      </c>
      <c r="G955" s="680"/>
      <c r="H955" s="680"/>
      <c r="I955" s="680"/>
      <c r="J955" s="680">
        <v>15000</v>
      </c>
      <c r="K955" s="674" t="s">
        <v>9941</v>
      </c>
      <c r="L955" s="674" t="s">
        <v>9949</v>
      </c>
      <c r="M955" s="674" t="s">
        <v>9594</v>
      </c>
      <c r="N955" s="674" t="s">
        <v>9833</v>
      </c>
    </row>
    <row r="956" spans="1:14">
      <c r="A956" s="1067"/>
      <c r="B956" s="679">
        <v>45084</v>
      </c>
      <c r="C956" s="674" t="s">
        <v>9943</v>
      </c>
      <c r="D956" s="674" t="s">
        <v>9944</v>
      </c>
      <c r="E956" s="674" t="s">
        <v>9945</v>
      </c>
      <c r="F956" s="674" t="s">
        <v>9946</v>
      </c>
      <c r="G956" s="680"/>
      <c r="H956" s="680"/>
      <c r="I956" s="680"/>
      <c r="J956" s="680">
        <v>15000</v>
      </c>
      <c r="K956" s="674" t="s">
        <v>9941</v>
      </c>
      <c r="L956" s="674" t="s">
        <v>9950</v>
      </c>
      <c r="M956" s="674" t="s">
        <v>9594</v>
      </c>
      <c r="N956" s="674" t="s">
        <v>9833</v>
      </c>
    </row>
    <row r="957" spans="1:14">
      <c r="A957" s="1067"/>
      <c r="B957" s="679">
        <v>45253</v>
      </c>
      <c r="C957" s="674" t="s">
        <v>9943</v>
      </c>
      <c r="D957" s="674" t="s">
        <v>9944</v>
      </c>
      <c r="E957" s="674" t="s">
        <v>9945</v>
      </c>
      <c r="F957" s="674" t="s">
        <v>9946</v>
      </c>
      <c r="G957" s="680"/>
      <c r="H957" s="680"/>
      <c r="I957" s="680"/>
      <c r="J957" s="680">
        <v>6000</v>
      </c>
      <c r="K957" s="674" t="s">
        <v>9941</v>
      </c>
      <c r="L957" s="674" t="s">
        <v>9951</v>
      </c>
      <c r="M957" s="674" t="s">
        <v>9594</v>
      </c>
      <c r="N957" s="674" t="s">
        <v>9833</v>
      </c>
    </row>
    <row r="958" spans="1:14">
      <c r="A958" s="1067"/>
      <c r="B958" s="679">
        <v>45261</v>
      </c>
      <c r="C958" s="674" t="s">
        <v>9952</v>
      </c>
      <c r="D958" s="674" t="s">
        <v>9944</v>
      </c>
      <c r="E958" s="674" t="s">
        <v>9945</v>
      </c>
      <c r="F958" s="674" t="s">
        <v>9946</v>
      </c>
      <c r="G958" s="680"/>
      <c r="H958" s="680"/>
      <c r="I958" s="680"/>
      <c r="J958" s="680">
        <v>10000</v>
      </c>
      <c r="K958" s="674" t="s">
        <v>9941</v>
      </c>
      <c r="L958" s="674" t="s">
        <v>9953</v>
      </c>
      <c r="M958" s="674" t="s">
        <v>9594</v>
      </c>
      <c r="N958" s="674" t="s">
        <v>9833</v>
      </c>
    </row>
    <row r="959" spans="1:14">
      <c r="A959" s="1067"/>
      <c r="B959" s="679">
        <v>45082</v>
      </c>
      <c r="C959" s="674" t="s">
        <v>9952</v>
      </c>
      <c r="D959" s="674" t="s">
        <v>9944</v>
      </c>
      <c r="E959" s="674" t="s">
        <v>9945</v>
      </c>
      <c r="F959" s="674" t="s">
        <v>9946</v>
      </c>
      <c r="G959" s="680"/>
      <c r="H959" s="680"/>
      <c r="I959" s="680"/>
      <c r="J959" s="680">
        <v>4996</v>
      </c>
      <c r="K959" s="674" t="s">
        <v>9954</v>
      </c>
      <c r="L959" s="674" t="s">
        <v>9955</v>
      </c>
      <c r="M959" s="674" t="s">
        <v>9956</v>
      </c>
      <c r="N959" s="674" t="s">
        <v>9833</v>
      </c>
    </row>
    <row r="960" spans="1:14">
      <c r="A960" s="1067"/>
      <c r="B960" s="679">
        <v>44966</v>
      </c>
      <c r="C960" s="674" t="s">
        <v>9957</v>
      </c>
      <c r="D960" s="674" t="s">
        <v>9958</v>
      </c>
      <c r="E960" s="674" t="s">
        <v>9959</v>
      </c>
      <c r="F960" s="674" t="s">
        <v>9960</v>
      </c>
      <c r="G960" s="680"/>
      <c r="H960" s="680">
        <v>11575</v>
      </c>
      <c r="I960" s="680"/>
      <c r="J960" s="680">
        <v>11575</v>
      </c>
      <c r="K960" s="674" t="s">
        <v>9961</v>
      </c>
      <c r="L960" s="674" t="s">
        <v>9962</v>
      </c>
      <c r="M960" s="674" t="s">
        <v>9594</v>
      </c>
      <c r="N960" s="674" t="s">
        <v>9833</v>
      </c>
    </row>
    <row r="961" spans="1:14">
      <c r="A961" s="1067"/>
      <c r="B961" s="679">
        <v>45019</v>
      </c>
      <c r="C961" s="674" t="s">
        <v>9963</v>
      </c>
      <c r="D961" s="674" t="s">
        <v>9958</v>
      </c>
      <c r="E961" s="674" t="s">
        <v>9959</v>
      </c>
      <c r="F961" s="674" t="s">
        <v>9960</v>
      </c>
      <c r="G961" s="680"/>
      <c r="H961" s="680"/>
      <c r="I961" s="680"/>
      <c r="J961" s="680">
        <v>2782</v>
      </c>
      <c r="K961" s="674" t="s">
        <v>9964</v>
      </c>
      <c r="L961" s="674" t="s">
        <v>9965</v>
      </c>
      <c r="M961" s="674" t="s">
        <v>9956</v>
      </c>
      <c r="N961" s="674" t="s">
        <v>9833</v>
      </c>
    </row>
    <row r="962" spans="1:14">
      <c r="A962" s="1067"/>
      <c r="B962" s="679">
        <v>44978</v>
      </c>
      <c r="C962" s="674" t="s">
        <v>9966</v>
      </c>
      <c r="D962" s="674" t="s">
        <v>9967</v>
      </c>
      <c r="E962" s="674" t="s">
        <v>9968</v>
      </c>
      <c r="F962" s="674" t="s">
        <v>9771</v>
      </c>
      <c r="G962" s="680"/>
      <c r="H962" s="680">
        <v>132970.26999999999</v>
      </c>
      <c r="I962" s="680"/>
      <c r="J962" s="680">
        <v>10000</v>
      </c>
      <c r="K962" s="674" t="s">
        <v>9969</v>
      </c>
      <c r="L962" s="674" t="s">
        <v>9970</v>
      </c>
      <c r="M962" s="674" t="s">
        <v>9594</v>
      </c>
      <c r="N962" s="674" t="s">
        <v>9833</v>
      </c>
    </row>
    <row r="963" spans="1:14">
      <c r="A963" s="1067"/>
      <c r="B963" s="679">
        <v>44991</v>
      </c>
      <c r="C963" s="674" t="s">
        <v>9966</v>
      </c>
      <c r="D963" s="674" t="s">
        <v>9967</v>
      </c>
      <c r="E963" s="674" t="s">
        <v>9968</v>
      </c>
      <c r="F963" s="674" t="s">
        <v>9771</v>
      </c>
      <c r="G963" s="680"/>
      <c r="H963" s="680"/>
      <c r="I963" s="680"/>
      <c r="J963" s="680">
        <v>12000</v>
      </c>
      <c r="K963" s="674" t="s">
        <v>9969</v>
      </c>
      <c r="L963" s="674" t="s">
        <v>9971</v>
      </c>
      <c r="M963" s="674" t="s">
        <v>9594</v>
      </c>
      <c r="N963" s="674" t="s">
        <v>9833</v>
      </c>
    </row>
    <row r="964" spans="1:14">
      <c r="A964" s="1067"/>
      <c r="B964" s="679">
        <v>45054</v>
      </c>
      <c r="C964" s="674" t="s">
        <v>9966</v>
      </c>
      <c r="D964" s="674" t="s">
        <v>9967</v>
      </c>
      <c r="E964" s="674" t="s">
        <v>9968</v>
      </c>
      <c r="F964" s="674" t="s">
        <v>9771</v>
      </c>
      <c r="G964" s="680"/>
      <c r="H964" s="680"/>
      <c r="I964" s="680"/>
      <c r="J964" s="680">
        <v>10000</v>
      </c>
      <c r="K964" s="674" t="s">
        <v>9969</v>
      </c>
      <c r="L964" s="674" t="s">
        <v>9972</v>
      </c>
      <c r="M964" s="674" t="s">
        <v>9594</v>
      </c>
      <c r="N964" s="674" t="s">
        <v>9833</v>
      </c>
    </row>
    <row r="965" spans="1:14">
      <c r="A965" s="1067"/>
      <c r="B965" s="679">
        <v>45138</v>
      </c>
      <c r="C965" s="674" t="s">
        <v>9966</v>
      </c>
      <c r="D965" s="674" t="s">
        <v>9967</v>
      </c>
      <c r="E965" s="674" t="s">
        <v>9968</v>
      </c>
      <c r="F965" s="674" t="s">
        <v>9771</v>
      </c>
      <c r="G965" s="680"/>
      <c r="H965" s="680"/>
      <c r="I965" s="680"/>
      <c r="J965" s="680">
        <v>3000</v>
      </c>
      <c r="K965" s="674" t="s">
        <v>9969</v>
      </c>
      <c r="L965" s="674" t="s">
        <v>9973</v>
      </c>
      <c r="M965" s="674" t="s">
        <v>9594</v>
      </c>
      <c r="N965" s="674" t="s">
        <v>9833</v>
      </c>
    </row>
    <row r="966" spans="1:14">
      <c r="A966" s="1067"/>
      <c r="B966" s="679">
        <v>45261</v>
      </c>
      <c r="C966" s="674" t="s">
        <v>9974</v>
      </c>
      <c r="D966" s="674" t="s">
        <v>9975</v>
      </c>
      <c r="E966" s="674" t="s">
        <v>9976</v>
      </c>
      <c r="F966" s="674" t="s">
        <v>9771</v>
      </c>
      <c r="G966" s="680"/>
      <c r="H966" s="680">
        <v>154056.51999999999</v>
      </c>
      <c r="I966" s="680"/>
      <c r="J966" s="680">
        <v>30000</v>
      </c>
      <c r="K966" s="674" t="s">
        <v>9969</v>
      </c>
      <c r="L966" s="674" t="s">
        <v>9977</v>
      </c>
      <c r="M966" s="674" t="s">
        <v>9594</v>
      </c>
      <c r="N966" s="674" t="s">
        <v>9833</v>
      </c>
    </row>
    <row r="967" spans="1:14">
      <c r="A967" s="1067"/>
      <c r="B967" s="679">
        <v>45288</v>
      </c>
      <c r="C967" s="674" t="s">
        <v>9974</v>
      </c>
      <c r="D967" s="674" t="s">
        <v>9975</v>
      </c>
      <c r="E967" s="674" t="s">
        <v>9976</v>
      </c>
      <c r="F967" s="674" t="s">
        <v>9771</v>
      </c>
      <c r="G967" s="680"/>
      <c r="H967" s="680"/>
      <c r="I967" s="680"/>
      <c r="J967" s="680">
        <v>20000</v>
      </c>
      <c r="K967" s="674" t="s">
        <v>9969</v>
      </c>
      <c r="L967" s="674" t="s">
        <v>9978</v>
      </c>
      <c r="M967" s="674" t="s">
        <v>9594</v>
      </c>
      <c r="N967" s="674" t="s">
        <v>9833</v>
      </c>
    </row>
    <row r="968" spans="1:14">
      <c r="A968" s="1067"/>
      <c r="B968" s="679">
        <v>45138</v>
      </c>
      <c r="C968" s="674" t="s">
        <v>9974</v>
      </c>
      <c r="D968" s="674" t="s">
        <v>9975</v>
      </c>
      <c r="E968" s="674" t="s">
        <v>9976</v>
      </c>
      <c r="F968" s="674" t="s">
        <v>9771</v>
      </c>
      <c r="G968" s="680"/>
      <c r="H968" s="680"/>
      <c r="I968" s="680"/>
      <c r="J968" s="680">
        <v>3000</v>
      </c>
      <c r="K968" s="674" t="s">
        <v>9969</v>
      </c>
      <c r="L968" s="674" t="s">
        <v>9832</v>
      </c>
      <c r="M968" s="674" t="s">
        <v>9594</v>
      </c>
      <c r="N968" s="674" t="s">
        <v>9833</v>
      </c>
    </row>
    <row r="969" spans="1:14">
      <c r="A969" s="1067"/>
      <c r="B969" s="679">
        <v>44991</v>
      </c>
      <c r="C969" s="674" t="s">
        <v>9979</v>
      </c>
      <c r="D969" s="674" t="s">
        <v>9980</v>
      </c>
      <c r="E969" s="674" t="s">
        <v>9981</v>
      </c>
      <c r="F969" s="674" t="s">
        <v>9771</v>
      </c>
      <c r="G969" s="680"/>
      <c r="H969" s="680"/>
      <c r="I969" s="680"/>
      <c r="J969" s="680">
        <v>15000</v>
      </c>
      <c r="K969" s="674" t="s">
        <v>9982</v>
      </c>
      <c r="L969" s="674" t="s">
        <v>9983</v>
      </c>
      <c r="M969" s="674" t="s">
        <v>9984</v>
      </c>
      <c r="N969" s="674" t="s">
        <v>9833</v>
      </c>
    </row>
    <row r="970" spans="1:14">
      <c r="A970" s="1067"/>
      <c r="B970" s="679">
        <v>45054</v>
      </c>
      <c r="C970" s="674" t="s">
        <v>9985</v>
      </c>
      <c r="D970" s="674" t="s">
        <v>9980</v>
      </c>
      <c r="E970" s="674" t="s">
        <v>9986</v>
      </c>
      <c r="F970" s="674" t="s">
        <v>9771</v>
      </c>
      <c r="G970" s="680"/>
      <c r="H970" s="680"/>
      <c r="I970" s="680"/>
      <c r="J970" s="680">
        <v>2000</v>
      </c>
      <c r="K970" s="674" t="s">
        <v>9982</v>
      </c>
      <c r="L970" s="674" t="s">
        <v>9987</v>
      </c>
      <c r="M970" s="674" t="s">
        <v>9984</v>
      </c>
      <c r="N970" s="674" t="s">
        <v>9833</v>
      </c>
    </row>
    <row r="971" spans="1:14">
      <c r="A971" s="1067"/>
      <c r="B971" s="679">
        <v>45093</v>
      </c>
      <c r="C971" s="674" t="s">
        <v>9985</v>
      </c>
      <c r="D971" s="674" t="s">
        <v>9980</v>
      </c>
      <c r="E971" s="674" t="s">
        <v>9986</v>
      </c>
      <c r="F971" s="674" t="s">
        <v>9771</v>
      </c>
      <c r="G971" s="680"/>
      <c r="H971" s="680">
        <v>142800</v>
      </c>
      <c r="I971" s="680"/>
      <c r="J971" s="680">
        <v>10000</v>
      </c>
      <c r="K971" s="674" t="s">
        <v>9982</v>
      </c>
      <c r="L971" s="674" t="s">
        <v>9988</v>
      </c>
      <c r="M971" s="674" t="s">
        <v>9984</v>
      </c>
      <c r="N971" s="674" t="s">
        <v>9833</v>
      </c>
    </row>
    <row r="972" spans="1:14">
      <c r="A972" s="1067"/>
      <c r="B972" s="679">
        <v>45133</v>
      </c>
      <c r="C972" s="674" t="s">
        <v>9985</v>
      </c>
      <c r="D972" s="674" t="s">
        <v>9980</v>
      </c>
      <c r="E972" s="674" t="s">
        <v>9986</v>
      </c>
      <c r="F972" s="674" t="s">
        <v>9771</v>
      </c>
      <c r="G972" s="680"/>
      <c r="H972" s="680"/>
      <c r="I972" s="680"/>
      <c r="J972" s="680">
        <v>20000</v>
      </c>
      <c r="K972" s="674" t="s">
        <v>9982</v>
      </c>
      <c r="L972" s="674" t="s">
        <v>9989</v>
      </c>
      <c r="M972" s="674" t="s">
        <v>9984</v>
      </c>
      <c r="N972" s="674" t="s">
        <v>9833</v>
      </c>
    </row>
    <row r="973" spans="1:14">
      <c r="A973" s="1067"/>
      <c r="B973" s="679">
        <v>45253</v>
      </c>
      <c r="C973" s="674" t="s">
        <v>9985</v>
      </c>
      <c r="D973" s="674" t="s">
        <v>9980</v>
      </c>
      <c r="E973" s="674" t="s">
        <v>9986</v>
      </c>
      <c r="F973" s="674" t="s">
        <v>9771</v>
      </c>
      <c r="G973" s="680"/>
      <c r="H973" s="680"/>
      <c r="I973" s="680"/>
      <c r="J973" s="680">
        <v>20000</v>
      </c>
      <c r="K973" s="674" t="s">
        <v>9982</v>
      </c>
      <c r="L973" s="674" t="s">
        <v>9990</v>
      </c>
      <c r="M973" s="674" t="s">
        <v>9984</v>
      </c>
      <c r="N973" s="674" t="s">
        <v>9833</v>
      </c>
    </row>
    <row r="974" spans="1:14">
      <c r="A974" s="1067"/>
      <c r="B974" s="679">
        <v>45040</v>
      </c>
      <c r="C974" s="674" t="s">
        <v>9991</v>
      </c>
      <c r="D974" s="674" t="s">
        <v>9980</v>
      </c>
      <c r="E974" s="674" t="s">
        <v>9981</v>
      </c>
      <c r="F974" s="674" t="s">
        <v>9771</v>
      </c>
      <c r="G974" s="680"/>
      <c r="H974" s="680"/>
      <c r="I974" s="680"/>
      <c r="J974" s="680">
        <v>6000</v>
      </c>
      <c r="K974" s="674" t="s">
        <v>9982</v>
      </c>
      <c r="L974" s="674" t="s">
        <v>9992</v>
      </c>
      <c r="M974" s="674" t="s">
        <v>9984</v>
      </c>
      <c r="N974" s="674" t="s">
        <v>9833</v>
      </c>
    </row>
    <row r="975" spans="1:14">
      <c r="A975" s="1067"/>
      <c r="B975" s="679">
        <v>45085</v>
      </c>
      <c r="C975" s="674" t="s">
        <v>9993</v>
      </c>
      <c r="D975" s="674" t="s">
        <v>9958</v>
      </c>
      <c r="E975" s="674" t="s">
        <v>9994</v>
      </c>
      <c r="F975" s="674" t="s">
        <v>9771</v>
      </c>
      <c r="G975" s="680"/>
      <c r="H975" s="680"/>
      <c r="I975" s="680"/>
      <c r="J975" s="680">
        <v>2780</v>
      </c>
      <c r="K975" s="674" t="s">
        <v>9982</v>
      </c>
      <c r="L975" s="674" t="s">
        <v>9995</v>
      </c>
      <c r="M975" s="674" t="s">
        <v>9984</v>
      </c>
      <c r="N975" s="674" t="s">
        <v>9833</v>
      </c>
    </row>
    <row r="976" spans="1:14">
      <c r="A976" s="1067"/>
      <c r="B976" s="679">
        <v>44991</v>
      </c>
      <c r="C976" s="674" t="s">
        <v>9996</v>
      </c>
      <c r="D976" s="674" t="s">
        <v>9997</v>
      </c>
      <c r="E976" s="674" t="s">
        <v>9998</v>
      </c>
      <c r="F976" s="674" t="s">
        <v>9771</v>
      </c>
      <c r="G976" s="680"/>
      <c r="H976" s="680">
        <v>112268.48</v>
      </c>
      <c r="I976" s="680"/>
      <c r="J976" s="680">
        <v>10000</v>
      </c>
      <c r="K976" s="674" t="s">
        <v>9999</v>
      </c>
      <c r="L976" s="674" t="s">
        <v>10000</v>
      </c>
      <c r="M976" s="674" t="s">
        <v>9594</v>
      </c>
      <c r="N976" s="674" t="s">
        <v>9931</v>
      </c>
    </row>
    <row r="977" spans="1:14">
      <c r="A977" s="1067"/>
      <c r="B977" s="679">
        <v>45258</v>
      </c>
      <c r="C977" s="674" t="s">
        <v>9996</v>
      </c>
      <c r="D977" s="674" t="s">
        <v>9997</v>
      </c>
      <c r="E977" s="674" t="s">
        <v>9998</v>
      </c>
      <c r="F977" s="674" t="s">
        <v>9771</v>
      </c>
      <c r="G977" s="680"/>
      <c r="H977" s="680"/>
      <c r="I977" s="680"/>
      <c r="J977" s="680">
        <v>12000</v>
      </c>
      <c r="K977" s="674" t="s">
        <v>9999</v>
      </c>
      <c r="L977" s="674" t="s">
        <v>10001</v>
      </c>
      <c r="M977" s="674" t="s">
        <v>9594</v>
      </c>
      <c r="N977" s="674" t="s">
        <v>9931</v>
      </c>
    </row>
    <row r="978" spans="1:14">
      <c r="A978" s="1067"/>
      <c r="B978" s="679">
        <v>45021</v>
      </c>
      <c r="C978" s="674" t="s">
        <v>10002</v>
      </c>
      <c r="D978" s="674" t="s">
        <v>10003</v>
      </c>
      <c r="E978" s="674" t="s">
        <v>10004</v>
      </c>
      <c r="F978" s="674" t="s">
        <v>9771</v>
      </c>
      <c r="G978" s="680"/>
      <c r="H978" s="680">
        <v>36870</v>
      </c>
      <c r="I978" s="680"/>
      <c r="J978" s="680">
        <v>3870</v>
      </c>
      <c r="K978" s="674" t="s">
        <v>9105</v>
      </c>
      <c r="L978" s="674" t="s">
        <v>10005</v>
      </c>
      <c r="M978" s="674" t="s">
        <v>9594</v>
      </c>
      <c r="N978" s="674" t="s">
        <v>9833</v>
      </c>
    </row>
    <row r="979" spans="1:14">
      <c r="A979" s="1067"/>
      <c r="B979" s="679">
        <v>45043</v>
      </c>
      <c r="C979" s="674" t="s">
        <v>10006</v>
      </c>
      <c r="D979" s="674" t="s">
        <v>10003</v>
      </c>
      <c r="E979" s="674" t="s">
        <v>10004</v>
      </c>
      <c r="F979" s="674" t="s">
        <v>9771</v>
      </c>
      <c r="G979" s="680"/>
      <c r="H979" s="680"/>
      <c r="I979" s="680"/>
      <c r="J979" s="680">
        <v>3300</v>
      </c>
      <c r="K979" s="674" t="s">
        <v>9105</v>
      </c>
      <c r="L979" s="674" t="s">
        <v>10007</v>
      </c>
      <c r="M979" s="674" t="s">
        <v>9594</v>
      </c>
      <c r="N979" s="674" t="s">
        <v>9833</v>
      </c>
    </row>
    <row r="980" spans="1:14">
      <c r="A980" s="1067"/>
      <c r="B980" s="679">
        <v>45021</v>
      </c>
      <c r="C980" s="674" t="s">
        <v>10008</v>
      </c>
      <c r="D980" s="674" t="s">
        <v>10003</v>
      </c>
      <c r="E980" s="674" t="s">
        <v>10009</v>
      </c>
      <c r="F980" s="674" t="s">
        <v>9960</v>
      </c>
      <c r="G980" s="680"/>
      <c r="H980" s="680">
        <v>62554.97</v>
      </c>
      <c r="I980" s="680"/>
      <c r="J980" s="680">
        <v>8000</v>
      </c>
      <c r="K980" s="674" t="s">
        <v>10010</v>
      </c>
      <c r="L980" s="674" t="s">
        <v>10011</v>
      </c>
      <c r="M980" s="674" t="s">
        <v>9594</v>
      </c>
      <c r="N980" s="674" t="s">
        <v>9833</v>
      </c>
    </row>
    <row r="981" spans="1:14">
      <c r="A981" s="1067"/>
      <c r="B981" s="679">
        <v>45068</v>
      </c>
      <c r="C981" s="674" t="s">
        <v>10012</v>
      </c>
      <c r="D981" s="674" t="s">
        <v>9917</v>
      </c>
      <c r="E981" s="674" t="s">
        <v>10013</v>
      </c>
      <c r="F981" s="674" t="s">
        <v>9960</v>
      </c>
      <c r="G981" s="680"/>
      <c r="H981" s="680"/>
      <c r="I981" s="680"/>
      <c r="J981" s="680">
        <v>3000</v>
      </c>
      <c r="K981" s="674" t="s">
        <v>10010</v>
      </c>
      <c r="L981" s="674" t="s">
        <v>10014</v>
      </c>
      <c r="M981" s="674" t="s">
        <v>9594</v>
      </c>
      <c r="N981" s="674" t="s">
        <v>9833</v>
      </c>
    </row>
    <row r="982" spans="1:14">
      <c r="A982" s="1067"/>
      <c r="B982" s="679">
        <v>44992</v>
      </c>
      <c r="C982" s="674" t="s">
        <v>10015</v>
      </c>
      <c r="D982" s="674" t="s">
        <v>9907</v>
      </c>
      <c r="E982" s="674" t="s">
        <v>10016</v>
      </c>
      <c r="F982" s="674" t="s">
        <v>9771</v>
      </c>
      <c r="G982" s="680"/>
      <c r="H982" s="680">
        <v>63072.160000000003</v>
      </c>
      <c r="I982" s="680"/>
      <c r="J982" s="680">
        <v>6000</v>
      </c>
      <c r="K982" s="674" t="s">
        <v>10017</v>
      </c>
      <c r="L982" s="674" t="s">
        <v>10018</v>
      </c>
      <c r="M982" s="674" t="s">
        <v>9594</v>
      </c>
      <c r="N982" s="674" t="s">
        <v>9931</v>
      </c>
    </row>
    <row r="983" spans="1:14">
      <c r="A983" s="1067"/>
      <c r="B983" s="679">
        <v>45054</v>
      </c>
      <c r="C983" s="674" t="s">
        <v>10015</v>
      </c>
      <c r="D983" s="674" t="s">
        <v>9907</v>
      </c>
      <c r="E983" s="674" t="s">
        <v>10016</v>
      </c>
      <c r="F983" s="674" t="s">
        <v>9771</v>
      </c>
      <c r="G983" s="680"/>
      <c r="H983" s="680"/>
      <c r="I983" s="680"/>
      <c r="J983" s="680">
        <v>6000</v>
      </c>
      <c r="K983" s="674" t="s">
        <v>10017</v>
      </c>
      <c r="L983" s="674" t="s">
        <v>10019</v>
      </c>
      <c r="M983" s="674" t="s">
        <v>9594</v>
      </c>
      <c r="N983" s="674" t="s">
        <v>9931</v>
      </c>
    </row>
    <row r="984" spans="1:14">
      <c r="A984" s="1067"/>
      <c r="B984" s="679">
        <v>45133</v>
      </c>
      <c r="C984" s="674" t="s">
        <v>10015</v>
      </c>
      <c r="D984" s="674" t="s">
        <v>9907</v>
      </c>
      <c r="E984" s="674" t="s">
        <v>10016</v>
      </c>
      <c r="F984" s="674" t="s">
        <v>9771</v>
      </c>
      <c r="G984" s="680"/>
      <c r="H984" s="680"/>
      <c r="I984" s="680"/>
      <c r="J984" s="680">
        <v>10000</v>
      </c>
      <c r="K984" s="674" t="s">
        <v>10017</v>
      </c>
      <c r="L984" s="674" t="s">
        <v>10020</v>
      </c>
      <c r="M984" s="674" t="s">
        <v>9594</v>
      </c>
      <c r="N984" s="674" t="s">
        <v>9931</v>
      </c>
    </row>
    <row r="985" spans="1:14">
      <c r="A985" s="1067"/>
      <c r="B985" s="679">
        <v>45167</v>
      </c>
      <c r="C985" s="674" t="s">
        <v>10015</v>
      </c>
      <c r="D985" s="674" t="s">
        <v>9907</v>
      </c>
      <c r="E985" s="674" t="s">
        <v>10016</v>
      </c>
      <c r="F985" s="674" t="s">
        <v>9771</v>
      </c>
      <c r="G985" s="680"/>
      <c r="H985" s="680"/>
      <c r="I985" s="680"/>
      <c r="J985" s="680">
        <v>3000</v>
      </c>
      <c r="K985" s="674" t="s">
        <v>10017</v>
      </c>
      <c r="L985" s="674" t="s">
        <v>10021</v>
      </c>
      <c r="M985" s="674" t="s">
        <v>9594</v>
      </c>
      <c r="N985" s="674" t="s">
        <v>9931</v>
      </c>
    </row>
    <row r="986" spans="1:14">
      <c r="A986" s="1067"/>
      <c r="B986" s="679">
        <v>45115</v>
      </c>
      <c r="C986" s="674" t="s">
        <v>10022</v>
      </c>
      <c r="D986" s="674" t="s">
        <v>9907</v>
      </c>
      <c r="E986" s="674" t="s">
        <v>10016</v>
      </c>
      <c r="F986" s="674" t="s">
        <v>9771</v>
      </c>
      <c r="G986" s="680"/>
      <c r="H986" s="680"/>
      <c r="I986" s="680"/>
      <c r="J986" s="680">
        <v>4000</v>
      </c>
      <c r="K986" s="674" t="s">
        <v>10017</v>
      </c>
      <c r="L986" s="674" t="s">
        <v>10023</v>
      </c>
      <c r="M986" s="674" t="s">
        <v>9594</v>
      </c>
      <c r="N986" s="674" t="s">
        <v>9931</v>
      </c>
    </row>
    <row r="987" spans="1:14">
      <c r="A987" s="1067"/>
      <c r="B987" s="679">
        <v>44992</v>
      </c>
      <c r="C987" s="674" t="s">
        <v>10024</v>
      </c>
      <c r="D987" s="674" t="s">
        <v>10025</v>
      </c>
      <c r="E987" s="674" t="s">
        <v>10013</v>
      </c>
      <c r="F987" s="674" t="s">
        <v>9771</v>
      </c>
      <c r="G987" s="680"/>
      <c r="H987" s="680">
        <v>429752.54</v>
      </c>
      <c r="I987" s="680"/>
      <c r="J987" s="680">
        <v>20000</v>
      </c>
      <c r="K987" s="674" t="s">
        <v>9444</v>
      </c>
      <c r="L987" s="674" t="s">
        <v>10026</v>
      </c>
      <c r="M987" s="674" t="s">
        <v>9594</v>
      </c>
      <c r="N987" s="674" t="s">
        <v>9931</v>
      </c>
    </row>
    <row r="988" spans="1:14">
      <c r="A988" s="1067"/>
      <c r="B988" s="679">
        <v>45054</v>
      </c>
      <c r="C988" s="674" t="s">
        <v>10024</v>
      </c>
      <c r="D988" s="674" t="s">
        <v>10025</v>
      </c>
      <c r="E988" s="674" t="s">
        <v>10013</v>
      </c>
      <c r="F988" s="674" t="s">
        <v>9771</v>
      </c>
      <c r="G988" s="680"/>
      <c r="H988" s="680"/>
      <c r="I988" s="680"/>
      <c r="J988" s="680">
        <v>20000</v>
      </c>
      <c r="K988" s="674" t="s">
        <v>9444</v>
      </c>
      <c r="L988" s="674" t="s">
        <v>10027</v>
      </c>
      <c r="M988" s="674" t="s">
        <v>9594</v>
      </c>
      <c r="N988" s="674" t="s">
        <v>9931</v>
      </c>
    </row>
    <row r="989" spans="1:14">
      <c r="A989" s="1067"/>
      <c r="B989" s="679">
        <v>45180</v>
      </c>
      <c r="C989" s="674" t="s">
        <v>10024</v>
      </c>
      <c r="D989" s="674" t="s">
        <v>10025</v>
      </c>
      <c r="E989" s="674" t="s">
        <v>10013</v>
      </c>
      <c r="F989" s="674" t="s">
        <v>9771</v>
      </c>
      <c r="G989" s="680"/>
      <c r="H989" s="680"/>
      <c r="I989" s="680"/>
      <c r="J989" s="680">
        <v>15000</v>
      </c>
      <c r="K989" s="674" t="s">
        <v>9444</v>
      </c>
      <c r="L989" s="674" t="s">
        <v>10028</v>
      </c>
      <c r="M989" s="674" t="s">
        <v>9594</v>
      </c>
      <c r="N989" s="674" t="s">
        <v>9931</v>
      </c>
    </row>
    <row r="990" spans="1:14">
      <c r="A990" s="1067"/>
      <c r="B990" s="679">
        <v>44993</v>
      </c>
      <c r="C990" s="674" t="s">
        <v>10029</v>
      </c>
      <c r="D990" s="674" t="s">
        <v>10030</v>
      </c>
      <c r="E990" s="674" t="s">
        <v>10031</v>
      </c>
      <c r="F990" s="674" t="s">
        <v>9771</v>
      </c>
      <c r="G990" s="680"/>
      <c r="H990" s="680">
        <v>145539.41</v>
      </c>
      <c r="I990" s="680"/>
      <c r="J990" s="680">
        <v>15000</v>
      </c>
      <c r="K990" s="674" t="s">
        <v>10032</v>
      </c>
      <c r="L990" s="674" t="s">
        <v>10033</v>
      </c>
      <c r="M990" s="674" t="s">
        <v>9594</v>
      </c>
      <c r="N990" s="674" t="s">
        <v>9931</v>
      </c>
    </row>
    <row r="991" spans="1:14">
      <c r="A991" s="1067"/>
      <c r="B991" s="679">
        <v>45056</v>
      </c>
      <c r="C991" s="674" t="s">
        <v>10029</v>
      </c>
      <c r="D991" s="674" t="s">
        <v>10030</v>
      </c>
      <c r="E991" s="674" t="s">
        <v>10031</v>
      </c>
      <c r="F991" s="674" t="s">
        <v>9771</v>
      </c>
      <c r="G991" s="680"/>
      <c r="H991" s="680"/>
      <c r="I991" s="680"/>
      <c r="J991" s="680">
        <v>20000</v>
      </c>
      <c r="K991" s="674" t="s">
        <v>10032</v>
      </c>
      <c r="L991" s="674" t="s">
        <v>10034</v>
      </c>
      <c r="M991" s="674" t="s">
        <v>9594</v>
      </c>
      <c r="N991" s="674" t="s">
        <v>9931</v>
      </c>
    </row>
    <row r="992" spans="1:14">
      <c r="A992" s="1067"/>
      <c r="B992" s="679">
        <v>45093</v>
      </c>
      <c r="C992" s="674" t="s">
        <v>10029</v>
      </c>
      <c r="D992" s="674" t="s">
        <v>10030</v>
      </c>
      <c r="E992" s="674" t="s">
        <v>10031</v>
      </c>
      <c r="F992" s="674" t="s">
        <v>9771</v>
      </c>
      <c r="G992" s="680"/>
      <c r="H992" s="680"/>
      <c r="I992" s="680"/>
      <c r="J992" s="680">
        <v>12000</v>
      </c>
      <c r="K992" s="674" t="s">
        <v>10032</v>
      </c>
      <c r="L992" s="674" t="s">
        <v>10035</v>
      </c>
      <c r="M992" s="674" t="s">
        <v>9594</v>
      </c>
      <c r="N992" s="674" t="s">
        <v>9931</v>
      </c>
    </row>
    <row r="993" spans="1:14">
      <c r="A993" s="1067"/>
      <c r="B993" s="679">
        <v>45027</v>
      </c>
      <c r="C993" s="674" t="s">
        <v>10029</v>
      </c>
      <c r="D993" s="674" t="s">
        <v>10030</v>
      </c>
      <c r="E993" s="674" t="s">
        <v>10031</v>
      </c>
      <c r="F993" s="674" t="s">
        <v>9771</v>
      </c>
      <c r="G993" s="680"/>
      <c r="H993" s="680"/>
      <c r="I993" s="680"/>
      <c r="J993" s="680">
        <v>10000</v>
      </c>
      <c r="K993" s="674" t="s">
        <v>10032</v>
      </c>
      <c r="L993" s="674" t="s">
        <v>10036</v>
      </c>
      <c r="M993" s="674" t="s">
        <v>9594</v>
      </c>
      <c r="N993" s="674" t="s">
        <v>9931</v>
      </c>
    </row>
    <row r="994" spans="1:14">
      <c r="A994" s="1067"/>
      <c r="B994" s="679">
        <v>45134</v>
      </c>
      <c r="C994" s="674" t="s">
        <v>10029</v>
      </c>
      <c r="D994" s="674" t="s">
        <v>10030</v>
      </c>
      <c r="E994" s="674" t="s">
        <v>10031</v>
      </c>
      <c r="F994" s="674" t="s">
        <v>9771</v>
      </c>
      <c r="G994" s="680"/>
      <c r="H994" s="680"/>
      <c r="I994" s="680"/>
      <c r="J994" s="680">
        <v>10000</v>
      </c>
      <c r="K994" s="674" t="s">
        <v>10032</v>
      </c>
      <c r="L994" s="674" t="s">
        <v>10037</v>
      </c>
      <c r="M994" s="674" t="s">
        <v>9594</v>
      </c>
      <c r="N994" s="674" t="s">
        <v>9931</v>
      </c>
    </row>
    <row r="995" spans="1:14">
      <c r="A995" s="1067"/>
      <c r="B995" s="679">
        <v>45140</v>
      </c>
      <c r="C995" s="674" t="s">
        <v>10029</v>
      </c>
      <c r="D995" s="674" t="s">
        <v>10030</v>
      </c>
      <c r="E995" s="674" t="s">
        <v>10031</v>
      </c>
      <c r="F995" s="674" t="s">
        <v>9771</v>
      </c>
      <c r="G995" s="680"/>
      <c r="H995" s="680"/>
      <c r="I995" s="680"/>
      <c r="J995" s="680">
        <v>30000</v>
      </c>
      <c r="K995" s="674" t="s">
        <v>10032</v>
      </c>
      <c r="L995" s="674" t="s">
        <v>10038</v>
      </c>
      <c r="M995" s="674" t="s">
        <v>9594</v>
      </c>
      <c r="N995" s="674" t="s">
        <v>9931</v>
      </c>
    </row>
    <row r="996" spans="1:14">
      <c r="A996" s="1067"/>
      <c r="B996" s="679">
        <v>45253</v>
      </c>
      <c r="C996" s="674" t="s">
        <v>10029</v>
      </c>
      <c r="D996" s="674" t="s">
        <v>10030</v>
      </c>
      <c r="E996" s="674" t="s">
        <v>10031</v>
      </c>
      <c r="F996" s="674" t="s">
        <v>9771</v>
      </c>
      <c r="G996" s="680"/>
      <c r="H996" s="680"/>
      <c r="I996" s="680"/>
      <c r="J996" s="680">
        <v>12500</v>
      </c>
      <c r="K996" s="674" t="s">
        <v>10032</v>
      </c>
      <c r="L996" s="674" t="s">
        <v>10039</v>
      </c>
      <c r="M996" s="674" t="s">
        <v>9594</v>
      </c>
      <c r="N996" s="674" t="s">
        <v>9931</v>
      </c>
    </row>
    <row r="997" spans="1:14">
      <c r="A997" s="1067"/>
      <c r="B997" s="679">
        <v>44993</v>
      </c>
      <c r="C997" s="674" t="s">
        <v>10040</v>
      </c>
      <c r="D997" s="674" t="s">
        <v>10041</v>
      </c>
      <c r="E997" s="674" t="s">
        <v>10042</v>
      </c>
      <c r="F997" s="674" t="s">
        <v>10043</v>
      </c>
      <c r="G997" s="680"/>
      <c r="H997" s="680">
        <v>84000</v>
      </c>
      <c r="I997" s="680"/>
      <c r="J997" s="680">
        <v>7000</v>
      </c>
      <c r="K997" s="674" t="s">
        <v>10044</v>
      </c>
      <c r="L997" s="674" t="s">
        <v>10045</v>
      </c>
      <c r="M997" s="674" t="s">
        <v>9594</v>
      </c>
      <c r="N997" s="674" t="s">
        <v>9931</v>
      </c>
    </row>
    <row r="998" spans="1:14">
      <c r="A998" s="1067"/>
      <c r="B998" s="679">
        <v>45059</v>
      </c>
      <c r="C998" s="674" t="s">
        <v>10040</v>
      </c>
      <c r="D998" s="674" t="s">
        <v>10041</v>
      </c>
      <c r="E998" s="674" t="s">
        <v>10042</v>
      </c>
      <c r="F998" s="674" t="s">
        <v>10043</v>
      </c>
      <c r="G998" s="680"/>
      <c r="H998" s="680"/>
      <c r="I998" s="680"/>
      <c r="J998" s="680">
        <v>7500</v>
      </c>
      <c r="K998" s="674" t="s">
        <v>10044</v>
      </c>
      <c r="L998" s="674" t="s">
        <v>10046</v>
      </c>
      <c r="M998" s="674" t="s">
        <v>9594</v>
      </c>
      <c r="N998" s="674" t="s">
        <v>9931</v>
      </c>
    </row>
    <row r="999" spans="1:14">
      <c r="A999" s="1067"/>
      <c r="B999" s="679">
        <v>45077</v>
      </c>
      <c r="C999" s="674" t="s">
        <v>10047</v>
      </c>
      <c r="D999" s="674" t="s">
        <v>9907</v>
      </c>
      <c r="E999" s="674" t="s">
        <v>9908</v>
      </c>
      <c r="F999" s="674" t="s">
        <v>9771</v>
      </c>
      <c r="G999" s="680"/>
      <c r="H999" s="680">
        <v>49000</v>
      </c>
      <c r="I999" s="680"/>
      <c r="J999" s="680">
        <v>10000</v>
      </c>
      <c r="K999" s="674" t="s">
        <v>10048</v>
      </c>
      <c r="L999" s="674" t="s">
        <v>10049</v>
      </c>
      <c r="M999" s="674" t="s">
        <v>9594</v>
      </c>
      <c r="N999" s="674" t="s">
        <v>9833</v>
      </c>
    </row>
    <row r="1000" spans="1:14">
      <c r="A1000" s="1067"/>
      <c r="B1000" s="679">
        <v>45110</v>
      </c>
      <c r="C1000" s="674" t="s">
        <v>10047</v>
      </c>
      <c r="D1000" s="674" t="s">
        <v>9907</v>
      </c>
      <c r="E1000" s="674" t="s">
        <v>9908</v>
      </c>
      <c r="F1000" s="674" t="s">
        <v>9771</v>
      </c>
      <c r="G1000" s="680"/>
      <c r="H1000" s="680"/>
      <c r="I1000" s="680"/>
      <c r="J1000" s="680">
        <v>10000</v>
      </c>
      <c r="K1000" s="674" t="s">
        <v>10048</v>
      </c>
      <c r="L1000" s="674" t="s">
        <v>10050</v>
      </c>
      <c r="M1000" s="674" t="s">
        <v>9594</v>
      </c>
      <c r="N1000" s="674" t="s">
        <v>9833</v>
      </c>
    </row>
    <row r="1001" spans="1:14">
      <c r="A1001" s="1067"/>
      <c r="B1001" s="679">
        <v>45161</v>
      </c>
      <c r="C1001" s="674" t="s">
        <v>10047</v>
      </c>
      <c r="D1001" s="674" t="s">
        <v>9907</v>
      </c>
      <c r="E1001" s="674" t="s">
        <v>9908</v>
      </c>
      <c r="F1001" s="674" t="s">
        <v>9771</v>
      </c>
      <c r="G1001" s="680"/>
      <c r="H1001" s="680"/>
      <c r="I1001" s="680"/>
      <c r="J1001" s="680">
        <v>7000</v>
      </c>
      <c r="K1001" s="674" t="s">
        <v>10048</v>
      </c>
      <c r="L1001" s="674" t="s">
        <v>10051</v>
      </c>
      <c r="M1001" s="674" t="s">
        <v>9594</v>
      </c>
      <c r="N1001" s="674" t="s">
        <v>9833</v>
      </c>
    </row>
    <row r="1002" spans="1:14">
      <c r="A1002" s="1067"/>
      <c r="B1002" s="679">
        <v>45184</v>
      </c>
      <c r="C1002" s="674" t="s">
        <v>10047</v>
      </c>
      <c r="D1002" s="674" t="s">
        <v>9907</v>
      </c>
      <c r="E1002" s="674" t="s">
        <v>9908</v>
      </c>
      <c r="F1002" s="674" t="s">
        <v>9771</v>
      </c>
      <c r="G1002" s="680"/>
      <c r="H1002" s="680"/>
      <c r="I1002" s="680"/>
      <c r="J1002" s="680">
        <v>2000</v>
      </c>
      <c r="K1002" s="674" t="s">
        <v>10048</v>
      </c>
      <c r="L1002" s="674" t="s">
        <v>9832</v>
      </c>
      <c r="M1002" s="674" t="s">
        <v>9594</v>
      </c>
      <c r="N1002" s="674" t="s">
        <v>9833</v>
      </c>
    </row>
    <row r="1003" spans="1:14">
      <c r="A1003" s="1067"/>
      <c r="B1003" s="679">
        <v>45196</v>
      </c>
      <c r="C1003" s="674" t="s">
        <v>10052</v>
      </c>
      <c r="D1003" s="674" t="s">
        <v>10003</v>
      </c>
      <c r="E1003" s="674" t="s">
        <v>10053</v>
      </c>
      <c r="F1003" s="674" t="s">
        <v>9960</v>
      </c>
      <c r="G1003" s="680"/>
      <c r="H1003" s="680">
        <v>9336</v>
      </c>
      <c r="I1003" s="680"/>
      <c r="J1003" s="680">
        <v>9336</v>
      </c>
      <c r="K1003" s="674" t="s">
        <v>10054</v>
      </c>
      <c r="L1003" s="674" t="s">
        <v>10055</v>
      </c>
      <c r="M1003" s="674" t="s">
        <v>10056</v>
      </c>
      <c r="N1003" s="674" t="s">
        <v>9833</v>
      </c>
    </row>
    <row r="1004" spans="1:14">
      <c r="A1004" s="1067"/>
      <c r="B1004" s="679">
        <v>45212</v>
      </c>
      <c r="C1004" s="674" t="s">
        <v>10057</v>
      </c>
      <c r="D1004" s="674" t="s">
        <v>10058</v>
      </c>
      <c r="E1004" s="674" t="s">
        <v>9875</v>
      </c>
      <c r="F1004" s="674" t="s">
        <v>10043</v>
      </c>
      <c r="G1004" s="680"/>
      <c r="H1004" s="680"/>
      <c r="I1004" s="680"/>
      <c r="J1004" s="680">
        <v>30000</v>
      </c>
      <c r="K1004" s="674" t="s">
        <v>10059</v>
      </c>
      <c r="L1004" s="674" t="s">
        <v>10060</v>
      </c>
      <c r="M1004" s="674" t="s">
        <v>9594</v>
      </c>
      <c r="N1004" s="674" t="s">
        <v>9833</v>
      </c>
    </row>
    <row r="1005" spans="1:14">
      <c r="A1005" s="1067"/>
      <c r="B1005" s="679">
        <v>45237</v>
      </c>
      <c r="C1005" s="674" t="s">
        <v>10057</v>
      </c>
      <c r="D1005" s="674" t="s">
        <v>10058</v>
      </c>
      <c r="E1005" s="674" t="s">
        <v>9875</v>
      </c>
      <c r="F1005" s="674" t="s">
        <v>10043</v>
      </c>
      <c r="G1005" s="680"/>
      <c r="H1005" s="680"/>
      <c r="I1005" s="680"/>
      <c r="J1005" s="680">
        <v>5000</v>
      </c>
      <c r="K1005" s="674" t="s">
        <v>10059</v>
      </c>
      <c r="L1005" s="674" t="s">
        <v>9832</v>
      </c>
      <c r="M1005" s="674" t="s">
        <v>9594</v>
      </c>
      <c r="N1005" s="674" t="s">
        <v>9833</v>
      </c>
    </row>
    <row r="1006" spans="1:14">
      <c r="A1006" s="1067"/>
      <c r="B1006" s="679">
        <v>45244</v>
      </c>
      <c r="C1006" s="674" t="s">
        <v>10057</v>
      </c>
      <c r="D1006" s="674" t="s">
        <v>10058</v>
      </c>
      <c r="E1006" s="674" t="s">
        <v>9875</v>
      </c>
      <c r="F1006" s="674" t="s">
        <v>10043</v>
      </c>
      <c r="G1006" s="680"/>
      <c r="H1006" s="680"/>
      <c r="I1006" s="680"/>
      <c r="J1006" s="680">
        <v>35000</v>
      </c>
      <c r="K1006" s="674" t="s">
        <v>10059</v>
      </c>
      <c r="L1006" s="674" t="s">
        <v>10061</v>
      </c>
      <c r="M1006" s="674" t="s">
        <v>9594</v>
      </c>
      <c r="N1006" s="674" t="s">
        <v>9833</v>
      </c>
    </row>
    <row r="1007" spans="1:14">
      <c r="A1007" s="1067"/>
      <c r="B1007" s="679">
        <v>45253</v>
      </c>
      <c r="C1007" s="674" t="s">
        <v>10057</v>
      </c>
      <c r="D1007" s="674" t="s">
        <v>10058</v>
      </c>
      <c r="E1007" s="674" t="s">
        <v>9875</v>
      </c>
      <c r="F1007" s="674" t="s">
        <v>10043</v>
      </c>
      <c r="G1007" s="680"/>
      <c r="H1007" s="680"/>
      <c r="I1007" s="680"/>
      <c r="J1007" s="680">
        <v>20000</v>
      </c>
      <c r="K1007" s="674" t="s">
        <v>10059</v>
      </c>
      <c r="L1007" s="674" t="s">
        <v>10062</v>
      </c>
      <c r="M1007" s="674" t="s">
        <v>9594</v>
      </c>
      <c r="N1007" s="674" t="s">
        <v>9833</v>
      </c>
    </row>
    <row r="1008" spans="1:14">
      <c r="A1008" s="1067"/>
      <c r="B1008" s="679">
        <v>45230</v>
      </c>
      <c r="C1008" s="674" t="s">
        <v>10057</v>
      </c>
      <c r="D1008" s="674" t="s">
        <v>10058</v>
      </c>
      <c r="E1008" s="674" t="s">
        <v>9875</v>
      </c>
      <c r="F1008" s="674" t="s">
        <v>10043</v>
      </c>
      <c r="G1008" s="680"/>
      <c r="H1008" s="680"/>
      <c r="I1008" s="680"/>
      <c r="J1008" s="680">
        <v>35000</v>
      </c>
      <c r="K1008" s="674" t="s">
        <v>10059</v>
      </c>
      <c r="L1008" s="674" t="s">
        <v>10063</v>
      </c>
      <c r="M1008" s="674" t="s">
        <v>9594</v>
      </c>
      <c r="N1008" s="674" t="s">
        <v>9833</v>
      </c>
    </row>
    <row r="1009" spans="1:14">
      <c r="A1009" s="1067"/>
      <c r="B1009" s="679">
        <v>45237</v>
      </c>
      <c r="C1009" s="674" t="s">
        <v>10057</v>
      </c>
      <c r="D1009" s="674" t="s">
        <v>10058</v>
      </c>
      <c r="E1009" s="674" t="s">
        <v>9875</v>
      </c>
      <c r="F1009" s="674" t="s">
        <v>10043</v>
      </c>
      <c r="G1009" s="680"/>
      <c r="H1009" s="680"/>
      <c r="I1009" s="680"/>
      <c r="J1009" s="680">
        <v>50000</v>
      </c>
      <c r="K1009" s="674" t="s">
        <v>10059</v>
      </c>
      <c r="L1009" s="674" t="s">
        <v>10064</v>
      </c>
      <c r="M1009" s="674" t="s">
        <v>9594</v>
      </c>
      <c r="N1009" s="674" t="s">
        <v>9833</v>
      </c>
    </row>
    <row r="1010" spans="1:14">
      <c r="A1010" s="1067"/>
      <c r="B1010" s="679">
        <v>45259</v>
      </c>
      <c r="C1010" s="674" t="s">
        <v>10065</v>
      </c>
      <c r="D1010" s="674" t="s">
        <v>10030</v>
      </c>
      <c r="E1010" s="674" t="s">
        <v>10066</v>
      </c>
      <c r="F1010" s="674" t="s">
        <v>9771</v>
      </c>
      <c r="G1010" s="680"/>
      <c r="H1010" s="680">
        <v>148717.24</v>
      </c>
      <c r="I1010" s="680"/>
      <c r="J1010" s="680">
        <v>50000</v>
      </c>
      <c r="K1010" s="674" t="s">
        <v>10059</v>
      </c>
      <c r="L1010" s="674" t="s">
        <v>10067</v>
      </c>
      <c r="M1010" s="674" t="s">
        <v>9594</v>
      </c>
      <c r="N1010" s="674" t="s">
        <v>9833</v>
      </c>
    </row>
    <row r="1011" spans="1:14">
      <c r="A1011" s="1067"/>
      <c r="B1011" s="679">
        <v>45287</v>
      </c>
      <c r="C1011" s="674" t="s">
        <v>10065</v>
      </c>
      <c r="D1011" s="674" t="s">
        <v>10030</v>
      </c>
      <c r="E1011" s="674" t="s">
        <v>10066</v>
      </c>
      <c r="F1011" s="674" t="s">
        <v>9771</v>
      </c>
      <c r="G1011" s="680"/>
      <c r="H1011" s="680"/>
      <c r="I1011" s="680"/>
      <c r="J1011" s="680">
        <v>20000</v>
      </c>
      <c r="K1011" s="674" t="s">
        <v>10059</v>
      </c>
      <c r="L1011" s="674" t="s">
        <v>10068</v>
      </c>
      <c r="M1011" s="674" t="s">
        <v>9594</v>
      </c>
      <c r="N1011" s="674" t="s">
        <v>9833</v>
      </c>
    </row>
    <row r="1012" spans="1:14">
      <c r="A1012" s="1067"/>
      <c r="B1012" s="679">
        <v>45251</v>
      </c>
      <c r="C1012" s="674" t="s">
        <v>10069</v>
      </c>
      <c r="D1012" s="674" t="s">
        <v>9907</v>
      </c>
      <c r="E1012" s="674" t="s">
        <v>9908</v>
      </c>
      <c r="F1012" s="674" t="s">
        <v>10043</v>
      </c>
      <c r="G1012" s="680"/>
      <c r="H1012" s="680">
        <v>172769</v>
      </c>
      <c r="I1012" s="680"/>
      <c r="J1012" s="680">
        <v>25000</v>
      </c>
      <c r="K1012" s="674" t="s">
        <v>10070</v>
      </c>
      <c r="L1012" s="674" t="s">
        <v>10071</v>
      </c>
      <c r="M1012" s="674" t="s">
        <v>9594</v>
      </c>
      <c r="N1012" s="674" t="s">
        <v>9833</v>
      </c>
    </row>
    <row r="1013" spans="1:14">
      <c r="A1013" s="1067"/>
      <c r="B1013" s="679">
        <v>45283</v>
      </c>
      <c r="C1013" s="674" t="s">
        <v>10069</v>
      </c>
      <c r="D1013" s="674" t="s">
        <v>9907</v>
      </c>
      <c r="E1013" s="674" t="s">
        <v>9908</v>
      </c>
      <c r="F1013" s="674" t="s">
        <v>10043</v>
      </c>
      <c r="G1013" s="680"/>
      <c r="H1013" s="680"/>
      <c r="I1013" s="680"/>
      <c r="J1013" s="680">
        <v>3000</v>
      </c>
      <c r="K1013" s="674" t="s">
        <v>10070</v>
      </c>
      <c r="L1013" s="674" t="s">
        <v>10072</v>
      </c>
      <c r="M1013" s="674" t="s">
        <v>9594</v>
      </c>
      <c r="N1013" s="674" t="s">
        <v>9833</v>
      </c>
    </row>
    <row r="1014" spans="1:14">
      <c r="A1014" s="1067"/>
      <c r="B1014" s="679">
        <v>45287</v>
      </c>
      <c r="C1014" s="674" t="s">
        <v>10069</v>
      </c>
      <c r="D1014" s="674" t="s">
        <v>9907</v>
      </c>
      <c r="E1014" s="674" t="s">
        <v>9908</v>
      </c>
      <c r="F1014" s="674" t="s">
        <v>10043</v>
      </c>
      <c r="G1014" s="680"/>
      <c r="H1014" s="680">
        <v>2136</v>
      </c>
      <c r="I1014" s="680"/>
      <c r="J1014" s="680">
        <v>2136</v>
      </c>
      <c r="K1014" s="674" t="s">
        <v>10070</v>
      </c>
      <c r="L1014" s="674" t="s">
        <v>10073</v>
      </c>
      <c r="M1014" s="674" t="s">
        <v>9594</v>
      </c>
      <c r="N1014" s="674" t="s">
        <v>9833</v>
      </c>
    </row>
    <row r="1015" spans="1:14">
      <c r="A1015" s="1067"/>
      <c r="B1015" s="679">
        <v>45266</v>
      </c>
      <c r="C1015" s="674" t="s">
        <v>10074</v>
      </c>
      <c r="D1015" s="674" t="s">
        <v>10003</v>
      </c>
      <c r="E1015" s="674" t="s">
        <v>10013</v>
      </c>
      <c r="F1015" s="674" t="s">
        <v>9771</v>
      </c>
      <c r="G1015" s="680"/>
      <c r="H1015" s="680">
        <v>20716.23</v>
      </c>
      <c r="I1015" s="680"/>
      <c r="J1015" s="680">
        <v>15000</v>
      </c>
      <c r="K1015" s="674" t="s">
        <v>10075</v>
      </c>
      <c r="L1015" s="674" t="s">
        <v>10076</v>
      </c>
      <c r="M1015" s="674" t="s">
        <v>9594</v>
      </c>
      <c r="N1015" s="674" t="s">
        <v>9931</v>
      </c>
    </row>
    <row r="1016" spans="1:14">
      <c r="A1016" s="1067"/>
      <c r="B1016" s="679">
        <v>45287</v>
      </c>
      <c r="C1016" s="674" t="s">
        <v>10077</v>
      </c>
      <c r="D1016" s="674" t="s">
        <v>10003</v>
      </c>
      <c r="E1016" s="674" t="s">
        <v>10013</v>
      </c>
      <c r="F1016" s="674" t="s">
        <v>10043</v>
      </c>
      <c r="G1016" s="680"/>
      <c r="H1016" s="680">
        <v>10534.16</v>
      </c>
      <c r="I1016" s="680"/>
      <c r="J1016" s="680">
        <v>8000</v>
      </c>
      <c r="K1016" s="674" t="s">
        <v>10078</v>
      </c>
      <c r="L1016" s="674" t="s">
        <v>10079</v>
      </c>
      <c r="M1016" s="674" t="s">
        <v>9956</v>
      </c>
      <c r="N1016" s="674" t="s">
        <v>9931</v>
      </c>
    </row>
    <row r="1017" spans="1:14">
      <c r="A1017" s="1067"/>
      <c r="B1017" s="679">
        <v>45029</v>
      </c>
      <c r="C1017" s="674" t="s">
        <v>10080</v>
      </c>
      <c r="D1017" s="674" t="s">
        <v>10003</v>
      </c>
      <c r="E1017" s="674" t="s">
        <v>10081</v>
      </c>
      <c r="F1017" s="674"/>
      <c r="G1017" s="680"/>
      <c r="H1017" s="680">
        <v>57579.5</v>
      </c>
      <c r="I1017" s="680"/>
      <c r="J1017" s="680">
        <v>400</v>
      </c>
      <c r="K1017" s="674" t="s">
        <v>9105</v>
      </c>
      <c r="L1017" s="674" t="s">
        <v>9832</v>
      </c>
      <c r="M1017" s="674" t="s">
        <v>9594</v>
      </c>
      <c r="N1017" s="674" t="s">
        <v>9833</v>
      </c>
    </row>
    <row r="1018" spans="1:14">
      <c r="A1018" s="1067"/>
      <c r="B1018" s="679">
        <v>45239</v>
      </c>
      <c r="C1018" s="674" t="s">
        <v>10082</v>
      </c>
      <c r="D1018" s="674" t="s">
        <v>10003</v>
      </c>
      <c r="E1018" s="674" t="s">
        <v>10081</v>
      </c>
      <c r="F1018" s="674" t="s">
        <v>10083</v>
      </c>
      <c r="G1018" s="680"/>
      <c r="H1018" s="680">
        <v>140000</v>
      </c>
      <c r="I1018" s="680"/>
      <c r="J1018" s="680">
        <v>80000</v>
      </c>
      <c r="K1018" s="674" t="s">
        <v>10084</v>
      </c>
      <c r="L1018" s="674" t="s">
        <v>10085</v>
      </c>
      <c r="M1018" s="674" t="s">
        <v>10056</v>
      </c>
      <c r="N1018" s="674" t="s">
        <v>9833</v>
      </c>
    </row>
    <row r="1019" spans="1:14">
      <c r="A1019" s="1067"/>
      <c r="B1019" s="679">
        <v>45269</v>
      </c>
      <c r="C1019" s="674" t="s">
        <v>10082</v>
      </c>
      <c r="D1019" s="674" t="s">
        <v>10003</v>
      </c>
      <c r="E1019" s="674" t="s">
        <v>10081</v>
      </c>
      <c r="F1019" s="674" t="s">
        <v>10083</v>
      </c>
      <c r="G1019" s="680"/>
      <c r="H1019" s="680"/>
      <c r="I1019" s="680"/>
      <c r="J1019" s="680">
        <v>60000</v>
      </c>
      <c r="K1019" s="674" t="s">
        <v>10084</v>
      </c>
      <c r="L1019" s="674" t="s">
        <v>10086</v>
      </c>
      <c r="M1019" s="674" t="s">
        <v>10056</v>
      </c>
      <c r="N1019" s="674" t="s">
        <v>9833</v>
      </c>
    </row>
    <row r="1020" spans="1:14">
      <c r="A1020" s="1067"/>
      <c r="B1020" s="679">
        <v>45250</v>
      </c>
      <c r="C1020" s="674" t="s">
        <v>10087</v>
      </c>
      <c r="D1020" s="674" t="s">
        <v>10003</v>
      </c>
      <c r="E1020" s="674" t="s">
        <v>10081</v>
      </c>
      <c r="F1020" s="674" t="s">
        <v>10088</v>
      </c>
      <c r="G1020" s="680"/>
      <c r="H1020" s="680">
        <v>14964</v>
      </c>
      <c r="I1020" s="680"/>
      <c r="J1020" s="680">
        <v>14964</v>
      </c>
      <c r="K1020" s="674" t="s">
        <v>10089</v>
      </c>
      <c r="L1020" s="674" t="s">
        <v>10090</v>
      </c>
      <c r="M1020" s="674" t="s">
        <v>9594</v>
      </c>
      <c r="N1020" s="674" t="s">
        <v>9833</v>
      </c>
    </row>
    <row r="1021" spans="1:14">
      <c r="A1021" s="1067"/>
      <c r="B1021" s="679">
        <v>45268</v>
      </c>
      <c r="C1021" s="674" t="s">
        <v>10091</v>
      </c>
      <c r="D1021" s="674" t="s">
        <v>10003</v>
      </c>
      <c r="E1021" s="674" t="s">
        <v>10081</v>
      </c>
      <c r="F1021" s="674" t="s">
        <v>9960</v>
      </c>
      <c r="G1021" s="680"/>
      <c r="H1021" s="680"/>
      <c r="I1021" s="680"/>
      <c r="J1021" s="680">
        <v>2800</v>
      </c>
      <c r="K1021" s="674" t="s">
        <v>10089</v>
      </c>
      <c r="L1021" s="674" t="s">
        <v>10092</v>
      </c>
      <c r="M1021" s="674" t="s">
        <v>9594</v>
      </c>
      <c r="N1021" s="674" t="s">
        <v>9833</v>
      </c>
    </row>
    <row r="1022" spans="1:14">
      <c r="A1022" s="1067"/>
      <c r="B1022" s="679">
        <v>45283</v>
      </c>
      <c r="C1022" s="674" t="s">
        <v>10093</v>
      </c>
      <c r="D1022" s="674" t="s">
        <v>10003</v>
      </c>
      <c r="E1022" s="674" t="s">
        <v>10081</v>
      </c>
      <c r="F1022" s="674" t="s">
        <v>10043</v>
      </c>
      <c r="G1022" s="680"/>
      <c r="H1022" s="680"/>
      <c r="I1022" s="680"/>
      <c r="J1022" s="680">
        <v>3000</v>
      </c>
      <c r="K1022" s="674" t="s">
        <v>10094</v>
      </c>
      <c r="L1022" s="674" t="s">
        <v>9832</v>
      </c>
      <c r="M1022" s="674" t="s">
        <v>9594</v>
      </c>
      <c r="N1022" s="674" t="s">
        <v>9833</v>
      </c>
    </row>
    <row r="1023" spans="1:14">
      <c r="A1023" s="1067"/>
      <c r="B1023" s="679">
        <v>45024</v>
      </c>
      <c r="C1023" s="674" t="s">
        <v>10095</v>
      </c>
      <c r="D1023" s="674" t="s">
        <v>10003</v>
      </c>
      <c r="E1023" s="674" t="s">
        <v>10081</v>
      </c>
      <c r="F1023" s="674" t="s">
        <v>10043</v>
      </c>
      <c r="G1023" s="680"/>
      <c r="H1023" s="680"/>
      <c r="I1023" s="680"/>
      <c r="J1023" s="680">
        <v>1079</v>
      </c>
      <c r="K1023" s="674" t="s">
        <v>10094</v>
      </c>
      <c r="L1023" s="674" t="s">
        <v>9832</v>
      </c>
      <c r="M1023" s="674" t="s">
        <v>9594</v>
      </c>
      <c r="N1023" s="674" t="s">
        <v>9833</v>
      </c>
    </row>
    <row r="1024" spans="1:14">
      <c r="A1024" s="1067"/>
      <c r="B1024" s="679">
        <v>44977</v>
      </c>
      <c r="C1024" s="674" t="s">
        <v>10096</v>
      </c>
      <c r="D1024" s="674" t="s">
        <v>10030</v>
      </c>
      <c r="E1024" s="674" t="s">
        <v>10066</v>
      </c>
      <c r="F1024" s="674" t="s">
        <v>10043</v>
      </c>
      <c r="G1024" s="680"/>
      <c r="H1024" s="680"/>
      <c r="I1024" s="680"/>
      <c r="J1024" s="680">
        <v>4000</v>
      </c>
      <c r="K1024" s="674" t="s">
        <v>10089</v>
      </c>
      <c r="L1024" s="674" t="s">
        <v>9832</v>
      </c>
      <c r="M1024" s="674" t="s">
        <v>9594</v>
      </c>
      <c r="N1024" s="674" t="s">
        <v>9833</v>
      </c>
    </row>
    <row r="1025" spans="1:14">
      <c r="A1025" s="1067"/>
      <c r="B1025" s="679">
        <v>45174</v>
      </c>
      <c r="C1025" s="674" t="s">
        <v>10097</v>
      </c>
      <c r="D1025" s="674" t="s">
        <v>10098</v>
      </c>
      <c r="E1025" s="674" t="s">
        <v>10099</v>
      </c>
      <c r="F1025" s="674" t="s">
        <v>10043</v>
      </c>
      <c r="G1025" s="680"/>
      <c r="H1025" s="680">
        <v>5910</v>
      </c>
      <c r="I1025" s="680"/>
      <c r="J1025" s="680">
        <v>5910</v>
      </c>
      <c r="K1025" s="674" t="s">
        <v>10089</v>
      </c>
      <c r="L1025" s="674" t="s">
        <v>9832</v>
      </c>
      <c r="M1025" s="674" t="s">
        <v>9594</v>
      </c>
      <c r="N1025" s="674" t="s">
        <v>9833</v>
      </c>
    </row>
    <row r="1026" spans="1:14">
      <c r="A1026" s="1067"/>
      <c r="B1026" s="679">
        <v>45286</v>
      </c>
      <c r="C1026" s="674" t="s">
        <v>10100</v>
      </c>
      <c r="D1026" s="674" t="s">
        <v>10101</v>
      </c>
      <c r="E1026" s="674" t="s">
        <v>9908</v>
      </c>
      <c r="F1026" s="674" t="s">
        <v>10043</v>
      </c>
      <c r="G1026" s="680"/>
      <c r="H1026" s="680"/>
      <c r="I1026" s="680"/>
      <c r="J1026" s="680">
        <v>2136</v>
      </c>
      <c r="K1026" s="674" t="s">
        <v>10089</v>
      </c>
      <c r="L1026" s="674" t="s">
        <v>9832</v>
      </c>
      <c r="M1026" s="674" t="s">
        <v>9594</v>
      </c>
      <c r="N1026" s="674" t="s">
        <v>9833</v>
      </c>
    </row>
    <row r="1027" spans="1:14">
      <c r="A1027" s="1067"/>
      <c r="B1027" s="679">
        <v>44980</v>
      </c>
      <c r="C1027" s="674" t="s">
        <v>10102</v>
      </c>
      <c r="D1027" s="674" t="s">
        <v>10103</v>
      </c>
      <c r="E1027" s="674" t="s">
        <v>10104</v>
      </c>
      <c r="F1027" s="674" t="s">
        <v>9771</v>
      </c>
      <c r="G1027" s="680"/>
      <c r="H1027" s="680"/>
      <c r="I1027" s="680"/>
      <c r="J1027" s="680">
        <v>975</v>
      </c>
      <c r="K1027" s="674" t="s">
        <v>10089</v>
      </c>
      <c r="L1027" s="674" t="s">
        <v>9832</v>
      </c>
      <c r="M1027" s="674" t="s">
        <v>9594</v>
      </c>
      <c r="N1027" s="674" t="s">
        <v>9833</v>
      </c>
    </row>
    <row r="1028" spans="1:14">
      <c r="A1028" s="1067"/>
      <c r="B1028" s="679">
        <v>45021</v>
      </c>
      <c r="C1028" s="674" t="s">
        <v>10105</v>
      </c>
      <c r="D1028" s="674" t="s">
        <v>10106</v>
      </c>
      <c r="E1028" s="674" t="s">
        <v>10107</v>
      </c>
      <c r="F1028" s="674" t="s">
        <v>9771</v>
      </c>
      <c r="G1028" s="680"/>
      <c r="H1028" s="680"/>
      <c r="I1028" s="680"/>
      <c r="J1028" s="680">
        <v>1743</v>
      </c>
      <c r="K1028" s="674" t="s">
        <v>10089</v>
      </c>
      <c r="L1028" s="674" t="s">
        <v>9832</v>
      </c>
      <c r="M1028" s="674" t="s">
        <v>9594</v>
      </c>
      <c r="N1028" s="674" t="s">
        <v>9833</v>
      </c>
    </row>
    <row r="1029" spans="1:14">
      <c r="A1029" s="1067"/>
      <c r="B1029" s="679">
        <v>45076</v>
      </c>
      <c r="C1029" s="674" t="s">
        <v>10108</v>
      </c>
      <c r="D1029" s="674" t="s">
        <v>10106</v>
      </c>
      <c r="E1029" s="674" t="s">
        <v>10107</v>
      </c>
      <c r="F1029" s="674" t="s">
        <v>10109</v>
      </c>
      <c r="G1029" s="680"/>
      <c r="H1029" s="680"/>
      <c r="I1029" s="680"/>
      <c r="J1029" s="680">
        <v>1798</v>
      </c>
      <c r="K1029" s="674" t="s">
        <v>10089</v>
      </c>
      <c r="L1029" s="674" t="s">
        <v>9832</v>
      </c>
      <c r="M1029" s="674" t="s">
        <v>9594</v>
      </c>
      <c r="N1029" s="674" t="s">
        <v>9833</v>
      </c>
    </row>
    <row r="1030" spans="1:14">
      <c r="A1030" s="1067"/>
      <c r="B1030" s="679">
        <v>45190</v>
      </c>
      <c r="C1030" s="674" t="s">
        <v>10110</v>
      </c>
      <c r="D1030" s="674" t="s">
        <v>10003</v>
      </c>
      <c r="E1030" s="674" t="s">
        <v>10111</v>
      </c>
      <c r="F1030" s="674" t="s">
        <v>9771</v>
      </c>
      <c r="G1030" s="680"/>
      <c r="H1030" s="680">
        <v>3816</v>
      </c>
      <c r="I1030" s="680"/>
      <c r="J1030" s="680">
        <v>3816</v>
      </c>
      <c r="K1030" s="674" t="s">
        <v>10089</v>
      </c>
      <c r="L1030" s="674" t="s">
        <v>9832</v>
      </c>
      <c r="M1030" s="674" t="s">
        <v>9594</v>
      </c>
      <c r="N1030" s="674" t="s">
        <v>9833</v>
      </c>
    </row>
    <row r="1031" spans="1:14">
      <c r="A1031" s="1067"/>
      <c r="B1031" s="679">
        <v>45251</v>
      </c>
      <c r="C1031" s="674" t="s">
        <v>10112</v>
      </c>
      <c r="D1031" s="674" t="s">
        <v>10003</v>
      </c>
      <c r="E1031" s="674" t="s">
        <v>10111</v>
      </c>
      <c r="F1031" s="674" t="s">
        <v>9771</v>
      </c>
      <c r="G1031" s="680"/>
      <c r="H1031" s="680"/>
      <c r="I1031" s="680"/>
      <c r="J1031" s="680">
        <v>3800</v>
      </c>
      <c r="K1031" s="674" t="s">
        <v>10089</v>
      </c>
      <c r="L1031" s="674" t="s">
        <v>10113</v>
      </c>
      <c r="M1031" s="674" t="s">
        <v>9594</v>
      </c>
      <c r="N1031" s="674" t="s">
        <v>9833</v>
      </c>
    </row>
    <row r="1032" spans="1:14">
      <c r="A1032" s="1067"/>
      <c r="B1032" s="679">
        <v>45261</v>
      </c>
      <c r="C1032" s="674" t="s">
        <v>10112</v>
      </c>
      <c r="D1032" s="674" t="s">
        <v>10003</v>
      </c>
      <c r="E1032" s="674" t="s">
        <v>10111</v>
      </c>
      <c r="F1032" s="674" t="s">
        <v>9771</v>
      </c>
      <c r="G1032" s="680"/>
      <c r="H1032" s="680"/>
      <c r="I1032" s="680"/>
      <c r="J1032" s="680">
        <v>5000</v>
      </c>
      <c r="K1032" s="674" t="s">
        <v>10089</v>
      </c>
      <c r="L1032" s="674" t="s">
        <v>9832</v>
      </c>
      <c r="M1032" s="674" t="s">
        <v>9594</v>
      </c>
      <c r="N1032" s="674" t="s">
        <v>9833</v>
      </c>
    </row>
    <row r="1033" spans="1:14">
      <c r="A1033" s="1067"/>
      <c r="B1033" s="679">
        <v>45261</v>
      </c>
      <c r="C1033" s="674" t="s">
        <v>10114</v>
      </c>
      <c r="D1033" s="674" t="s">
        <v>10025</v>
      </c>
      <c r="E1033" s="674" t="s">
        <v>10013</v>
      </c>
      <c r="F1033" s="674" t="s">
        <v>9771</v>
      </c>
      <c r="G1033" s="680"/>
      <c r="H1033" s="680"/>
      <c r="I1033" s="680"/>
      <c r="J1033" s="680">
        <v>2180</v>
      </c>
      <c r="K1033" s="674" t="s">
        <v>10089</v>
      </c>
      <c r="L1033" s="674" t="s">
        <v>9832</v>
      </c>
      <c r="M1033" s="674" t="s">
        <v>9594</v>
      </c>
      <c r="N1033" s="674" t="s">
        <v>9833</v>
      </c>
    </row>
    <row r="1034" spans="1:14">
      <c r="A1034" s="1067"/>
      <c r="B1034" s="679">
        <v>44994</v>
      </c>
      <c r="C1034" s="674" t="s">
        <v>10115</v>
      </c>
      <c r="D1034" s="674" t="s">
        <v>9938</v>
      </c>
      <c r="E1034" s="674" t="s">
        <v>10107</v>
      </c>
      <c r="F1034" s="674" t="s">
        <v>9771</v>
      </c>
      <c r="G1034" s="680"/>
      <c r="H1034" s="680"/>
      <c r="I1034" s="680"/>
      <c r="J1034" s="680">
        <v>3180</v>
      </c>
      <c r="K1034" s="674" t="s">
        <v>10116</v>
      </c>
      <c r="L1034" s="674" t="s">
        <v>10117</v>
      </c>
      <c r="M1034" s="674" t="s">
        <v>9956</v>
      </c>
      <c r="N1034" s="674" t="s">
        <v>9833</v>
      </c>
    </row>
    <row r="1035" spans="1:14">
      <c r="A1035" s="1067"/>
      <c r="B1035" s="679">
        <v>45133</v>
      </c>
      <c r="C1035" s="674" t="s">
        <v>10118</v>
      </c>
      <c r="D1035" s="674" t="s">
        <v>9938</v>
      </c>
      <c r="E1035" s="674" t="s">
        <v>10107</v>
      </c>
      <c r="F1035" s="674" t="s">
        <v>9771</v>
      </c>
      <c r="G1035" s="680"/>
      <c r="H1035" s="680"/>
      <c r="I1035" s="680"/>
      <c r="J1035" s="680">
        <v>2895</v>
      </c>
      <c r="K1035" s="674" t="s">
        <v>10116</v>
      </c>
      <c r="L1035" s="674" t="s">
        <v>9832</v>
      </c>
      <c r="M1035" s="674" t="s">
        <v>9956</v>
      </c>
      <c r="N1035" s="674" t="s">
        <v>9833</v>
      </c>
    </row>
    <row r="1036" spans="1:14">
      <c r="A1036" s="1067"/>
      <c r="B1036" s="679">
        <v>45006</v>
      </c>
      <c r="C1036" s="674" t="s">
        <v>10118</v>
      </c>
      <c r="D1036" s="674" t="s">
        <v>9938</v>
      </c>
      <c r="E1036" s="674" t="s">
        <v>10107</v>
      </c>
      <c r="F1036" s="674" t="s">
        <v>9771</v>
      </c>
      <c r="G1036" s="680"/>
      <c r="H1036" s="680"/>
      <c r="I1036" s="680"/>
      <c r="J1036" s="680">
        <v>1000</v>
      </c>
      <c r="K1036" s="674" t="s">
        <v>10116</v>
      </c>
      <c r="L1036" s="674" t="s">
        <v>9832</v>
      </c>
      <c r="M1036" s="674" t="s">
        <v>9956</v>
      </c>
      <c r="N1036" s="674" t="s">
        <v>9833</v>
      </c>
    </row>
    <row r="1037" spans="1:14">
      <c r="A1037" s="1067"/>
      <c r="B1037" s="679">
        <v>45099</v>
      </c>
      <c r="C1037" s="674" t="s">
        <v>10119</v>
      </c>
      <c r="D1037" s="674" t="s">
        <v>10003</v>
      </c>
      <c r="E1037" s="674" t="s">
        <v>10120</v>
      </c>
      <c r="F1037" s="674" t="s">
        <v>9771</v>
      </c>
      <c r="G1037" s="680"/>
      <c r="H1037" s="680">
        <v>36816.32</v>
      </c>
      <c r="I1037" s="680"/>
      <c r="J1037" s="680">
        <v>3000</v>
      </c>
      <c r="K1037" s="674" t="s">
        <v>10116</v>
      </c>
      <c r="L1037" s="674" t="s">
        <v>9832</v>
      </c>
      <c r="M1037" s="674" t="s">
        <v>9956</v>
      </c>
      <c r="N1037" s="674" t="s">
        <v>9833</v>
      </c>
    </row>
    <row r="1038" spans="1:14">
      <c r="A1038" s="1067"/>
      <c r="B1038" s="679">
        <v>45119</v>
      </c>
      <c r="C1038" s="674" t="s">
        <v>10119</v>
      </c>
      <c r="D1038" s="674" t="s">
        <v>10003</v>
      </c>
      <c r="E1038" s="674" t="s">
        <v>10120</v>
      </c>
      <c r="F1038" s="674" t="s">
        <v>9771</v>
      </c>
      <c r="G1038" s="680"/>
      <c r="H1038" s="680"/>
      <c r="I1038" s="680"/>
      <c r="J1038" s="680">
        <v>4000</v>
      </c>
      <c r="K1038" s="674" t="s">
        <v>10116</v>
      </c>
      <c r="L1038" s="674" t="s">
        <v>9832</v>
      </c>
      <c r="M1038" s="674" t="s">
        <v>9956</v>
      </c>
      <c r="N1038" s="674" t="s">
        <v>9833</v>
      </c>
    </row>
    <row r="1039" spans="1:14">
      <c r="A1039" s="1067"/>
      <c r="B1039" s="679">
        <v>45133</v>
      </c>
      <c r="C1039" s="674" t="s">
        <v>10119</v>
      </c>
      <c r="D1039" s="674" t="s">
        <v>10003</v>
      </c>
      <c r="E1039" s="674" t="s">
        <v>10120</v>
      </c>
      <c r="F1039" s="674" t="s">
        <v>9771</v>
      </c>
      <c r="G1039" s="680"/>
      <c r="H1039" s="680"/>
      <c r="I1039" s="680"/>
      <c r="J1039" s="680">
        <v>4000</v>
      </c>
      <c r="K1039" s="674" t="s">
        <v>10116</v>
      </c>
      <c r="L1039" s="674" t="s">
        <v>9832</v>
      </c>
      <c r="M1039" s="674" t="s">
        <v>9956</v>
      </c>
      <c r="N1039" s="674" t="s">
        <v>9833</v>
      </c>
    </row>
    <row r="1040" spans="1:14">
      <c r="A1040" s="1067"/>
      <c r="B1040" s="679">
        <v>45105</v>
      </c>
      <c r="C1040" s="674" t="s">
        <v>10121</v>
      </c>
      <c r="D1040" s="674" t="s">
        <v>10003</v>
      </c>
      <c r="E1040" s="674" t="s">
        <v>10120</v>
      </c>
      <c r="F1040" s="674" t="s">
        <v>9771</v>
      </c>
      <c r="G1040" s="680"/>
      <c r="H1040" s="680">
        <v>2416</v>
      </c>
      <c r="I1040" s="680"/>
      <c r="J1040" s="680">
        <v>1690</v>
      </c>
      <c r="K1040" s="674" t="s">
        <v>10122</v>
      </c>
      <c r="L1040" s="674" t="s">
        <v>9832</v>
      </c>
      <c r="M1040" s="674" t="s">
        <v>9956</v>
      </c>
      <c r="N1040" s="674" t="s">
        <v>9833</v>
      </c>
    </row>
    <row r="1041" spans="1:14">
      <c r="A1041" s="1067"/>
      <c r="B1041" s="679">
        <v>45111</v>
      </c>
      <c r="C1041" s="674" t="s">
        <v>10123</v>
      </c>
      <c r="D1041" s="674" t="s">
        <v>10124</v>
      </c>
      <c r="E1041" s="674" t="s">
        <v>10125</v>
      </c>
      <c r="F1041" s="674" t="s">
        <v>9771</v>
      </c>
      <c r="G1041" s="680"/>
      <c r="H1041" s="680">
        <v>18795.25</v>
      </c>
      <c r="I1041" s="680"/>
      <c r="J1041" s="680">
        <v>5000</v>
      </c>
      <c r="K1041" s="674" t="s">
        <v>10126</v>
      </c>
      <c r="L1041" s="674" t="s">
        <v>9832</v>
      </c>
      <c r="M1041" s="674" t="s">
        <v>9956</v>
      </c>
      <c r="N1041" s="674" t="s">
        <v>9833</v>
      </c>
    </row>
    <row r="1042" spans="1:14">
      <c r="A1042" s="1067"/>
      <c r="B1042" s="679">
        <v>45133</v>
      </c>
      <c r="C1042" s="674" t="s">
        <v>10123</v>
      </c>
      <c r="D1042" s="674" t="s">
        <v>10124</v>
      </c>
      <c r="E1042" s="674" t="s">
        <v>10125</v>
      </c>
      <c r="F1042" s="674" t="s">
        <v>9771</v>
      </c>
      <c r="G1042" s="680"/>
      <c r="H1042" s="680"/>
      <c r="I1042" s="680"/>
      <c r="J1042" s="680">
        <v>4000</v>
      </c>
      <c r="K1042" s="674" t="s">
        <v>10126</v>
      </c>
      <c r="L1042" s="674" t="s">
        <v>9832</v>
      </c>
      <c r="M1042" s="674" t="s">
        <v>9956</v>
      </c>
      <c r="N1042" s="674" t="s">
        <v>9833</v>
      </c>
    </row>
    <row r="1043" spans="1:14">
      <c r="A1043" s="1067"/>
      <c r="B1043" s="679">
        <v>45259</v>
      </c>
      <c r="C1043" s="674" t="s">
        <v>10127</v>
      </c>
      <c r="D1043" s="674" t="s">
        <v>10003</v>
      </c>
      <c r="E1043" s="674" t="s">
        <v>10013</v>
      </c>
      <c r="F1043" s="674" t="s">
        <v>9771</v>
      </c>
      <c r="G1043" s="680"/>
      <c r="H1043" s="680">
        <v>5738</v>
      </c>
      <c r="I1043" s="680"/>
      <c r="J1043" s="680">
        <v>5738</v>
      </c>
      <c r="K1043" s="674" t="s">
        <v>10128</v>
      </c>
      <c r="L1043" s="674" t="s">
        <v>9832</v>
      </c>
      <c r="M1043" s="674" t="s">
        <v>9956</v>
      </c>
      <c r="N1043" s="674" t="s">
        <v>9833</v>
      </c>
    </row>
    <row r="1044" spans="1:14">
      <c r="A1044" s="1067"/>
      <c r="B1044" s="679">
        <v>45261</v>
      </c>
      <c r="C1044" s="674" t="s">
        <v>10129</v>
      </c>
      <c r="D1044" s="674" t="s">
        <v>10025</v>
      </c>
      <c r="E1044" s="674" t="s">
        <v>10130</v>
      </c>
      <c r="F1044" s="674" t="s">
        <v>10043</v>
      </c>
      <c r="G1044" s="680"/>
      <c r="H1044" s="680">
        <v>5738.82</v>
      </c>
      <c r="I1044" s="680"/>
      <c r="J1044" s="680">
        <v>2500</v>
      </c>
      <c r="K1044" s="674" t="s">
        <v>10128</v>
      </c>
      <c r="L1044" s="674" t="s">
        <v>9832</v>
      </c>
      <c r="M1044" s="674" t="s">
        <v>9956</v>
      </c>
      <c r="N1044" s="674" t="s">
        <v>9833</v>
      </c>
    </row>
    <row r="1045" spans="1:14">
      <c r="A1045" s="1067"/>
      <c r="B1045" s="679">
        <v>45021</v>
      </c>
      <c r="C1045" s="674" t="s">
        <v>10131</v>
      </c>
      <c r="D1045" s="674" t="s">
        <v>9917</v>
      </c>
      <c r="E1045" s="674" t="s">
        <v>10130</v>
      </c>
      <c r="F1045" s="674" t="s">
        <v>9960</v>
      </c>
      <c r="G1045" s="680"/>
      <c r="H1045" s="680">
        <v>21700</v>
      </c>
      <c r="I1045" s="680"/>
      <c r="J1045" s="680">
        <v>21700</v>
      </c>
      <c r="K1045" s="674" t="s">
        <v>9900</v>
      </c>
      <c r="L1045" s="674" t="s">
        <v>10132</v>
      </c>
      <c r="M1045" s="674" t="s">
        <v>9984</v>
      </c>
      <c r="N1045" s="674" t="s">
        <v>9833</v>
      </c>
    </row>
    <row r="1046" spans="1:14">
      <c r="A1046" s="1067"/>
      <c r="B1046" s="679">
        <v>44992</v>
      </c>
      <c r="C1046" s="674" t="s">
        <v>10131</v>
      </c>
      <c r="D1046" s="674" t="s">
        <v>9917</v>
      </c>
      <c r="E1046" s="674" t="s">
        <v>10130</v>
      </c>
      <c r="F1046" s="674" t="s">
        <v>9960</v>
      </c>
      <c r="G1046" s="680"/>
      <c r="H1046" s="680"/>
      <c r="I1046" s="680"/>
      <c r="J1046" s="680">
        <v>3500</v>
      </c>
      <c r="K1046" s="674" t="s">
        <v>9900</v>
      </c>
      <c r="L1046" s="674" t="s">
        <v>9832</v>
      </c>
      <c r="M1046" s="674" t="s">
        <v>9984</v>
      </c>
      <c r="N1046" s="674" t="s">
        <v>9833</v>
      </c>
    </row>
    <row r="1047" spans="1:14">
      <c r="A1047" s="1067"/>
      <c r="B1047" s="679">
        <v>45065</v>
      </c>
      <c r="C1047" s="674" t="s">
        <v>10133</v>
      </c>
      <c r="D1047" s="674" t="s">
        <v>10003</v>
      </c>
      <c r="E1047" s="674" t="s">
        <v>10053</v>
      </c>
      <c r="F1047" s="674" t="s">
        <v>9960</v>
      </c>
      <c r="G1047" s="680"/>
      <c r="H1047" s="680">
        <v>7000</v>
      </c>
      <c r="I1047" s="680"/>
      <c r="J1047" s="680">
        <v>7000</v>
      </c>
      <c r="K1047" s="674" t="s">
        <v>9900</v>
      </c>
      <c r="L1047" s="674" t="s">
        <v>10134</v>
      </c>
      <c r="M1047" s="674" t="s">
        <v>9984</v>
      </c>
      <c r="N1047" s="674" t="s">
        <v>9833</v>
      </c>
    </row>
    <row r="1048" spans="1:14">
      <c r="A1048" s="1067"/>
      <c r="B1048" s="679">
        <v>45019</v>
      </c>
      <c r="C1048" s="674" t="s">
        <v>10135</v>
      </c>
      <c r="D1048" s="674" t="s">
        <v>10136</v>
      </c>
      <c r="E1048" s="674" t="s">
        <v>10137</v>
      </c>
      <c r="F1048" s="674" t="s">
        <v>10138</v>
      </c>
      <c r="G1048" s="680"/>
      <c r="H1048" s="680">
        <v>4292</v>
      </c>
      <c r="I1048" s="680"/>
      <c r="J1048" s="680">
        <v>2782</v>
      </c>
      <c r="K1048" s="674" t="s">
        <v>10139</v>
      </c>
      <c r="L1048" s="674" t="s">
        <v>9965</v>
      </c>
      <c r="M1048" s="674" t="s">
        <v>9984</v>
      </c>
      <c r="N1048" s="674" t="s">
        <v>9833</v>
      </c>
    </row>
    <row r="1049" spans="1:14">
      <c r="A1049" s="1067"/>
      <c r="B1049" s="679">
        <v>45187</v>
      </c>
      <c r="C1049" s="674" t="s">
        <v>10135</v>
      </c>
      <c r="D1049" s="674" t="s">
        <v>10136</v>
      </c>
      <c r="E1049" s="674" t="s">
        <v>10137</v>
      </c>
      <c r="F1049" s="674" t="s">
        <v>10138</v>
      </c>
      <c r="G1049" s="680"/>
      <c r="H1049" s="680"/>
      <c r="I1049" s="680"/>
      <c r="J1049" s="680">
        <v>1510</v>
      </c>
      <c r="K1049" s="674" t="s">
        <v>10139</v>
      </c>
      <c r="L1049" s="674" t="s">
        <v>9832</v>
      </c>
      <c r="M1049" s="674" t="s">
        <v>9984</v>
      </c>
      <c r="N1049" s="674" t="s">
        <v>9833</v>
      </c>
    </row>
    <row r="1050" spans="1:14">
      <c r="A1050" s="1067"/>
      <c r="B1050" s="679">
        <v>44957</v>
      </c>
      <c r="C1050" s="674" t="s">
        <v>10140</v>
      </c>
      <c r="D1050" s="674" t="s">
        <v>10003</v>
      </c>
      <c r="E1050" s="674" t="s">
        <v>10141</v>
      </c>
      <c r="F1050" s="674" t="s">
        <v>10138</v>
      </c>
      <c r="G1050" s="680"/>
      <c r="H1050" s="680">
        <v>650</v>
      </c>
      <c r="I1050" s="680"/>
      <c r="J1050" s="680">
        <v>650</v>
      </c>
      <c r="K1050" s="674" t="s">
        <v>10139</v>
      </c>
      <c r="L1050" s="674" t="s">
        <v>10142</v>
      </c>
      <c r="M1050" s="674" t="s">
        <v>10056</v>
      </c>
      <c r="N1050" s="674" t="s">
        <v>9833</v>
      </c>
    </row>
    <row r="1051" spans="1:14">
      <c r="A1051" s="1067"/>
      <c r="B1051" s="679">
        <v>44992</v>
      </c>
      <c r="C1051" s="674" t="s">
        <v>10140</v>
      </c>
      <c r="D1051" s="674" t="s">
        <v>10003</v>
      </c>
      <c r="E1051" s="674" t="s">
        <v>10141</v>
      </c>
      <c r="F1051" s="674" t="s">
        <v>10138</v>
      </c>
      <c r="G1051" s="680"/>
      <c r="H1051" s="680">
        <v>230</v>
      </c>
      <c r="I1051" s="680"/>
      <c r="J1051" s="680">
        <v>230</v>
      </c>
      <c r="K1051" s="674" t="s">
        <v>10139</v>
      </c>
      <c r="L1051" s="674" t="s">
        <v>10142</v>
      </c>
      <c r="M1051" s="674" t="s">
        <v>10056</v>
      </c>
      <c r="N1051" s="674" t="s">
        <v>9833</v>
      </c>
    </row>
    <row r="1052" spans="1:14">
      <c r="A1052" s="1067"/>
      <c r="B1052" s="679">
        <v>45002</v>
      </c>
      <c r="C1052" s="674" t="s">
        <v>10140</v>
      </c>
      <c r="D1052" s="674" t="s">
        <v>10003</v>
      </c>
      <c r="E1052" s="674" t="s">
        <v>10141</v>
      </c>
      <c r="F1052" s="674" t="s">
        <v>10138</v>
      </c>
      <c r="G1052" s="680"/>
      <c r="H1052" s="680">
        <v>550</v>
      </c>
      <c r="I1052" s="680"/>
      <c r="J1052" s="680">
        <v>550</v>
      </c>
      <c r="K1052" s="674" t="s">
        <v>10139</v>
      </c>
      <c r="L1052" s="674" t="s">
        <v>10142</v>
      </c>
      <c r="M1052" s="674" t="s">
        <v>10056</v>
      </c>
      <c r="N1052" s="674" t="s">
        <v>9833</v>
      </c>
    </row>
    <row r="1053" spans="1:14">
      <c r="A1053" s="1067"/>
      <c r="B1053" s="679">
        <v>45092</v>
      </c>
      <c r="C1053" s="674" t="s">
        <v>10140</v>
      </c>
      <c r="D1053" s="674" t="s">
        <v>10003</v>
      </c>
      <c r="E1053" s="674" t="s">
        <v>10141</v>
      </c>
      <c r="F1053" s="674" t="s">
        <v>10138</v>
      </c>
      <c r="G1053" s="680"/>
      <c r="H1053" s="680">
        <v>550</v>
      </c>
      <c r="I1053" s="680"/>
      <c r="J1053" s="680">
        <v>550</v>
      </c>
      <c r="K1053" s="674" t="s">
        <v>10139</v>
      </c>
      <c r="L1053" s="674" t="s">
        <v>10142</v>
      </c>
      <c r="M1053" s="674" t="s">
        <v>10056</v>
      </c>
      <c r="N1053" s="674" t="s">
        <v>9833</v>
      </c>
    </row>
    <row r="1054" spans="1:14">
      <c r="A1054" s="1067"/>
      <c r="B1054" s="679">
        <v>45136</v>
      </c>
      <c r="C1054" s="674" t="s">
        <v>10140</v>
      </c>
      <c r="D1054" s="674" t="s">
        <v>10003</v>
      </c>
      <c r="E1054" s="674" t="s">
        <v>10141</v>
      </c>
      <c r="F1054" s="674" t="s">
        <v>10138</v>
      </c>
      <c r="G1054" s="680"/>
      <c r="H1054" s="680">
        <v>1280</v>
      </c>
      <c r="I1054" s="680"/>
      <c r="J1054" s="680">
        <v>1280</v>
      </c>
      <c r="K1054" s="674" t="s">
        <v>10139</v>
      </c>
      <c r="L1054" s="674" t="s">
        <v>10142</v>
      </c>
      <c r="M1054" s="674" t="s">
        <v>10056</v>
      </c>
      <c r="N1054" s="674" t="s">
        <v>9833</v>
      </c>
    </row>
    <row r="1055" spans="1:14">
      <c r="A1055" s="1067"/>
      <c r="B1055" s="679">
        <v>45209</v>
      </c>
      <c r="C1055" s="674" t="s">
        <v>10140</v>
      </c>
      <c r="D1055" s="674" t="s">
        <v>10003</v>
      </c>
      <c r="E1055" s="674" t="s">
        <v>10141</v>
      </c>
      <c r="F1055" s="674" t="s">
        <v>10138</v>
      </c>
      <c r="G1055" s="680"/>
      <c r="H1055" s="680">
        <v>560</v>
      </c>
      <c r="I1055" s="680"/>
      <c r="J1055" s="680">
        <v>560</v>
      </c>
      <c r="K1055" s="674" t="s">
        <v>10139</v>
      </c>
      <c r="L1055" s="674" t="s">
        <v>10142</v>
      </c>
      <c r="M1055" s="674" t="s">
        <v>10056</v>
      </c>
      <c r="N1055" s="674" t="s">
        <v>9833</v>
      </c>
    </row>
    <row r="1056" spans="1:14">
      <c r="A1056" s="1067"/>
      <c r="B1056" s="679">
        <v>45240</v>
      </c>
      <c r="C1056" s="674" t="s">
        <v>10140</v>
      </c>
      <c r="D1056" s="674" t="s">
        <v>10003</v>
      </c>
      <c r="E1056" s="674" t="s">
        <v>10141</v>
      </c>
      <c r="F1056" s="674" t="s">
        <v>10138</v>
      </c>
      <c r="G1056" s="680"/>
      <c r="H1056" s="680">
        <v>670</v>
      </c>
      <c r="I1056" s="680"/>
      <c r="J1056" s="680">
        <v>670</v>
      </c>
      <c r="K1056" s="674" t="s">
        <v>10139</v>
      </c>
      <c r="L1056" s="674" t="s">
        <v>10142</v>
      </c>
      <c r="M1056" s="674" t="s">
        <v>10056</v>
      </c>
      <c r="N1056" s="674" t="s">
        <v>9833</v>
      </c>
    </row>
    <row r="1057" spans="1:14">
      <c r="A1057" s="1067"/>
      <c r="B1057" s="679">
        <v>45262</v>
      </c>
      <c r="C1057" s="674" t="s">
        <v>10140</v>
      </c>
      <c r="D1057" s="674" t="s">
        <v>10003</v>
      </c>
      <c r="E1057" s="674" t="s">
        <v>10141</v>
      </c>
      <c r="F1057" s="674" t="s">
        <v>10138</v>
      </c>
      <c r="G1057" s="680"/>
      <c r="H1057" s="680">
        <v>1790</v>
      </c>
      <c r="I1057" s="680"/>
      <c r="J1057" s="680">
        <v>1790</v>
      </c>
      <c r="K1057" s="674" t="s">
        <v>10139</v>
      </c>
      <c r="L1057" s="674" t="s">
        <v>10142</v>
      </c>
      <c r="M1057" s="674" t="s">
        <v>10056</v>
      </c>
      <c r="N1057" s="674" t="s">
        <v>9833</v>
      </c>
    </row>
    <row r="1058" spans="1:14">
      <c r="A1058" s="1067"/>
      <c r="B1058" s="679">
        <v>45120</v>
      </c>
      <c r="C1058" s="674" t="s">
        <v>10143</v>
      </c>
      <c r="D1058" s="674" t="s">
        <v>10003</v>
      </c>
      <c r="E1058" s="674" t="s">
        <v>10141</v>
      </c>
      <c r="F1058" s="674" t="s">
        <v>10138</v>
      </c>
      <c r="G1058" s="680"/>
      <c r="H1058" s="680">
        <v>330</v>
      </c>
      <c r="I1058" s="680"/>
      <c r="J1058" s="680">
        <v>330</v>
      </c>
      <c r="K1058" s="674" t="s">
        <v>10139</v>
      </c>
      <c r="L1058" s="674" t="s">
        <v>10142</v>
      </c>
      <c r="M1058" s="674" t="s">
        <v>10056</v>
      </c>
      <c r="N1058" s="674" t="s">
        <v>9833</v>
      </c>
    </row>
    <row r="1059" spans="1:14">
      <c r="A1059" s="1067"/>
      <c r="B1059" s="679">
        <v>45148</v>
      </c>
      <c r="C1059" s="674" t="s">
        <v>10144</v>
      </c>
      <c r="D1059" s="674" t="s">
        <v>10003</v>
      </c>
      <c r="E1059" s="674" t="s">
        <v>10141</v>
      </c>
      <c r="F1059" s="674" t="s">
        <v>10138</v>
      </c>
      <c r="G1059" s="680"/>
      <c r="H1059" s="680">
        <v>2900</v>
      </c>
      <c r="I1059" s="680"/>
      <c r="J1059" s="680">
        <v>2900</v>
      </c>
      <c r="K1059" s="674" t="s">
        <v>10139</v>
      </c>
      <c r="L1059" s="674" t="s">
        <v>10142</v>
      </c>
      <c r="M1059" s="674" t="s">
        <v>10056</v>
      </c>
      <c r="N1059" s="674" t="s">
        <v>9833</v>
      </c>
    </row>
    <row r="1060" spans="1:14">
      <c r="A1060" s="1067"/>
      <c r="B1060" s="679">
        <v>45171</v>
      </c>
      <c r="C1060" s="674" t="s">
        <v>10145</v>
      </c>
      <c r="D1060" s="674" t="s">
        <v>10003</v>
      </c>
      <c r="E1060" s="674" t="s">
        <v>10141</v>
      </c>
      <c r="F1060" s="674" t="s">
        <v>10138</v>
      </c>
      <c r="G1060" s="680"/>
      <c r="H1060" s="680">
        <v>2965</v>
      </c>
      <c r="I1060" s="680"/>
      <c r="J1060" s="680">
        <v>2965</v>
      </c>
      <c r="K1060" s="674" t="s">
        <v>10139</v>
      </c>
      <c r="L1060" s="674" t="s">
        <v>10142</v>
      </c>
      <c r="M1060" s="674" t="s">
        <v>10056</v>
      </c>
      <c r="N1060" s="674" t="s">
        <v>9833</v>
      </c>
    </row>
    <row r="1061" spans="1:14">
      <c r="A1061" s="1067"/>
      <c r="B1061" s="679">
        <v>44985</v>
      </c>
      <c r="C1061" s="674" t="s">
        <v>10146</v>
      </c>
      <c r="D1061" s="674" t="s">
        <v>10003</v>
      </c>
      <c r="E1061" s="674" t="s">
        <v>10141</v>
      </c>
      <c r="F1061" s="674" t="s">
        <v>10138</v>
      </c>
      <c r="G1061" s="680"/>
      <c r="H1061" s="680">
        <v>1000</v>
      </c>
      <c r="I1061" s="680"/>
      <c r="J1061" s="680">
        <v>1000</v>
      </c>
      <c r="K1061" s="674" t="s">
        <v>10139</v>
      </c>
      <c r="L1061" s="674" t="s">
        <v>10142</v>
      </c>
      <c r="M1061" s="674" t="s">
        <v>10056</v>
      </c>
      <c r="N1061" s="674" t="s">
        <v>9833</v>
      </c>
    </row>
    <row r="1062" spans="1:14">
      <c r="A1062" s="1067"/>
      <c r="B1062" s="679">
        <v>45000</v>
      </c>
      <c r="C1062" s="674" t="s">
        <v>10147</v>
      </c>
      <c r="D1062" s="674" t="s">
        <v>10003</v>
      </c>
      <c r="E1062" s="674" t="s">
        <v>10141</v>
      </c>
      <c r="F1062" s="674" t="s">
        <v>10138</v>
      </c>
      <c r="G1062" s="680"/>
      <c r="H1062" s="680">
        <v>5000</v>
      </c>
      <c r="I1062" s="680"/>
      <c r="J1062" s="680">
        <v>5000</v>
      </c>
      <c r="K1062" s="674" t="s">
        <v>10139</v>
      </c>
      <c r="L1062" s="674" t="s">
        <v>10142</v>
      </c>
      <c r="M1062" s="674" t="s">
        <v>10056</v>
      </c>
      <c r="N1062" s="674" t="s">
        <v>9833</v>
      </c>
    </row>
    <row r="1063" spans="1:14">
      <c r="A1063" s="1067"/>
      <c r="B1063" s="679">
        <v>45037</v>
      </c>
      <c r="C1063" s="674" t="s">
        <v>10148</v>
      </c>
      <c r="D1063" s="674" t="s">
        <v>10003</v>
      </c>
      <c r="E1063" s="674" t="s">
        <v>10141</v>
      </c>
      <c r="F1063" s="674" t="s">
        <v>10138</v>
      </c>
      <c r="G1063" s="680"/>
      <c r="H1063" s="680">
        <v>500</v>
      </c>
      <c r="I1063" s="680"/>
      <c r="J1063" s="680">
        <v>500</v>
      </c>
      <c r="K1063" s="674" t="s">
        <v>10139</v>
      </c>
      <c r="L1063" s="674" t="s">
        <v>10142</v>
      </c>
      <c r="M1063" s="674" t="s">
        <v>10056</v>
      </c>
      <c r="N1063" s="674" t="s">
        <v>9833</v>
      </c>
    </row>
    <row r="1064" spans="1:14">
      <c r="A1064" s="1067"/>
      <c r="B1064" s="679">
        <v>45069</v>
      </c>
      <c r="C1064" s="674" t="s">
        <v>10148</v>
      </c>
      <c r="D1064" s="674" t="s">
        <v>10003</v>
      </c>
      <c r="E1064" s="674" t="s">
        <v>10141</v>
      </c>
      <c r="F1064" s="674" t="s">
        <v>10138</v>
      </c>
      <c r="G1064" s="680"/>
      <c r="H1064" s="680">
        <v>7000</v>
      </c>
      <c r="I1064" s="680"/>
      <c r="J1064" s="680">
        <v>7000</v>
      </c>
      <c r="K1064" s="674" t="s">
        <v>10139</v>
      </c>
      <c r="L1064" s="674" t="s">
        <v>10149</v>
      </c>
      <c r="M1064" s="674" t="s">
        <v>10056</v>
      </c>
      <c r="N1064" s="674" t="s">
        <v>9833</v>
      </c>
    </row>
    <row r="1065" spans="1:14">
      <c r="A1065" s="1067"/>
      <c r="B1065" s="679">
        <v>45114</v>
      </c>
      <c r="C1065" s="674" t="s">
        <v>10150</v>
      </c>
      <c r="D1065" s="674" t="s">
        <v>10003</v>
      </c>
      <c r="E1065" s="674" t="s">
        <v>10141</v>
      </c>
      <c r="F1065" s="674" t="s">
        <v>10138</v>
      </c>
      <c r="G1065" s="680"/>
      <c r="H1065" s="680">
        <v>895</v>
      </c>
      <c r="I1065" s="680"/>
      <c r="J1065" s="680">
        <v>895</v>
      </c>
      <c r="K1065" s="674" t="s">
        <v>10139</v>
      </c>
      <c r="L1065" s="674" t="s">
        <v>10142</v>
      </c>
      <c r="M1065" s="674" t="s">
        <v>10056</v>
      </c>
      <c r="N1065" s="674" t="s">
        <v>9833</v>
      </c>
    </row>
    <row r="1066" spans="1:14">
      <c r="A1066" s="1067"/>
      <c r="B1066" s="679" t="s">
        <v>9820</v>
      </c>
      <c r="C1066" s="674" t="s">
        <v>10151</v>
      </c>
      <c r="D1066" s="674" t="s">
        <v>10152</v>
      </c>
      <c r="E1066" s="674" t="s">
        <v>10153</v>
      </c>
      <c r="F1066" s="674" t="s">
        <v>10154</v>
      </c>
      <c r="G1066" s="680"/>
      <c r="H1066" s="680"/>
      <c r="I1066" s="680"/>
      <c r="J1066" s="680">
        <v>115479.65</v>
      </c>
      <c r="K1066" s="674" t="s">
        <v>9821</v>
      </c>
      <c r="L1066" s="674"/>
      <c r="M1066" s="674" t="s">
        <v>10155</v>
      </c>
      <c r="N1066" s="674" t="s">
        <v>9833</v>
      </c>
    </row>
    <row r="1067" spans="1:14">
      <c r="A1067" s="1067"/>
      <c r="B1067" s="679">
        <v>45236</v>
      </c>
      <c r="C1067" s="674" t="s">
        <v>10151</v>
      </c>
      <c r="D1067" s="674" t="s">
        <v>10156</v>
      </c>
      <c r="E1067" s="738" t="s">
        <v>10157</v>
      </c>
      <c r="F1067" s="674" t="s">
        <v>10154</v>
      </c>
      <c r="G1067" s="680"/>
      <c r="H1067" s="680"/>
      <c r="I1067" s="680"/>
      <c r="J1067" s="680">
        <v>65033</v>
      </c>
      <c r="K1067" s="674" t="s">
        <v>10156</v>
      </c>
      <c r="L1067" s="674"/>
      <c r="M1067" s="674" t="s">
        <v>10155</v>
      </c>
      <c r="N1067" s="674" t="s">
        <v>9833</v>
      </c>
    </row>
    <row r="1068" spans="1:14">
      <c r="A1068" s="1067"/>
      <c r="B1068" s="679">
        <v>45237</v>
      </c>
      <c r="C1068" s="674" t="s">
        <v>10151</v>
      </c>
      <c r="D1068" s="674" t="s">
        <v>10158</v>
      </c>
      <c r="E1068" s="738" t="s">
        <v>10159</v>
      </c>
      <c r="F1068" s="674" t="s">
        <v>10154</v>
      </c>
      <c r="G1068" s="680"/>
      <c r="H1068" s="680"/>
      <c r="I1068" s="680"/>
      <c r="J1068" s="680">
        <v>65033.15</v>
      </c>
      <c r="K1068" s="674" t="s">
        <v>10160</v>
      </c>
      <c r="L1068" s="674"/>
      <c r="M1068" s="674" t="s">
        <v>10155</v>
      </c>
      <c r="N1068" s="674" t="s">
        <v>9833</v>
      </c>
    </row>
    <row r="1069" spans="1:14">
      <c r="A1069" s="1067"/>
      <c r="B1069" s="679" t="s">
        <v>9820</v>
      </c>
      <c r="C1069" s="674" t="s">
        <v>9824</v>
      </c>
      <c r="D1069" s="674" t="s">
        <v>10025</v>
      </c>
      <c r="E1069" s="674" t="s">
        <v>10013</v>
      </c>
      <c r="F1069" s="674" t="s">
        <v>10161</v>
      </c>
      <c r="G1069" s="680"/>
      <c r="H1069" s="680"/>
      <c r="I1069" s="680"/>
      <c r="J1069" s="680">
        <v>1505478.88</v>
      </c>
      <c r="K1069" s="674" t="s">
        <v>10139</v>
      </c>
      <c r="L1069" s="674" t="s">
        <v>9824</v>
      </c>
      <c r="M1069" s="674"/>
      <c r="N1069" s="674" t="s">
        <v>9833</v>
      </c>
    </row>
    <row r="1070" spans="1:14">
      <c r="A1070" s="1067"/>
      <c r="B1070" s="679">
        <v>45291</v>
      </c>
      <c r="C1070" s="674" t="s">
        <v>10162</v>
      </c>
      <c r="D1070" s="674" t="s">
        <v>10162</v>
      </c>
      <c r="E1070" s="674" t="s">
        <v>10162</v>
      </c>
      <c r="F1070" s="674" t="s">
        <v>10162</v>
      </c>
      <c r="G1070" s="680"/>
      <c r="H1070" s="680"/>
      <c r="I1070" s="680"/>
      <c r="J1070" s="680">
        <v>60319.29</v>
      </c>
      <c r="K1070" s="674" t="s">
        <v>10162</v>
      </c>
      <c r="L1070" s="674" t="s">
        <v>10162</v>
      </c>
      <c r="M1070" s="674" t="s">
        <v>10162</v>
      </c>
      <c r="N1070" s="674" t="s">
        <v>10162</v>
      </c>
    </row>
    <row r="1071" spans="1:14">
      <c r="A1071" s="672" t="s">
        <v>10163</v>
      </c>
      <c r="B1071" s="672"/>
      <c r="C1071" s="672"/>
      <c r="D1071" s="672"/>
      <c r="E1071" s="672"/>
      <c r="F1071" s="676"/>
      <c r="G1071" s="677">
        <f>+SUM(G916:G1070)</f>
        <v>0</v>
      </c>
      <c r="H1071" s="677">
        <f t="shared" ref="H1071:J1071" si="3">+SUM(H916:H1070)</f>
        <v>3319005.9</v>
      </c>
      <c r="I1071" s="677">
        <f t="shared" si="3"/>
        <v>0</v>
      </c>
      <c r="J1071" s="677">
        <f t="shared" si="3"/>
        <v>3670676.9699999997</v>
      </c>
      <c r="K1071" s="673"/>
      <c r="L1071" s="673"/>
      <c r="M1071" s="673"/>
      <c r="N1071" s="673"/>
    </row>
    <row r="1072" spans="1:14">
      <c r="A1072" s="1066" t="s">
        <v>8640</v>
      </c>
      <c r="B1072" s="670" t="s">
        <v>2875</v>
      </c>
      <c r="C1072" s="670" t="s">
        <v>8641</v>
      </c>
      <c r="D1072" s="682" t="s">
        <v>10165</v>
      </c>
      <c r="E1072" s="682" t="s">
        <v>10165</v>
      </c>
      <c r="F1072" s="682" t="s">
        <v>10165</v>
      </c>
      <c r="G1072" s="682" t="s">
        <v>10165</v>
      </c>
      <c r="H1072" s="682" t="s">
        <v>10165</v>
      </c>
      <c r="I1072" s="671">
        <v>2237253859.4000001</v>
      </c>
      <c r="J1072" s="670"/>
      <c r="K1072" s="682" t="s">
        <v>10165</v>
      </c>
      <c r="L1072" s="682" t="s">
        <v>10165</v>
      </c>
      <c r="M1072" s="682" t="s">
        <v>10165</v>
      </c>
      <c r="N1072" s="670"/>
    </row>
    <row r="1073" spans="1:14">
      <c r="A1073" s="1066"/>
      <c r="B1073" s="670" t="s">
        <v>2875</v>
      </c>
      <c r="C1073" s="670" t="s">
        <v>8642</v>
      </c>
      <c r="D1073" s="682" t="s">
        <v>10165</v>
      </c>
      <c r="E1073" s="682" t="s">
        <v>10165</v>
      </c>
      <c r="F1073" s="682" t="s">
        <v>10165</v>
      </c>
      <c r="G1073" s="682" t="s">
        <v>10165</v>
      </c>
      <c r="H1073" s="682" t="s">
        <v>10165</v>
      </c>
      <c r="I1073" s="671">
        <v>5505660</v>
      </c>
      <c r="J1073" s="670"/>
      <c r="K1073" s="682" t="s">
        <v>10165</v>
      </c>
      <c r="L1073" s="682" t="s">
        <v>10165</v>
      </c>
      <c r="M1073" s="682" t="s">
        <v>10165</v>
      </c>
      <c r="N1073" s="670"/>
    </row>
    <row r="1074" spans="1:14">
      <c r="A1074" s="1066"/>
      <c r="B1074" s="670" t="s">
        <v>2875</v>
      </c>
      <c r="C1074" s="670" t="s">
        <v>8643</v>
      </c>
      <c r="D1074" s="682" t="s">
        <v>10165</v>
      </c>
      <c r="E1074" s="682" t="s">
        <v>10165</v>
      </c>
      <c r="F1074" s="682" t="s">
        <v>10165</v>
      </c>
      <c r="G1074" s="682" t="s">
        <v>10165</v>
      </c>
      <c r="H1074" s="682" t="s">
        <v>10165</v>
      </c>
      <c r="I1074" s="671">
        <v>8205748222.6899996</v>
      </c>
      <c r="J1074" s="670"/>
      <c r="K1074" s="682" t="s">
        <v>10165</v>
      </c>
      <c r="L1074" s="682" t="s">
        <v>10165</v>
      </c>
      <c r="M1074" s="682" t="s">
        <v>10165</v>
      </c>
      <c r="N1074" s="670"/>
    </row>
    <row r="1075" spans="1:14">
      <c r="A1075" s="1066"/>
      <c r="B1075" s="670" t="s">
        <v>2875</v>
      </c>
      <c r="C1075" s="670" t="s">
        <v>8644</v>
      </c>
      <c r="D1075" s="682" t="s">
        <v>10165</v>
      </c>
      <c r="E1075" s="670" t="s">
        <v>8645</v>
      </c>
      <c r="F1075" s="682" t="s">
        <v>10165</v>
      </c>
      <c r="G1075" s="682" t="s">
        <v>10165</v>
      </c>
      <c r="H1075" s="682" t="s">
        <v>10165</v>
      </c>
      <c r="I1075" s="671">
        <v>3890443158.5300002</v>
      </c>
      <c r="J1075" s="670"/>
      <c r="K1075" s="682" t="s">
        <v>10165</v>
      </c>
      <c r="L1075" s="682" t="s">
        <v>10165</v>
      </c>
      <c r="M1075" s="682" t="s">
        <v>10165</v>
      </c>
      <c r="N1075" s="670"/>
    </row>
    <row r="1076" spans="1:14">
      <c r="A1076" s="1066"/>
      <c r="B1076" s="670" t="s">
        <v>2875</v>
      </c>
      <c r="C1076" s="670" t="s">
        <v>8646</v>
      </c>
      <c r="D1076" s="682" t="s">
        <v>10165</v>
      </c>
      <c r="E1076" s="682" t="s">
        <v>10165</v>
      </c>
      <c r="F1076" s="682" t="s">
        <v>10165</v>
      </c>
      <c r="G1076" s="682" t="s">
        <v>10165</v>
      </c>
      <c r="H1076" s="682" t="s">
        <v>10165</v>
      </c>
      <c r="I1076" s="671">
        <v>6944580</v>
      </c>
      <c r="J1076" s="670"/>
      <c r="K1076" s="682" t="s">
        <v>10165</v>
      </c>
      <c r="L1076" s="682" t="s">
        <v>10165</v>
      </c>
      <c r="M1076" s="682" t="s">
        <v>10165</v>
      </c>
      <c r="N1076" s="670"/>
    </row>
    <row r="1077" spans="1:14">
      <c r="A1077" s="1066"/>
      <c r="B1077" s="670" t="s">
        <v>2875</v>
      </c>
      <c r="C1077" s="670" t="s">
        <v>8647</v>
      </c>
      <c r="D1077" s="682" t="s">
        <v>10165</v>
      </c>
      <c r="E1077" s="682" t="s">
        <v>10165</v>
      </c>
      <c r="F1077" s="682" t="s">
        <v>10165</v>
      </c>
      <c r="G1077" s="682" t="s">
        <v>10165</v>
      </c>
      <c r="H1077" s="682" t="s">
        <v>10165</v>
      </c>
      <c r="I1077" s="671">
        <v>5564162435.46</v>
      </c>
      <c r="J1077" s="670"/>
      <c r="K1077" s="682" t="s">
        <v>10165</v>
      </c>
      <c r="L1077" s="682" t="s">
        <v>10165</v>
      </c>
      <c r="M1077" s="682" t="s">
        <v>10165</v>
      </c>
      <c r="N1077" s="670"/>
    </row>
    <row r="1078" spans="1:14">
      <c r="A1078" s="1066"/>
      <c r="B1078" s="670" t="s">
        <v>2875</v>
      </c>
      <c r="C1078" s="670" t="s">
        <v>8648</v>
      </c>
      <c r="D1078" s="682" t="s">
        <v>10165</v>
      </c>
      <c r="E1078" s="682" t="s">
        <v>10165</v>
      </c>
      <c r="F1078" s="682" t="s">
        <v>10165</v>
      </c>
      <c r="G1078" s="682" t="s">
        <v>10165</v>
      </c>
      <c r="H1078" s="682" t="s">
        <v>10165</v>
      </c>
      <c r="I1078" s="671">
        <v>615767624.5</v>
      </c>
      <c r="J1078" s="670"/>
      <c r="K1078" s="682" t="s">
        <v>10165</v>
      </c>
      <c r="L1078" s="682" t="s">
        <v>10165</v>
      </c>
      <c r="M1078" s="682" t="s">
        <v>10165</v>
      </c>
      <c r="N1078" s="670"/>
    </row>
    <row r="1079" spans="1:14">
      <c r="A1079" s="1066"/>
      <c r="B1079" s="670" t="s">
        <v>2875</v>
      </c>
      <c r="C1079" s="670" t="s">
        <v>8649</v>
      </c>
      <c r="D1079" s="682" t="s">
        <v>10165</v>
      </c>
      <c r="E1079" s="682" t="s">
        <v>10165</v>
      </c>
      <c r="F1079" s="682" t="s">
        <v>10165</v>
      </c>
      <c r="G1079" s="682" t="s">
        <v>10165</v>
      </c>
      <c r="H1079" s="682" t="s">
        <v>10165</v>
      </c>
      <c r="I1079" s="671">
        <v>294736806.39999998</v>
      </c>
      <c r="J1079" s="670"/>
      <c r="K1079" s="682" t="s">
        <v>10165</v>
      </c>
      <c r="L1079" s="682" t="s">
        <v>10165</v>
      </c>
      <c r="M1079" s="682" t="s">
        <v>10165</v>
      </c>
      <c r="N1079" s="670"/>
    </row>
    <row r="1080" spans="1:14">
      <c r="A1080" s="1066"/>
      <c r="B1080" s="670" t="s">
        <v>2875</v>
      </c>
      <c r="C1080" s="670" t="s">
        <v>8650</v>
      </c>
      <c r="D1080" s="682" t="s">
        <v>10165</v>
      </c>
      <c r="E1080" s="682" t="s">
        <v>10165</v>
      </c>
      <c r="F1080" s="682" t="s">
        <v>10165</v>
      </c>
      <c r="G1080" s="682" t="s">
        <v>10165</v>
      </c>
      <c r="H1080" s="682" t="s">
        <v>10165</v>
      </c>
      <c r="I1080" s="671">
        <v>1576380</v>
      </c>
      <c r="J1080" s="670"/>
      <c r="K1080" s="682" t="s">
        <v>10165</v>
      </c>
      <c r="L1080" s="682" t="s">
        <v>10165</v>
      </c>
      <c r="M1080" s="682" t="s">
        <v>10165</v>
      </c>
      <c r="N1080" s="670"/>
    </row>
    <row r="1081" spans="1:14">
      <c r="A1081" s="1066"/>
      <c r="B1081" s="670" t="s">
        <v>2875</v>
      </c>
      <c r="C1081" s="670" t="s">
        <v>8651</v>
      </c>
      <c r="D1081" s="682" t="s">
        <v>10165</v>
      </c>
      <c r="E1081" s="682" t="s">
        <v>10165</v>
      </c>
      <c r="F1081" s="682" t="s">
        <v>10165</v>
      </c>
      <c r="G1081" s="682" t="s">
        <v>10165</v>
      </c>
      <c r="H1081" s="682" t="s">
        <v>10165</v>
      </c>
      <c r="I1081" s="671">
        <v>112317801.76000001</v>
      </c>
      <c r="J1081" s="670"/>
      <c r="K1081" s="682" t="s">
        <v>10165</v>
      </c>
      <c r="L1081" s="682" t="s">
        <v>10165</v>
      </c>
      <c r="M1081" s="682" t="s">
        <v>10165</v>
      </c>
      <c r="N1081" s="670"/>
    </row>
    <row r="1082" spans="1:14">
      <c r="A1082" s="1066"/>
      <c r="B1082" s="670" t="s">
        <v>2875</v>
      </c>
      <c r="C1082" s="670" t="s">
        <v>8652</v>
      </c>
      <c r="D1082" s="682" t="s">
        <v>10165</v>
      </c>
      <c r="E1082" s="682" t="s">
        <v>10165</v>
      </c>
      <c r="F1082" s="682" t="s">
        <v>10165</v>
      </c>
      <c r="G1082" s="682" t="s">
        <v>10165</v>
      </c>
      <c r="H1082" s="682" t="s">
        <v>10165</v>
      </c>
      <c r="I1082" s="671">
        <v>9647026800</v>
      </c>
      <c r="J1082" s="670"/>
      <c r="K1082" s="682" t="s">
        <v>10165</v>
      </c>
      <c r="L1082" s="682" t="s">
        <v>10165</v>
      </c>
      <c r="M1082" s="682" t="s">
        <v>10165</v>
      </c>
      <c r="N1082" s="670"/>
    </row>
    <row r="1083" spans="1:14">
      <c r="A1083" s="1066"/>
      <c r="B1083" s="670" t="s">
        <v>2875</v>
      </c>
      <c r="C1083" s="670" t="s">
        <v>8653</v>
      </c>
      <c r="D1083" s="682" t="s">
        <v>10165</v>
      </c>
      <c r="E1083" s="682" t="s">
        <v>10165</v>
      </c>
      <c r="F1083" s="682" t="s">
        <v>10165</v>
      </c>
      <c r="G1083" s="682" t="s">
        <v>10165</v>
      </c>
      <c r="H1083" s="682" t="s">
        <v>10165</v>
      </c>
      <c r="I1083" s="671">
        <v>1603422400</v>
      </c>
      <c r="J1083" s="670"/>
      <c r="K1083" s="682" t="s">
        <v>10165</v>
      </c>
      <c r="L1083" s="682" t="s">
        <v>10165</v>
      </c>
      <c r="M1083" s="682" t="s">
        <v>10165</v>
      </c>
      <c r="N1083" s="670"/>
    </row>
    <row r="1084" spans="1:14">
      <c r="A1084" s="1066"/>
      <c r="B1084" s="670" t="s">
        <v>2875</v>
      </c>
      <c r="C1084" s="670" t="s">
        <v>8654</v>
      </c>
      <c r="D1084" s="682" t="s">
        <v>10165</v>
      </c>
      <c r="E1084" s="682" t="s">
        <v>10165</v>
      </c>
      <c r="F1084" s="682" t="s">
        <v>10165</v>
      </c>
      <c r="G1084" s="682" t="s">
        <v>10165</v>
      </c>
      <c r="H1084" s="682" t="s">
        <v>10165</v>
      </c>
      <c r="I1084" s="671">
        <v>315107060.60000002</v>
      </c>
      <c r="J1084" s="670"/>
      <c r="K1084" s="682" t="s">
        <v>10165</v>
      </c>
      <c r="L1084" s="682" t="s">
        <v>10165</v>
      </c>
      <c r="M1084" s="682" t="s">
        <v>10165</v>
      </c>
      <c r="N1084" s="670"/>
    </row>
    <row r="1085" spans="1:14">
      <c r="A1085" s="1066"/>
      <c r="B1085" s="670" t="s">
        <v>2875</v>
      </c>
      <c r="C1085" s="670" t="s">
        <v>8655</v>
      </c>
      <c r="D1085" s="682" t="s">
        <v>10165</v>
      </c>
      <c r="E1085" s="682" t="s">
        <v>10165</v>
      </c>
      <c r="F1085" s="682" t="s">
        <v>10165</v>
      </c>
      <c r="G1085" s="682" t="s">
        <v>10165</v>
      </c>
      <c r="H1085" s="682" t="s">
        <v>10165</v>
      </c>
      <c r="I1085" s="671">
        <v>134292000</v>
      </c>
      <c r="J1085" s="670"/>
      <c r="K1085" s="682" t="s">
        <v>10165</v>
      </c>
      <c r="L1085" s="682" t="s">
        <v>10165</v>
      </c>
      <c r="M1085" s="682" t="s">
        <v>10165</v>
      </c>
      <c r="N1085" s="670"/>
    </row>
    <row r="1086" spans="1:14">
      <c r="A1086" s="1066"/>
      <c r="B1086" s="670" t="s">
        <v>2875</v>
      </c>
      <c r="C1086" s="670" t="s">
        <v>8656</v>
      </c>
      <c r="D1086" s="682" t="s">
        <v>10165</v>
      </c>
      <c r="E1086" s="682" t="s">
        <v>10165</v>
      </c>
      <c r="F1086" s="682" t="s">
        <v>10165</v>
      </c>
      <c r="G1086" s="682" t="s">
        <v>10165</v>
      </c>
      <c r="H1086" s="682" t="s">
        <v>10165</v>
      </c>
      <c r="I1086" s="671">
        <v>166125503.41999999</v>
      </c>
      <c r="J1086" s="670"/>
      <c r="K1086" s="682" t="s">
        <v>10165</v>
      </c>
      <c r="L1086" s="682" t="s">
        <v>10165</v>
      </c>
      <c r="M1086" s="682" t="s">
        <v>10165</v>
      </c>
      <c r="N1086" s="670"/>
    </row>
    <row r="1087" spans="1:14">
      <c r="A1087" s="1066"/>
      <c r="B1087" s="670" t="s">
        <v>2875</v>
      </c>
      <c r="C1087" s="670" t="s">
        <v>8657</v>
      </c>
      <c r="D1087" s="682" t="s">
        <v>10165</v>
      </c>
      <c r="E1087" s="682" t="s">
        <v>10165</v>
      </c>
      <c r="F1087" s="682" t="s">
        <v>10165</v>
      </c>
      <c r="G1087" s="682" t="s">
        <v>10165</v>
      </c>
      <c r="H1087" s="682" t="s">
        <v>10165</v>
      </c>
      <c r="I1087" s="671">
        <v>172958</v>
      </c>
      <c r="J1087" s="670"/>
      <c r="K1087" s="682" t="s">
        <v>10165</v>
      </c>
      <c r="L1087" s="682" t="s">
        <v>10165</v>
      </c>
      <c r="M1087" s="682" t="s">
        <v>10165</v>
      </c>
      <c r="N1087" s="670"/>
    </row>
    <row r="1088" spans="1:14">
      <c r="A1088" s="1066"/>
      <c r="B1088" s="670" t="s">
        <v>2875</v>
      </c>
      <c r="C1088" s="670" t="s">
        <v>8658</v>
      </c>
      <c r="D1088" s="682" t="s">
        <v>10165</v>
      </c>
      <c r="E1088" s="682" t="s">
        <v>10165</v>
      </c>
      <c r="F1088" s="682" t="s">
        <v>10165</v>
      </c>
      <c r="G1088" s="682" t="s">
        <v>10165</v>
      </c>
      <c r="H1088" s="682" t="s">
        <v>10165</v>
      </c>
      <c r="I1088" s="671">
        <v>7287385</v>
      </c>
      <c r="J1088" s="670"/>
      <c r="K1088" s="682" t="s">
        <v>10165</v>
      </c>
      <c r="L1088" s="682" t="s">
        <v>10165</v>
      </c>
      <c r="M1088" s="682" t="s">
        <v>10165</v>
      </c>
      <c r="N1088" s="670"/>
    </row>
    <row r="1089" spans="1:14">
      <c r="A1089" s="1066"/>
      <c r="B1089" s="670" t="s">
        <v>2875</v>
      </c>
      <c r="C1089" s="670" t="s">
        <v>8659</v>
      </c>
      <c r="D1089" s="682" t="s">
        <v>10165</v>
      </c>
      <c r="E1089" s="682" t="s">
        <v>10165</v>
      </c>
      <c r="F1089" s="682" t="s">
        <v>10165</v>
      </c>
      <c r="G1089" s="682" t="s">
        <v>10165</v>
      </c>
      <c r="H1089" s="682" t="s">
        <v>10165</v>
      </c>
      <c r="I1089" s="671">
        <v>102960880</v>
      </c>
      <c r="J1089" s="670"/>
      <c r="K1089" s="682" t="s">
        <v>10165</v>
      </c>
      <c r="L1089" s="682" t="s">
        <v>10165</v>
      </c>
      <c r="M1089" s="682" t="s">
        <v>10165</v>
      </c>
      <c r="N1089" s="670"/>
    </row>
    <row r="1090" spans="1:14">
      <c r="A1090" s="1066"/>
      <c r="B1090" s="670" t="s">
        <v>2875</v>
      </c>
      <c r="C1090" s="670" t="s">
        <v>8660</v>
      </c>
      <c r="D1090" s="682" t="s">
        <v>10165</v>
      </c>
      <c r="E1090" s="682" t="s">
        <v>10165</v>
      </c>
      <c r="F1090" s="682" t="s">
        <v>10165</v>
      </c>
      <c r="G1090" s="682" t="s">
        <v>10165</v>
      </c>
      <c r="H1090" s="682" t="s">
        <v>10165</v>
      </c>
      <c r="I1090" s="671">
        <v>11300000</v>
      </c>
      <c r="J1090" s="670"/>
      <c r="K1090" s="682" t="s">
        <v>10165</v>
      </c>
      <c r="L1090" s="682" t="s">
        <v>10165</v>
      </c>
      <c r="M1090" s="682" t="s">
        <v>10165</v>
      </c>
      <c r="N1090" s="670"/>
    </row>
    <row r="1091" spans="1:14">
      <c r="A1091" s="1066"/>
      <c r="B1091" s="670" t="s">
        <v>2875</v>
      </c>
      <c r="C1091" s="670" t="s">
        <v>8661</v>
      </c>
      <c r="D1091" s="682" t="s">
        <v>10165</v>
      </c>
      <c r="E1091" s="682" t="s">
        <v>10165</v>
      </c>
      <c r="F1091" s="682" t="s">
        <v>10165</v>
      </c>
      <c r="G1091" s="682" t="s">
        <v>10165</v>
      </c>
      <c r="H1091" s="682" t="s">
        <v>10165</v>
      </c>
      <c r="I1091" s="671">
        <v>5578280</v>
      </c>
      <c r="J1091" s="670"/>
      <c r="K1091" s="682" t="s">
        <v>10165</v>
      </c>
      <c r="L1091" s="682" t="s">
        <v>10165</v>
      </c>
      <c r="M1091" s="682" t="s">
        <v>10165</v>
      </c>
      <c r="N1091" s="670"/>
    </row>
    <row r="1092" spans="1:14">
      <c r="A1092" s="1066"/>
      <c r="B1092" s="670" t="s">
        <v>2875</v>
      </c>
      <c r="C1092" s="670" t="s">
        <v>8662</v>
      </c>
      <c r="D1092" s="682" t="s">
        <v>10165</v>
      </c>
      <c r="E1092" s="682" t="s">
        <v>10165</v>
      </c>
      <c r="F1092" s="682" t="s">
        <v>10165</v>
      </c>
      <c r="G1092" s="682" t="s">
        <v>10165</v>
      </c>
      <c r="H1092" s="682" t="s">
        <v>10165</v>
      </c>
      <c r="I1092" s="671">
        <v>482000</v>
      </c>
      <c r="J1092" s="670"/>
      <c r="K1092" s="682" t="s">
        <v>10165</v>
      </c>
      <c r="L1092" s="682" t="s">
        <v>10165</v>
      </c>
      <c r="M1092" s="682" t="s">
        <v>10165</v>
      </c>
      <c r="N1092" s="670"/>
    </row>
    <row r="1093" spans="1:14">
      <c r="A1093" s="1066"/>
      <c r="B1093" s="670" t="s">
        <v>2875</v>
      </c>
      <c r="C1093" s="670" t="s">
        <v>8663</v>
      </c>
      <c r="D1093" s="682" t="s">
        <v>10165</v>
      </c>
      <c r="E1093" s="682" t="s">
        <v>10165</v>
      </c>
      <c r="F1093" s="682" t="s">
        <v>10165</v>
      </c>
      <c r="G1093" s="682" t="s">
        <v>10165</v>
      </c>
      <c r="H1093" s="682" t="s">
        <v>10165</v>
      </c>
      <c r="I1093" s="671">
        <v>32033856.399999999</v>
      </c>
      <c r="J1093" s="670"/>
      <c r="K1093" s="682" t="s">
        <v>10165</v>
      </c>
      <c r="L1093" s="682" t="s">
        <v>10165</v>
      </c>
      <c r="M1093" s="682" t="s">
        <v>10165</v>
      </c>
      <c r="N1093" s="670"/>
    </row>
    <row r="1094" spans="1:14">
      <c r="A1094" s="1066"/>
      <c r="B1094" s="670" t="s">
        <v>2875</v>
      </c>
      <c r="C1094" s="670" t="s">
        <v>8664</v>
      </c>
      <c r="D1094" s="682" t="s">
        <v>10165</v>
      </c>
      <c r="E1094" s="682" t="s">
        <v>10165</v>
      </c>
      <c r="F1094" s="682" t="s">
        <v>10165</v>
      </c>
      <c r="G1094" s="682" t="s">
        <v>10165</v>
      </c>
      <c r="H1094" s="682" t="s">
        <v>10165</v>
      </c>
      <c r="I1094" s="671">
        <v>17828917.600000001</v>
      </c>
      <c r="J1094" s="670"/>
      <c r="K1094" s="682" t="s">
        <v>10165</v>
      </c>
      <c r="L1094" s="682" t="s">
        <v>10165</v>
      </c>
      <c r="M1094" s="682" t="s">
        <v>10165</v>
      </c>
      <c r="N1094" s="670"/>
    </row>
    <row r="1095" spans="1:14">
      <c r="A1095" s="1066"/>
      <c r="B1095" s="670" t="s">
        <v>2875</v>
      </c>
      <c r="C1095" s="670" t="s">
        <v>8665</v>
      </c>
      <c r="D1095" s="682" t="s">
        <v>10165</v>
      </c>
      <c r="E1095" s="682" t="s">
        <v>10165</v>
      </c>
      <c r="F1095" s="682" t="s">
        <v>10165</v>
      </c>
      <c r="G1095" s="682" t="s">
        <v>10165</v>
      </c>
      <c r="H1095" s="682" t="s">
        <v>10165</v>
      </c>
      <c r="I1095" s="671">
        <v>149986088.53999999</v>
      </c>
      <c r="J1095" s="670"/>
      <c r="K1095" s="682" t="s">
        <v>10165</v>
      </c>
      <c r="L1095" s="682" t="s">
        <v>10165</v>
      </c>
      <c r="M1095" s="682" t="s">
        <v>10165</v>
      </c>
      <c r="N1095" s="670"/>
    </row>
    <row r="1096" spans="1:14">
      <c r="A1096" s="1066"/>
      <c r="B1096" s="670" t="s">
        <v>2875</v>
      </c>
      <c r="C1096" s="670" t="s">
        <v>8666</v>
      </c>
      <c r="D1096" s="682" t="s">
        <v>10165</v>
      </c>
      <c r="E1096" s="682" t="s">
        <v>10165</v>
      </c>
      <c r="F1096" s="682" t="s">
        <v>10165</v>
      </c>
      <c r="G1096" s="682" t="s">
        <v>10165</v>
      </c>
      <c r="H1096" s="682" t="s">
        <v>10165</v>
      </c>
      <c r="I1096" s="671">
        <v>76367800</v>
      </c>
      <c r="J1096" s="670"/>
      <c r="K1096" s="682" t="s">
        <v>10165</v>
      </c>
      <c r="L1096" s="682" t="s">
        <v>10165</v>
      </c>
      <c r="M1096" s="682" t="s">
        <v>10165</v>
      </c>
      <c r="N1096" s="670"/>
    </row>
    <row r="1097" spans="1:14">
      <c r="A1097" s="1066"/>
      <c r="B1097" s="670" t="s">
        <v>2875</v>
      </c>
      <c r="C1097" s="670" t="s">
        <v>8667</v>
      </c>
      <c r="D1097" s="682" t="s">
        <v>10165</v>
      </c>
      <c r="E1097" s="682" t="s">
        <v>10165</v>
      </c>
      <c r="F1097" s="682" t="s">
        <v>10165</v>
      </c>
      <c r="G1097" s="682" t="s">
        <v>10165</v>
      </c>
      <c r="H1097" s="682" t="s">
        <v>10165</v>
      </c>
      <c r="I1097" s="671">
        <v>116064992</v>
      </c>
      <c r="J1097" s="670"/>
      <c r="K1097" s="682" t="s">
        <v>10165</v>
      </c>
      <c r="L1097" s="682" t="s">
        <v>10165</v>
      </c>
      <c r="M1097" s="682" t="s">
        <v>10165</v>
      </c>
      <c r="N1097" s="670"/>
    </row>
    <row r="1098" spans="1:14">
      <c r="A1098" s="1066"/>
      <c r="B1098" s="670" t="s">
        <v>2875</v>
      </c>
      <c r="C1098" s="670" t="s">
        <v>8668</v>
      </c>
      <c r="D1098" s="682" t="s">
        <v>10165</v>
      </c>
      <c r="E1098" s="682" t="s">
        <v>10165</v>
      </c>
      <c r="F1098" s="682" t="s">
        <v>10165</v>
      </c>
      <c r="G1098" s="682" t="s">
        <v>10165</v>
      </c>
      <c r="H1098" s="682" t="s">
        <v>10165</v>
      </c>
      <c r="I1098" s="671">
        <v>203955028.31</v>
      </c>
      <c r="J1098" s="670"/>
      <c r="K1098" s="682" t="s">
        <v>10165</v>
      </c>
      <c r="L1098" s="682" t="s">
        <v>10165</v>
      </c>
      <c r="M1098" s="682" t="s">
        <v>10165</v>
      </c>
      <c r="N1098" s="670"/>
    </row>
    <row r="1099" spans="1:14">
      <c r="A1099" s="1066"/>
      <c r="B1099" s="670" t="s">
        <v>2875</v>
      </c>
      <c r="C1099" s="670" t="s">
        <v>8669</v>
      </c>
      <c r="D1099" s="682" t="s">
        <v>10165</v>
      </c>
      <c r="E1099" s="682" t="s">
        <v>10165</v>
      </c>
      <c r="F1099" s="682" t="s">
        <v>10165</v>
      </c>
      <c r="G1099" s="682" t="s">
        <v>10165</v>
      </c>
      <c r="H1099" s="682" t="s">
        <v>10165</v>
      </c>
      <c r="I1099" s="671">
        <v>68215876.430000007</v>
      </c>
      <c r="J1099" s="670"/>
      <c r="K1099" s="682" t="s">
        <v>10165</v>
      </c>
      <c r="L1099" s="682" t="s">
        <v>10165</v>
      </c>
      <c r="M1099" s="682" t="s">
        <v>10165</v>
      </c>
      <c r="N1099" s="670"/>
    </row>
    <row r="1100" spans="1:14">
      <c r="A1100" s="1066"/>
      <c r="B1100" s="670" t="s">
        <v>2875</v>
      </c>
      <c r="C1100" s="670" t="s">
        <v>8670</v>
      </c>
      <c r="D1100" s="682" t="s">
        <v>10165</v>
      </c>
      <c r="E1100" s="682" t="s">
        <v>10165</v>
      </c>
      <c r="F1100" s="682" t="s">
        <v>10165</v>
      </c>
      <c r="G1100" s="682" t="s">
        <v>10165</v>
      </c>
      <c r="H1100" s="682" t="s">
        <v>10165</v>
      </c>
      <c r="I1100" s="671">
        <v>1526100</v>
      </c>
      <c r="J1100" s="670"/>
      <c r="K1100" s="682" t="s">
        <v>10165</v>
      </c>
      <c r="L1100" s="682" t="s">
        <v>10165</v>
      </c>
      <c r="M1100" s="682" t="s">
        <v>10165</v>
      </c>
      <c r="N1100" s="670"/>
    </row>
    <row r="1101" spans="1:14">
      <c r="A1101" s="1066"/>
      <c r="B1101" s="670" t="s">
        <v>2875</v>
      </c>
      <c r="C1101" s="670" t="s">
        <v>8671</v>
      </c>
      <c r="D1101" s="682" t="s">
        <v>10165</v>
      </c>
      <c r="E1101" s="682" t="s">
        <v>10165</v>
      </c>
      <c r="F1101" s="682" t="s">
        <v>10165</v>
      </c>
      <c r="G1101" s="682" t="s">
        <v>10165</v>
      </c>
      <c r="H1101" s="682" t="s">
        <v>10165</v>
      </c>
      <c r="I1101" s="671">
        <v>272459720</v>
      </c>
      <c r="J1101" s="670"/>
      <c r="K1101" s="682" t="s">
        <v>10165</v>
      </c>
      <c r="L1101" s="682" t="s">
        <v>10165</v>
      </c>
      <c r="M1101" s="682" t="s">
        <v>10165</v>
      </c>
      <c r="N1101" s="670"/>
    </row>
    <row r="1102" spans="1:14">
      <c r="A1102" s="1066"/>
      <c r="B1102" s="670" t="s">
        <v>2875</v>
      </c>
      <c r="C1102" s="670" t="s">
        <v>8672</v>
      </c>
      <c r="D1102" s="682" t="s">
        <v>10165</v>
      </c>
      <c r="E1102" s="682" t="s">
        <v>10165</v>
      </c>
      <c r="F1102" s="682" t="s">
        <v>10165</v>
      </c>
      <c r="G1102" s="682" t="s">
        <v>10165</v>
      </c>
      <c r="H1102" s="682" t="s">
        <v>10165</v>
      </c>
      <c r="I1102" s="671">
        <v>123119783.73</v>
      </c>
      <c r="J1102" s="670"/>
      <c r="K1102" s="682" t="s">
        <v>10165</v>
      </c>
      <c r="L1102" s="682" t="s">
        <v>10165</v>
      </c>
      <c r="M1102" s="682" t="s">
        <v>10165</v>
      </c>
      <c r="N1102" s="670"/>
    </row>
    <row r="1103" spans="1:14">
      <c r="A1103" s="1066"/>
      <c r="B1103" s="670" t="s">
        <v>2875</v>
      </c>
      <c r="C1103" s="670" t="s">
        <v>8673</v>
      </c>
      <c r="D1103" s="682" t="s">
        <v>10165</v>
      </c>
      <c r="E1103" s="682" t="s">
        <v>10165</v>
      </c>
      <c r="F1103" s="682" t="s">
        <v>10165</v>
      </c>
      <c r="G1103" s="682" t="s">
        <v>10165</v>
      </c>
      <c r="H1103" s="682" t="s">
        <v>10165</v>
      </c>
      <c r="I1103" s="671">
        <v>227694120</v>
      </c>
      <c r="J1103" s="670"/>
      <c r="K1103" s="682" t="s">
        <v>10165</v>
      </c>
      <c r="L1103" s="682" t="s">
        <v>10165</v>
      </c>
      <c r="M1103" s="682" t="s">
        <v>10165</v>
      </c>
      <c r="N1103" s="670"/>
    </row>
    <row r="1104" spans="1:14">
      <c r="A1104" s="1066"/>
      <c r="B1104" s="670" t="s">
        <v>2875</v>
      </c>
      <c r="C1104" s="670" t="s">
        <v>8674</v>
      </c>
      <c r="D1104" s="682" t="s">
        <v>10165</v>
      </c>
      <c r="E1104" s="682" t="s">
        <v>10165</v>
      </c>
      <c r="F1104" s="682" t="s">
        <v>10165</v>
      </c>
      <c r="G1104" s="682" t="s">
        <v>10165</v>
      </c>
      <c r="H1104" s="682" t="s">
        <v>10165</v>
      </c>
      <c r="I1104" s="671">
        <v>3617874.4</v>
      </c>
      <c r="J1104" s="670"/>
      <c r="K1104" s="682" t="s">
        <v>10165</v>
      </c>
      <c r="L1104" s="682" t="s">
        <v>10165</v>
      </c>
      <c r="M1104" s="682" t="s">
        <v>10165</v>
      </c>
      <c r="N1104" s="670"/>
    </row>
    <row r="1105" spans="1:14">
      <c r="A1105" s="1066"/>
      <c r="B1105" s="670" t="s">
        <v>2875</v>
      </c>
      <c r="C1105" s="670" t="s">
        <v>8675</v>
      </c>
      <c r="D1105" s="682" t="s">
        <v>10165</v>
      </c>
      <c r="E1105" s="682" t="s">
        <v>10165</v>
      </c>
      <c r="F1105" s="682" t="s">
        <v>10165</v>
      </c>
      <c r="G1105" s="682" t="s">
        <v>10165</v>
      </c>
      <c r="H1105" s="682" t="s">
        <v>10165</v>
      </c>
      <c r="I1105" s="671">
        <v>217953856.63</v>
      </c>
      <c r="J1105" s="670"/>
      <c r="K1105" s="682" t="s">
        <v>10165</v>
      </c>
      <c r="L1105" s="682" t="s">
        <v>10165</v>
      </c>
      <c r="M1105" s="682" t="s">
        <v>10165</v>
      </c>
      <c r="N1105" s="670"/>
    </row>
    <row r="1106" spans="1:14">
      <c r="A1106" s="1066"/>
      <c r="B1106" s="670" t="s">
        <v>2875</v>
      </c>
      <c r="C1106" s="670" t="s">
        <v>8676</v>
      </c>
      <c r="D1106" s="682" t="s">
        <v>10165</v>
      </c>
      <c r="E1106" s="682" t="s">
        <v>10165</v>
      </c>
      <c r="F1106" s="682" t="s">
        <v>10165</v>
      </c>
      <c r="G1106" s="682" t="s">
        <v>10165</v>
      </c>
      <c r="H1106" s="682" t="s">
        <v>10165</v>
      </c>
      <c r="I1106" s="671">
        <v>357608718</v>
      </c>
      <c r="J1106" s="670"/>
      <c r="K1106" s="682" t="s">
        <v>10165</v>
      </c>
      <c r="L1106" s="682" t="s">
        <v>10165</v>
      </c>
      <c r="M1106" s="682" t="s">
        <v>10165</v>
      </c>
      <c r="N1106" s="670"/>
    </row>
    <row r="1107" spans="1:14">
      <c r="A1107" s="1066"/>
      <c r="B1107" s="670" t="s">
        <v>2875</v>
      </c>
      <c r="C1107" s="670" t="s">
        <v>8677</v>
      </c>
      <c r="D1107" s="682" t="s">
        <v>10165</v>
      </c>
      <c r="E1107" s="682" t="s">
        <v>10165</v>
      </c>
      <c r="F1107" s="682" t="s">
        <v>10165</v>
      </c>
      <c r="G1107" s="682" t="s">
        <v>10165</v>
      </c>
      <c r="H1107" s="682" t="s">
        <v>10165</v>
      </c>
      <c r="I1107" s="671">
        <v>3462987700.1399999</v>
      </c>
      <c r="J1107" s="670"/>
      <c r="K1107" s="682" t="s">
        <v>10165</v>
      </c>
      <c r="L1107" s="682" t="s">
        <v>10165</v>
      </c>
      <c r="M1107" s="682" t="s">
        <v>10165</v>
      </c>
      <c r="N1107" s="670"/>
    </row>
    <row r="1108" spans="1:14">
      <c r="A1108" s="1066"/>
      <c r="B1108" s="670" t="s">
        <v>2875</v>
      </c>
      <c r="C1108" s="670" t="s">
        <v>8678</v>
      </c>
      <c r="D1108" s="682" t="s">
        <v>10165</v>
      </c>
      <c r="E1108" s="682" t="s">
        <v>10165</v>
      </c>
      <c r="F1108" s="682" t="s">
        <v>10165</v>
      </c>
      <c r="G1108" s="682" t="s">
        <v>10165</v>
      </c>
      <c r="H1108" s="682" t="s">
        <v>10165</v>
      </c>
      <c r="I1108" s="671">
        <v>305220000</v>
      </c>
      <c r="J1108" s="670"/>
      <c r="K1108" s="682" t="s">
        <v>10165</v>
      </c>
      <c r="L1108" s="682" t="s">
        <v>10165</v>
      </c>
      <c r="M1108" s="682" t="s">
        <v>10165</v>
      </c>
      <c r="N1108" s="670"/>
    </row>
    <row r="1109" spans="1:14">
      <c r="A1109" s="1066"/>
      <c r="B1109" s="670" t="s">
        <v>2875</v>
      </c>
      <c r="C1109" s="670" t="s">
        <v>8679</v>
      </c>
      <c r="D1109" s="682" t="s">
        <v>10165</v>
      </c>
      <c r="E1109" s="739" t="s">
        <v>1556</v>
      </c>
      <c r="F1109" s="682" t="s">
        <v>10165</v>
      </c>
      <c r="G1109" s="682" t="s">
        <v>10165</v>
      </c>
      <c r="H1109" s="682" t="s">
        <v>10165</v>
      </c>
      <c r="I1109" s="671">
        <v>22537814319.68</v>
      </c>
      <c r="J1109" s="670"/>
      <c r="K1109" s="682" t="s">
        <v>10165</v>
      </c>
      <c r="L1109" s="682" t="s">
        <v>10165</v>
      </c>
      <c r="M1109" s="682" t="s">
        <v>10165</v>
      </c>
      <c r="N1109" s="670"/>
    </row>
    <row r="1110" spans="1:14">
      <c r="A1110" s="1066"/>
      <c r="B1110" s="670" t="s">
        <v>2875</v>
      </c>
      <c r="C1110" s="670" t="s">
        <v>8680</v>
      </c>
      <c r="D1110" s="682" t="s">
        <v>10165</v>
      </c>
      <c r="E1110" s="682" t="s">
        <v>10165</v>
      </c>
      <c r="F1110" s="682" t="s">
        <v>10165</v>
      </c>
      <c r="G1110" s="682" t="s">
        <v>10165</v>
      </c>
      <c r="H1110" s="682" t="s">
        <v>10165</v>
      </c>
      <c r="I1110" s="671">
        <v>61044000</v>
      </c>
      <c r="J1110" s="670"/>
      <c r="K1110" s="682" t="s">
        <v>10165</v>
      </c>
      <c r="L1110" s="682" t="s">
        <v>10165</v>
      </c>
      <c r="M1110" s="682" t="s">
        <v>10165</v>
      </c>
      <c r="N1110" s="670"/>
    </row>
    <row r="1111" spans="1:14">
      <c r="A1111" s="1066"/>
      <c r="B1111" s="670" t="s">
        <v>2875</v>
      </c>
      <c r="C1111" s="670" t="s">
        <v>8681</v>
      </c>
      <c r="D1111" s="682" t="s">
        <v>10165</v>
      </c>
      <c r="E1111" s="682" t="s">
        <v>10165</v>
      </c>
      <c r="F1111" s="682" t="s">
        <v>10165</v>
      </c>
      <c r="G1111" s="682" t="s">
        <v>10165</v>
      </c>
      <c r="H1111" s="682" t="s">
        <v>10165</v>
      </c>
      <c r="I1111" s="671">
        <v>57439278</v>
      </c>
      <c r="J1111" s="670"/>
      <c r="K1111" s="682" t="s">
        <v>10165</v>
      </c>
      <c r="L1111" s="682" t="s">
        <v>10165</v>
      </c>
      <c r="M1111" s="682" t="s">
        <v>10165</v>
      </c>
      <c r="N1111" s="670"/>
    </row>
    <row r="1112" spans="1:14">
      <c r="A1112" s="1066"/>
      <c r="B1112" s="670" t="s">
        <v>2875</v>
      </c>
      <c r="C1112" s="670" t="s">
        <v>8682</v>
      </c>
      <c r="D1112" s="682" t="s">
        <v>10165</v>
      </c>
      <c r="E1112" s="682" t="s">
        <v>10165</v>
      </c>
      <c r="F1112" s="682" t="s">
        <v>10165</v>
      </c>
      <c r="G1112" s="682" t="s">
        <v>10165</v>
      </c>
      <c r="H1112" s="682" t="s">
        <v>10165</v>
      </c>
      <c r="I1112" s="671">
        <v>254232999</v>
      </c>
      <c r="J1112" s="670"/>
      <c r="K1112" s="682" t="s">
        <v>10165</v>
      </c>
      <c r="L1112" s="682" t="s">
        <v>10165</v>
      </c>
      <c r="M1112" s="682" t="s">
        <v>10165</v>
      </c>
      <c r="N1112" s="670"/>
    </row>
    <row r="1113" spans="1:14">
      <c r="A1113" s="1066"/>
      <c r="B1113" s="670" t="s">
        <v>2875</v>
      </c>
      <c r="C1113" s="670" t="s">
        <v>8683</v>
      </c>
      <c r="D1113" s="682" t="s">
        <v>10165</v>
      </c>
      <c r="E1113" s="682" t="s">
        <v>10165</v>
      </c>
      <c r="F1113" s="682" t="s">
        <v>10165</v>
      </c>
      <c r="G1113" s="682" t="s">
        <v>10165</v>
      </c>
      <c r="H1113" s="682" t="s">
        <v>10165</v>
      </c>
      <c r="I1113" s="671">
        <v>550922100</v>
      </c>
      <c r="J1113" s="670"/>
      <c r="K1113" s="682" t="s">
        <v>10165</v>
      </c>
      <c r="L1113" s="682" t="s">
        <v>10165</v>
      </c>
      <c r="M1113" s="682" t="s">
        <v>10165</v>
      </c>
      <c r="N1113" s="670"/>
    </row>
    <row r="1114" spans="1:14">
      <c r="A1114" s="1066"/>
      <c r="B1114" s="670" t="s">
        <v>2875</v>
      </c>
      <c r="C1114" s="670" t="s">
        <v>8684</v>
      </c>
      <c r="D1114" s="682" t="s">
        <v>10165</v>
      </c>
      <c r="E1114" s="682" t="s">
        <v>10165</v>
      </c>
      <c r="F1114" s="682" t="s">
        <v>10165</v>
      </c>
      <c r="G1114" s="682" t="s">
        <v>10165</v>
      </c>
      <c r="H1114" s="682" t="s">
        <v>10165</v>
      </c>
      <c r="I1114" s="671">
        <v>660851342</v>
      </c>
      <c r="J1114" s="670"/>
      <c r="K1114" s="682" t="s">
        <v>10165</v>
      </c>
      <c r="L1114" s="682" t="s">
        <v>10165</v>
      </c>
      <c r="M1114" s="682" t="s">
        <v>10165</v>
      </c>
      <c r="N1114" s="670"/>
    </row>
    <row r="1115" spans="1:14">
      <c r="A1115" s="1066"/>
      <c r="B1115" s="670" t="s">
        <v>2875</v>
      </c>
      <c r="C1115" s="670" t="s">
        <v>8685</v>
      </c>
      <c r="D1115" s="682" t="s">
        <v>10165</v>
      </c>
      <c r="E1115" s="682" t="s">
        <v>10165</v>
      </c>
      <c r="F1115" s="682" t="s">
        <v>10165</v>
      </c>
      <c r="G1115" s="682" t="s">
        <v>10165</v>
      </c>
      <c r="H1115" s="682" t="s">
        <v>10165</v>
      </c>
      <c r="I1115" s="671">
        <v>103358760</v>
      </c>
      <c r="J1115" s="670"/>
      <c r="K1115" s="682" t="s">
        <v>10165</v>
      </c>
      <c r="L1115" s="682" t="s">
        <v>10165</v>
      </c>
      <c r="M1115" s="682" t="s">
        <v>10165</v>
      </c>
      <c r="N1115" s="670"/>
    </row>
    <row r="1116" spans="1:14">
      <c r="A1116" s="1066"/>
      <c r="B1116" s="670" t="s">
        <v>2875</v>
      </c>
      <c r="C1116" s="670" t="s">
        <v>8686</v>
      </c>
      <c r="D1116" s="682" t="s">
        <v>10165</v>
      </c>
      <c r="E1116" s="682" t="s">
        <v>10165</v>
      </c>
      <c r="F1116" s="682" t="s">
        <v>10165</v>
      </c>
      <c r="G1116" s="682" t="s">
        <v>10165</v>
      </c>
      <c r="H1116" s="682" t="s">
        <v>10165</v>
      </c>
      <c r="I1116" s="671">
        <v>12941328</v>
      </c>
      <c r="J1116" s="670"/>
      <c r="K1116" s="682" t="s">
        <v>10165</v>
      </c>
      <c r="L1116" s="682" t="s">
        <v>10165</v>
      </c>
      <c r="M1116" s="682" t="s">
        <v>10165</v>
      </c>
      <c r="N1116" s="670"/>
    </row>
    <row r="1117" spans="1:14">
      <c r="A1117" s="1066"/>
      <c r="B1117" s="670" t="s">
        <v>2875</v>
      </c>
      <c r="C1117" s="670" t="s">
        <v>8687</v>
      </c>
      <c r="D1117" s="682" t="s">
        <v>10165</v>
      </c>
      <c r="E1117" s="682" t="s">
        <v>10165</v>
      </c>
      <c r="F1117" s="682" t="s">
        <v>10165</v>
      </c>
      <c r="G1117" s="682" t="s">
        <v>10165</v>
      </c>
      <c r="H1117" s="682" t="s">
        <v>10165</v>
      </c>
      <c r="I1117" s="671">
        <v>32259719.199999999</v>
      </c>
      <c r="J1117" s="670"/>
      <c r="K1117" s="682" t="s">
        <v>10165</v>
      </c>
      <c r="L1117" s="682" t="s">
        <v>10165</v>
      </c>
      <c r="M1117" s="682" t="s">
        <v>10165</v>
      </c>
      <c r="N1117" s="670"/>
    </row>
    <row r="1118" spans="1:14">
      <c r="A1118" s="1066"/>
      <c r="B1118" s="670" t="s">
        <v>2875</v>
      </c>
      <c r="C1118" s="670" t="s">
        <v>8688</v>
      </c>
      <c r="D1118" s="682" t="s">
        <v>10165</v>
      </c>
      <c r="E1118" s="682" t="s">
        <v>10165</v>
      </c>
      <c r="F1118" s="682" t="s">
        <v>10165</v>
      </c>
      <c r="G1118" s="682" t="s">
        <v>10165</v>
      </c>
      <c r="H1118" s="682" t="s">
        <v>10165</v>
      </c>
      <c r="I1118" s="671">
        <v>54313508.399999999</v>
      </c>
      <c r="J1118" s="670"/>
      <c r="K1118" s="682" t="s">
        <v>10165</v>
      </c>
      <c r="L1118" s="682" t="s">
        <v>10165</v>
      </c>
      <c r="M1118" s="682" t="s">
        <v>10165</v>
      </c>
      <c r="N1118" s="670"/>
    </row>
    <row r="1119" spans="1:14">
      <c r="A1119" s="1066"/>
      <c r="B1119" s="670" t="s">
        <v>2875</v>
      </c>
      <c r="C1119" s="670" t="s">
        <v>8689</v>
      </c>
      <c r="D1119" s="682" t="s">
        <v>10165</v>
      </c>
      <c r="E1119" s="682" t="s">
        <v>10165</v>
      </c>
      <c r="F1119" s="682" t="s">
        <v>10165</v>
      </c>
      <c r="G1119" s="682" t="s">
        <v>10165</v>
      </c>
      <c r="H1119" s="682" t="s">
        <v>10165</v>
      </c>
      <c r="I1119" s="671">
        <v>9319384</v>
      </c>
      <c r="J1119" s="670"/>
      <c r="K1119" s="682" t="s">
        <v>10165</v>
      </c>
      <c r="L1119" s="682" t="s">
        <v>10165</v>
      </c>
      <c r="M1119" s="682" t="s">
        <v>10165</v>
      </c>
      <c r="N1119" s="670"/>
    </row>
    <row r="1120" spans="1:14">
      <c r="A1120" s="1066"/>
      <c r="B1120" s="670" t="s">
        <v>2875</v>
      </c>
      <c r="C1120" s="670" t="s">
        <v>8690</v>
      </c>
      <c r="D1120" s="682" t="s">
        <v>10165</v>
      </c>
      <c r="E1120" s="682" t="s">
        <v>10165</v>
      </c>
      <c r="F1120" s="682" t="s">
        <v>10165</v>
      </c>
      <c r="G1120" s="682" t="s">
        <v>10165</v>
      </c>
      <c r="H1120" s="682" t="s">
        <v>10165</v>
      </c>
      <c r="I1120" s="671">
        <v>65268244.799999997</v>
      </c>
      <c r="J1120" s="670"/>
      <c r="K1120" s="682" t="s">
        <v>10165</v>
      </c>
      <c r="L1120" s="682" t="s">
        <v>10165</v>
      </c>
      <c r="M1120" s="682" t="s">
        <v>10165</v>
      </c>
      <c r="N1120" s="670"/>
    </row>
    <row r="1121" spans="1:14">
      <c r="A1121" s="1066"/>
      <c r="B1121" s="670" t="s">
        <v>2875</v>
      </c>
      <c r="C1121" s="670" t="s">
        <v>8691</v>
      </c>
      <c r="D1121" s="682" t="s">
        <v>10165</v>
      </c>
      <c r="E1121" s="682" t="s">
        <v>10165</v>
      </c>
      <c r="F1121" s="682" t="s">
        <v>10165</v>
      </c>
      <c r="G1121" s="682" t="s">
        <v>10165</v>
      </c>
      <c r="H1121" s="682" t="s">
        <v>10165</v>
      </c>
      <c r="I1121" s="671">
        <v>1322779763.9100001</v>
      </c>
      <c r="J1121" s="670"/>
      <c r="K1121" s="682" t="s">
        <v>10165</v>
      </c>
      <c r="L1121" s="682" t="s">
        <v>10165</v>
      </c>
      <c r="M1121" s="682" t="s">
        <v>10165</v>
      </c>
      <c r="N1121" s="670"/>
    </row>
    <row r="1122" spans="1:14">
      <c r="A1122" s="1066"/>
      <c r="B1122" s="670" t="s">
        <v>2875</v>
      </c>
      <c r="C1122" s="670" t="s">
        <v>8692</v>
      </c>
      <c r="D1122" s="682" t="s">
        <v>10165</v>
      </c>
      <c r="E1122" s="682" t="s">
        <v>10165</v>
      </c>
      <c r="F1122" s="682" t="s">
        <v>10165</v>
      </c>
      <c r="G1122" s="682" t="s">
        <v>10165</v>
      </c>
      <c r="H1122" s="682" t="s">
        <v>10165</v>
      </c>
      <c r="I1122" s="671">
        <v>1049869303.6</v>
      </c>
      <c r="J1122" s="670"/>
      <c r="K1122" s="682" t="s">
        <v>10165</v>
      </c>
      <c r="L1122" s="682" t="s">
        <v>10165</v>
      </c>
      <c r="M1122" s="682" t="s">
        <v>10165</v>
      </c>
      <c r="N1122" s="670"/>
    </row>
    <row r="1123" spans="1:14">
      <c r="A1123" s="672" t="s">
        <v>8693</v>
      </c>
      <c r="B1123" s="672"/>
      <c r="C1123" s="672"/>
      <c r="D1123" s="672"/>
      <c r="E1123" s="672"/>
      <c r="F1123" s="672"/>
      <c r="G1123" s="673">
        <f t="shared" ref="G1123:H1123" si="4">+SUM(G1072:G1122)</f>
        <v>0</v>
      </c>
      <c r="H1123" s="673">
        <f t="shared" si="4"/>
        <v>0</v>
      </c>
      <c r="I1123" s="673">
        <f>+SUM(I1072:I1122)</f>
        <v>65337266278.530006</v>
      </c>
      <c r="J1123" s="673"/>
      <c r="K1123" s="673"/>
      <c r="L1123" s="673"/>
      <c r="M1123" s="673"/>
      <c r="N1123" s="673"/>
    </row>
    <row r="1124" spans="1:14">
      <c r="A1124" s="1067" t="s">
        <v>855</v>
      </c>
      <c r="B1124" s="679">
        <v>44933</v>
      </c>
      <c r="C1124" s="674" t="s">
        <v>9687</v>
      </c>
      <c r="D1124" s="674" t="s">
        <v>9688</v>
      </c>
      <c r="E1124" s="674" t="s">
        <v>9689</v>
      </c>
      <c r="F1124" s="674" t="s">
        <v>9690</v>
      </c>
      <c r="G1124" s="680"/>
      <c r="H1124" s="680">
        <v>347082.5</v>
      </c>
      <c r="I1124" s="680"/>
      <c r="J1124" s="680">
        <v>10000</v>
      </c>
      <c r="K1124" s="674" t="s">
        <v>9691</v>
      </c>
      <c r="L1124" s="674" t="s">
        <v>9692</v>
      </c>
      <c r="M1124" s="674"/>
      <c r="N1124" s="674"/>
    </row>
    <row r="1125" spans="1:14">
      <c r="A1125" s="1067"/>
      <c r="B1125" s="679">
        <v>44933</v>
      </c>
      <c r="C1125" s="674" t="s">
        <v>9693</v>
      </c>
      <c r="D1125" s="674"/>
      <c r="E1125" s="674"/>
      <c r="F1125" s="674" t="s">
        <v>9694</v>
      </c>
      <c r="G1125" s="680"/>
      <c r="H1125" s="680">
        <v>149914</v>
      </c>
      <c r="I1125" s="680"/>
      <c r="J1125" s="680">
        <v>5000</v>
      </c>
      <c r="K1125" s="674" t="s">
        <v>9695</v>
      </c>
      <c r="L1125" s="674" t="s">
        <v>9696</v>
      </c>
      <c r="M1125" s="674"/>
      <c r="N1125" s="674"/>
    </row>
    <row r="1126" spans="1:14">
      <c r="A1126" s="1067"/>
      <c r="B1126" s="679">
        <v>44933</v>
      </c>
      <c r="C1126" s="674" t="s">
        <v>9697</v>
      </c>
      <c r="D1126" s="674" t="s">
        <v>9688</v>
      </c>
      <c r="E1126" s="674" t="s">
        <v>9689</v>
      </c>
      <c r="F1126" s="674" t="s">
        <v>9698</v>
      </c>
      <c r="G1126" s="680"/>
      <c r="H1126" s="680">
        <v>294984</v>
      </c>
      <c r="I1126" s="680"/>
      <c r="J1126" s="680">
        <v>5000</v>
      </c>
      <c r="K1126" s="674" t="s">
        <v>9699</v>
      </c>
      <c r="L1126" s="674" t="s">
        <v>9700</v>
      </c>
      <c r="M1126" s="674"/>
      <c r="N1126" s="674"/>
    </row>
    <row r="1127" spans="1:14">
      <c r="A1127" s="1067"/>
      <c r="B1127" s="679">
        <v>44936</v>
      </c>
      <c r="C1127" s="674" t="s">
        <v>9701</v>
      </c>
      <c r="D1127" s="674" t="s">
        <v>9702</v>
      </c>
      <c r="E1127" s="674" t="s">
        <v>9689</v>
      </c>
      <c r="F1127" s="674" t="s">
        <v>9687</v>
      </c>
      <c r="G1127" s="680"/>
      <c r="H1127" s="680"/>
      <c r="I1127" s="680"/>
      <c r="J1127" s="680">
        <v>15000</v>
      </c>
      <c r="K1127" s="674" t="s">
        <v>9703</v>
      </c>
      <c r="L1127" s="674"/>
      <c r="M1127" s="674"/>
      <c r="N1127" s="674"/>
    </row>
    <row r="1128" spans="1:14">
      <c r="A1128" s="1067"/>
      <c r="B1128" s="679">
        <v>44936</v>
      </c>
      <c r="C1128" s="674" t="s">
        <v>9687</v>
      </c>
      <c r="D1128" s="674" t="s">
        <v>9688</v>
      </c>
      <c r="E1128" s="674" t="s">
        <v>9689</v>
      </c>
      <c r="F1128" s="674" t="s">
        <v>9704</v>
      </c>
      <c r="G1128" s="680"/>
      <c r="H1128" s="680">
        <v>347082.5</v>
      </c>
      <c r="I1128" s="680"/>
      <c r="J1128" s="680">
        <v>10000</v>
      </c>
      <c r="K1128" s="674" t="s">
        <v>9691</v>
      </c>
      <c r="L1128" s="674"/>
      <c r="M1128" s="674"/>
      <c r="N1128" s="674"/>
    </row>
    <row r="1129" spans="1:14">
      <c r="A1129" s="1067"/>
      <c r="B1129" s="679">
        <v>44938</v>
      </c>
      <c r="C1129" s="674" t="s">
        <v>9697</v>
      </c>
      <c r="D1129" s="674" t="s">
        <v>9688</v>
      </c>
      <c r="E1129" s="674" t="s">
        <v>9689</v>
      </c>
      <c r="F1129" s="674" t="s">
        <v>9698</v>
      </c>
      <c r="G1129" s="680"/>
      <c r="H1129" s="680">
        <v>294984</v>
      </c>
      <c r="I1129" s="680"/>
      <c r="J1129" s="680">
        <v>5000</v>
      </c>
      <c r="K1129" s="674" t="s">
        <v>9699</v>
      </c>
      <c r="L1129" s="674" t="s">
        <v>9705</v>
      </c>
      <c r="M1129" s="674"/>
      <c r="N1129" s="674"/>
    </row>
    <row r="1130" spans="1:14">
      <c r="A1130" s="1067"/>
      <c r="B1130" s="679">
        <v>45132</v>
      </c>
      <c r="C1130" s="674" t="s">
        <v>9687</v>
      </c>
      <c r="D1130" s="674" t="s">
        <v>9688</v>
      </c>
      <c r="E1130" s="674" t="s">
        <v>9689</v>
      </c>
      <c r="F1130" s="674" t="s">
        <v>9704</v>
      </c>
      <c r="G1130" s="680"/>
      <c r="H1130" s="680">
        <v>347082.5</v>
      </c>
      <c r="I1130" s="680"/>
      <c r="J1130" s="680">
        <v>100000</v>
      </c>
      <c r="K1130" s="674" t="s">
        <v>9691</v>
      </c>
      <c r="L1130" s="674" t="s">
        <v>9706</v>
      </c>
      <c r="M1130" s="674"/>
      <c r="N1130" s="674"/>
    </row>
    <row r="1131" spans="1:14">
      <c r="A1131" s="1067"/>
      <c r="B1131" s="679">
        <v>45161</v>
      </c>
      <c r="C1131" s="674" t="s">
        <v>9687</v>
      </c>
      <c r="D1131" s="674" t="s">
        <v>9688</v>
      </c>
      <c r="E1131" s="674" t="s">
        <v>9689</v>
      </c>
      <c r="F1131" s="674" t="s">
        <v>9704</v>
      </c>
      <c r="G1131" s="680"/>
      <c r="H1131" s="680">
        <v>347082.5</v>
      </c>
      <c r="I1131" s="680"/>
      <c r="J1131" s="680">
        <v>306000</v>
      </c>
      <c r="K1131" s="674" t="s">
        <v>9691</v>
      </c>
      <c r="L1131" s="674" t="s">
        <v>9707</v>
      </c>
      <c r="M1131" s="674"/>
      <c r="N1131" s="674"/>
    </row>
    <row r="1132" spans="1:14">
      <c r="A1132" s="1067"/>
      <c r="B1132" s="679">
        <v>45198</v>
      </c>
      <c r="C1132" s="674" t="s">
        <v>9708</v>
      </c>
      <c r="D1132" s="674" t="s">
        <v>9709</v>
      </c>
      <c r="E1132" s="674" t="s">
        <v>9710</v>
      </c>
      <c r="F1132" s="674" t="s">
        <v>9711</v>
      </c>
      <c r="G1132" s="680"/>
      <c r="H1132" s="680">
        <v>45000</v>
      </c>
      <c r="I1132" s="680"/>
      <c r="J1132" s="680">
        <v>45000</v>
      </c>
      <c r="K1132" s="674"/>
      <c r="L1132" s="674"/>
      <c r="M1132" s="674"/>
      <c r="N1132" s="674"/>
    </row>
    <row r="1133" spans="1:14">
      <c r="A1133" s="1067"/>
      <c r="B1133" s="679">
        <v>45245</v>
      </c>
      <c r="C1133" s="674" t="s">
        <v>9693</v>
      </c>
      <c r="D1133" s="674"/>
      <c r="E1133" s="674"/>
      <c r="F1133" s="674" t="s">
        <v>9694</v>
      </c>
      <c r="G1133" s="680"/>
      <c r="H1133" s="680">
        <v>149914</v>
      </c>
      <c r="I1133" s="680"/>
      <c r="J1133" s="680">
        <v>15125</v>
      </c>
      <c r="K1133" s="674" t="s">
        <v>9695</v>
      </c>
      <c r="L1133" s="674" t="s">
        <v>9712</v>
      </c>
      <c r="M1133" s="674"/>
      <c r="N1133" s="674"/>
    </row>
    <row r="1134" spans="1:14">
      <c r="A1134" s="1067"/>
      <c r="B1134" s="679">
        <v>45254</v>
      </c>
      <c r="C1134" s="674" t="s">
        <v>9701</v>
      </c>
      <c r="D1134" s="674" t="s">
        <v>9702</v>
      </c>
      <c r="E1134" s="674" t="s">
        <v>9689</v>
      </c>
      <c r="F1134" s="674" t="s">
        <v>9687</v>
      </c>
      <c r="G1134" s="680"/>
      <c r="H1134" s="680">
        <v>9900</v>
      </c>
      <c r="I1134" s="680"/>
      <c r="J1134" s="680">
        <v>9900</v>
      </c>
      <c r="K1134" s="674" t="s">
        <v>9703</v>
      </c>
      <c r="L1134" s="674" t="s">
        <v>9713</v>
      </c>
      <c r="M1134" s="674"/>
      <c r="N1134" s="674"/>
    </row>
    <row r="1135" spans="1:14">
      <c r="A1135" s="1067"/>
      <c r="B1135" s="679">
        <v>45257</v>
      </c>
      <c r="C1135" s="674" t="s">
        <v>9701</v>
      </c>
      <c r="D1135" s="674" t="s">
        <v>9702</v>
      </c>
      <c r="E1135" s="674" t="s">
        <v>9689</v>
      </c>
      <c r="F1135" s="674" t="s">
        <v>9687</v>
      </c>
      <c r="G1135" s="680"/>
      <c r="H1135" s="680">
        <v>9900</v>
      </c>
      <c r="I1135" s="680"/>
      <c r="J1135" s="680">
        <v>9900</v>
      </c>
      <c r="K1135" s="674" t="s">
        <v>9703</v>
      </c>
      <c r="L1135" s="674" t="s">
        <v>9714</v>
      </c>
      <c r="M1135" s="674"/>
      <c r="N1135" s="674"/>
    </row>
    <row r="1136" spans="1:14">
      <c r="A1136" s="1067"/>
      <c r="B1136" s="679">
        <v>45258</v>
      </c>
      <c r="C1136" s="674" t="s">
        <v>9701</v>
      </c>
      <c r="D1136" s="674" t="s">
        <v>9702</v>
      </c>
      <c r="E1136" s="674" t="s">
        <v>9689</v>
      </c>
      <c r="F1136" s="674" t="s">
        <v>9687</v>
      </c>
      <c r="G1136" s="680"/>
      <c r="H1136" s="680">
        <v>9900</v>
      </c>
      <c r="I1136" s="680"/>
      <c r="J1136" s="680">
        <v>9900</v>
      </c>
      <c r="K1136" s="674" t="s">
        <v>9703</v>
      </c>
      <c r="L1136" s="674" t="s">
        <v>9715</v>
      </c>
      <c r="M1136" s="674"/>
      <c r="N1136" s="674"/>
    </row>
    <row r="1137" spans="1:14">
      <c r="A1137" s="1067"/>
      <c r="B1137" s="679">
        <v>45259</v>
      </c>
      <c r="C1137" s="674" t="s">
        <v>9697</v>
      </c>
      <c r="D1137" s="674" t="s">
        <v>9688</v>
      </c>
      <c r="E1137" s="674" t="s">
        <v>9689</v>
      </c>
      <c r="F1137" s="674" t="s">
        <v>9716</v>
      </c>
      <c r="G1137" s="680"/>
      <c r="H1137" s="680">
        <v>294984</v>
      </c>
      <c r="I1137" s="680"/>
      <c r="J1137" s="680">
        <v>23492</v>
      </c>
      <c r="K1137" s="674" t="s">
        <v>9699</v>
      </c>
      <c r="L1137" s="674"/>
      <c r="M1137" s="674"/>
      <c r="N1137" s="674"/>
    </row>
    <row r="1138" spans="1:14">
      <c r="A1138" s="1067"/>
      <c r="B1138" s="679">
        <v>45261</v>
      </c>
      <c r="C1138" s="674" t="s">
        <v>9697</v>
      </c>
      <c r="D1138" s="674" t="s">
        <v>9702</v>
      </c>
      <c r="E1138" s="674" t="s">
        <v>9689</v>
      </c>
      <c r="F1138" s="674" t="s">
        <v>9717</v>
      </c>
      <c r="G1138" s="680"/>
      <c r="H1138" s="680">
        <v>823000</v>
      </c>
      <c r="I1138" s="680"/>
      <c r="J1138" s="680">
        <v>100000</v>
      </c>
      <c r="K1138" s="674" t="s">
        <v>9718</v>
      </c>
      <c r="L1138" s="674" t="s">
        <v>9719</v>
      </c>
      <c r="M1138" s="674"/>
      <c r="N1138" s="674"/>
    </row>
    <row r="1139" spans="1:14">
      <c r="A1139" s="1067"/>
      <c r="B1139" s="679">
        <v>45272</v>
      </c>
      <c r="C1139" s="674" t="s">
        <v>9697</v>
      </c>
      <c r="D1139" s="674" t="s">
        <v>9688</v>
      </c>
      <c r="E1139" s="674" t="s">
        <v>9689</v>
      </c>
      <c r="F1139" s="674" t="s">
        <v>9698</v>
      </c>
      <c r="G1139" s="680"/>
      <c r="H1139" s="680">
        <v>294984</v>
      </c>
      <c r="I1139" s="680"/>
      <c r="J1139" s="680">
        <v>50000</v>
      </c>
      <c r="K1139" s="674" t="s">
        <v>9699</v>
      </c>
      <c r="L1139" s="674" t="s">
        <v>9720</v>
      </c>
      <c r="M1139" s="674"/>
      <c r="N1139" s="674"/>
    </row>
    <row r="1140" spans="1:14">
      <c r="A1140" s="1067"/>
      <c r="B1140" s="679">
        <v>45272</v>
      </c>
      <c r="C1140" s="674" t="s">
        <v>9721</v>
      </c>
      <c r="D1140" s="674" t="s">
        <v>9722</v>
      </c>
      <c r="E1140" s="674" t="s">
        <v>9689</v>
      </c>
      <c r="F1140" s="674" t="s">
        <v>9723</v>
      </c>
      <c r="G1140" s="680"/>
      <c r="H1140" s="680">
        <v>206000</v>
      </c>
      <c r="I1140" s="680"/>
      <c r="J1140" s="680">
        <v>206000</v>
      </c>
      <c r="K1140" s="674"/>
      <c r="L1140" s="674" t="s">
        <v>9724</v>
      </c>
      <c r="M1140" s="674"/>
      <c r="N1140" s="674"/>
    </row>
    <row r="1141" spans="1:14">
      <c r="A1141" s="1067"/>
      <c r="B1141" s="679">
        <v>45272</v>
      </c>
      <c r="C1141" s="674" t="s">
        <v>9697</v>
      </c>
      <c r="D1141" s="674" t="s">
        <v>9702</v>
      </c>
      <c r="E1141" s="674" t="s">
        <v>9689</v>
      </c>
      <c r="F1141" s="674" t="s">
        <v>9717</v>
      </c>
      <c r="G1141" s="680"/>
      <c r="H1141" s="680">
        <v>823000</v>
      </c>
      <c r="I1141" s="680"/>
      <c r="J1141" s="680">
        <v>200000</v>
      </c>
      <c r="K1141" s="674" t="s">
        <v>9718</v>
      </c>
      <c r="L1141" s="674" t="s">
        <v>9725</v>
      </c>
      <c r="M1141" s="674"/>
      <c r="N1141" s="674"/>
    </row>
    <row r="1142" spans="1:14">
      <c r="A1142" s="1067"/>
      <c r="B1142" s="679">
        <v>45279</v>
      </c>
      <c r="C1142" s="674" t="s">
        <v>9693</v>
      </c>
      <c r="D1142" s="674"/>
      <c r="E1142" s="674"/>
      <c r="F1142" s="674" t="s">
        <v>9694</v>
      </c>
      <c r="G1142" s="680"/>
      <c r="H1142" s="680">
        <v>149914</v>
      </c>
      <c r="I1142" s="680"/>
      <c r="J1142" s="680">
        <v>57000</v>
      </c>
      <c r="K1142" s="674" t="s">
        <v>9695</v>
      </c>
      <c r="L1142" s="674"/>
      <c r="M1142" s="674"/>
      <c r="N1142" s="674"/>
    </row>
    <row r="1143" spans="1:14">
      <c r="A1143" s="672" t="s">
        <v>9726</v>
      </c>
      <c r="B1143" s="672"/>
      <c r="C1143" s="672"/>
      <c r="D1143" s="672"/>
      <c r="E1143" s="672"/>
      <c r="F1143" s="672"/>
      <c r="G1143" s="681">
        <f>+SUM(G1124:G1142)</f>
        <v>0</v>
      </c>
      <c r="H1143" s="681">
        <f>+SUM(H1124:H1142)</f>
        <v>4944708</v>
      </c>
      <c r="I1143" s="681">
        <f>+SUM(I1124:I1142)</f>
        <v>0</v>
      </c>
      <c r="J1143" s="681">
        <f>+SUM(J1124:J1142)</f>
        <v>1182317</v>
      </c>
      <c r="K1143" s="673"/>
      <c r="L1143" s="673"/>
      <c r="M1143" s="673"/>
      <c r="N1143" s="673"/>
    </row>
    <row r="1144" spans="1:14">
      <c r="A1144" s="1066" t="s">
        <v>1557</v>
      </c>
      <c r="B1144" s="678"/>
      <c r="C1144" s="670" t="s">
        <v>10244</v>
      </c>
      <c r="D1144" s="670" t="s">
        <v>3489</v>
      </c>
      <c r="E1144" s="670" t="s">
        <v>10245</v>
      </c>
      <c r="F1144" s="670"/>
      <c r="G1144" s="740" t="s">
        <v>10165</v>
      </c>
      <c r="H1144" s="740" t="s">
        <v>10165</v>
      </c>
      <c r="I1144" s="671"/>
      <c r="J1144" s="671">
        <v>470802.26</v>
      </c>
      <c r="K1144" s="682" t="s">
        <v>10165</v>
      </c>
      <c r="L1144" s="682" t="s">
        <v>10246</v>
      </c>
      <c r="M1144" s="670" t="s">
        <v>10247</v>
      </c>
      <c r="N1144" s="670"/>
    </row>
    <row r="1145" spans="1:14">
      <c r="A1145" s="1066"/>
      <c r="B1145" s="678"/>
      <c r="C1145" s="670" t="s">
        <v>10248</v>
      </c>
      <c r="D1145" s="670"/>
      <c r="E1145" s="670"/>
      <c r="F1145" s="670"/>
      <c r="G1145" s="740" t="s">
        <v>10165</v>
      </c>
      <c r="H1145" s="740" t="s">
        <v>10165</v>
      </c>
      <c r="I1145" s="671"/>
      <c r="J1145" s="671">
        <v>464933</v>
      </c>
      <c r="K1145" s="682" t="s">
        <v>10165</v>
      </c>
      <c r="L1145" s="682" t="s">
        <v>10249</v>
      </c>
      <c r="M1145" s="670" t="s">
        <v>10249</v>
      </c>
      <c r="N1145" s="670"/>
    </row>
    <row r="1146" spans="1:14">
      <c r="A1146" s="1066"/>
      <c r="B1146" s="678"/>
      <c r="C1146" s="670" t="s">
        <v>10250</v>
      </c>
      <c r="D1146" s="670"/>
      <c r="E1146" s="670"/>
      <c r="F1146" s="670"/>
      <c r="G1146" s="740" t="s">
        <v>10165</v>
      </c>
      <c r="H1146" s="740" t="s">
        <v>10165</v>
      </c>
      <c r="I1146" s="671"/>
      <c r="J1146" s="671">
        <v>23380.92</v>
      </c>
      <c r="K1146" s="682" t="s">
        <v>10165</v>
      </c>
      <c r="L1146" s="682" t="s">
        <v>10249</v>
      </c>
      <c r="M1146" s="670" t="s">
        <v>10249</v>
      </c>
      <c r="N1146" s="670"/>
    </row>
    <row r="1147" spans="1:14">
      <c r="A1147" s="1066"/>
      <c r="B1147" s="678">
        <v>44935</v>
      </c>
      <c r="C1147" s="670" t="s">
        <v>10251</v>
      </c>
      <c r="D1147" s="670" t="s">
        <v>10252</v>
      </c>
      <c r="E1147" s="670" t="s">
        <v>10253</v>
      </c>
      <c r="F1147" s="670" t="s">
        <v>10254</v>
      </c>
      <c r="G1147" s="740" t="s">
        <v>10165</v>
      </c>
      <c r="H1147" s="740" t="s">
        <v>10165</v>
      </c>
      <c r="I1147" s="671"/>
      <c r="J1147" s="671">
        <v>6585</v>
      </c>
      <c r="K1147" s="682" t="s">
        <v>10165</v>
      </c>
      <c r="L1147" s="682" t="s">
        <v>10249</v>
      </c>
      <c r="M1147" s="670" t="s">
        <v>9646</v>
      </c>
      <c r="N1147" s="670"/>
    </row>
    <row r="1148" spans="1:14">
      <c r="A1148" s="1066"/>
      <c r="B1148" s="678">
        <v>44940</v>
      </c>
      <c r="C1148" s="670" t="s">
        <v>10255</v>
      </c>
      <c r="D1148" s="670" t="s">
        <v>10256</v>
      </c>
      <c r="E1148" s="670" t="s">
        <v>10257</v>
      </c>
      <c r="F1148" s="670" t="s">
        <v>10258</v>
      </c>
      <c r="G1148" s="740" t="s">
        <v>10165</v>
      </c>
      <c r="H1148" s="740" t="s">
        <v>10165</v>
      </c>
      <c r="I1148" s="671"/>
      <c r="J1148" s="671">
        <v>1750</v>
      </c>
      <c r="K1148" s="682" t="s">
        <v>10165</v>
      </c>
      <c r="L1148" s="682" t="s">
        <v>10249</v>
      </c>
      <c r="M1148" s="670" t="s">
        <v>10249</v>
      </c>
      <c r="N1148" s="670"/>
    </row>
    <row r="1149" spans="1:14">
      <c r="A1149" s="1066"/>
      <c r="B1149" s="678">
        <v>44946</v>
      </c>
      <c r="C1149" s="670" t="s">
        <v>10259</v>
      </c>
      <c r="D1149" s="670" t="s">
        <v>10260</v>
      </c>
      <c r="E1149" s="670" t="s">
        <v>10261</v>
      </c>
      <c r="F1149" s="670" t="s">
        <v>10262</v>
      </c>
      <c r="G1149" s="740" t="s">
        <v>10165</v>
      </c>
      <c r="H1149" s="740" t="s">
        <v>10165</v>
      </c>
      <c r="I1149" s="671"/>
      <c r="J1149" s="671">
        <v>8300</v>
      </c>
      <c r="K1149" s="682" t="s">
        <v>10165</v>
      </c>
      <c r="L1149" s="682" t="s">
        <v>10249</v>
      </c>
      <c r="M1149" s="670" t="s">
        <v>10247</v>
      </c>
      <c r="N1149" s="670"/>
    </row>
    <row r="1150" spans="1:14">
      <c r="A1150" s="1066"/>
      <c r="B1150" s="678">
        <v>44947</v>
      </c>
      <c r="C1150" s="670" t="s">
        <v>10263</v>
      </c>
      <c r="D1150" s="670" t="s">
        <v>10264</v>
      </c>
      <c r="E1150" s="670" t="s">
        <v>10253</v>
      </c>
      <c r="F1150" s="670" t="s">
        <v>10265</v>
      </c>
      <c r="G1150" s="740" t="s">
        <v>10165</v>
      </c>
      <c r="H1150" s="740" t="s">
        <v>10165</v>
      </c>
      <c r="I1150" s="671"/>
      <c r="J1150" s="671">
        <v>7600</v>
      </c>
      <c r="K1150" s="682" t="s">
        <v>10165</v>
      </c>
      <c r="L1150" s="682" t="s">
        <v>10249</v>
      </c>
      <c r="M1150" s="670" t="s">
        <v>10249</v>
      </c>
      <c r="N1150" s="670"/>
    </row>
    <row r="1151" spans="1:14">
      <c r="A1151" s="1066"/>
      <c r="B1151" s="678">
        <v>44950</v>
      </c>
      <c r="C1151" s="670" t="s">
        <v>10266</v>
      </c>
      <c r="D1151" s="670"/>
      <c r="E1151" s="670"/>
      <c r="F1151" s="670"/>
      <c r="G1151" s="740" t="s">
        <v>10165</v>
      </c>
      <c r="H1151" s="740" t="s">
        <v>10165</v>
      </c>
      <c r="I1151" s="671"/>
      <c r="J1151" s="671">
        <v>3050</v>
      </c>
      <c r="K1151" s="682" t="s">
        <v>10165</v>
      </c>
      <c r="L1151" s="682" t="s">
        <v>9519</v>
      </c>
      <c r="M1151" s="670" t="s">
        <v>10247</v>
      </c>
      <c r="N1151" s="670"/>
    </row>
    <row r="1152" spans="1:14">
      <c r="A1152" s="1066"/>
      <c r="B1152" s="678">
        <v>44952</v>
      </c>
      <c r="C1152" s="670" t="s">
        <v>10255</v>
      </c>
      <c r="D1152" s="670" t="s">
        <v>10260</v>
      </c>
      <c r="E1152" s="670" t="s">
        <v>10267</v>
      </c>
      <c r="F1152" s="670" t="s">
        <v>10268</v>
      </c>
      <c r="G1152" s="740" t="s">
        <v>10165</v>
      </c>
      <c r="H1152" s="740" t="s">
        <v>10165</v>
      </c>
      <c r="I1152" s="671"/>
      <c r="J1152" s="671">
        <v>7261</v>
      </c>
      <c r="K1152" s="682" t="s">
        <v>10165</v>
      </c>
      <c r="L1152" s="682" t="s">
        <v>10249</v>
      </c>
      <c r="M1152" s="670" t="s">
        <v>10249</v>
      </c>
      <c r="N1152" s="670"/>
    </row>
    <row r="1153" spans="1:14">
      <c r="A1153" s="1066"/>
      <c r="B1153" s="678">
        <v>45134</v>
      </c>
      <c r="C1153" s="670" t="s">
        <v>10251</v>
      </c>
      <c r="D1153" s="670"/>
      <c r="E1153" s="670"/>
      <c r="F1153" s="670"/>
      <c r="G1153" s="740" t="s">
        <v>10165</v>
      </c>
      <c r="H1153" s="740" t="s">
        <v>10165</v>
      </c>
      <c r="I1153" s="671"/>
      <c r="J1153" s="671">
        <v>29530.400000000001</v>
      </c>
      <c r="K1153" s="682" t="s">
        <v>10165</v>
      </c>
      <c r="L1153" s="682" t="s">
        <v>10249</v>
      </c>
      <c r="M1153" s="670" t="s">
        <v>8832</v>
      </c>
      <c r="N1153" s="670"/>
    </row>
    <row r="1154" spans="1:14">
      <c r="A1154" s="1066"/>
      <c r="B1154" s="678">
        <v>45140</v>
      </c>
      <c r="C1154" s="670" t="s">
        <v>10269</v>
      </c>
      <c r="D1154" s="670" t="s">
        <v>3489</v>
      </c>
      <c r="E1154" s="670" t="s">
        <v>10270</v>
      </c>
      <c r="F1154" s="670"/>
      <c r="G1154" s="740" t="s">
        <v>10165</v>
      </c>
      <c r="H1154" s="740" t="s">
        <v>10165</v>
      </c>
      <c r="I1154" s="671"/>
      <c r="J1154" s="671">
        <v>218330.52</v>
      </c>
      <c r="K1154" s="682" t="s">
        <v>10165</v>
      </c>
      <c r="L1154" s="682" t="s">
        <v>10249</v>
      </c>
      <c r="M1154" s="670" t="s">
        <v>8832</v>
      </c>
      <c r="N1154" s="670"/>
    </row>
    <row r="1155" spans="1:14">
      <c r="A1155" s="1066"/>
      <c r="B1155" s="678">
        <v>45161</v>
      </c>
      <c r="C1155" s="670" t="s">
        <v>10251</v>
      </c>
      <c r="D1155" s="670" t="s">
        <v>10271</v>
      </c>
      <c r="E1155" s="670" t="s">
        <v>10245</v>
      </c>
      <c r="F1155" s="670"/>
      <c r="G1155" s="740" t="s">
        <v>10165</v>
      </c>
      <c r="H1155" s="740" t="s">
        <v>10165</v>
      </c>
      <c r="I1155" s="671"/>
      <c r="J1155" s="671">
        <v>32080</v>
      </c>
      <c r="K1155" s="682" t="s">
        <v>10165</v>
      </c>
      <c r="L1155" s="682" t="s">
        <v>10272</v>
      </c>
      <c r="M1155" s="670" t="s">
        <v>8832</v>
      </c>
      <c r="N1155" s="670"/>
    </row>
    <row r="1156" spans="1:14">
      <c r="A1156" s="1066"/>
      <c r="B1156" s="678">
        <v>45197</v>
      </c>
      <c r="C1156" s="670" t="s">
        <v>10251</v>
      </c>
      <c r="D1156" s="670" t="s">
        <v>3489</v>
      </c>
      <c r="E1156" s="670" t="s">
        <v>10253</v>
      </c>
      <c r="F1156" s="670"/>
      <c r="G1156" s="740" t="s">
        <v>10165</v>
      </c>
      <c r="H1156" s="740" t="s">
        <v>10165</v>
      </c>
      <c r="I1156" s="671"/>
      <c r="J1156" s="671">
        <v>107329</v>
      </c>
      <c r="K1156" s="682" t="s">
        <v>10165</v>
      </c>
      <c r="L1156" s="682" t="s">
        <v>10273</v>
      </c>
      <c r="M1156" s="670" t="s">
        <v>8832</v>
      </c>
      <c r="N1156" s="670"/>
    </row>
    <row r="1157" spans="1:14">
      <c r="A1157" s="1066"/>
      <c r="B1157" s="678">
        <v>45229</v>
      </c>
      <c r="C1157" s="670" t="s">
        <v>10274</v>
      </c>
      <c r="D1157" s="670" t="s">
        <v>3489</v>
      </c>
      <c r="E1157" s="670" t="s">
        <v>10253</v>
      </c>
      <c r="F1157" s="670" t="s">
        <v>10275</v>
      </c>
      <c r="G1157" s="740" t="s">
        <v>10165</v>
      </c>
      <c r="H1157" s="740" t="s">
        <v>10165</v>
      </c>
      <c r="I1157" s="671"/>
      <c r="J1157" s="671">
        <v>172076.84</v>
      </c>
      <c r="K1157" s="682" t="s">
        <v>10165</v>
      </c>
      <c r="L1157" s="682" t="s">
        <v>9519</v>
      </c>
      <c r="M1157" s="670" t="s">
        <v>8832</v>
      </c>
      <c r="N1157" s="670"/>
    </row>
    <row r="1158" spans="1:14">
      <c r="A1158" s="1066"/>
      <c r="B1158" s="678">
        <v>45266</v>
      </c>
      <c r="C1158" s="670" t="s">
        <v>10251</v>
      </c>
      <c r="D1158" s="670" t="s">
        <v>3489</v>
      </c>
      <c r="E1158" s="670" t="s">
        <v>10253</v>
      </c>
      <c r="F1158" s="670" t="s">
        <v>10276</v>
      </c>
      <c r="G1158" s="740" t="s">
        <v>10165</v>
      </c>
      <c r="H1158" s="740" t="s">
        <v>10165</v>
      </c>
      <c r="I1158" s="671"/>
      <c r="J1158" s="671">
        <v>357765</v>
      </c>
      <c r="K1158" s="682" t="s">
        <v>10165</v>
      </c>
      <c r="L1158" s="682" t="s">
        <v>9519</v>
      </c>
      <c r="M1158" s="670" t="s">
        <v>8832</v>
      </c>
      <c r="N1158" s="670"/>
    </row>
    <row r="1159" spans="1:14">
      <c r="A1159" s="1066"/>
      <c r="B1159" s="678">
        <v>45288</v>
      </c>
      <c r="C1159" s="670" t="s">
        <v>10255</v>
      </c>
      <c r="D1159" s="670" t="s">
        <v>10271</v>
      </c>
      <c r="E1159" s="670" t="s">
        <v>10245</v>
      </c>
      <c r="F1159" s="670"/>
      <c r="G1159" s="740" t="s">
        <v>10165</v>
      </c>
      <c r="H1159" s="740" t="s">
        <v>10165</v>
      </c>
      <c r="I1159" s="671"/>
      <c r="J1159" s="671">
        <v>250</v>
      </c>
      <c r="K1159" s="682" t="s">
        <v>10165</v>
      </c>
      <c r="L1159" s="682" t="s">
        <v>10249</v>
      </c>
      <c r="M1159" s="670" t="s">
        <v>10247</v>
      </c>
      <c r="N1159" s="670"/>
    </row>
    <row r="1160" spans="1:14">
      <c r="A1160" s="672" t="s">
        <v>10277</v>
      </c>
      <c r="B1160" s="672"/>
      <c r="C1160" s="672"/>
      <c r="D1160" s="672"/>
      <c r="E1160" s="672"/>
      <c r="F1160" s="672"/>
      <c r="G1160" s="681">
        <f>+SUM(G1144:G1159)</f>
        <v>0</v>
      </c>
      <c r="H1160" s="681">
        <f>+SUM(H1144:H1159)</f>
        <v>0</v>
      </c>
      <c r="I1160" s="681">
        <f>+SUM(I1144:I1159)</f>
        <v>0</v>
      </c>
      <c r="J1160" s="681">
        <f>+SUM(J1144:J1159)</f>
        <v>1911023.9400000002</v>
      </c>
      <c r="K1160" s="673"/>
      <c r="L1160" s="673"/>
      <c r="M1160" s="673"/>
      <c r="N1160" s="673"/>
    </row>
    <row r="1161" spans="1:14">
      <c r="A1161" s="1068" t="s">
        <v>10278</v>
      </c>
      <c r="B1161" s="741">
        <v>44960</v>
      </c>
      <c r="C1161" s="742" t="s">
        <v>10279</v>
      </c>
      <c r="D1161" s="742" t="s">
        <v>10280</v>
      </c>
      <c r="E1161" s="742" t="s">
        <v>10281</v>
      </c>
      <c r="F1161" s="742" t="s">
        <v>10282</v>
      </c>
      <c r="G1161" s="743"/>
      <c r="H1161" s="744">
        <v>6121.08</v>
      </c>
      <c r="I1161" s="744"/>
      <c r="J1161" s="744">
        <v>6121.08</v>
      </c>
      <c r="K1161" s="742" t="s">
        <v>10283</v>
      </c>
      <c r="L1161" s="742" t="s">
        <v>10284</v>
      </c>
      <c r="M1161" s="742" t="s">
        <v>10285</v>
      </c>
      <c r="N1161" s="742" t="s">
        <v>10286</v>
      </c>
    </row>
    <row r="1162" spans="1:14">
      <c r="A1162" s="1068"/>
      <c r="B1162" s="741">
        <v>44961</v>
      </c>
      <c r="C1162" s="742" t="s">
        <v>10287</v>
      </c>
      <c r="D1162" s="742" t="s">
        <v>10288</v>
      </c>
      <c r="E1162" s="742" t="s">
        <v>10289</v>
      </c>
      <c r="F1162" s="742" t="s">
        <v>10290</v>
      </c>
      <c r="G1162" s="743"/>
      <c r="H1162" s="744">
        <v>17828.919999999998</v>
      </c>
      <c r="I1162" s="744"/>
      <c r="J1162" s="744">
        <v>17828.919999999998</v>
      </c>
      <c r="K1162" s="742" t="s">
        <v>10291</v>
      </c>
      <c r="L1162" s="742" t="s">
        <v>10292</v>
      </c>
      <c r="M1162" s="742" t="s">
        <v>10293</v>
      </c>
      <c r="N1162" s="742" t="s">
        <v>10294</v>
      </c>
    </row>
    <row r="1163" spans="1:14">
      <c r="A1163" s="1068"/>
      <c r="B1163" s="741">
        <v>45005</v>
      </c>
      <c r="C1163" s="742" t="s">
        <v>10295</v>
      </c>
      <c r="D1163" s="742" t="s">
        <v>10280</v>
      </c>
      <c r="E1163" s="742" t="s">
        <v>10296</v>
      </c>
      <c r="F1163" s="742" t="s">
        <v>10297</v>
      </c>
      <c r="G1163" s="743"/>
      <c r="H1163" s="744">
        <v>122</v>
      </c>
      <c r="I1163" s="744"/>
      <c r="J1163" s="744">
        <v>122</v>
      </c>
      <c r="K1163" s="742" t="s">
        <v>10298</v>
      </c>
      <c r="L1163" s="742" t="s">
        <v>10299</v>
      </c>
      <c r="M1163" s="742" t="s">
        <v>10300</v>
      </c>
      <c r="N1163" s="742" t="s">
        <v>10294</v>
      </c>
    </row>
    <row r="1164" spans="1:14">
      <c r="A1164" s="1068"/>
      <c r="B1164" s="741">
        <v>45424</v>
      </c>
      <c r="C1164" s="742" t="s">
        <v>10301</v>
      </c>
      <c r="D1164" s="742" t="s">
        <v>10280</v>
      </c>
      <c r="E1164" s="742" t="s">
        <v>10302</v>
      </c>
      <c r="F1164" s="742" t="s">
        <v>10303</v>
      </c>
      <c r="G1164" s="743"/>
      <c r="H1164" s="744">
        <v>2765</v>
      </c>
      <c r="I1164" s="744"/>
      <c r="J1164" s="744">
        <v>2765</v>
      </c>
      <c r="K1164" s="742" t="s">
        <v>10304</v>
      </c>
      <c r="L1164" s="742" t="s">
        <v>10305</v>
      </c>
      <c r="M1164" s="742" t="s">
        <v>10306</v>
      </c>
      <c r="N1164" s="742" t="s">
        <v>10294</v>
      </c>
    </row>
    <row r="1165" spans="1:14">
      <c r="A1165" s="1068"/>
      <c r="B1165" s="741">
        <v>45442</v>
      </c>
      <c r="C1165" s="742" t="s">
        <v>10307</v>
      </c>
      <c r="D1165" s="742" t="s">
        <v>10308</v>
      </c>
      <c r="E1165" s="742" t="s">
        <v>10309</v>
      </c>
      <c r="F1165" s="742" t="s">
        <v>10310</v>
      </c>
      <c r="G1165" s="743"/>
      <c r="H1165" s="744">
        <v>12800</v>
      </c>
      <c r="I1165" s="744"/>
      <c r="J1165" s="744">
        <v>12800</v>
      </c>
      <c r="K1165" s="742" t="s">
        <v>10311</v>
      </c>
      <c r="L1165" s="742" t="s">
        <v>10312</v>
      </c>
      <c r="M1165" s="742" t="s">
        <v>10313</v>
      </c>
      <c r="N1165" s="742" t="s">
        <v>10314</v>
      </c>
    </row>
    <row r="1166" spans="1:14">
      <c r="A1166" s="1068"/>
      <c r="B1166" s="741">
        <v>45463</v>
      </c>
      <c r="C1166" s="742" t="s">
        <v>10315</v>
      </c>
      <c r="D1166" s="742" t="s">
        <v>10316</v>
      </c>
      <c r="E1166" s="742" t="s">
        <v>10317</v>
      </c>
      <c r="F1166" s="742" t="s">
        <v>10318</v>
      </c>
      <c r="G1166" s="743"/>
      <c r="H1166" s="744">
        <v>5640</v>
      </c>
      <c r="I1166" s="744"/>
      <c r="J1166" s="744">
        <v>5640</v>
      </c>
      <c r="K1166" s="742" t="s">
        <v>10319</v>
      </c>
      <c r="L1166" s="742" t="s">
        <v>10320</v>
      </c>
      <c r="M1166" s="742" t="s">
        <v>10321</v>
      </c>
      <c r="N1166" s="742" t="s">
        <v>10322</v>
      </c>
    </row>
    <row r="1167" spans="1:14">
      <c r="A1167" s="1068"/>
      <c r="B1167" s="741">
        <v>45205</v>
      </c>
      <c r="C1167" s="742" t="s">
        <v>10323</v>
      </c>
      <c r="D1167" s="742" t="s">
        <v>10324</v>
      </c>
      <c r="E1167" s="742" t="s">
        <v>10325</v>
      </c>
      <c r="F1167" s="742" t="s">
        <v>10326</v>
      </c>
      <c r="G1167" s="743"/>
      <c r="H1167" s="744">
        <v>42000</v>
      </c>
      <c r="I1167" s="744"/>
      <c r="J1167" s="744">
        <v>42000</v>
      </c>
      <c r="K1167" s="742" t="s">
        <v>10327</v>
      </c>
      <c r="L1167" s="742" t="s">
        <v>10328</v>
      </c>
      <c r="M1167" s="742" t="s">
        <v>10329</v>
      </c>
      <c r="N1167" s="742" t="s">
        <v>10330</v>
      </c>
    </row>
    <row r="1168" spans="1:14">
      <c r="A1168" s="1068"/>
      <c r="B1168" s="741">
        <v>45226</v>
      </c>
      <c r="C1168" s="742" t="s">
        <v>10331</v>
      </c>
      <c r="D1168" s="742" t="s">
        <v>10316</v>
      </c>
      <c r="E1168" s="742" t="s">
        <v>10332</v>
      </c>
      <c r="F1168" s="742" t="s">
        <v>10333</v>
      </c>
      <c r="G1168" s="743"/>
      <c r="H1168" s="744">
        <v>1930</v>
      </c>
      <c r="I1168" s="744"/>
      <c r="J1168" s="744">
        <v>1930</v>
      </c>
      <c r="K1168" s="742" t="s">
        <v>10334</v>
      </c>
      <c r="L1168" s="742" t="s">
        <v>10335</v>
      </c>
      <c r="M1168" s="742" t="s">
        <v>10336</v>
      </c>
      <c r="N1168" s="742" t="s">
        <v>10337</v>
      </c>
    </row>
    <row r="1169" spans="1:14">
      <c r="A1169" s="1068"/>
      <c r="B1169" s="741">
        <v>45275</v>
      </c>
      <c r="C1169" s="742" t="s">
        <v>10338</v>
      </c>
      <c r="D1169" s="742" t="s">
        <v>10280</v>
      </c>
      <c r="E1169" s="742" t="s">
        <v>10281</v>
      </c>
      <c r="F1169" s="742" t="s">
        <v>10339</v>
      </c>
      <c r="G1169" s="743"/>
      <c r="H1169" s="744">
        <v>1180</v>
      </c>
      <c r="I1169" s="744"/>
      <c r="J1169" s="744">
        <v>1180</v>
      </c>
      <c r="K1169" s="742" t="s">
        <v>10340</v>
      </c>
      <c r="L1169" s="742" t="s">
        <v>10341</v>
      </c>
      <c r="M1169" s="742" t="s">
        <v>10342</v>
      </c>
      <c r="N1169" s="742" t="s">
        <v>10337</v>
      </c>
    </row>
    <row r="1170" spans="1:14">
      <c r="A1170" s="1068"/>
      <c r="B1170" s="741">
        <v>45279</v>
      </c>
      <c r="C1170" s="742" t="s">
        <v>10343</v>
      </c>
      <c r="D1170" s="742" t="s">
        <v>10344</v>
      </c>
      <c r="E1170" s="742" t="s">
        <v>10345</v>
      </c>
      <c r="F1170" s="742" t="s">
        <v>10346</v>
      </c>
      <c r="G1170" s="743"/>
      <c r="H1170" s="744">
        <v>0</v>
      </c>
      <c r="I1170" s="744"/>
      <c r="J1170" s="744">
        <v>50000</v>
      </c>
      <c r="K1170" s="742" t="s">
        <v>10347</v>
      </c>
      <c r="L1170" s="742" t="s">
        <v>10348</v>
      </c>
      <c r="M1170" s="742" t="s">
        <v>10349</v>
      </c>
      <c r="N1170" s="742" t="s">
        <v>10350</v>
      </c>
    </row>
    <row r="1171" spans="1:14">
      <c r="A1171" s="1068"/>
      <c r="B1171" s="741">
        <v>45287</v>
      </c>
      <c r="C1171" s="742" t="s">
        <v>10351</v>
      </c>
      <c r="D1171" s="742" t="s">
        <v>10352</v>
      </c>
      <c r="E1171" s="742" t="s">
        <v>10353</v>
      </c>
      <c r="F1171" s="742" t="s">
        <v>10354</v>
      </c>
      <c r="G1171" s="743"/>
      <c r="H1171" s="744">
        <v>0</v>
      </c>
      <c r="I1171" s="744"/>
      <c r="J1171" s="744">
        <v>40000</v>
      </c>
      <c r="K1171" s="742" t="s">
        <v>10355</v>
      </c>
      <c r="L1171" s="742" t="s">
        <v>10356</v>
      </c>
      <c r="M1171" s="742" t="s">
        <v>10357</v>
      </c>
      <c r="N1171" s="742" t="s">
        <v>10350</v>
      </c>
    </row>
    <row r="1172" spans="1:14">
      <c r="A1172" s="1068"/>
      <c r="B1172" s="741">
        <v>45287</v>
      </c>
      <c r="C1172" s="742" t="s">
        <v>10358</v>
      </c>
      <c r="D1172" s="742" t="s">
        <v>10316</v>
      </c>
      <c r="E1172" s="742" t="s">
        <v>10359</v>
      </c>
      <c r="F1172" s="742" t="s">
        <v>10360</v>
      </c>
      <c r="G1172" s="743"/>
      <c r="H1172" s="744">
        <v>52986.16</v>
      </c>
      <c r="I1172" s="744"/>
      <c r="J1172" s="744">
        <v>52986.16</v>
      </c>
      <c r="K1172" s="742" t="s">
        <v>3889</v>
      </c>
      <c r="L1172" s="742" t="s">
        <v>10361</v>
      </c>
      <c r="M1172" s="742" t="s">
        <v>10362</v>
      </c>
      <c r="N1172" s="742" t="s">
        <v>10363</v>
      </c>
    </row>
    <row r="1173" spans="1:14">
      <c r="A1173" s="1068"/>
      <c r="B1173" s="741">
        <v>45288</v>
      </c>
      <c r="C1173" s="742" t="s">
        <v>10364</v>
      </c>
      <c r="D1173" s="742" t="s">
        <v>10316</v>
      </c>
      <c r="E1173" s="742" t="s">
        <v>10365</v>
      </c>
      <c r="F1173" s="742" t="s">
        <v>10366</v>
      </c>
      <c r="G1173" s="743"/>
      <c r="H1173" s="744">
        <v>3300</v>
      </c>
      <c r="I1173" s="744"/>
      <c r="J1173" s="744">
        <v>3300</v>
      </c>
      <c r="K1173" s="742" t="s">
        <v>10367</v>
      </c>
      <c r="L1173" s="742" t="s">
        <v>10368</v>
      </c>
      <c r="M1173" s="742" t="s">
        <v>10348</v>
      </c>
      <c r="N1173" s="742" t="s">
        <v>10369</v>
      </c>
    </row>
    <row r="1174" spans="1:14">
      <c r="A1174" s="672" t="s">
        <v>10370</v>
      </c>
      <c r="B1174" s="672"/>
      <c r="C1174" s="672"/>
      <c r="D1174" s="672"/>
      <c r="E1174" s="672"/>
      <c r="F1174" s="672"/>
      <c r="G1174" s="681">
        <f>+SUM(G1161:G1173)</f>
        <v>0</v>
      </c>
      <c r="H1174" s="681">
        <f>+SUM(H1161:H1173)</f>
        <v>146673.16</v>
      </c>
      <c r="I1174" s="681">
        <f>+SUM(I1161:I1173)</f>
        <v>0</v>
      </c>
      <c r="J1174" s="681">
        <f>+SUM(J1161:J1173)</f>
        <v>236673.16</v>
      </c>
      <c r="K1174" s="673"/>
      <c r="L1174" s="673"/>
      <c r="M1174" s="673"/>
      <c r="N1174" s="673"/>
    </row>
    <row r="1175" spans="1:14">
      <c r="A1175" s="1066" t="s">
        <v>1558</v>
      </c>
      <c r="B1175" s="678">
        <v>45150</v>
      </c>
      <c r="C1175" s="670" t="s">
        <v>10371</v>
      </c>
      <c r="D1175" s="670" t="s">
        <v>10372</v>
      </c>
      <c r="E1175" s="670" t="s">
        <v>10373</v>
      </c>
      <c r="F1175" s="682" t="s">
        <v>10165</v>
      </c>
      <c r="G1175" s="740"/>
      <c r="H1175" s="671">
        <v>60000</v>
      </c>
      <c r="I1175" s="671"/>
      <c r="J1175" s="671">
        <v>60000</v>
      </c>
      <c r="K1175" s="682" t="s">
        <v>10165</v>
      </c>
      <c r="L1175" s="682" t="s">
        <v>10165</v>
      </c>
      <c r="M1175" s="682" t="s">
        <v>10165</v>
      </c>
      <c r="N1175" s="670"/>
    </row>
    <row r="1176" spans="1:14">
      <c r="A1176" s="1066"/>
      <c r="B1176" s="678">
        <v>45182</v>
      </c>
      <c r="C1176" s="670" t="s">
        <v>10374</v>
      </c>
      <c r="D1176" s="670" t="s">
        <v>10372</v>
      </c>
      <c r="E1176" s="670" t="s">
        <v>10375</v>
      </c>
      <c r="F1176" s="682" t="s">
        <v>10165</v>
      </c>
      <c r="G1176" s="740"/>
      <c r="H1176" s="671">
        <v>47640.6</v>
      </c>
      <c r="I1176" s="671"/>
      <c r="J1176" s="671">
        <v>47640.6</v>
      </c>
      <c r="K1176" s="682" t="s">
        <v>10165</v>
      </c>
      <c r="L1176" s="682" t="s">
        <v>10165</v>
      </c>
      <c r="M1176" s="682" t="s">
        <v>10165</v>
      </c>
      <c r="N1176" s="670"/>
    </row>
    <row r="1177" spans="1:14">
      <c r="A1177" s="1066"/>
      <c r="B1177" s="678">
        <v>45170</v>
      </c>
      <c r="C1177" s="670" t="s">
        <v>10376</v>
      </c>
      <c r="D1177" s="670" t="s">
        <v>10372</v>
      </c>
      <c r="E1177" s="670" t="s">
        <v>10375</v>
      </c>
      <c r="F1177" s="682" t="s">
        <v>10165</v>
      </c>
      <c r="G1177" s="740"/>
      <c r="H1177" s="671">
        <v>48155.31</v>
      </c>
      <c r="I1177" s="671"/>
      <c r="J1177" s="671">
        <v>48155.31</v>
      </c>
      <c r="K1177" s="682" t="s">
        <v>10165</v>
      </c>
      <c r="L1177" s="682" t="s">
        <v>10165</v>
      </c>
      <c r="M1177" s="682" t="s">
        <v>10165</v>
      </c>
      <c r="N1177" s="670"/>
    </row>
    <row r="1178" spans="1:14">
      <c r="A1178" s="1066"/>
      <c r="B1178" s="678">
        <v>45090</v>
      </c>
      <c r="C1178" s="670" t="s">
        <v>10377</v>
      </c>
      <c r="D1178" s="670" t="s">
        <v>10372</v>
      </c>
      <c r="E1178" s="670" t="s">
        <v>10375</v>
      </c>
      <c r="F1178" s="682" t="s">
        <v>10165</v>
      </c>
      <c r="G1178" s="740"/>
      <c r="H1178" s="671">
        <v>43022</v>
      </c>
      <c r="I1178" s="671"/>
      <c r="J1178" s="671">
        <v>43022</v>
      </c>
      <c r="K1178" s="682" t="s">
        <v>10165</v>
      </c>
      <c r="L1178" s="682" t="s">
        <v>10165</v>
      </c>
      <c r="M1178" s="682" t="s">
        <v>10165</v>
      </c>
      <c r="N1178" s="670"/>
    </row>
    <row r="1179" spans="1:14">
      <c r="A1179" s="1066"/>
      <c r="B1179" s="678">
        <v>45152</v>
      </c>
      <c r="C1179" s="670" t="s">
        <v>10378</v>
      </c>
      <c r="D1179" s="670" t="s">
        <v>10372</v>
      </c>
      <c r="E1179" s="670" t="s">
        <v>10375</v>
      </c>
      <c r="F1179" s="682" t="s">
        <v>10165</v>
      </c>
      <c r="G1179" s="740"/>
      <c r="H1179" s="671">
        <v>47948.82</v>
      </c>
      <c r="I1179" s="671"/>
      <c r="J1179" s="671">
        <v>47948.82</v>
      </c>
      <c r="K1179" s="682" t="s">
        <v>10165</v>
      </c>
      <c r="L1179" s="682" t="s">
        <v>10165</v>
      </c>
      <c r="M1179" s="682" t="s">
        <v>10165</v>
      </c>
      <c r="N1179" s="670"/>
    </row>
    <row r="1180" spans="1:14">
      <c r="A1180" s="672" t="s">
        <v>10379</v>
      </c>
      <c r="B1180" s="672"/>
      <c r="C1180" s="672"/>
      <c r="D1180" s="672"/>
      <c r="E1180" s="672"/>
      <c r="F1180" s="672"/>
      <c r="G1180" s="681">
        <f>+SUM(G1175:G1179)</f>
        <v>0</v>
      </c>
      <c r="H1180" s="681">
        <f>+SUM(H1175:H1179)</f>
        <v>246766.73</v>
      </c>
      <c r="I1180" s="681">
        <f>+SUM(I1175:I1179)</f>
        <v>0</v>
      </c>
      <c r="J1180" s="681">
        <f>+SUM(J1175:J1179)</f>
        <v>246766.73</v>
      </c>
      <c r="K1180" s="673"/>
      <c r="L1180" s="673"/>
      <c r="M1180" s="673"/>
      <c r="N1180" s="673"/>
    </row>
    <row r="1181" spans="1:14">
      <c r="A1181" s="1068" t="s">
        <v>1564</v>
      </c>
      <c r="B1181" s="741"/>
      <c r="C1181" s="742" t="s">
        <v>10380</v>
      </c>
      <c r="D1181" s="742" t="s">
        <v>10381</v>
      </c>
      <c r="E1181" s="742" t="s">
        <v>9283</v>
      </c>
      <c r="F1181" s="745" t="s">
        <v>10382</v>
      </c>
      <c r="G1181" s="743"/>
      <c r="H1181" s="744">
        <v>22593</v>
      </c>
      <c r="I1181" s="744"/>
      <c r="J1181" s="744">
        <v>22593</v>
      </c>
      <c r="K1181" s="745" t="s">
        <v>10383</v>
      </c>
      <c r="L1181" s="745"/>
      <c r="M1181" s="745"/>
      <c r="N1181" s="745"/>
    </row>
    <row r="1182" spans="1:14">
      <c r="A1182" s="1068"/>
      <c r="B1182" s="741"/>
      <c r="C1182" s="742" t="s">
        <v>10384</v>
      </c>
      <c r="D1182" s="742" t="s">
        <v>10385</v>
      </c>
      <c r="E1182" s="742" t="s">
        <v>10386</v>
      </c>
      <c r="F1182" s="745" t="s">
        <v>10387</v>
      </c>
      <c r="G1182" s="743"/>
      <c r="H1182" s="744">
        <v>36893</v>
      </c>
      <c r="I1182" s="744"/>
      <c r="J1182" s="744">
        <v>36893</v>
      </c>
      <c r="K1182" s="745" t="s">
        <v>10388</v>
      </c>
      <c r="L1182" s="745"/>
      <c r="M1182" s="745" t="s">
        <v>10389</v>
      </c>
      <c r="N1182" s="745" t="s">
        <v>10390</v>
      </c>
    </row>
    <row r="1183" spans="1:14">
      <c r="A1183" s="1068"/>
      <c r="B1183" s="741"/>
      <c r="C1183" s="742" t="s">
        <v>10391</v>
      </c>
      <c r="D1183" s="742" t="s">
        <v>10392</v>
      </c>
      <c r="E1183" s="742" t="s">
        <v>10386</v>
      </c>
      <c r="F1183" s="745" t="s">
        <v>10393</v>
      </c>
      <c r="G1183" s="743"/>
      <c r="H1183" s="744">
        <v>60114</v>
      </c>
      <c r="I1183" s="744"/>
      <c r="J1183" s="744">
        <v>55000</v>
      </c>
      <c r="K1183" s="745" t="s">
        <v>10394</v>
      </c>
      <c r="L1183" s="745"/>
      <c r="M1183" s="745" t="s">
        <v>10389</v>
      </c>
      <c r="N1183" s="745" t="s">
        <v>10395</v>
      </c>
    </row>
    <row r="1184" spans="1:14">
      <c r="A1184" s="1068"/>
      <c r="B1184" s="741"/>
      <c r="C1184" s="742" t="s">
        <v>10396</v>
      </c>
      <c r="D1184" s="742" t="s">
        <v>10397</v>
      </c>
      <c r="E1184" s="742" t="s">
        <v>9008</v>
      </c>
      <c r="F1184" s="745" t="s">
        <v>10398</v>
      </c>
      <c r="G1184" s="743"/>
      <c r="H1184" s="744">
        <v>30500</v>
      </c>
      <c r="I1184" s="744"/>
      <c r="J1184" s="744">
        <v>30500</v>
      </c>
      <c r="K1184" s="745" t="s">
        <v>10399</v>
      </c>
      <c r="L1184" s="745"/>
      <c r="M1184" s="745" t="s">
        <v>10389</v>
      </c>
      <c r="N1184" s="745" t="s">
        <v>10395</v>
      </c>
    </row>
    <row r="1185" spans="1:14">
      <c r="A1185" s="1068"/>
      <c r="B1185" s="741"/>
      <c r="C1185" s="742" t="s">
        <v>10400</v>
      </c>
      <c r="D1185" s="742" t="s">
        <v>10397</v>
      </c>
      <c r="E1185" s="742" t="s">
        <v>10386</v>
      </c>
      <c r="F1185" s="745" t="s">
        <v>10401</v>
      </c>
      <c r="G1185" s="743"/>
      <c r="H1185" s="744">
        <v>3777</v>
      </c>
      <c r="I1185" s="744"/>
      <c r="J1185" s="744">
        <v>3777</v>
      </c>
      <c r="K1185" s="745" t="s">
        <v>10402</v>
      </c>
      <c r="L1185" s="745"/>
      <c r="M1185" s="745" t="s">
        <v>10389</v>
      </c>
      <c r="N1185" s="745" t="s">
        <v>10403</v>
      </c>
    </row>
    <row r="1186" spans="1:14">
      <c r="A1186" s="1068"/>
      <c r="B1186" s="741"/>
      <c r="C1186" s="742" t="s">
        <v>10404</v>
      </c>
      <c r="D1186" s="742" t="s">
        <v>10397</v>
      </c>
      <c r="E1186" s="742" t="s">
        <v>10386</v>
      </c>
      <c r="F1186" s="745" t="s">
        <v>10405</v>
      </c>
      <c r="G1186" s="743"/>
      <c r="H1186" s="744">
        <v>15500</v>
      </c>
      <c r="I1186" s="744"/>
      <c r="J1186" s="744">
        <v>15500</v>
      </c>
      <c r="K1186" s="745" t="s">
        <v>10406</v>
      </c>
      <c r="L1186" s="745"/>
      <c r="M1186" s="745" t="s">
        <v>10389</v>
      </c>
      <c r="N1186" s="745" t="s">
        <v>10403</v>
      </c>
    </row>
    <row r="1187" spans="1:14">
      <c r="A1187" s="1068"/>
      <c r="B1187" s="741"/>
      <c r="C1187" s="742" t="s">
        <v>10407</v>
      </c>
      <c r="D1187" s="742" t="s">
        <v>10408</v>
      </c>
      <c r="E1187" s="742" t="s">
        <v>10408</v>
      </c>
      <c r="F1187" s="745" t="s">
        <v>10409</v>
      </c>
      <c r="G1187" s="743"/>
      <c r="H1187" s="744">
        <v>5250</v>
      </c>
      <c r="I1187" s="744"/>
      <c r="J1187" s="744">
        <v>5250</v>
      </c>
      <c r="K1187" s="745" t="s">
        <v>10410</v>
      </c>
      <c r="L1187" s="745"/>
      <c r="M1187" s="745" t="s">
        <v>10389</v>
      </c>
      <c r="N1187" s="745" t="s">
        <v>10411</v>
      </c>
    </row>
    <row r="1188" spans="1:14">
      <c r="A1188" s="1068"/>
      <c r="B1188" s="741"/>
      <c r="C1188" s="742" t="s">
        <v>10412</v>
      </c>
      <c r="D1188" s="742" t="s">
        <v>10413</v>
      </c>
      <c r="E1188" s="742" t="s">
        <v>10408</v>
      </c>
      <c r="F1188" s="745" t="s">
        <v>10414</v>
      </c>
      <c r="G1188" s="743"/>
      <c r="H1188" s="744">
        <v>6000</v>
      </c>
      <c r="I1188" s="744"/>
      <c r="J1188" s="744">
        <v>6000</v>
      </c>
      <c r="K1188" s="745" t="s">
        <v>10415</v>
      </c>
      <c r="L1188" s="745"/>
      <c r="M1188" s="745" t="s">
        <v>10389</v>
      </c>
      <c r="N1188" s="745" t="s">
        <v>10411</v>
      </c>
    </row>
    <row r="1189" spans="1:14">
      <c r="A1189" s="1068"/>
      <c r="B1189" s="741"/>
      <c r="C1189" s="742" t="s">
        <v>10416</v>
      </c>
      <c r="D1189" s="742" t="s">
        <v>10408</v>
      </c>
      <c r="E1189" s="742" t="s">
        <v>10408</v>
      </c>
      <c r="F1189" s="745" t="s">
        <v>10417</v>
      </c>
      <c r="G1189" s="743"/>
      <c r="H1189" s="744">
        <v>4700</v>
      </c>
      <c r="I1189" s="744"/>
      <c r="J1189" s="744">
        <v>4700</v>
      </c>
      <c r="K1189" s="745" t="s">
        <v>10410</v>
      </c>
      <c r="L1189" s="745"/>
      <c r="M1189" s="745" t="s">
        <v>10389</v>
      </c>
      <c r="N1189" s="745" t="s">
        <v>10411</v>
      </c>
    </row>
    <row r="1190" spans="1:14">
      <c r="A1190" s="1068"/>
      <c r="B1190" s="741"/>
      <c r="C1190" s="742" t="s">
        <v>10418</v>
      </c>
      <c r="D1190" s="742" t="s">
        <v>3334</v>
      </c>
      <c r="E1190" s="742" t="s">
        <v>10419</v>
      </c>
      <c r="F1190" s="745" t="s">
        <v>10420</v>
      </c>
      <c r="G1190" s="743"/>
      <c r="H1190" s="744">
        <v>14200</v>
      </c>
      <c r="I1190" s="744"/>
      <c r="J1190" s="744">
        <v>13500</v>
      </c>
      <c r="K1190" s="745" t="s">
        <v>10421</v>
      </c>
      <c r="L1190" s="745"/>
      <c r="M1190" s="745" t="s">
        <v>10389</v>
      </c>
      <c r="N1190" s="745" t="s">
        <v>10411</v>
      </c>
    </row>
    <row r="1191" spans="1:14">
      <c r="A1191" s="1068"/>
      <c r="B1191" s="741"/>
      <c r="C1191" s="742" t="s">
        <v>10422</v>
      </c>
      <c r="D1191" s="742" t="s">
        <v>10408</v>
      </c>
      <c r="E1191" s="742" t="s">
        <v>10408</v>
      </c>
      <c r="F1191" s="745" t="s">
        <v>10423</v>
      </c>
      <c r="G1191" s="743"/>
      <c r="H1191" s="744">
        <v>5800</v>
      </c>
      <c r="I1191" s="744"/>
      <c r="J1191" s="744">
        <v>5800</v>
      </c>
      <c r="K1191" s="745" t="s">
        <v>10410</v>
      </c>
      <c r="L1191" s="745"/>
      <c r="M1191" s="745" t="s">
        <v>10389</v>
      </c>
      <c r="N1191" s="745" t="s">
        <v>10411</v>
      </c>
    </row>
    <row r="1192" spans="1:14">
      <c r="A1192" s="1068"/>
      <c r="B1192" s="741"/>
      <c r="C1192" s="742" t="s">
        <v>10424</v>
      </c>
      <c r="D1192" s="742" t="s">
        <v>10425</v>
      </c>
      <c r="E1192" s="742" t="s">
        <v>10408</v>
      </c>
      <c r="F1192" s="745" t="s">
        <v>10426</v>
      </c>
      <c r="G1192" s="743"/>
      <c r="H1192" s="744">
        <v>59329</v>
      </c>
      <c r="I1192" s="744"/>
      <c r="J1192" s="744">
        <v>14950</v>
      </c>
      <c r="K1192" s="745" t="s">
        <v>10427</v>
      </c>
      <c r="L1192" s="745"/>
      <c r="M1192" s="745" t="s">
        <v>10389</v>
      </c>
      <c r="N1192" s="745" t="s">
        <v>10395</v>
      </c>
    </row>
    <row r="1193" spans="1:14">
      <c r="A1193" s="1068"/>
      <c r="B1193" s="741"/>
      <c r="C1193" s="742" t="s">
        <v>10428</v>
      </c>
      <c r="D1193" s="742" t="s">
        <v>10408</v>
      </c>
      <c r="E1193" s="742" t="s">
        <v>10408</v>
      </c>
      <c r="F1193" s="745" t="s">
        <v>10429</v>
      </c>
      <c r="G1193" s="743"/>
      <c r="H1193" s="744">
        <v>9900</v>
      </c>
      <c r="I1193" s="744"/>
      <c r="J1193" s="744">
        <v>9900</v>
      </c>
      <c r="K1193" s="745" t="s">
        <v>10410</v>
      </c>
      <c r="L1193" s="745"/>
      <c r="M1193" s="745" t="s">
        <v>10389</v>
      </c>
      <c r="N1193" s="745" t="s">
        <v>10411</v>
      </c>
    </row>
    <row r="1194" spans="1:14">
      <c r="A1194" s="1068"/>
      <c r="B1194" s="741"/>
      <c r="C1194" s="742" t="s">
        <v>10430</v>
      </c>
      <c r="D1194" s="742" t="s">
        <v>10431</v>
      </c>
      <c r="E1194" s="742" t="s">
        <v>10432</v>
      </c>
      <c r="F1194" s="745" t="s">
        <v>10433</v>
      </c>
      <c r="G1194" s="743"/>
      <c r="H1194" s="744">
        <v>2000</v>
      </c>
      <c r="I1194" s="744"/>
      <c r="J1194" s="744">
        <v>2000</v>
      </c>
      <c r="K1194" s="745" t="s">
        <v>10434</v>
      </c>
      <c r="L1194" s="745"/>
      <c r="M1194" s="745" t="s">
        <v>10389</v>
      </c>
      <c r="N1194" s="745" t="s">
        <v>10411</v>
      </c>
    </row>
    <row r="1195" spans="1:14">
      <c r="A1195" s="1068"/>
      <c r="B1195" s="741"/>
      <c r="C1195" s="742" t="s">
        <v>10435</v>
      </c>
      <c r="D1195" s="742" t="s">
        <v>10408</v>
      </c>
      <c r="E1195" s="742" t="s">
        <v>10408</v>
      </c>
      <c r="F1195" s="745" t="s">
        <v>10436</v>
      </c>
      <c r="G1195" s="743"/>
      <c r="H1195" s="744">
        <v>18000</v>
      </c>
      <c r="I1195" s="744"/>
      <c r="J1195" s="744">
        <v>18000</v>
      </c>
      <c r="K1195" s="745" t="s">
        <v>10410</v>
      </c>
      <c r="L1195" s="745"/>
      <c r="M1195" s="745" t="s">
        <v>10389</v>
      </c>
      <c r="N1195" s="745" t="s">
        <v>10411</v>
      </c>
    </row>
    <row r="1196" spans="1:14">
      <c r="A1196" s="1068"/>
      <c r="B1196" s="741"/>
      <c r="C1196" s="742" t="s">
        <v>10437</v>
      </c>
      <c r="D1196" s="742" t="s">
        <v>10408</v>
      </c>
      <c r="E1196" s="742" t="s">
        <v>10408</v>
      </c>
      <c r="F1196" s="745" t="s">
        <v>10438</v>
      </c>
      <c r="G1196" s="743"/>
      <c r="H1196" s="744">
        <v>30000</v>
      </c>
      <c r="I1196" s="744"/>
      <c r="J1196" s="744">
        <v>20000</v>
      </c>
      <c r="K1196" s="745" t="s">
        <v>10410</v>
      </c>
      <c r="L1196" s="745"/>
      <c r="M1196" s="745" t="s">
        <v>10389</v>
      </c>
      <c r="N1196" s="745" t="s">
        <v>10411</v>
      </c>
    </row>
    <row r="1197" spans="1:14">
      <c r="A1197" s="1068"/>
      <c r="B1197" s="741"/>
      <c r="C1197" s="742" t="s">
        <v>10439</v>
      </c>
      <c r="D1197" s="742" t="s">
        <v>3334</v>
      </c>
      <c r="E1197" s="742" t="s">
        <v>10440</v>
      </c>
      <c r="F1197" s="745" t="s">
        <v>10441</v>
      </c>
      <c r="G1197" s="743"/>
      <c r="H1197" s="744">
        <v>1050</v>
      </c>
      <c r="I1197" s="744"/>
      <c r="J1197" s="744">
        <v>1050</v>
      </c>
      <c r="K1197" s="745" t="s">
        <v>10442</v>
      </c>
      <c r="L1197" s="745"/>
      <c r="M1197" s="745" t="s">
        <v>10389</v>
      </c>
      <c r="N1197" s="745" t="s">
        <v>10411</v>
      </c>
    </row>
    <row r="1198" spans="1:14">
      <c r="A1198" s="1068"/>
      <c r="B1198" s="741"/>
      <c r="C1198" s="742" t="s">
        <v>10443</v>
      </c>
      <c r="D1198" s="742" t="s">
        <v>10444</v>
      </c>
      <c r="E1198" s="742" t="s">
        <v>10408</v>
      </c>
      <c r="F1198" s="745" t="s">
        <v>10445</v>
      </c>
      <c r="G1198" s="743"/>
      <c r="H1198" s="744">
        <v>35000</v>
      </c>
      <c r="I1198" s="744"/>
      <c r="J1198" s="744">
        <v>7000</v>
      </c>
      <c r="K1198" s="745" t="s">
        <v>10446</v>
      </c>
      <c r="L1198" s="745"/>
      <c r="M1198" s="745" t="s">
        <v>10389</v>
      </c>
      <c r="N1198" s="745" t="s">
        <v>10395</v>
      </c>
    </row>
    <row r="1199" spans="1:14">
      <c r="A1199" s="1068"/>
      <c r="B1199" s="741"/>
      <c r="C1199" s="742" t="s">
        <v>10447</v>
      </c>
      <c r="D1199" s="742" t="s">
        <v>10448</v>
      </c>
      <c r="E1199" s="742" t="s">
        <v>10408</v>
      </c>
      <c r="F1199" s="745" t="s">
        <v>10449</v>
      </c>
      <c r="G1199" s="743"/>
      <c r="H1199" s="744">
        <v>3750</v>
      </c>
      <c r="I1199" s="744"/>
      <c r="J1199" s="744">
        <v>3750</v>
      </c>
      <c r="K1199" s="745" t="s">
        <v>10427</v>
      </c>
      <c r="L1199" s="745"/>
      <c r="M1199" s="745" t="s">
        <v>10389</v>
      </c>
      <c r="N1199" s="745" t="s">
        <v>10411</v>
      </c>
    </row>
    <row r="1200" spans="1:14">
      <c r="A1200" s="1068"/>
      <c r="B1200" s="741"/>
      <c r="C1200" s="742" t="s">
        <v>10450</v>
      </c>
      <c r="D1200" s="742" t="s">
        <v>10451</v>
      </c>
      <c r="E1200" s="742" t="s">
        <v>10408</v>
      </c>
      <c r="F1200" s="745" t="s">
        <v>10452</v>
      </c>
      <c r="G1200" s="743"/>
      <c r="H1200" s="744">
        <v>3250</v>
      </c>
      <c r="I1200" s="744"/>
      <c r="J1200" s="744">
        <v>3250</v>
      </c>
      <c r="K1200" s="745" t="s">
        <v>10410</v>
      </c>
      <c r="L1200" s="745"/>
      <c r="M1200" s="745" t="s">
        <v>10389</v>
      </c>
      <c r="N1200" s="745" t="s">
        <v>10411</v>
      </c>
    </row>
    <row r="1201" spans="1:14">
      <c r="A1201" s="1068"/>
      <c r="B1201" s="741"/>
      <c r="C1201" s="742" t="s">
        <v>10453</v>
      </c>
      <c r="D1201" s="742" t="s">
        <v>61</v>
      </c>
      <c r="E1201" s="742" t="s">
        <v>10454</v>
      </c>
      <c r="F1201" s="745" t="s">
        <v>10455</v>
      </c>
      <c r="G1201" s="743"/>
      <c r="H1201" s="744">
        <v>14000</v>
      </c>
      <c r="I1201" s="744"/>
      <c r="J1201" s="744">
        <v>5000</v>
      </c>
      <c r="K1201" s="745" t="s">
        <v>10456</v>
      </c>
      <c r="L1201" s="745"/>
      <c r="M1201" s="745" t="s">
        <v>10389</v>
      </c>
      <c r="N1201" s="745" t="s">
        <v>10411</v>
      </c>
    </row>
    <row r="1202" spans="1:14">
      <c r="A1202" s="1068"/>
      <c r="B1202" s="741"/>
      <c r="C1202" s="742" t="s">
        <v>10457</v>
      </c>
      <c r="D1202" s="742" t="s">
        <v>10451</v>
      </c>
      <c r="E1202" s="742" t="s">
        <v>10408</v>
      </c>
      <c r="F1202" s="745" t="s">
        <v>10458</v>
      </c>
      <c r="G1202" s="743"/>
      <c r="H1202" s="744">
        <v>161500</v>
      </c>
      <c r="I1202" s="744"/>
      <c r="J1202" s="744">
        <v>161500</v>
      </c>
      <c r="K1202" s="745" t="s">
        <v>10406</v>
      </c>
      <c r="L1202" s="745"/>
      <c r="M1202" s="745" t="s">
        <v>10389</v>
      </c>
      <c r="N1202" s="745" t="s">
        <v>10411</v>
      </c>
    </row>
    <row r="1203" spans="1:14">
      <c r="A1203" s="1068"/>
      <c r="B1203" s="741"/>
      <c r="C1203" s="742" t="s">
        <v>10459</v>
      </c>
      <c r="D1203" s="742"/>
      <c r="E1203" s="742"/>
      <c r="F1203" s="745" t="s">
        <v>10460</v>
      </c>
      <c r="G1203" s="743"/>
      <c r="H1203" s="744">
        <v>5796</v>
      </c>
      <c r="I1203" s="744"/>
      <c r="J1203" s="744">
        <v>5796</v>
      </c>
      <c r="K1203" s="745" t="s">
        <v>10461</v>
      </c>
      <c r="L1203" s="745"/>
      <c r="M1203" s="745"/>
      <c r="N1203" s="745"/>
    </row>
    <row r="1204" spans="1:14">
      <c r="A1204" s="672" t="s">
        <v>10462</v>
      </c>
      <c r="B1204" s="672"/>
      <c r="C1204" s="672"/>
      <c r="D1204" s="672"/>
      <c r="E1204" s="672"/>
      <c r="F1204" s="672"/>
      <c r="G1204" s="681">
        <f>+SUM(G1181:G1203)</f>
        <v>0</v>
      </c>
      <c r="H1204" s="681">
        <f>+SUM(H1181:H1203)</f>
        <v>548902</v>
      </c>
      <c r="I1204" s="681">
        <f>+SUM(I1181:I1203)</f>
        <v>0</v>
      </c>
      <c r="J1204" s="681">
        <f>+SUM(J1181:J1203)</f>
        <v>451709</v>
      </c>
      <c r="K1204" s="673"/>
      <c r="L1204" s="673"/>
      <c r="M1204" s="673"/>
      <c r="N1204" s="673"/>
    </row>
    <row r="1205" spans="1:14">
      <c r="A1205" s="1066" t="s">
        <v>1587</v>
      </c>
      <c r="B1205" s="678"/>
      <c r="C1205" s="670" t="s">
        <v>10463</v>
      </c>
      <c r="D1205" s="670"/>
      <c r="E1205" s="682" t="s">
        <v>10165</v>
      </c>
      <c r="F1205" s="682" t="s">
        <v>10165</v>
      </c>
      <c r="G1205" s="740" t="s">
        <v>10165</v>
      </c>
      <c r="H1205" s="671" t="s">
        <v>10165</v>
      </c>
      <c r="I1205" s="671">
        <v>6950000</v>
      </c>
      <c r="J1205" s="671"/>
      <c r="K1205" s="682" t="s">
        <v>10165</v>
      </c>
      <c r="L1205" s="737"/>
      <c r="M1205" s="737"/>
      <c r="N1205" s="737"/>
    </row>
    <row r="1206" spans="1:14">
      <c r="A1206" s="1066"/>
      <c r="B1206" s="678"/>
      <c r="C1206" s="670" t="s">
        <v>10464</v>
      </c>
      <c r="D1206" s="670"/>
      <c r="E1206" s="682" t="s">
        <v>10165</v>
      </c>
      <c r="F1206" s="682" t="s">
        <v>10165</v>
      </c>
      <c r="G1206" s="740" t="s">
        <v>10165</v>
      </c>
      <c r="H1206" s="671" t="s">
        <v>10165</v>
      </c>
      <c r="I1206" s="671">
        <v>6800000</v>
      </c>
      <c r="J1206" s="671"/>
      <c r="K1206" s="682" t="s">
        <v>10165</v>
      </c>
      <c r="L1206" s="737"/>
      <c r="M1206" s="737"/>
      <c r="N1206" s="737"/>
    </row>
    <row r="1207" spans="1:14">
      <c r="A1207" s="1066"/>
      <c r="B1207" s="678"/>
      <c r="C1207" s="670" t="s">
        <v>10465</v>
      </c>
      <c r="D1207" s="670"/>
      <c r="E1207" s="682" t="s">
        <v>10165</v>
      </c>
      <c r="F1207" s="682" t="s">
        <v>10165</v>
      </c>
      <c r="G1207" s="740" t="s">
        <v>10165</v>
      </c>
      <c r="H1207" s="671" t="s">
        <v>10165</v>
      </c>
      <c r="I1207" s="671">
        <v>343923230</v>
      </c>
      <c r="J1207" s="671"/>
      <c r="K1207" s="682" t="s">
        <v>10165</v>
      </c>
      <c r="L1207" s="737"/>
      <c r="M1207" s="737"/>
      <c r="N1207" s="737"/>
    </row>
    <row r="1208" spans="1:14">
      <c r="A1208" s="1066"/>
      <c r="B1208" s="678"/>
      <c r="C1208" s="670" t="s">
        <v>10466</v>
      </c>
      <c r="D1208" s="670"/>
      <c r="E1208" s="682" t="s">
        <v>10165</v>
      </c>
      <c r="F1208" s="682" t="s">
        <v>10165</v>
      </c>
      <c r="G1208" s="740" t="s">
        <v>10165</v>
      </c>
      <c r="H1208" s="671" t="s">
        <v>10165</v>
      </c>
      <c r="I1208" s="671">
        <v>80975793</v>
      </c>
      <c r="J1208" s="671"/>
      <c r="K1208" s="682" t="s">
        <v>10165</v>
      </c>
      <c r="L1208" s="737"/>
      <c r="M1208" s="737"/>
      <c r="N1208" s="737"/>
    </row>
    <row r="1209" spans="1:14">
      <c r="A1209" s="1066"/>
      <c r="B1209" s="678"/>
      <c r="C1209" s="670" t="s">
        <v>10467</v>
      </c>
      <c r="D1209" s="670"/>
      <c r="E1209" s="682" t="s">
        <v>10165</v>
      </c>
      <c r="F1209" s="682" t="s">
        <v>10165</v>
      </c>
      <c r="G1209" s="740" t="s">
        <v>10165</v>
      </c>
      <c r="H1209" s="671" t="s">
        <v>10165</v>
      </c>
      <c r="I1209" s="671">
        <v>4517316</v>
      </c>
      <c r="J1209" s="671"/>
      <c r="K1209" s="682" t="s">
        <v>10165</v>
      </c>
      <c r="L1209" s="737"/>
      <c r="M1209" s="737"/>
      <c r="N1209" s="737"/>
    </row>
    <row r="1210" spans="1:14">
      <c r="A1210" s="1066"/>
      <c r="B1210" s="678"/>
      <c r="C1210" s="670" t="s">
        <v>10468</v>
      </c>
      <c r="D1210" s="670"/>
      <c r="E1210" s="682" t="s">
        <v>10165</v>
      </c>
      <c r="F1210" s="682" t="s">
        <v>10165</v>
      </c>
      <c r="G1210" s="740" t="s">
        <v>10165</v>
      </c>
      <c r="H1210" s="671" t="s">
        <v>10165</v>
      </c>
      <c r="I1210" s="671">
        <v>29690442</v>
      </c>
      <c r="J1210" s="671"/>
      <c r="K1210" s="682" t="s">
        <v>10165</v>
      </c>
      <c r="L1210" s="737"/>
      <c r="M1210" s="737"/>
      <c r="N1210" s="737"/>
    </row>
    <row r="1211" spans="1:14">
      <c r="A1211" s="1066"/>
      <c r="B1211" s="678"/>
      <c r="C1211" s="670" t="s">
        <v>10469</v>
      </c>
      <c r="D1211" s="670"/>
      <c r="E1211" s="682" t="s">
        <v>10165</v>
      </c>
      <c r="F1211" s="682" t="s">
        <v>10165</v>
      </c>
      <c r="G1211" s="740" t="s">
        <v>10165</v>
      </c>
      <c r="H1211" s="671" t="s">
        <v>10165</v>
      </c>
      <c r="I1211" s="671">
        <v>40692022</v>
      </c>
      <c r="J1211" s="671"/>
      <c r="K1211" s="682" t="s">
        <v>10165</v>
      </c>
      <c r="L1211" s="737"/>
      <c r="M1211" s="737"/>
      <c r="N1211" s="737"/>
    </row>
    <row r="1212" spans="1:14">
      <c r="A1212" s="1066"/>
      <c r="B1212" s="678"/>
      <c r="C1212" s="670" t="s">
        <v>10470</v>
      </c>
      <c r="D1212" s="670"/>
      <c r="E1212" s="682" t="s">
        <v>10165</v>
      </c>
      <c r="F1212" s="682" t="s">
        <v>10165</v>
      </c>
      <c r="G1212" s="740" t="s">
        <v>10165</v>
      </c>
      <c r="H1212" s="671" t="s">
        <v>10165</v>
      </c>
      <c r="I1212" s="671">
        <v>6449280</v>
      </c>
      <c r="J1212" s="671"/>
      <c r="K1212" s="682" t="s">
        <v>10165</v>
      </c>
      <c r="L1212" s="737"/>
      <c r="M1212" s="737"/>
      <c r="N1212" s="737"/>
    </row>
    <row r="1213" spans="1:14">
      <c r="A1213" s="1066"/>
      <c r="B1213" s="678"/>
      <c r="C1213" s="670" t="s">
        <v>10471</v>
      </c>
      <c r="D1213" s="670"/>
      <c r="E1213" s="682" t="s">
        <v>10165</v>
      </c>
      <c r="F1213" s="682" t="s">
        <v>10165</v>
      </c>
      <c r="G1213" s="740" t="s">
        <v>10165</v>
      </c>
      <c r="H1213" s="671" t="s">
        <v>10165</v>
      </c>
      <c r="I1213" s="671">
        <v>35825000</v>
      </c>
      <c r="J1213" s="671"/>
      <c r="K1213" s="682" t="s">
        <v>10165</v>
      </c>
      <c r="L1213" s="737"/>
      <c r="M1213" s="737"/>
      <c r="N1213" s="737"/>
    </row>
    <row r="1214" spans="1:14">
      <c r="A1214" s="1066"/>
      <c r="B1214" s="678"/>
      <c r="C1214" s="670" t="s">
        <v>10472</v>
      </c>
      <c r="D1214" s="670"/>
      <c r="E1214" s="682" t="s">
        <v>10165</v>
      </c>
      <c r="F1214" s="682" t="s">
        <v>10165</v>
      </c>
      <c r="G1214" s="740" t="s">
        <v>10165</v>
      </c>
      <c r="H1214" s="671" t="s">
        <v>10165</v>
      </c>
      <c r="I1214" s="671">
        <v>100258495</v>
      </c>
      <c r="J1214" s="671"/>
      <c r="K1214" s="682" t="s">
        <v>10165</v>
      </c>
      <c r="L1214" s="737"/>
      <c r="M1214" s="737"/>
      <c r="N1214" s="737"/>
    </row>
    <row r="1215" spans="1:14">
      <c r="A1215" s="1066"/>
      <c r="B1215" s="678"/>
      <c r="C1215" s="670" t="s">
        <v>10473</v>
      </c>
      <c r="D1215" s="670"/>
      <c r="E1215" s="682" t="s">
        <v>10165</v>
      </c>
      <c r="F1215" s="682" t="s">
        <v>10165</v>
      </c>
      <c r="G1215" s="740" t="s">
        <v>10165</v>
      </c>
      <c r="H1215" s="671" t="s">
        <v>10165</v>
      </c>
      <c r="I1215" s="671">
        <v>16382500</v>
      </c>
      <c r="J1215" s="671"/>
      <c r="K1215" s="682" t="s">
        <v>10165</v>
      </c>
      <c r="L1215" s="737"/>
      <c r="M1215" s="737"/>
      <c r="N1215" s="737"/>
    </row>
    <row r="1216" spans="1:14">
      <c r="A1216" s="1066"/>
      <c r="B1216" s="678"/>
      <c r="C1216" s="670" t="s">
        <v>10474</v>
      </c>
      <c r="D1216" s="670"/>
      <c r="E1216" s="682" t="s">
        <v>10165</v>
      </c>
      <c r="F1216" s="682" t="s">
        <v>10165</v>
      </c>
      <c r="G1216" s="740" t="s">
        <v>10165</v>
      </c>
      <c r="H1216" s="671" t="s">
        <v>10165</v>
      </c>
      <c r="I1216" s="671">
        <v>38037000</v>
      </c>
      <c r="J1216" s="671"/>
      <c r="K1216" s="682" t="s">
        <v>10165</v>
      </c>
      <c r="L1216" s="737"/>
      <c r="M1216" s="737"/>
      <c r="N1216" s="737"/>
    </row>
    <row r="1217" spans="1:14">
      <c r="A1217" s="1066"/>
      <c r="B1217" s="678"/>
      <c r="C1217" s="670" t="s">
        <v>10475</v>
      </c>
      <c r="D1217" s="670"/>
      <c r="E1217" s="682" t="s">
        <v>10165</v>
      </c>
      <c r="F1217" s="682" t="s">
        <v>10165</v>
      </c>
      <c r="G1217" s="740" t="s">
        <v>10165</v>
      </c>
      <c r="H1217" s="671" t="s">
        <v>10165</v>
      </c>
      <c r="I1217" s="671">
        <v>6242000</v>
      </c>
      <c r="J1217" s="671"/>
      <c r="K1217" s="682" t="s">
        <v>10165</v>
      </c>
      <c r="L1217" s="737"/>
      <c r="M1217" s="737"/>
      <c r="N1217" s="737"/>
    </row>
    <row r="1218" spans="1:14">
      <c r="A1218" s="1066"/>
      <c r="B1218" s="678"/>
      <c r="C1218" s="670" t="s">
        <v>10476</v>
      </c>
      <c r="D1218" s="670"/>
      <c r="E1218" s="682" t="s">
        <v>10165</v>
      </c>
      <c r="F1218" s="682" t="s">
        <v>10165</v>
      </c>
      <c r="G1218" s="740" t="s">
        <v>10165</v>
      </c>
      <c r="H1218" s="671" t="s">
        <v>10165</v>
      </c>
      <c r="I1218" s="671">
        <v>13376230</v>
      </c>
      <c r="J1218" s="671"/>
      <c r="K1218" s="682" t="s">
        <v>10165</v>
      </c>
      <c r="L1218" s="737"/>
      <c r="M1218" s="737"/>
      <c r="N1218" s="737"/>
    </row>
    <row r="1219" spans="1:14">
      <c r="A1219" s="1066"/>
      <c r="B1219" s="678"/>
      <c r="C1219" s="670" t="s">
        <v>10477</v>
      </c>
      <c r="D1219" s="670"/>
      <c r="E1219" s="682" t="s">
        <v>10165</v>
      </c>
      <c r="F1219" s="682" t="s">
        <v>10165</v>
      </c>
      <c r="G1219" s="740" t="s">
        <v>10165</v>
      </c>
      <c r="H1219" s="671" t="s">
        <v>10165</v>
      </c>
      <c r="I1219" s="671">
        <v>13163500</v>
      </c>
      <c r="J1219" s="671"/>
      <c r="K1219" s="682" t="s">
        <v>10165</v>
      </c>
      <c r="L1219" s="737"/>
      <c r="M1219" s="737"/>
      <c r="N1219" s="737"/>
    </row>
    <row r="1220" spans="1:14">
      <c r="A1220" s="1066"/>
      <c r="B1220" s="678"/>
      <c r="C1220" s="670" t="s">
        <v>10478</v>
      </c>
      <c r="D1220" s="670"/>
      <c r="E1220" s="682" t="s">
        <v>10165</v>
      </c>
      <c r="F1220" s="682" t="s">
        <v>10165</v>
      </c>
      <c r="G1220" s="740" t="s">
        <v>10165</v>
      </c>
      <c r="H1220" s="671" t="s">
        <v>10165</v>
      </c>
      <c r="I1220" s="671">
        <v>4200000</v>
      </c>
      <c r="J1220" s="671"/>
      <c r="K1220" s="682" t="s">
        <v>10165</v>
      </c>
      <c r="L1220" s="737"/>
      <c r="M1220" s="737"/>
      <c r="N1220" s="737"/>
    </row>
    <row r="1221" spans="1:14">
      <c r="A1221" s="1066"/>
      <c r="B1221" s="678"/>
      <c r="C1221" s="670" t="s">
        <v>10479</v>
      </c>
      <c r="D1221" s="670"/>
      <c r="E1221" s="682" t="s">
        <v>10165</v>
      </c>
      <c r="F1221" s="682" t="s">
        <v>10165</v>
      </c>
      <c r="G1221" s="740" t="s">
        <v>10165</v>
      </c>
      <c r="H1221" s="671" t="s">
        <v>10165</v>
      </c>
      <c r="I1221" s="671">
        <v>17731000</v>
      </c>
      <c r="J1221" s="671"/>
      <c r="K1221" s="682" t="s">
        <v>10165</v>
      </c>
      <c r="L1221" s="737"/>
      <c r="M1221" s="737"/>
      <c r="N1221" s="737"/>
    </row>
    <row r="1222" spans="1:14">
      <c r="A1222" s="1066"/>
      <c r="B1222" s="678"/>
      <c r="C1222" s="670" t="s">
        <v>10480</v>
      </c>
      <c r="D1222" s="670"/>
      <c r="E1222" s="682" t="s">
        <v>10165</v>
      </c>
      <c r="F1222" s="682" t="s">
        <v>10165</v>
      </c>
      <c r="G1222" s="740" t="s">
        <v>10165</v>
      </c>
      <c r="H1222" s="671" t="s">
        <v>10165</v>
      </c>
      <c r="I1222" s="671">
        <v>17284008</v>
      </c>
      <c r="J1222" s="671"/>
      <c r="K1222" s="682" t="s">
        <v>10165</v>
      </c>
      <c r="L1222" s="737"/>
      <c r="M1222" s="737"/>
      <c r="N1222" s="737"/>
    </row>
    <row r="1223" spans="1:14">
      <c r="A1223" s="1066"/>
      <c r="B1223" s="678"/>
      <c r="C1223" s="670" t="s">
        <v>10481</v>
      </c>
      <c r="D1223" s="670"/>
      <c r="E1223" s="682" t="s">
        <v>10165</v>
      </c>
      <c r="F1223" s="682" t="s">
        <v>10165</v>
      </c>
      <c r="G1223" s="740" t="s">
        <v>10165</v>
      </c>
      <c r="H1223" s="671" t="s">
        <v>10165</v>
      </c>
      <c r="I1223" s="671">
        <v>10955000</v>
      </c>
      <c r="J1223" s="671"/>
      <c r="K1223" s="682" t="s">
        <v>10165</v>
      </c>
      <c r="L1223" s="737"/>
      <c r="M1223" s="737"/>
      <c r="N1223" s="737"/>
    </row>
    <row r="1224" spans="1:14">
      <c r="A1224" s="1066"/>
      <c r="B1224" s="678"/>
      <c r="C1224" s="670" t="s">
        <v>10482</v>
      </c>
      <c r="D1224" s="670"/>
      <c r="E1224" s="682" t="s">
        <v>10165</v>
      </c>
      <c r="F1224" s="682" t="s">
        <v>10165</v>
      </c>
      <c r="G1224" s="740" t="s">
        <v>10165</v>
      </c>
      <c r="H1224" s="671" t="s">
        <v>10165</v>
      </c>
      <c r="I1224" s="671">
        <v>2550000</v>
      </c>
      <c r="J1224" s="671"/>
      <c r="K1224" s="682" t="s">
        <v>10165</v>
      </c>
      <c r="L1224" s="737"/>
      <c r="M1224" s="737"/>
      <c r="N1224" s="737"/>
    </row>
    <row r="1225" spans="1:14">
      <c r="A1225" s="1066"/>
      <c r="B1225" s="678"/>
      <c r="C1225" s="670" t="s">
        <v>10483</v>
      </c>
      <c r="D1225" s="670"/>
      <c r="E1225" s="682" t="s">
        <v>10165</v>
      </c>
      <c r="F1225" s="682" t="s">
        <v>10165</v>
      </c>
      <c r="G1225" s="740" t="s">
        <v>10165</v>
      </c>
      <c r="H1225" s="671" t="s">
        <v>10165</v>
      </c>
      <c r="I1225" s="671">
        <v>30000850</v>
      </c>
      <c r="J1225" s="671"/>
      <c r="K1225" s="682" t="s">
        <v>10165</v>
      </c>
      <c r="L1225" s="737"/>
      <c r="M1225" s="737"/>
      <c r="N1225" s="737"/>
    </row>
    <row r="1226" spans="1:14">
      <c r="A1226" s="1066"/>
      <c r="B1226" s="678"/>
      <c r="C1226" s="670" t="s">
        <v>10484</v>
      </c>
      <c r="D1226" s="670"/>
      <c r="E1226" s="682" t="s">
        <v>10165</v>
      </c>
      <c r="F1226" s="682" t="s">
        <v>10165</v>
      </c>
      <c r="G1226" s="740" t="s">
        <v>10165</v>
      </c>
      <c r="H1226" s="671" t="s">
        <v>10165</v>
      </c>
      <c r="I1226" s="671">
        <v>6492000</v>
      </c>
      <c r="J1226" s="671"/>
      <c r="K1226" s="682" t="s">
        <v>10165</v>
      </c>
      <c r="L1226" s="737"/>
      <c r="M1226" s="737"/>
      <c r="N1226" s="737"/>
    </row>
    <row r="1227" spans="1:14">
      <c r="A1227" s="1066"/>
      <c r="B1227" s="678"/>
      <c r="C1227" s="670" t="s">
        <v>10485</v>
      </c>
      <c r="D1227" s="670"/>
      <c r="E1227" s="682" t="s">
        <v>10165</v>
      </c>
      <c r="F1227" s="682" t="s">
        <v>10165</v>
      </c>
      <c r="G1227" s="740" t="s">
        <v>10165</v>
      </c>
      <c r="H1227" s="671" t="s">
        <v>10165</v>
      </c>
      <c r="I1227" s="671">
        <v>35918000</v>
      </c>
      <c r="J1227" s="671"/>
      <c r="K1227" s="682" t="s">
        <v>10165</v>
      </c>
      <c r="L1227" s="737"/>
      <c r="M1227" s="737"/>
      <c r="N1227" s="737"/>
    </row>
    <row r="1228" spans="1:14">
      <c r="A1228" s="1066"/>
      <c r="B1228" s="678"/>
      <c r="C1228" s="670" t="s">
        <v>10486</v>
      </c>
      <c r="D1228" s="670"/>
      <c r="E1228" s="682" t="s">
        <v>10165</v>
      </c>
      <c r="F1228" s="682" t="s">
        <v>10165</v>
      </c>
      <c r="G1228" s="740" t="s">
        <v>10165</v>
      </c>
      <c r="H1228" s="671" t="s">
        <v>10165</v>
      </c>
      <c r="I1228" s="671">
        <v>250000</v>
      </c>
      <c r="J1228" s="671"/>
      <c r="K1228" s="682" t="s">
        <v>10165</v>
      </c>
      <c r="L1228" s="737"/>
      <c r="M1228" s="737"/>
      <c r="N1228" s="737"/>
    </row>
    <row r="1229" spans="1:14">
      <c r="A1229" s="1066"/>
      <c r="B1229" s="678"/>
      <c r="C1229" s="670" t="s">
        <v>10487</v>
      </c>
      <c r="D1229" s="670"/>
      <c r="E1229" s="682" t="s">
        <v>10165</v>
      </c>
      <c r="F1229" s="682" t="s">
        <v>10165</v>
      </c>
      <c r="G1229" s="740" t="s">
        <v>10165</v>
      </c>
      <c r="H1229" s="671" t="s">
        <v>10165</v>
      </c>
      <c r="I1229" s="671">
        <v>32000000</v>
      </c>
      <c r="J1229" s="671"/>
      <c r="K1229" s="682" t="s">
        <v>10165</v>
      </c>
      <c r="L1229" s="737"/>
      <c r="M1229" s="737"/>
      <c r="N1229" s="737"/>
    </row>
    <row r="1230" spans="1:14">
      <c r="A1230" s="1066"/>
      <c r="B1230" s="678"/>
      <c r="C1230" s="670" t="s">
        <v>10488</v>
      </c>
      <c r="D1230" s="670"/>
      <c r="E1230" s="682" t="s">
        <v>10165</v>
      </c>
      <c r="F1230" s="682" t="s">
        <v>10165</v>
      </c>
      <c r="G1230" s="740" t="s">
        <v>10165</v>
      </c>
      <c r="H1230" s="671" t="s">
        <v>10165</v>
      </c>
      <c r="I1230" s="671">
        <v>75200000</v>
      </c>
      <c r="J1230" s="671"/>
      <c r="K1230" s="682" t="s">
        <v>10165</v>
      </c>
      <c r="L1230" s="737"/>
      <c r="M1230" s="737"/>
      <c r="N1230" s="737"/>
    </row>
    <row r="1231" spans="1:14">
      <c r="A1231" s="1066"/>
      <c r="B1231" s="678"/>
      <c r="C1231" s="670" t="s">
        <v>10489</v>
      </c>
      <c r="D1231" s="670"/>
      <c r="E1231" s="682" t="s">
        <v>10165</v>
      </c>
      <c r="F1231" s="682" t="s">
        <v>10165</v>
      </c>
      <c r="G1231" s="740" t="s">
        <v>10165</v>
      </c>
      <c r="H1231" s="671" t="s">
        <v>10165</v>
      </c>
      <c r="I1231" s="671">
        <v>32290393</v>
      </c>
      <c r="J1231" s="671"/>
      <c r="K1231" s="682" t="s">
        <v>10165</v>
      </c>
      <c r="L1231" s="737"/>
      <c r="M1231" s="737"/>
      <c r="N1231" s="737"/>
    </row>
    <row r="1232" spans="1:14">
      <c r="A1232" s="1066"/>
      <c r="B1232" s="678"/>
      <c r="C1232" s="670" t="s">
        <v>10490</v>
      </c>
      <c r="D1232" s="670"/>
      <c r="E1232" s="682" t="s">
        <v>10165</v>
      </c>
      <c r="F1232" s="682" t="s">
        <v>10165</v>
      </c>
      <c r="G1232" s="740" t="s">
        <v>10165</v>
      </c>
      <c r="H1232" s="671" t="s">
        <v>10165</v>
      </c>
      <c r="I1232" s="671">
        <v>288850000</v>
      </c>
      <c r="J1232" s="671"/>
      <c r="K1232" s="682" t="s">
        <v>10165</v>
      </c>
      <c r="L1232" s="737"/>
      <c r="M1232" s="737"/>
      <c r="N1232" s="737"/>
    </row>
    <row r="1233" spans="1:14">
      <c r="A1233" s="1066"/>
      <c r="B1233" s="678"/>
      <c r="C1233" s="670" t="s">
        <v>10491</v>
      </c>
      <c r="D1233" s="670"/>
      <c r="E1233" s="682" t="s">
        <v>10165</v>
      </c>
      <c r="F1233" s="682" t="s">
        <v>10165</v>
      </c>
      <c r="G1233" s="740" t="s">
        <v>10165</v>
      </c>
      <c r="H1233" s="671" t="s">
        <v>10165</v>
      </c>
      <c r="I1233" s="671">
        <v>74988000</v>
      </c>
      <c r="J1233" s="671"/>
      <c r="K1233" s="682" t="s">
        <v>10165</v>
      </c>
      <c r="L1233" s="737"/>
      <c r="M1233" s="737"/>
      <c r="N1233" s="737"/>
    </row>
    <row r="1234" spans="1:14">
      <c r="A1234" s="1066"/>
      <c r="B1234" s="678"/>
      <c r="C1234" s="670" t="s">
        <v>10492</v>
      </c>
      <c r="D1234" s="670"/>
      <c r="E1234" s="682" t="s">
        <v>10165</v>
      </c>
      <c r="F1234" s="682" t="s">
        <v>10165</v>
      </c>
      <c r="G1234" s="740" t="s">
        <v>10165</v>
      </c>
      <c r="H1234" s="671" t="s">
        <v>10165</v>
      </c>
      <c r="I1234" s="671">
        <v>150000</v>
      </c>
      <c r="J1234" s="671"/>
      <c r="K1234" s="682" t="s">
        <v>10165</v>
      </c>
      <c r="L1234" s="737"/>
      <c r="M1234" s="737"/>
      <c r="N1234" s="737"/>
    </row>
    <row r="1235" spans="1:14">
      <c r="A1235" s="1066"/>
      <c r="B1235" s="678"/>
      <c r="C1235" s="670" t="s">
        <v>10493</v>
      </c>
      <c r="D1235" s="670"/>
      <c r="E1235" s="682" t="s">
        <v>10165</v>
      </c>
      <c r="F1235" s="682" t="s">
        <v>10165</v>
      </c>
      <c r="G1235" s="740" t="s">
        <v>10165</v>
      </c>
      <c r="H1235" s="671" t="s">
        <v>10165</v>
      </c>
      <c r="I1235" s="671">
        <v>52949126</v>
      </c>
      <c r="J1235" s="671"/>
      <c r="K1235" s="682" t="s">
        <v>10165</v>
      </c>
      <c r="L1235" s="737"/>
      <c r="M1235" s="737"/>
      <c r="N1235" s="737"/>
    </row>
    <row r="1236" spans="1:14">
      <c r="A1236" s="1066"/>
      <c r="B1236" s="678"/>
      <c r="C1236" s="670" t="s">
        <v>10494</v>
      </c>
      <c r="D1236" s="670"/>
      <c r="E1236" s="682" t="s">
        <v>10165</v>
      </c>
      <c r="F1236" s="682" t="s">
        <v>10165</v>
      </c>
      <c r="G1236" s="740" t="s">
        <v>10165</v>
      </c>
      <c r="H1236" s="671" t="s">
        <v>10165</v>
      </c>
      <c r="I1236" s="671">
        <v>9850000</v>
      </c>
      <c r="J1236" s="671"/>
      <c r="K1236" s="682" t="s">
        <v>10165</v>
      </c>
      <c r="L1236" s="737"/>
      <c r="M1236" s="737"/>
      <c r="N1236" s="737"/>
    </row>
    <row r="1237" spans="1:14">
      <c r="A1237" s="1066"/>
      <c r="B1237" s="678"/>
      <c r="C1237" s="670" t="s">
        <v>10495</v>
      </c>
      <c r="D1237" s="670"/>
      <c r="E1237" s="682" t="s">
        <v>10165</v>
      </c>
      <c r="F1237" s="682" t="s">
        <v>10165</v>
      </c>
      <c r="G1237" s="740" t="s">
        <v>10165</v>
      </c>
      <c r="H1237" s="671" t="s">
        <v>10165</v>
      </c>
      <c r="I1237" s="671">
        <v>66355500</v>
      </c>
      <c r="J1237" s="671"/>
      <c r="K1237" s="682" t="s">
        <v>10165</v>
      </c>
      <c r="L1237" s="737"/>
      <c r="M1237" s="737"/>
      <c r="N1237" s="737"/>
    </row>
    <row r="1238" spans="1:14">
      <c r="A1238" s="1066"/>
      <c r="B1238" s="678"/>
      <c r="C1238" s="670" t="s">
        <v>10496</v>
      </c>
      <c r="D1238" s="670"/>
      <c r="E1238" s="682" t="s">
        <v>10165</v>
      </c>
      <c r="F1238" s="682" t="s">
        <v>10165</v>
      </c>
      <c r="G1238" s="740" t="s">
        <v>10165</v>
      </c>
      <c r="H1238" s="671" t="s">
        <v>10165</v>
      </c>
      <c r="I1238" s="671">
        <v>6919000</v>
      </c>
      <c r="J1238" s="671"/>
      <c r="K1238" s="682" t="s">
        <v>10165</v>
      </c>
      <c r="L1238" s="737"/>
      <c r="M1238" s="737"/>
      <c r="N1238" s="737"/>
    </row>
    <row r="1239" spans="1:14">
      <c r="A1239" s="1066"/>
      <c r="B1239" s="678"/>
      <c r="C1239" s="670" t="s">
        <v>10497</v>
      </c>
      <c r="D1239" s="670"/>
      <c r="E1239" s="682" t="s">
        <v>10165</v>
      </c>
      <c r="F1239" s="682" t="s">
        <v>10165</v>
      </c>
      <c r="G1239" s="740" t="s">
        <v>10165</v>
      </c>
      <c r="H1239" s="671" t="s">
        <v>10165</v>
      </c>
      <c r="I1239" s="671">
        <v>161382612</v>
      </c>
      <c r="J1239" s="671"/>
      <c r="K1239" s="682" t="s">
        <v>10165</v>
      </c>
      <c r="L1239" s="737"/>
      <c r="M1239" s="737"/>
      <c r="N1239" s="737"/>
    </row>
    <row r="1240" spans="1:14">
      <c r="A1240" s="1066"/>
      <c r="B1240" s="678"/>
      <c r="C1240" s="670" t="s">
        <v>10498</v>
      </c>
      <c r="D1240" s="670"/>
      <c r="E1240" s="682" t="s">
        <v>10165</v>
      </c>
      <c r="F1240" s="682" t="s">
        <v>10165</v>
      </c>
      <c r="G1240" s="740" t="s">
        <v>10165</v>
      </c>
      <c r="H1240" s="671" t="s">
        <v>10165</v>
      </c>
      <c r="I1240" s="671">
        <v>420784200</v>
      </c>
      <c r="J1240" s="671"/>
      <c r="K1240" s="682" t="s">
        <v>10165</v>
      </c>
      <c r="L1240" s="737"/>
      <c r="M1240" s="737"/>
      <c r="N1240" s="737"/>
    </row>
    <row r="1241" spans="1:14">
      <c r="A1241" s="1066"/>
      <c r="B1241" s="678"/>
      <c r="C1241" s="670" t="s">
        <v>10499</v>
      </c>
      <c r="D1241" s="670"/>
      <c r="E1241" s="682" t="s">
        <v>10165</v>
      </c>
      <c r="F1241" s="682" t="s">
        <v>10165</v>
      </c>
      <c r="G1241" s="740" t="s">
        <v>10165</v>
      </c>
      <c r="H1241" s="671" t="s">
        <v>10165</v>
      </c>
      <c r="I1241" s="671">
        <v>70840000</v>
      </c>
      <c r="J1241" s="671"/>
      <c r="K1241" s="682" t="s">
        <v>10165</v>
      </c>
      <c r="L1241" s="737"/>
      <c r="M1241" s="737"/>
      <c r="N1241" s="737"/>
    </row>
    <row r="1242" spans="1:14">
      <c r="A1242" s="1066"/>
      <c r="B1242" s="678"/>
      <c r="C1242" s="670" t="s">
        <v>10500</v>
      </c>
      <c r="D1242" s="670"/>
      <c r="E1242" s="682" t="s">
        <v>10165</v>
      </c>
      <c r="F1242" s="682" t="s">
        <v>10165</v>
      </c>
      <c r="G1242" s="740" t="s">
        <v>10165</v>
      </c>
      <c r="H1242" s="671" t="s">
        <v>10165</v>
      </c>
      <c r="I1242" s="671">
        <v>4600000</v>
      </c>
      <c r="J1242" s="671"/>
      <c r="K1242" s="682" t="s">
        <v>10165</v>
      </c>
      <c r="L1242" s="737"/>
      <c r="M1242" s="737"/>
      <c r="N1242" s="737"/>
    </row>
    <row r="1243" spans="1:14">
      <c r="A1243" s="1066"/>
      <c r="B1243" s="678"/>
      <c r="C1243" s="670" t="s">
        <v>10501</v>
      </c>
      <c r="D1243" s="670"/>
      <c r="E1243" s="682" t="s">
        <v>10165</v>
      </c>
      <c r="F1243" s="682" t="s">
        <v>10165</v>
      </c>
      <c r="G1243" s="740" t="s">
        <v>10165</v>
      </c>
      <c r="H1243" s="671" t="s">
        <v>10165</v>
      </c>
      <c r="I1243" s="671">
        <v>367755000</v>
      </c>
      <c r="J1243" s="671"/>
      <c r="K1243" s="682" t="s">
        <v>10165</v>
      </c>
      <c r="L1243" s="737"/>
      <c r="M1243" s="737"/>
      <c r="N1243" s="737"/>
    </row>
    <row r="1244" spans="1:14">
      <c r="A1244" s="1066"/>
      <c r="B1244" s="678"/>
      <c r="C1244" s="670" t="s">
        <v>10502</v>
      </c>
      <c r="D1244" s="670"/>
      <c r="E1244" s="682" t="s">
        <v>10165</v>
      </c>
      <c r="F1244" s="682" t="s">
        <v>10165</v>
      </c>
      <c r="G1244" s="740" t="s">
        <v>10165</v>
      </c>
      <c r="H1244" s="671" t="s">
        <v>10165</v>
      </c>
      <c r="I1244" s="671">
        <v>120822027</v>
      </c>
      <c r="J1244" s="671"/>
      <c r="K1244" s="682" t="s">
        <v>10165</v>
      </c>
      <c r="L1244" s="737"/>
      <c r="M1244" s="737"/>
      <c r="N1244" s="737"/>
    </row>
    <row r="1245" spans="1:14">
      <c r="A1245" s="1066"/>
      <c r="B1245" s="678"/>
      <c r="C1245" s="670" t="s">
        <v>10503</v>
      </c>
      <c r="D1245" s="670"/>
      <c r="E1245" s="682" t="s">
        <v>10165</v>
      </c>
      <c r="F1245" s="682" t="s">
        <v>10165</v>
      </c>
      <c r="G1245" s="740" t="s">
        <v>10165</v>
      </c>
      <c r="H1245" s="671" t="s">
        <v>10165</v>
      </c>
      <c r="I1245" s="671">
        <v>308494330</v>
      </c>
      <c r="J1245" s="671"/>
      <c r="K1245" s="682" t="s">
        <v>10165</v>
      </c>
      <c r="L1245" s="737"/>
      <c r="M1245" s="737"/>
      <c r="N1245" s="737"/>
    </row>
    <row r="1246" spans="1:14">
      <c r="A1246" s="1066"/>
      <c r="B1246" s="678"/>
      <c r="C1246" s="670" t="s">
        <v>10504</v>
      </c>
      <c r="D1246" s="670"/>
      <c r="E1246" s="682" t="s">
        <v>10165</v>
      </c>
      <c r="F1246" s="682" t="s">
        <v>10165</v>
      </c>
      <c r="G1246" s="740" t="s">
        <v>10165</v>
      </c>
      <c r="H1246" s="671" t="s">
        <v>10165</v>
      </c>
      <c r="I1246" s="671">
        <v>566000000</v>
      </c>
      <c r="J1246" s="671"/>
      <c r="K1246" s="682" t="s">
        <v>10165</v>
      </c>
      <c r="L1246" s="737"/>
      <c r="M1246" s="737"/>
      <c r="N1246" s="737"/>
    </row>
    <row r="1247" spans="1:14">
      <c r="A1247" s="1066"/>
      <c r="B1247" s="678"/>
      <c r="C1247" s="670" t="s">
        <v>10505</v>
      </c>
      <c r="D1247" s="670"/>
      <c r="E1247" s="682" t="s">
        <v>10165</v>
      </c>
      <c r="F1247" s="682" t="s">
        <v>10165</v>
      </c>
      <c r="G1247" s="740" t="s">
        <v>10165</v>
      </c>
      <c r="H1247" s="671" t="s">
        <v>10165</v>
      </c>
      <c r="I1247" s="671">
        <v>431096750</v>
      </c>
      <c r="J1247" s="671"/>
      <c r="K1247" s="682" t="s">
        <v>10165</v>
      </c>
      <c r="L1247" s="737"/>
      <c r="M1247" s="737"/>
      <c r="N1247" s="737"/>
    </row>
    <row r="1248" spans="1:14">
      <c r="A1248" s="1066"/>
      <c r="B1248" s="678"/>
      <c r="C1248" s="670" t="s">
        <v>10506</v>
      </c>
      <c r="D1248" s="670"/>
      <c r="E1248" s="682" t="s">
        <v>10165</v>
      </c>
      <c r="F1248" s="682" t="s">
        <v>10165</v>
      </c>
      <c r="G1248" s="740" t="s">
        <v>10165</v>
      </c>
      <c r="H1248" s="671" t="s">
        <v>10165</v>
      </c>
      <c r="I1248" s="671">
        <v>68460000</v>
      </c>
      <c r="J1248" s="671"/>
      <c r="K1248" s="682" t="s">
        <v>10165</v>
      </c>
      <c r="L1248" s="737"/>
      <c r="M1248" s="737"/>
      <c r="N1248" s="737"/>
    </row>
    <row r="1249" spans="1:14">
      <c r="A1249" s="1066"/>
      <c r="B1249" s="678"/>
      <c r="C1249" s="670" t="s">
        <v>10507</v>
      </c>
      <c r="D1249" s="670"/>
      <c r="E1249" s="682" t="s">
        <v>10165</v>
      </c>
      <c r="F1249" s="682" t="s">
        <v>10165</v>
      </c>
      <c r="G1249" s="740" t="s">
        <v>10165</v>
      </c>
      <c r="H1249" s="671" t="s">
        <v>10165</v>
      </c>
      <c r="I1249" s="671">
        <v>42600000</v>
      </c>
      <c r="J1249" s="671"/>
      <c r="K1249" s="682" t="s">
        <v>10165</v>
      </c>
      <c r="L1249" s="737"/>
      <c r="M1249" s="737"/>
      <c r="N1249" s="737"/>
    </row>
    <row r="1250" spans="1:14">
      <c r="A1250" s="672" t="s">
        <v>10508</v>
      </c>
      <c r="B1250" s="672"/>
      <c r="C1250" s="672"/>
      <c r="D1250" s="672"/>
      <c r="E1250" s="672"/>
      <c r="F1250" s="672"/>
      <c r="G1250" s="681">
        <f>+SUM(G1205:G1249)</f>
        <v>0</v>
      </c>
      <c r="H1250" s="681">
        <f>+SUM(H1205:H1249)</f>
        <v>0</v>
      </c>
      <c r="I1250" s="681">
        <f>+SUM(I1205:I1249)</f>
        <v>4071050604</v>
      </c>
      <c r="J1250" s="681">
        <f>+SUM(J1205:J1249)</f>
        <v>0</v>
      </c>
      <c r="K1250" s="673"/>
      <c r="L1250" s="673"/>
      <c r="M1250" s="673"/>
      <c r="N1250" s="673"/>
    </row>
    <row r="1251" spans="1:14">
      <c r="A1251" s="1067" t="s">
        <v>10509</v>
      </c>
      <c r="B1251" s="679"/>
      <c r="C1251" s="674" t="s">
        <v>9364</v>
      </c>
      <c r="D1251" s="674" t="s">
        <v>9008</v>
      </c>
      <c r="E1251" s="674" t="s">
        <v>9008</v>
      </c>
      <c r="F1251" s="746" t="s">
        <v>10165</v>
      </c>
      <c r="G1251" s="747"/>
      <c r="H1251" s="680">
        <v>1694</v>
      </c>
      <c r="I1251" s="680"/>
      <c r="J1251" s="680">
        <v>1694</v>
      </c>
      <c r="K1251" s="746" t="s">
        <v>10165</v>
      </c>
      <c r="L1251" s="746" t="s">
        <v>10165</v>
      </c>
      <c r="M1251" s="746" t="s">
        <v>10165</v>
      </c>
      <c r="N1251" s="674"/>
    </row>
    <row r="1252" spans="1:14">
      <c r="A1252" s="1067"/>
      <c r="B1252" s="679"/>
      <c r="C1252" s="674" t="s">
        <v>10510</v>
      </c>
      <c r="D1252" s="674" t="s">
        <v>10249</v>
      </c>
      <c r="E1252" s="674" t="s">
        <v>9283</v>
      </c>
      <c r="F1252" s="746" t="s">
        <v>10165</v>
      </c>
      <c r="G1252" s="747"/>
      <c r="H1252" s="680">
        <v>423.5</v>
      </c>
      <c r="I1252" s="680"/>
      <c r="J1252" s="680">
        <v>423.5</v>
      </c>
      <c r="K1252" s="746" t="s">
        <v>10165</v>
      </c>
      <c r="L1252" s="746" t="s">
        <v>10165</v>
      </c>
      <c r="M1252" s="746" t="s">
        <v>10165</v>
      </c>
      <c r="N1252" s="674"/>
    </row>
    <row r="1253" spans="1:14">
      <c r="A1253" s="1067"/>
      <c r="B1253" s="679"/>
      <c r="C1253" s="674" t="s">
        <v>10511</v>
      </c>
      <c r="D1253" s="674" t="s">
        <v>10249</v>
      </c>
      <c r="E1253" s="674" t="s">
        <v>10512</v>
      </c>
      <c r="F1253" s="746" t="s">
        <v>10165</v>
      </c>
      <c r="G1253" s="747"/>
      <c r="H1253" s="680">
        <v>238</v>
      </c>
      <c r="I1253" s="680"/>
      <c r="J1253" s="680">
        <v>238</v>
      </c>
      <c r="K1253" s="746" t="s">
        <v>10165</v>
      </c>
      <c r="L1253" s="746" t="s">
        <v>10165</v>
      </c>
      <c r="M1253" s="746" t="s">
        <v>10165</v>
      </c>
      <c r="N1253" s="674"/>
    </row>
    <row r="1254" spans="1:14">
      <c r="A1254" s="1067"/>
      <c r="B1254" s="679"/>
      <c r="C1254" s="674" t="s">
        <v>10513</v>
      </c>
      <c r="D1254" s="674" t="s">
        <v>10514</v>
      </c>
      <c r="E1254" s="674" t="s">
        <v>9001</v>
      </c>
      <c r="F1254" s="746" t="s">
        <v>10165</v>
      </c>
      <c r="G1254" s="747"/>
      <c r="H1254" s="680">
        <v>6352.5</v>
      </c>
      <c r="I1254" s="680"/>
      <c r="J1254" s="680">
        <v>6352.5</v>
      </c>
      <c r="K1254" s="746" t="s">
        <v>10165</v>
      </c>
      <c r="L1254" s="746" t="s">
        <v>10165</v>
      </c>
      <c r="M1254" s="746" t="s">
        <v>10165</v>
      </c>
      <c r="N1254" s="674"/>
    </row>
    <row r="1255" spans="1:14">
      <c r="A1255" s="672" t="s">
        <v>10515</v>
      </c>
      <c r="B1255" s="672"/>
      <c r="C1255" s="672"/>
      <c r="D1255" s="672"/>
      <c r="E1255" s="672"/>
      <c r="F1255" s="672"/>
      <c r="G1255" s="681">
        <f>+SUM(G1251:G1254)</f>
        <v>0</v>
      </c>
      <c r="H1255" s="681">
        <f>+SUM(H1251:H1254)</f>
        <v>8708</v>
      </c>
      <c r="I1255" s="681">
        <f>+SUM(I1251:I1254)</f>
        <v>0</v>
      </c>
      <c r="J1255" s="681">
        <f>+SUM(J1251:J1254)</f>
        <v>8708</v>
      </c>
      <c r="K1255" s="673"/>
      <c r="L1255" s="673"/>
      <c r="M1255" s="673"/>
      <c r="N1255" s="673"/>
    </row>
    <row r="1256" spans="1:14">
      <c r="A1256" s="1066" t="s">
        <v>1593</v>
      </c>
      <c r="B1256" s="678">
        <v>44940</v>
      </c>
      <c r="C1256" s="670" t="s">
        <v>9824</v>
      </c>
      <c r="D1256" s="670" t="s">
        <v>10517</v>
      </c>
      <c r="E1256" s="670" t="s">
        <v>10518</v>
      </c>
      <c r="F1256" s="682" t="s">
        <v>10165</v>
      </c>
      <c r="G1256" s="740" t="s">
        <v>10165</v>
      </c>
      <c r="H1256" s="740" t="s">
        <v>10165</v>
      </c>
      <c r="I1256" s="671"/>
      <c r="J1256" s="671">
        <v>1520</v>
      </c>
      <c r="K1256" s="682" t="s">
        <v>10165</v>
      </c>
      <c r="L1256" s="682" t="s">
        <v>10165</v>
      </c>
      <c r="M1256" s="682" t="s">
        <v>10165</v>
      </c>
      <c r="N1256" s="670"/>
    </row>
    <row r="1257" spans="1:14">
      <c r="A1257" s="1066"/>
      <c r="B1257" s="678">
        <v>44964</v>
      </c>
      <c r="C1257" s="670" t="s">
        <v>10519</v>
      </c>
      <c r="D1257" s="670"/>
      <c r="E1257" s="670"/>
      <c r="F1257" s="682" t="s">
        <v>10165</v>
      </c>
      <c r="G1257" s="740" t="s">
        <v>10165</v>
      </c>
      <c r="H1257" s="740" t="s">
        <v>10165</v>
      </c>
      <c r="I1257" s="671"/>
      <c r="J1257" s="671">
        <v>7459</v>
      </c>
      <c r="K1257" s="682" t="s">
        <v>10165</v>
      </c>
      <c r="L1257" s="682" t="s">
        <v>10165</v>
      </c>
      <c r="M1257" s="682" t="s">
        <v>10165</v>
      </c>
      <c r="N1257" s="670"/>
    </row>
    <row r="1258" spans="1:14">
      <c r="A1258" s="1066"/>
      <c r="B1258" s="678">
        <v>45008</v>
      </c>
      <c r="C1258" s="670" t="s">
        <v>10520</v>
      </c>
      <c r="D1258" s="670"/>
      <c r="E1258" s="670"/>
      <c r="F1258" s="682" t="s">
        <v>10165</v>
      </c>
      <c r="G1258" s="740" t="s">
        <v>10165</v>
      </c>
      <c r="H1258" s="740" t="s">
        <v>10165</v>
      </c>
      <c r="I1258" s="671"/>
      <c r="J1258" s="671">
        <v>3341</v>
      </c>
      <c r="K1258" s="682" t="s">
        <v>10165</v>
      </c>
      <c r="L1258" s="682" t="s">
        <v>10165</v>
      </c>
      <c r="M1258" s="682" t="s">
        <v>10165</v>
      </c>
      <c r="N1258" s="670"/>
    </row>
    <row r="1259" spans="1:14">
      <c r="A1259" s="1066"/>
      <c r="B1259" s="678">
        <v>45075</v>
      </c>
      <c r="C1259" s="670" t="s">
        <v>10521</v>
      </c>
      <c r="D1259" s="670"/>
      <c r="E1259" s="670"/>
      <c r="F1259" s="682" t="s">
        <v>10165</v>
      </c>
      <c r="G1259" s="740" t="s">
        <v>10165</v>
      </c>
      <c r="H1259" s="740" t="s">
        <v>10165</v>
      </c>
      <c r="I1259" s="671"/>
      <c r="J1259" s="671">
        <v>1829</v>
      </c>
      <c r="K1259" s="682" t="s">
        <v>10165</v>
      </c>
      <c r="L1259" s="682" t="s">
        <v>10165</v>
      </c>
      <c r="M1259" s="682" t="s">
        <v>10165</v>
      </c>
      <c r="N1259" s="670"/>
    </row>
    <row r="1260" spans="1:14">
      <c r="A1260" s="1066"/>
      <c r="B1260" s="678">
        <v>45099</v>
      </c>
      <c r="C1260" s="670" t="s">
        <v>9364</v>
      </c>
      <c r="D1260" s="670" t="s">
        <v>10517</v>
      </c>
      <c r="E1260" s="670" t="s">
        <v>10518</v>
      </c>
      <c r="F1260" s="682" t="s">
        <v>10165</v>
      </c>
      <c r="G1260" s="740" t="s">
        <v>10165</v>
      </c>
      <c r="H1260" s="740" t="s">
        <v>10165</v>
      </c>
      <c r="I1260" s="671">
        <v>800000</v>
      </c>
      <c r="J1260" s="671"/>
      <c r="K1260" s="682" t="s">
        <v>10165</v>
      </c>
      <c r="L1260" s="682" t="s">
        <v>10165</v>
      </c>
      <c r="M1260" s="682" t="s">
        <v>10165</v>
      </c>
      <c r="N1260" s="670"/>
    </row>
    <row r="1261" spans="1:14">
      <c r="A1261" s="1066"/>
      <c r="B1261" s="678">
        <v>45101</v>
      </c>
      <c r="C1261" s="670" t="s">
        <v>10522</v>
      </c>
      <c r="D1261" s="670"/>
      <c r="E1261" s="670"/>
      <c r="F1261" s="682" t="s">
        <v>10165</v>
      </c>
      <c r="G1261" s="740" t="s">
        <v>10165</v>
      </c>
      <c r="H1261" s="740" t="s">
        <v>10165</v>
      </c>
      <c r="I1261" s="671"/>
      <c r="J1261" s="671">
        <v>20204</v>
      </c>
      <c r="K1261" s="682" t="s">
        <v>10165</v>
      </c>
      <c r="L1261" s="682" t="s">
        <v>10165</v>
      </c>
      <c r="M1261" s="682" t="s">
        <v>10165</v>
      </c>
      <c r="N1261" s="670"/>
    </row>
    <row r="1262" spans="1:14">
      <c r="A1262" s="1066"/>
      <c r="B1262" s="678">
        <v>45103</v>
      </c>
      <c r="C1262" s="670" t="s">
        <v>10523</v>
      </c>
      <c r="D1262" s="670"/>
      <c r="E1262" s="670"/>
      <c r="F1262" s="682" t="s">
        <v>10165</v>
      </c>
      <c r="G1262" s="740" t="s">
        <v>10165</v>
      </c>
      <c r="H1262" s="740" t="s">
        <v>10165</v>
      </c>
      <c r="I1262" s="671"/>
      <c r="J1262" s="671">
        <v>1000</v>
      </c>
      <c r="K1262" s="682" t="s">
        <v>10165</v>
      </c>
      <c r="L1262" s="682" t="s">
        <v>10165</v>
      </c>
      <c r="M1262" s="682" t="s">
        <v>10165</v>
      </c>
      <c r="N1262" s="670"/>
    </row>
    <row r="1263" spans="1:14">
      <c r="A1263" s="1066"/>
      <c r="B1263" s="678">
        <v>45104</v>
      </c>
      <c r="C1263" s="670" t="s">
        <v>9824</v>
      </c>
      <c r="D1263" s="670" t="s">
        <v>10517</v>
      </c>
      <c r="E1263" s="670" t="s">
        <v>10518</v>
      </c>
      <c r="F1263" s="682" t="s">
        <v>10165</v>
      </c>
      <c r="G1263" s="740" t="s">
        <v>10165</v>
      </c>
      <c r="H1263" s="740" t="s">
        <v>10165</v>
      </c>
      <c r="I1263" s="671"/>
      <c r="J1263" s="671">
        <v>3543</v>
      </c>
      <c r="K1263" s="682" t="s">
        <v>10165</v>
      </c>
      <c r="L1263" s="682" t="s">
        <v>10165</v>
      </c>
      <c r="M1263" s="682" t="s">
        <v>10165</v>
      </c>
      <c r="N1263" s="670"/>
    </row>
    <row r="1264" spans="1:14">
      <c r="A1264" s="1066"/>
      <c r="B1264" s="678">
        <v>45121</v>
      </c>
      <c r="C1264" s="670" t="s">
        <v>10524</v>
      </c>
      <c r="D1264" s="670"/>
      <c r="E1264" s="670"/>
      <c r="F1264" s="682" t="s">
        <v>10165</v>
      </c>
      <c r="G1264" s="740" t="s">
        <v>10165</v>
      </c>
      <c r="H1264" s="740" t="s">
        <v>10165</v>
      </c>
      <c r="I1264" s="671"/>
      <c r="J1264" s="671">
        <v>5263</v>
      </c>
      <c r="K1264" s="682" t="s">
        <v>10165</v>
      </c>
      <c r="L1264" s="682" t="s">
        <v>10165</v>
      </c>
      <c r="M1264" s="682" t="s">
        <v>10165</v>
      </c>
      <c r="N1264" s="670"/>
    </row>
    <row r="1265" spans="1:14">
      <c r="A1265" s="1066"/>
      <c r="B1265" s="678">
        <v>45121</v>
      </c>
      <c r="C1265" s="670" t="s">
        <v>10525</v>
      </c>
      <c r="D1265" s="670"/>
      <c r="E1265" s="670"/>
      <c r="F1265" s="682" t="s">
        <v>10165</v>
      </c>
      <c r="G1265" s="740" t="s">
        <v>10165</v>
      </c>
      <c r="H1265" s="740" t="s">
        <v>10165</v>
      </c>
      <c r="I1265" s="671"/>
      <c r="J1265" s="671">
        <v>1499</v>
      </c>
      <c r="K1265" s="682" t="s">
        <v>10165</v>
      </c>
      <c r="L1265" s="682" t="s">
        <v>10165</v>
      </c>
      <c r="M1265" s="682" t="s">
        <v>10165</v>
      </c>
      <c r="N1265" s="670"/>
    </row>
    <row r="1266" spans="1:14">
      <c r="A1266" s="1066"/>
      <c r="B1266" s="678">
        <v>45122</v>
      </c>
      <c r="C1266" s="670" t="s">
        <v>10526</v>
      </c>
      <c r="D1266" s="670"/>
      <c r="E1266" s="670"/>
      <c r="F1266" s="682" t="s">
        <v>10165</v>
      </c>
      <c r="G1266" s="740" t="s">
        <v>10165</v>
      </c>
      <c r="H1266" s="740" t="s">
        <v>10165</v>
      </c>
      <c r="I1266" s="671">
        <v>2625000</v>
      </c>
      <c r="J1266" s="671"/>
      <c r="K1266" s="682" t="s">
        <v>10165</v>
      </c>
      <c r="L1266" s="682" t="s">
        <v>10165</v>
      </c>
      <c r="M1266" s="682" t="s">
        <v>10165</v>
      </c>
      <c r="N1266" s="670"/>
    </row>
    <row r="1267" spans="1:14">
      <c r="A1267" s="1066"/>
      <c r="B1267" s="678">
        <v>45131</v>
      </c>
      <c r="C1267" s="670" t="s">
        <v>10525</v>
      </c>
      <c r="D1267" s="670"/>
      <c r="E1267" s="670"/>
      <c r="F1267" s="682" t="s">
        <v>10165</v>
      </c>
      <c r="G1267" s="740" t="s">
        <v>10165</v>
      </c>
      <c r="H1267" s="740" t="s">
        <v>10165</v>
      </c>
      <c r="I1267" s="671"/>
      <c r="J1267" s="671">
        <v>2026</v>
      </c>
      <c r="K1267" s="682" t="s">
        <v>10165</v>
      </c>
      <c r="L1267" s="682" t="s">
        <v>10165</v>
      </c>
      <c r="M1267" s="682" t="s">
        <v>10165</v>
      </c>
      <c r="N1267" s="670"/>
    </row>
    <row r="1268" spans="1:14">
      <c r="A1268" s="1066"/>
      <c r="B1268" s="678">
        <v>45131</v>
      </c>
      <c r="C1268" s="670" t="s">
        <v>10527</v>
      </c>
      <c r="D1268" s="670"/>
      <c r="E1268" s="670"/>
      <c r="F1268" s="682" t="s">
        <v>10165</v>
      </c>
      <c r="G1268" s="740" t="s">
        <v>10165</v>
      </c>
      <c r="H1268" s="740" t="s">
        <v>10165</v>
      </c>
      <c r="I1268" s="671"/>
      <c r="J1268" s="671">
        <v>10017</v>
      </c>
      <c r="K1268" s="682" t="s">
        <v>10165</v>
      </c>
      <c r="L1268" s="682" t="s">
        <v>10165</v>
      </c>
      <c r="M1268" s="682" t="s">
        <v>10165</v>
      </c>
      <c r="N1268" s="670"/>
    </row>
    <row r="1269" spans="1:14">
      <c r="A1269" s="1066"/>
      <c r="B1269" s="678">
        <v>45181</v>
      </c>
      <c r="C1269" s="670" t="s">
        <v>10527</v>
      </c>
      <c r="D1269" s="670"/>
      <c r="E1269" s="670"/>
      <c r="F1269" s="682" t="s">
        <v>10165</v>
      </c>
      <c r="G1269" s="740" t="s">
        <v>10165</v>
      </c>
      <c r="H1269" s="740" t="s">
        <v>10165</v>
      </c>
      <c r="I1269" s="671"/>
      <c r="J1269" s="671">
        <v>10017</v>
      </c>
      <c r="K1269" s="682" t="s">
        <v>10165</v>
      </c>
      <c r="L1269" s="682" t="s">
        <v>10165</v>
      </c>
      <c r="M1269" s="682" t="s">
        <v>10165</v>
      </c>
      <c r="N1269" s="670"/>
    </row>
    <row r="1270" spans="1:14">
      <c r="A1270" s="1066"/>
      <c r="B1270" s="678">
        <v>45223</v>
      </c>
      <c r="C1270" s="670" t="s">
        <v>9364</v>
      </c>
      <c r="D1270" s="670" t="s">
        <v>10517</v>
      </c>
      <c r="E1270" s="670" t="s">
        <v>10518</v>
      </c>
      <c r="F1270" s="682" t="s">
        <v>10165</v>
      </c>
      <c r="G1270" s="740" t="s">
        <v>10165</v>
      </c>
      <c r="H1270" s="740" t="s">
        <v>10165</v>
      </c>
      <c r="I1270" s="671"/>
      <c r="J1270" s="671">
        <v>2531</v>
      </c>
      <c r="K1270" s="682" t="s">
        <v>10165</v>
      </c>
      <c r="L1270" s="682" t="s">
        <v>10165</v>
      </c>
      <c r="M1270" s="682" t="s">
        <v>10165</v>
      </c>
      <c r="N1270" s="670"/>
    </row>
    <row r="1271" spans="1:14">
      <c r="A1271" s="1066"/>
      <c r="B1271" s="678">
        <v>45236</v>
      </c>
      <c r="C1271" s="670" t="s">
        <v>10527</v>
      </c>
      <c r="D1271" s="670"/>
      <c r="E1271" s="670"/>
      <c r="F1271" s="682" t="s">
        <v>10165</v>
      </c>
      <c r="G1271" s="740" t="s">
        <v>10165</v>
      </c>
      <c r="H1271" s="740" t="s">
        <v>10165</v>
      </c>
      <c r="I1271" s="671"/>
      <c r="J1271" s="671">
        <v>3846</v>
      </c>
      <c r="K1271" s="682" t="s">
        <v>10165</v>
      </c>
      <c r="L1271" s="682" t="s">
        <v>10165</v>
      </c>
      <c r="M1271" s="682" t="s">
        <v>10165</v>
      </c>
      <c r="N1271" s="670"/>
    </row>
    <row r="1272" spans="1:14">
      <c r="A1272" s="1066"/>
      <c r="B1272" s="678">
        <v>45254</v>
      </c>
      <c r="C1272" s="670" t="s">
        <v>10527</v>
      </c>
      <c r="D1272" s="670"/>
      <c r="E1272" s="670"/>
      <c r="F1272" s="682" t="s">
        <v>10165</v>
      </c>
      <c r="G1272" s="740" t="s">
        <v>10165</v>
      </c>
      <c r="H1272" s="740" t="s">
        <v>10165</v>
      </c>
      <c r="I1272" s="671"/>
      <c r="J1272" s="671">
        <v>514</v>
      </c>
      <c r="K1272" s="682" t="s">
        <v>10165</v>
      </c>
      <c r="L1272" s="682" t="s">
        <v>10165</v>
      </c>
      <c r="M1272" s="682" t="s">
        <v>10165</v>
      </c>
      <c r="N1272" s="670"/>
    </row>
    <row r="1273" spans="1:14">
      <c r="A1273" s="672" t="s">
        <v>10528</v>
      </c>
      <c r="B1273" s="672"/>
      <c r="C1273" s="672"/>
      <c r="D1273" s="672"/>
      <c r="E1273" s="672"/>
      <c r="F1273" s="672"/>
      <c r="G1273" s="681">
        <f>+SUM(G1256:G1272)</f>
        <v>0</v>
      </c>
      <c r="H1273" s="681">
        <f>+SUM(H1256:H1272)</f>
        <v>0</v>
      </c>
      <c r="I1273" s="681">
        <f>+SUM(I1256:I1272)</f>
        <v>3425000</v>
      </c>
      <c r="J1273" s="681">
        <f>+SUM(J1256:J1272)</f>
        <v>74609</v>
      </c>
      <c r="K1273" s="673"/>
      <c r="L1273" s="673"/>
      <c r="M1273" s="673"/>
      <c r="N1273" s="673"/>
    </row>
    <row r="1274" spans="1:14">
      <c r="A1274" s="1067" t="s">
        <v>1597</v>
      </c>
      <c r="B1274" s="679">
        <v>44809</v>
      </c>
      <c r="C1274" s="674" t="s">
        <v>9454</v>
      </c>
      <c r="D1274" s="674" t="s">
        <v>10529</v>
      </c>
      <c r="E1274" s="674" t="s">
        <v>10529</v>
      </c>
      <c r="F1274" s="674" t="s">
        <v>10530</v>
      </c>
      <c r="G1274" s="1069">
        <v>136806318</v>
      </c>
      <c r="H1274" s="1069">
        <v>68403.156000000003</v>
      </c>
      <c r="I1274" s="680" t="s">
        <v>10165</v>
      </c>
      <c r="J1274" s="680" t="s">
        <v>10165</v>
      </c>
      <c r="K1274" s="749" t="s">
        <v>10531</v>
      </c>
      <c r="L1274" s="749" t="s">
        <v>10532</v>
      </c>
      <c r="M1274" s="750" t="s">
        <v>10165</v>
      </c>
      <c r="N1274" s="674"/>
    </row>
    <row r="1275" spans="1:14">
      <c r="A1275" s="1067"/>
      <c r="B1275" s="679">
        <v>45030</v>
      </c>
      <c r="C1275" s="674" t="s">
        <v>9454</v>
      </c>
      <c r="D1275" s="674"/>
      <c r="E1275" s="674"/>
      <c r="F1275" s="749" t="s">
        <v>10533</v>
      </c>
      <c r="G1275" s="1070"/>
      <c r="H1275" s="1070"/>
      <c r="I1275" s="680"/>
      <c r="J1275" s="680">
        <v>1400</v>
      </c>
      <c r="K1275" s="749" t="s">
        <v>10531</v>
      </c>
      <c r="L1275" s="746"/>
      <c r="M1275" s="746"/>
      <c r="N1275" s="674" t="s">
        <v>10534</v>
      </c>
    </row>
    <row r="1276" spans="1:14">
      <c r="A1276" s="1067"/>
      <c r="B1276" s="679">
        <v>45196</v>
      </c>
      <c r="C1276" s="674" t="s">
        <v>9454</v>
      </c>
      <c r="D1276" s="674"/>
      <c r="E1276" s="674"/>
      <c r="F1276" s="749" t="s">
        <v>10533</v>
      </c>
      <c r="G1276" s="1071"/>
      <c r="H1276" s="1071"/>
      <c r="I1276" s="680"/>
      <c r="J1276" s="680">
        <v>1600</v>
      </c>
      <c r="K1276" s="749" t="s">
        <v>10531</v>
      </c>
      <c r="L1276" s="746"/>
      <c r="M1276" s="746"/>
      <c r="N1276" s="674" t="s">
        <v>10534</v>
      </c>
    </row>
    <row r="1277" spans="1:14">
      <c r="A1277" s="672" t="s">
        <v>10535</v>
      </c>
      <c r="B1277" s="672"/>
      <c r="C1277" s="672"/>
      <c r="D1277" s="672"/>
      <c r="E1277" s="672"/>
      <c r="F1277" s="672"/>
      <c r="G1277" s="681">
        <f>+SUM(G1274:G1276)</f>
        <v>136806318</v>
      </c>
      <c r="H1277" s="681">
        <f>+SUM(H1274:H1276)</f>
        <v>68403.156000000003</v>
      </c>
      <c r="I1277" s="681">
        <f>+SUM(I1274:I1276)</f>
        <v>0</v>
      </c>
      <c r="J1277" s="681">
        <f>+SUM(J1274:J1276)</f>
        <v>3000</v>
      </c>
      <c r="K1277" s="673"/>
      <c r="L1277" s="673"/>
      <c r="M1277" s="673"/>
      <c r="N1277" s="673"/>
    </row>
    <row r="1278" spans="1:14">
      <c r="A1278" s="1066" t="s">
        <v>1594</v>
      </c>
      <c r="B1278" s="678">
        <v>45028</v>
      </c>
      <c r="C1278" s="670" t="s">
        <v>10536</v>
      </c>
      <c r="D1278" s="670" t="s">
        <v>1594</v>
      </c>
      <c r="E1278" s="670" t="s">
        <v>10537</v>
      </c>
      <c r="F1278" s="670"/>
      <c r="G1278" s="1072"/>
      <c r="H1278" s="1074">
        <v>135984</v>
      </c>
      <c r="I1278" s="671"/>
      <c r="J1278" s="671">
        <v>4500</v>
      </c>
      <c r="K1278" s="682" t="s">
        <v>10165</v>
      </c>
      <c r="L1278" s="682" t="s">
        <v>10165</v>
      </c>
      <c r="M1278" s="682" t="s">
        <v>10165</v>
      </c>
      <c r="N1278" s="670"/>
    </row>
    <row r="1279" spans="1:14">
      <c r="A1279" s="1066"/>
      <c r="B1279" s="678">
        <v>45148</v>
      </c>
      <c r="C1279" s="670" t="s">
        <v>10536</v>
      </c>
      <c r="D1279" s="670" t="s">
        <v>1594</v>
      </c>
      <c r="E1279" s="670" t="s">
        <v>10537</v>
      </c>
      <c r="F1279" s="737"/>
      <c r="G1279" s="1073"/>
      <c r="H1279" s="1075"/>
      <c r="I1279" s="671"/>
      <c r="J1279" s="671">
        <v>1500</v>
      </c>
      <c r="K1279" s="682" t="s">
        <v>10165</v>
      </c>
      <c r="L1279" s="682" t="s">
        <v>10165</v>
      </c>
      <c r="M1279" s="682" t="s">
        <v>10165</v>
      </c>
      <c r="N1279" s="670"/>
    </row>
    <row r="1280" spans="1:14">
      <c r="A1280" s="672" t="s">
        <v>10538</v>
      </c>
      <c r="B1280" s="672"/>
      <c r="C1280" s="672"/>
      <c r="D1280" s="672"/>
      <c r="E1280" s="672"/>
      <c r="F1280" s="672"/>
      <c r="G1280" s="681">
        <f>+SUM(G1278:G1279)</f>
        <v>0</v>
      </c>
      <c r="H1280" s="681">
        <f>+SUM(H1278:H1279)</f>
        <v>135984</v>
      </c>
      <c r="I1280" s="681">
        <f>+SUM(I1278:I1279)</f>
        <v>0</v>
      </c>
      <c r="J1280" s="681">
        <f>+SUM(J1278:J1279)</f>
        <v>6000</v>
      </c>
      <c r="K1280" s="673"/>
      <c r="L1280" s="673"/>
      <c r="M1280" s="673"/>
      <c r="N1280" s="673"/>
    </row>
    <row r="1283" spans="1:14" ht="14.5">
      <c r="A1283" s="173" t="s">
        <v>10539</v>
      </c>
    </row>
    <row r="1286" spans="1:14">
      <c r="A1286" s="1059" t="s">
        <v>1234</v>
      </c>
      <c r="B1286" s="1060" t="s">
        <v>8629</v>
      </c>
      <c r="C1286" s="1061" t="s">
        <v>8630</v>
      </c>
      <c r="D1286" s="1060" t="s">
        <v>8631</v>
      </c>
      <c r="E1286" s="1060" t="s">
        <v>8632</v>
      </c>
      <c r="F1286" s="1061" t="s">
        <v>10239</v>
      </c>
      <c r="G1286" s="1062" t="s">
        <v>8633</v>
      </c>
      <c r="H1286" s="1063"/>
      <c r="I1286" s="1064" t="s">
        <v>8634</v>
      </c>
      <c r="J1286" s="1064"/>
      <c r="K1286" s="1065" t="s">
        <v>8635</v>
      </c>
      <c r="L1286" s="1065" t="s">
        <v>8636</v>
      </c>
      <c r="M1286" s="1065" t="s">
        <v>8637</v>
      </c>
      <c r="N1286" s="1058" t="s">
        <v>8638</v>
      </c>
    </row>
    <row r="1287" spans="1:14">
      <c r="A1287" s="1059"/>
      <c r="B1287" s="1060"/>
      <c r="C1287" s="1061"/>
      <c r="D1287" s="1060"/>
      <c r="E1287" s="1060"/>
      <c r="F1287" s="1061"/>
      <c r="G1287" s="667" t="s">
        <v>8639</v>
      </c>
      <c r="H1287" s="668" t="s">
        <v>8134</v>
      </c>
      <c r="I1287" s="669" t="s">
        <v>8639</v>
      </c>
      <c r="J1287" s="667" t="s">
        <v>8134</v>
      </c>
      <c r="K1287" s="1065"/>
      <c r="L1287" s="1065"/>
      <c r="M1287" s="1065"/>
      <c r="N1287" s="1058"/>
    </row>
    <row r="1288" spans="1:14">
      <c r="A1288" s="1067" t="s">
        <v>1599</v>
      </c>
      <c r="B1288" s="751">
        <v>45089</v>
      </c>
      <c r="C1288" s="674" t="s">
        <v>10540</v>
      </c>
      <c r="D1288" s="674" t="s">
        <v>10541</v>
      </c>
      <c r="E1288" s="674" t="s">
        <v>10542</v>
      </c>
      <c r="F1288" s="674"/>
      <c r="G1288" s="675"/>
      <c r="H1288" s="675">
        <v>651920</v>
      </c>
      <c r="I1288" s="675"/>
      <c r="J1288" s="675">
        <v>408320</v>
      </c>
      <c r="K1288" s="674" t="s">
        <v>10543</v>
      </c>
      <c r="L1288" s="674" t="s">
        <v>10544</v>
      </c>
      <c r="M1288" s="674" t="s">
        <v>8832</v>
      </c>
      <c r="N1288" s="674"/>
    </row>
    <row r="1289" spans="1:14">
      <c r="A1289" s="1067"/>
      <c r="B1289" s="751">
        <v>45158</v>
      </c>
      <c r="C1289" s="674" t="s">
        <v>10545</v>
      </c>
      <c r="D1289" s="674" t="s">
        <v>10546</v>
      </c>
      <c r="E1289" s="674" t="s">
        <v>10546</v>
      </c>
      <c r="F1289" s="674"/>
      <c r="G1289" s="675"/>
      <c r="H1289" s="675">
        <v>586847</v>
      </c>
      <c r="I1289" s="675"/>
      <c r="J1289" s="675">
        <v>250000</v>
      </c>
      <c r="K1289" s="674" t="s">
        <v>10547</v>
      </c>
      <c r="L1289" s="674" t="s">
        <v>10548</v>
      </c>
      <c r="M1289" s="674" t="s">
        <v>8832</v>
      </c>
      <c r="N1289" s="674"/>
    </row>
    <row r="1290" spans="1:14">
      <c r="A1290" s="1067"/>
      <c r="B1290" s="751">
        <v>45113</v>
      </c>
      <c r="C1290" s="674" t="s">
        <v>10549</v>
      </c>
      <c r="D1290" s="674" t="s">
        <v>10546</v>
      </c>
      <c r="E1290" s="674" t="s">
        <v>10546</v>
      </c>
      <c r="F1290" s="674"/>
      <c r="G1290" s="675"/>
      <c r="H1290" s="675">
        <v>1180000</v>
      </c>
      <c r="I1290" s="675"/>
      <c r="J1290" s="675">
        <v>354000</v>
      </c>
      <c r="K1290" s="674" t="s">
        <v>10547</v>
      </c>
      <c r="L1290" s="674" t="s">
        <v>10550</v>
      </c>
      <c r="M1290" s="674" t="s">
        <v>8832</v>
      </c>
      <c r="N1290" s="674"/>
    </row>
    <row r="1291" spans="1:14" ht="36">
      <c r="A1291" s="1067"/>
      <c r="B1291" s="752" t="s">
        <v>10551</v>
      </c>
      <c r="C1291" s="753" t="s">
        <v>10552</v>
      </c>
      <c r="D1291" s="674" t="s">
        <v>10546</v>
      </c>
      <c r="E1291" s="674" t="s">
        <v>10546</v>
      </c>
      <c r="F1291" s="674"/>
      <c r="G1291" s="675"/>
      <c r="H1291" s="675">
        <v>3187380</v>
      </c>
      <c r="I1291" s="675"/>
      <c r="J1291" s="675">
        <v>387259</v>
      </c>
      <c r="K1291" s="674" t="s">
        <v>10553</v>
      </c>
      <c r="L1291" s="753" t="s">
        <v>10554</v>
      </c>
      <c r="M1291" s="674" t="s">
        <v>8832</v>
      </c>
      <c r="N1291" s="674"/>
    </row>
    <row r="1292" spans="1:14">
      <c r="A1292" s="1067"/>
      <c r="B1292" s="751">
        <v>45040</v>
      </c>
      <c r="C1292" s="674" t="s">
        <v>10555</v>
      </c>
      <c r="D1292" s="674" t="s">
        <v>10546</v>
      </c>
      <c r="E1292" s="674" t="s">
        <v>10546</v>
      </c>
      <c r="F1292" s="674"/>
      <c r="G1292" s="675"/>
      <c r="H1292" s="675">
        <v>919999.53</v>
      </c>
      <c r="I1292" s="675"/>
      <c r="J1292" s="675">
        <v>416213.22</v>
      </c>
      <c r="K1292" s="674" t="s">
        <v>10556</v>
      </c>
      <c r="L1292" s="674" t="s">
        <v>10557</v>
      </c>
      <c r="M1292" s="674" t="s">
        <v>8832</v>
      </c>
      <c r="N1292" s="674"/>
    </row>
    <row r="1293" spans="1:14">
      <c r="A1293" s="1067"/>
      <c r="B1293" s="751">
        <v>45040</v>
      </c>
      <c r="C1293" s="674" t="s">
        <v>10558</v>
      </c>
      <c r="D1293" s="674" t="s">
        <v>10546</v>
      </c>
      <c r="E1293" s="674" t="s">
        <v>10546</v>
      </c>
      <c r="F1293" s="674"/>
      <c r="G1293" s="675"/>
      <c r="H1293" s="675">
        <v>3251075.62</v>
      </c>
      <c r="I1293" s="675"/>
      <c r="J1293" s="675">
        <v>780248.66</v>
      </c>
      <c r="K1293" s="674" t="s">
        <v>10556</v>
      </c>
      <c r="L1293" s="674" t="s">
        <v>10559</v>
      </c>
      <c r="M1293" s="674" t="s">
        <v>8832</v>
      </c>
      <c r="N1293" s="674"/>
    </row>
    <row r="1294" spans="1:14">
      <c r="A1294" s="672" t="s">
        <v>10560</v>
      </c>
      <c r="B1294" s="672"/>
      <c r="C1294" s="672"/>
      <c r="D1294" s="672"/>
      <c r="E1294" s="672"/>
      <c r="F1294" s="676"/>
      <c r="G1294" s="677">
        <f>+SUM(G1288:G1293)</f>
        <v>0</v>
      </c>
      <c r="H1294" s="677">
        <f>+SUM(H1288:H1293)</f>
        <v>9777222.1500000004</v>
      </c>
      <c r="I1294" s="677">
        <f>+SUM(I1288:I1293)</f>
        <v>0</v>
      </c>
      <c r="J1294" s="677">
        <f>+SUM(J1288:J1293)</f>
        <v>2596040.88</v>
      </c>
      <c r="K1294" s="673"/>
      <c r="L1294" s="673"/>
      <c r="M1294" s="673"/>
      <c r="N1294" s="673"/>
    </row>
  </sheetData>
  <autoFilter ref="A4:H1255" xr:uid="{BFEDFAF7-452C-4A9B-B3B4-3F4C11BDCF2E}">
    <filterColumn colId="6" showButton="0"/>
  </autoFilter>
  <mergeCells count="47">
    <mergeCell ref="A1288:A1293"/>
    <mergeCell ref="G1286:H1286"/>
    <mergeCell ref="I1286:J1286"/>
    <mergeCell ref="K1286:K1287"/>
    <mergeCell ref="L1286:L1287"/>
    <mergeCell ref="M1286:M1287"/>
    <mergeCell ref="N1286:N1287"/>
    <mergeCell ref="H1274:H1276"/>
    <mergeCell ref="A1278:A1279"/>
    <mergeCell ref="G1278:G1279"/>
    <mergeCell ref="H1278:H1279"/>
    <mergeCell ref="A1286:A1287"/>
    <mergeCell ref="B1286:B1287"/>
    <mergeCell ref="C1286:C1287"/>
    <mergeCell ref="D1286:D1287"/>
    <mergeCell ref="E1286:E1287"/>
    <mergeCell ref="F1286:F1287"/>
    <mergeCell ref="G1274:G1276"/>
    <mergeCell ref="A1181:A1203"/>
    <mergeCell ref="A1205:A1249"/>
    <mergeCell ref="A1251:A1254"/>
    <mergeCell ref="A1256:A1272"/>
    <mergeCell ref="A1274:A1276"/>
    <mergeCell ref="A1175:A1179"/>
    <mergeCell ref="A6:A29"/>
    <mergeCell ref="A31:A332"/>
    <mergeCell ref="A334:A464"/>
    <mergeCell ref="A466:A856"/>
    <mergeCell ref="A858:A876"/>
    <mergeCell ref="A878:A914"/>
    <mergeCell ref="A916:A1070"/>
    <mergeCell ref="A1072:A1122"/>
    <mergeCell ref="A1124:A1142"/>
    <mergeCell ref="A1144:A1159"/>
    <mergeCell ref="A1161:A1173"/>
    <mergeCell ref="N4:N5"/>
    <mergeCell ref="A4:A5"/>
    <mergeCell ref="B4:B5"/>
    <mergeCell ref="C4:C5"/>
    <mergeCell ref="D4:D5"/>
    <mergeCell ref="E4:E5"/>
    <mergeCell ref="F4:F5"/>
    <mergeCell ref="G4:H4"/>
    <mergeCell ref="I4:J4"/>
    <mergeCell ref="K4:K5"/>
    <mergeCell ref="L4:L5"/>
    <mergeCell ref="M4:M5"/>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EE2ED-3A59-4AA0-8882-BD1AD23F2896}">
  <sheetPr>
    <tabColor rgb="FF92D050"/>
  </sheetPr>
  <dimension ref="A1:M47"/>
  <sheetViews>
    <sheetView workbookViewId="0">
      <selection activeCell="B1" sqref="B1"/>
    </sheetView>
  </sheetViews>
  <sheetFormatPr baseColWidth="10" defaultColWidth="11.4140625" defaultRowHeight="12"/>
  <cols>
    <col min="1" max="1" width="3.25" style="153" bestFit="1" customWidth="1"/>
    <col min="2" max="2" width="42.1640625" style="153" customWidth="1"/>
    <col min="3" max="3" width="11.5" style="153" bestFit="1" customWidth="1"/>
    <col min="4" max="4" width="12.83203125" style="153" customWidth="1"/>
    <col min="5" max="5" width="15.25" style="152" customWidth="1"/>
    <col min="6" max="6" width="7.83203125" style="152" bestFit="1" customWidth="1"/>
    <col min="7" max="7" width="7.75" style="152" bestFit="1" customWidth="1"/>
    <col min="8" max="9" width="6.83203125" style="152" bestFit="1" customWidth="1"/>
    <col min="10" max="10" width="7.75" style="152" bestFit="1" customWidth="1"/>
    <col min="11" max="11" width="6.83203125" style="153" bestFit="1" customWidth="1"/>
    <col min="12" max="12" width="5.25" style="153" bestFit="1" customWidth="1"/>
    <col min="13" max="13" width="16.25" style="762" bestFit="1" customWidth="1"/>
    <col min="14" max="14" width="19.4140625" style="153" customWidth="1"/>
    <col min="15" max="16384" width="11.4140625" style="153"/>
  </cols>
  <sheetData>
    <row r="1" spans="1:13" ht="14.5">
      <c r="B1" s="173" t="s">
        <v>10703</v>
      </c>
    </row>
    <row r="3" spans="1:13" ht="14.5">
      <c r="B3" s="763" t="s">
        <v>10608</v>
      </c>
    </row>
    <row r="4" spans="1:13" ht="24">
      <c r="A4" s="764" t="s">
        <v>786</v>
      </c>
      <c r="B4" s="764" t="s">
        <v>787</v>
      </c>
      <c r="C4" s="764" t="s">
        <v>521</v>
      </c>
      <c r="D4" s="764" t="s">
        <v>10609</v>
      </c>
      <c r="E4" s="764" t="s">
        <v>10610</v>
      </c>
      <c r="F4" s="1076" t="s">
        <v>10611</v>
      </c>
      <c r="G4" s="1076"/>
      <c r="H4" s="1076"/>
      <c r="I4" s="1076"/>
      <c r="J4" s="1076"/>
      <c r="K4" s="1076"/>
      <c r="M4" s="596" t="s">
        <v>10612</v>
      </c>
    </row>
    <row r="5" spans="1:13">
      <c r="A5" s="76">
        <v>1</v>
      </c>
      <c r="B5" s="765" t="s">
        <v>952</v>
      </c>
      <c r="C5" s="765" t="s">
        <v>535</v>
      </c>
      <c r="D5" s="766" t="s">
        <v>10613</v>
      </c>
      <c r="E5" s="765" t="s">
        <v>10614</v>
      </c>
      <c r="F5" s="142" t="s">
        <v>10615</v>
      </c>
      <c r="G5" s="142" t="s">
        <v>10616</v>
      </c>
      <c r="H5" s="142" t="s">
        <v>10617</v>
      </c>
      <c r="I5" s="142" t="s">
        <v>10618</v>
      </c>
      <c r="J5" s="142" t="s">
        <v>10619</v>
      </c>
      <c r="K5" s="142" t="s">
        <v>10620</v>
      </c>
      <c r="M5" s="767">
        <v>1128539012</v>
      </c>
    </row>
    <row r="6" spans="1:13">
      <c r="A6" s="76">
        <v>2</v>
      </c>
      <c r="B6" s="765" t="s">
        <v>951</v>
      </c>
      <c r="C6" s="765" t="s">
        <v>528</v>
      </c>
      <c r="D6" s="766" t="s">
        <v>10621</v>
      </c>
      <c r="E6" s="765" t="s">
        <v>10622</v>
      </c>
      <c r="F6" s="142" t="s">
        <v>10623</v>
      </c>
      <c r="G6" s="142" t="s">
        <v>10624</v>
      </c>
      <c r="H6" s="142" t="s">
        <v>10625</v>
      </c>
      <c r="I6" s="142"/>
      <c r="J6" s="142"/>
      <c r="K6" s="142"/>
      <c r="M6" s="767">
        <v>655427389</v>
      </c>
    </row>
    <row r="7" spans="1:13">
      <c r="A7" s="76">
        <v>3</v>
      </c>
      <c r="B7" s="765" t="s">
        <v>953</v>
      </c>
      <c r="C7" s="765" t="s">
        <v>540</v>
      </c>
      <c r="D7" s="766" t="s">
        <v>10626</v>
      </c>
      <c r="E7" s="765" t="s">
        <v>10627</v>
      </c>
      <c r="F7" s="142" t="s">
        <v>10628</v>
      </c>
      <c r="G7" s="142" t="s">
        <v>10629</v>
      </c>
      <c r="H7" s="142"/>
      <c r="I7" s="142"/>
      <c r="J7" s="142"/>
      <c r="K7" s="142"/>
      <c r="M7" s="767">
        <v>283386044</v>
      </c>
    </row>
    <row r="8" spans="1:13">
      <c r="A8" s="76">
        <v>4</v>
      </c>
      <c r="B8" s="765" t="s">
        <v>955</v>
      </c>
      <c r="C8" s="765" t="s">
        <v>554</v>
      </c>
      <c r="D8" s="766" t="s">
        <v>10630</v>
      </c>
      <c r="E8" s="765" t="s">
        <v>10631</v>
      </c>
      <c r="F8" s="142" t="s">
        <v>10632</v>
      </c>
      <c r="G8" s="142" t="s">
        <v>10633</v>
      </c>
      <c r="H8" s="142"/>
      <c r="I8" s="142"/>
      <c r="J8" s="142"/>
      <c r="K8" s="142"/>
      <c r="M8" s="767">
        <v>232902922</v>
      </c>
    </row>
    <row r="9" spans="1:13">
      <c r="A9" s="76">
        <v>5</v>
      </c>
      <c r="B9" s="765" t="s">
        <v>954</v>
      </c>
      <c r="C9" s="765" t="s">
        <v>545</v>
      </c>
      <c r="D9" s="766" t="s">
        <v>10634</v>
      </c>
      <c r="E9" s="765" t="s">
        <v>10635</v>
      </c>
      <c r="F9" s="142" t="s">
        <v>10636</v>
      </c>
      <c r="G9" s="142" t="s">
        <v>10637</v>
      </c>
      <c r="H9" s="142"/>
      <c r="I9" s="142"/>
      <c r="J9" s="142"/>
      <c r="K9" s="142"/>
      <c r="M9" s="767">
        <v>238808556</v>
      </c>
    </row>
    <row r="10" spans="1:13">
      <c r="A10" s="76">
        <v>6</v>
      </c>
      <c r="B10" s="765" t="s">
        <v>6941</v>
      </c>
      <c r="C10" s="765" t="s">
        <v>579</v>
      </c>
      <c r="D10" s="766" t="s">
        <v>10638</v>
      </c>
      <c r="E10" s="765" t="s">
        <v>10639</v>
      </c>
      <c r="F10" s="142" t="s">
        <v>10640</v>
      </c>
      <c r="G10" s="142" t="s">
        <v>10641</v>
      </c>
      <c r="H10" s="142"/>
      <c r="I10" s="142"/>
      <c r="J10" s="142"/>
      <c r="K10" s="142"/>
      <c r="M10" s="767">
        <v>182106644</v>
      </c>
    </row>
    <row r="11" spans="1:13">
      <c r="A11" s="76">
        <v>7</v>
      </c>
      <c r="B11" s="765" t="s">
        <v>6943</v>
      </c>
      <c r="C11" s="765" t="s">
        <v>652</v>
      </c>
      <c r="D11" s="766" t="s">
        <v>10642</v>
      </c>
      <c r="E11" s="765" t="s">
        <v>10643</v>
      </c>
      <c r="F11" s="142">
        <v>9681</v>
      </c>
      <c r="G11" s="142">
        <v>9682</v>
      </c>
      <c r="H11" s="142"/>
      <c r="I11" s="142"/>
      <c r="J11" s="142"/>
      <c r="K11" s="142"/>
      <c r="M11" s="767">
        <v>82351262</v>
      </c>
    </row>
    <row r="12" spans="1:13">
      <c r="A12" s="76">
        <v>8</v>
      </c>
      <c r="B12" s="765" t="s">
        <v>961</v>
      </c>
      <c r="C12" s="765" t="s">
        <v>591</v>
      </c>
      <c r="D12" s="766" t="s">
        <v>10644</v>
      </c>
      <c r="E12" s="765" t="s">
        <v>10645</v>
      </c>
      <c r="F12" s="142" t="s">
        <v>10646</v>
      </c>
      <c r="G12" s="142">
        <v>12688</v>
      </c>
      <c r="H12" s="142">
        <v>12689</v>
      </c>
      <c r="I12" s="142">
        <v>13521</v>
      </c>
      <c r="J12" s="142">
        <v>13529</v>
      </c>
      <c r="K12" s="142"/>
      <c r="M12" s="767">
        <f>+VLOOKUP(B12,[2]Feuil1!$C:$D,2,FALSE)</f>
        <v>87350483</v>
      </c>
    </row>
    <row r="13" spans="1:13">
      <c r="A13" s="76">
        <v>9</v>
      </c>
      <c r="B13" s="765" t="s">
        <v>6945</v>
      </c>
      <c r="C13" s="765" t="s">
        <v>619</v>
      </c>
      <c r="D13" s="766" t="s">
        <v>10647</v>
      </c>
      <c r="E13" s="765" t="s">
        <v>10647</v>
      </c>
      <c r="F13" s="142">
        <v>526</v>
      </c>
      <c r="G13" s="142">
        <v>11367</v>
      </c>
      <c r="H13" s="142"/>
      <c r="I13" s="142"/>
      <c r="J13" s="142"/>
      <c r="K13" s="142"/>
      <c r="M13" s="767">
        <v>60518060</v>
      </c>
    </row>
    <row r="14" spans="1:13">
      <c r="A14" s="76">
        <v>10</v>
      </c>
      <c r="B14" s="765" t="s">
        <v>6946</v>
      </c>
      <c r="C14" s="765" t="s">
        <v>609</v>
      </c>
      <c r="D14" s="766" t="s">
        <v>10648</v>
      </c>
      <c r="E14" s="765" t="s">
        <v>10648</v>
      </c>
      <c r="F14" s="142">
        <v>578</v>
      </c>
      <c r="G14" s="142">
        <v>11751</v>
      </c>
      <c r="H14" s="142">
        <v>13083</v>
      </c>
      <c r="I14" s="142"/>
      <c r="J14" s="142"/>
      <c r="K14" s="142"/>
      <c r="M14" s="767">
        <v>61016402</v>
      </c>
    </row>
    <row r="15" spans="1:13">
      <c r="A15" s="76">
        <v>11</v>
      </c>
      <c r="B15" s="765" t="s">
        <v>622</v>
      </c>
      <c r="C15" s="765" t="s">
        <v>623</v>
      </c>
      <c r="D15" s="766" t="s">
        <v>10649</v>
      </c>
      <c r="E15" s="765" t="s">
        <v>10649</v>
      </c>
      <c r="F15" s="142">
        <v>4884</v>
      </c>
      <c r="G15" s="142">
        <v>13119</v>
      </c>
      <c r="H15" s="142"/>
      <c r="I15" s="142"/>
      <c r="J15" s="142"/>
      <c r="K15" s="142"/>
      <c r="M15" s="767">
        <f>+VLOOKUP(B15,[2]Feuil1!$C:$D,2,FALSE)</f>
        <v>48209608</v>
      </c>
    </row>
    <row r="16" spans="1:13">
      <c r="A16" s="76">
        <v>12</v>
      </c>
      <c r="B16" s="765" t="s">
        <v>6950</v>
      </c>
      <c r="C16" s="765" t="s">
        <v>608</v>
      </c>
      <c r="D16" s="766" t="s">
        <v>10650</v>
      </c>
      <c r="E16" s="765" t="s">
        <v>10650</v>
      </c>
      <c r="F16" s="142" t="s">
        <v>10651</v>
      </c>
      <c r="G16" s="142"/>
      <c r="H16" s="142"/>
      <c r="I16" s="142"/>
      <c r="J16" s="142"/>
      <c r="K16" s="142"/>
      <c r="M16" s="767">
        <v>46816176</v>
      </c>
    </row>
    <row r="17" spans="1:13">
      <c r="A17" s="76">
        <v>13</v>
      </c>
      <c r="B17" s="765" t="s">
        <v>6953</v>
      </c>
      <c r="C17" s="765" t="s">
        <v>631</v>
      </c>
      <c r="D17" s="766" t="s">
        <v>10652</v>
      </c>
      <c r="E17" s="765" t="s">
        <v>10652</v>
      </c>
      <c r="F17" s="142">
        <v>101</v>
      </c>
      <c r="G17" s="142">
        <v>330</v>
      </c>
      <c r="H17" s="142">
        <v>12548</v>
      </c>
      <c r="I17" s="142"/>
      <c r="J17" s="142"/>
      <c r="K17" s="142"/>
      <c r="M17" s="767">
        <v>36817332</v>
      </c>
    </row>
    <row r="18" spans="1:13">
      <c r="A18" s="76">
        <v>14</v>
      </c>
      <c r="B18" s="765" t="s">
        <v>970</v>
      </c>
      <c r="C18" s="765" t="s">
        <v>660</v>
      </c>
      <c r="D18" s="766" t="s">
        <v>10653</v>
      </c>
      <c r="E18" s="765" t="s">
        <v>10654</v>
      </c>
      <c r="F18" s="142" t="s">
        <v>10655</v>
      </c>
      <c r="G18" s="142" t="s">
        <v>7497</v>
      </c>
      <c r="H18" s="142">
        <v>15652</v>
      </c>
      <c r="I18" s="142">
        <v>15653</v>
      </c>
      <c r="J18" s="142">
        <v>15677</v>
      </c>
      <c r="K18" s="142"/>
      <c r="M18" s="767">
        <v>26165987</v>
      </c>
    </row>
    <row r="20" spans="1:13" ht="14.5">
      <c r="B20" s="763" t="s">
        <v>10656</v>
      </c>
    </row>
    <row r="21" spans="1:13">
      <c r="A21" s="768" t="s">
        <v>786</v>
      </c>
      <c r="B21" s="768" t="s">
        <v>787</v>
      </c>
      <c r="C21" s="768" t="s">
        <v>521</v>
      </c>
      <c r="D21" s="1077" t="s">
        <v>10611</v>
      </c>
      <c r="E21" s="1078"/>
      <c r="F21" s="1078"/>
      <c r="G21" s="1078"/>
      <c r="H21" s="1078"/>
      <c r="I21" s="1078"/>
      <c r="J21" s="1078"/>
      <c r="K21" s="1078"/>
      <c r="L21" s="1078"/>
      <c r="M21" s="769" t="s">
        <v>10612</v>
      </c>
    </row>
    <row r="22" spans="1:13">
      <c r="A22" s="770">
        <v>1</v>
      </c>
      <c r="B22" s="770" t="s">
        <v>968</v>
      </c>
      <c r="C22" s="770" t="s">
        <v>667</v>
      </c>
      <c r="D22" s="142" t="s">
        <v>10657</v>
      </c>
      <c r="E22" s="142">
        <v>15046</v>
      </c>
      <c r="F22" s="142">
        <v>15230</v>
      </c>
      <c r="G22" s="142"/>
      <c r="H22" s="142"/>
      <c r="I22" s="75"/>
      <c r="J22" s="75"/>
      <c r="K22" s="75"/>
      <c r="L22" s="75"/>
      <c r="M22" s="767">
        <f>+VLOOKUP(B22,[2]Feuil1!$C:$D,2,FALSE)</f>
        <v>163674780</v>
      </c>
    </row>
    <row r="23" spans="1:13">
      <c r="A23" s="770">
        <v>2</v>
      </c>
      <c r="B23" s="770" t="s">
        <v>6942</v>
      </c>
      <c r="C23" s="770" t="s">
        <v>1244</v>
      </c>
      <c r="D23" s="142">
        <v>4246</v>
      </c>
      <c r="E23" s="142">
        <v>5266</v>
      </c>
      <c r="F23" s="142">
        <v>5267</v>
      </c>
      <c r="G23" s="142">
        <v>5270</v>
      </c>
      <c r="H23" s="142">
        <v>10346</v>
      </c>
      <c r="I23" s="142" t="s">
        <v>10658</v>
      </c>
      <c r="J23" s="142">
        <v>15865</v>
      </c>
      <c r="K23" s="142">
        <v>15866</v>
      </c>
      <c r="L23" s="142">
        <v>15886</v>
      </c>
      <c r="M23" s="767">
        <v>130880605</v>
      </c>
    </row>
    <row r="24" spans="1:13">
      <c r="A24" s="770">
        <v>3</v>
      </c>
      <c r="B24" s="770" t="s">
        <v>956</v>
      </c>
      <c r="C24" s="770" t="s">
        <v>563</v>
      </c>
      <c r="D24" s="142" t="s">
        <v>10659</v>
      </c>
      <c r="E24" s="142">
        <v>15643</v>
      </c>
      <c r="F24" s="142">
        <v>15644</v>
      </c>
      <c r="G24" s="142">
        <v>15719</v>
      </c>
      <c r="H24" s="142">
        <v>15720</v>
      </c>
      <c r="I24" s="142"/>
      <c r="J24" s="142"/>
      <c r="K24" s="142"/>
      <c r="L24" s="142"/>
      <c r="M24" s="767">
        <v>92410162</v>
      </c>
    </row>
    <row r="25" spans="1:13">
      <c r="A25" s="770">
        <v>6</v>
      </c>
      <c r="B25" s="770" t="s">
        <v>6952</v>
      </c>
      <c r="C25" s="770" t="s">
        <v>682</v>
      </c>
      <c r="D25" s="142" t="s">
        <v>10660</v>
      </c>
      <c r="E25" s="142" t="s">
        <v>10661</v>
      </c>
      <c r="F25" s="142"/>
      <c r="G25" s="142"/>
      <c r="H25" s="142"/>
      <c r="I25" s="142"/>
      <c r="J25" s="142"/>
      <c r="K25" s="142"/>
      <c r="L25" s="142"/>
      <c r="M25" s="767">
        <v>44710661</v>
      </c>
    </row>
    <row r="26" spans="1:13">
      <c r="A26" s="770">
        <v>7</v>
      </c>
      <c r="B26" s="770" t="s">
        <v>969</v>
      </c>
      <c r="C26" s="770" t="s">
        <v>642</v>
      </c>
      <c r="D26" s="142">
        <v>1884</v>
      </c>
      <c r="E26" s="142">
        <v>5236</v>
      </c>
      <c r="F26" s="142">
        <v>12286</v>
      </c>
      <c r="G26" s="142">
        <v>12510</v>
      </c>
      <c r="H26" s="142">
        <v>12511</v>
      </c>
      <c r="I26" s="142">
        <v>12512</v>
      </c>
      <c r="J26" s="142">
        <v>13084</v>
      </c>
      <c r="K26" s="142"/>
      <c r="L26" s="142"/>
      <c r="M26" s="767">
        <v>40665293</v>
      </c>
    </row>
    <row r="27" spans="1:13">
      <c r="A27" s="770">
        <v>8</v>
      </c>
      <c r="B27" s="770" t="s">
        <v>6955</v>
      </c>
      <c r="C27" s="770" t="s">
        <v>1249</v>
      </c>
      <c r="D27" s="142" t="s">
        <v>10662</v>
      </c>
      <c r="E27" s="142" t="s">
        <v>10663</v>
      </c>
      <c r="F27" s="142" t="s">
        <v>10664</v>
      </c>
      <c r="G27" s="142"/>
      <c r="H27" s="142"/>
      <c r="I27" s="142"/>
      <c r="J27" s="142"/>
      <c r="K27" s="142"/>
      <c r="L27" s="142"/>
      <c r="M27" s="767">
        <v>30052112</v>
      </c>
    </row>
    <row r="28" spans="1:13">
      <c r="A28" s="770">
        <v>9</v>
      </c>
      <c r="B28" s="770" t="s">
        <v>462</v>
      </c>
      <c r="C28" s="770" t="s">
        <v>685</v>
      </c>
      <c r="D28" s="142"/>
      <c r="E28" s="142"/>
      <c r="F28" s="142"/>
      <c r="G28" s="142"/>
      <c r="H28" s="142"/>
      <c r="I28" s="142"/>
      <c r="J28" s="142"/>
      <c r="K28" s="142"/>
      <c r="L28" s="142"/>
      <c r="M28" s="767">
        <f>+VLOOKUP(B28,[2]Feuil1!$C:$D,2,FALSE)</f>
        <v>24901140</v>
      </c>
    </row>
    <row r="29" spans="1:13">
      <c r="A29" s="770">
        <v>10</v>
      </c>
      <c r="B29" s="770" t="s">
        <v>802</v>
      </c>
      <c r="C29" s="770" t="s">
        <v>647</v>
      </c>
      <c r="D29" s="142">
        <v>2356</v>
      </c>
      <c r="E29" s="142">
        <v>12094</v>
      </c>
      <c r="F29" s="142"/>
      <c r="G29" s="142"/>
      <c r="H29" s="142"/>
      <c r="I29" s="142"/>
      <c r="J29" s="142"/>
      <c r="K29" s="142"/>
      <c r="L29" s="142"/>
      <c r="M29" s="767">
        <v>24346109</v>
      </c>
    </row>
    <row r="30" spans="1:13">
      <c r="A30" s="770">
        <v>12</v>
      </c>
      <c r="B30" s="770" t="s">
        <v>140</v>
      </c>
      <c r="C30" s="770" t="s">
        <v>698</v>
      </c>
      <c r="D30" s="142">
        <v>12162</v>
      </c>
      <c r="E30" s="142">
        <v>12172</v>
      </c>
      <c r="F30" s="142">
        <v>12173</v>
      </c>
      <c r="G30" s="142">
        <v>12175</v>
      </c>
      <c r="H30" s="142">
        <v>12182</v>
      </c>
      <c r="I30" s="142">
        <v>12183</v>
      </c>
      <c r="J30" s="142">
        <v>12188</v>
      </c>
      <c r="K30" s="142">
        <v>13093</v>
      </c>
      <c r="L30" s="142"/>
      <c r="M30" s="767">
        <f>+VLOOKUP(B30,[2]Feuil1!$C:$D,2,FALSE)</f>
        <v>21014618</v>
      </c>
    </row>
    <row r="31" spans="1:13">
      <c r="D31" s="152"/>
      <c r="J31" s="153"/>
    </row>
    <row r="32" spans="1:13" ht="14.5">
      <c r="B32" s="763" t="s">
        <v>10665</v>
      </c>
    </row>
    <row r="33" spans="1:5">
      <c r="A33" s="771" t="s">
        <v>3</v>
      </c>
      <c r="B33" s="768" t="s">
        <v>787</v>
      </c>
      <c r="C33" s="771" t="s">
        <v>8612</v>
      </c>
      <c r="D33" s="771" t="s">
        <v>8613</v>
      </c>
      <c r="E33" s="772" t="s">
        <v>10612</v>
      </c>
    </row>
    <row r="34" spans="1:5">
      <c r="A34" s="75">
        <v>1</v>
      </c>
      <c r="B34" s="770" t="s">
        <v>6948</v>
      </c>
      <c r="C34" s="142">
        <v>14050</v>
      </c>
      <c r="D34" s="773" t="s">
        <v>13</v>
      </c>
      <c r="E34" s="767">
        <v>56084334</v>
      </c>
    </row>
    <row r="35" spans="1:5">
      <c r="A35" s="75">
        <v>3</v>
      </c>
      <c r="B35" s="770" t="s">
        <v>102</v>
      </c>
      <c r="C35" s="142">
        <v>4881</v>
      </c>
      <c r="D35" s="773" t="s">
        <v>13</v>
      </c>
      <c r="E35" s="767">
        <v>30202753</v>
      </c>
    </row>
    <row r="36" spans="1:5">
      <c r="A36" s="75">
        <v>4</v>
      </c>
      <c r="B36" s="770" t="s">
        <v>562</v>
      </c>
      <c r="C36" s="142">
        <v>13080</v>
      </c>
      <c r="D36" s="773" t="s">
        <v>13</v>
      </c>
      <c r="E36" s="767">
        <f>+VLOOKUP(B36,[2]Feuil1!$C:$D,2,FALSE)</f>
        <v>92410162</v>
      </c>
    </row>
    <row r="37" spans="1:5">
      <c r="A37" s="75">
        <v>7</v>
      </c>
      <c r="B37" s="770" t="s">
        <v>10666</v>
      </c>
      <c r="C37" s="142">
        <v>12198</v>
      </c>
      <c r="D37" s="773" t="s">
        <v>13</v>
      </c>
      <c r="E37" s="767">
        <v>28220485</v>
      </c>
    </row>
    <row r="38" spans="1:5">
      <c r="A38" s="75">
        <v>8</v>
      </c>
      <c r="B38" s="770" t="s">
        <v>960</v>
      </c>
      <c r="C38" s="142">
        <v>1447</v>
      </c>
      <c r="D38" s="773" t="s">
        <v>13</v>
      </c>
      <c r="E38" s="767">
        <f>+VLOOKUP(B38,[2]Feuil1!$C:$D,2,FALSE)</f>
        <v>80058049</v>
      </c>
    </row>
    <row r="39" spans="1:5">
      <c r="A39" s="75">
        <v>9</v>
      </c>
      <c r="B39" s="770" t="s">
        <v>6959</v>
      </c>
      <c r="C39" s="142">
        <v>657</v>
      </c>
      <c r="D39" s="773" t="s">
        <v>13</v>
      </c>
      <c r="E39" s="767">
        <v>22038729</v>
      </c>
    </row>
    <row r="40" spans="1:5">
      <c r="A40" s="75">
        <v>10</v>
      </c>
      <c r="B40" s="770" t="s">
        <v>2773</v>
      </c>
      <c r="C40" s="142">
        <v>8841</v>
      </c>
      <c r="D40" s="773" t="s">
        <v>13</v>
      </c>
      <c r="E40" s="767">
        <f>+VLOOKUP(B40,[2]Feuil1!$C:$D,2,FALSE)</f>
        <v>34724770</v>
      </c>
    </row>
    <row r="41" spans="1:5">
      <c r="A41" s="75">
        <v>12</v>
      </c>
      <c r="B41" s="770" t="s">
        <v>10667</v>
      </c>
      <c r="C41" s="142">
        <v>13235</v>
      </c>
      <c r="D41" s="773" t="s">
        <v>13</v>
      </c>
      <c r="E41" s="767">
        <v>27819297</v>
      </c>
    </row>
    <row r="42" spans="1:5">
      <c r="A42" s="75">
        <v>13</v>
      </c>
      <c r="B42" s="770" t="s">
        <v>10668</v>
      </c>
      <c r="C42" s="142">
        <v>4725</v>
      </c>
      <c r="D42" s="773" t="s">
        <v>13</v>
      </c>
      <c r="E42" s="767">
        <v>40685227</v>
      </c>
    </row>
    <row r="43" spans="1:5">
      <c r="A43" s="770">
        <v>4</v>
      </c>
      <c r="B43" s="770" t="s">
        <v>960</v>
      </c>
      <c r="C43" s="142">
        <v>1447</v>
      </c>
      <c r="D43" s="773" t="s">
        <v>13</v>
      </c>
      <c r="E43" s="767">
        <f>+VLOOKUP(B43,[2]Feuil1!$C:$D,2,FALSE)</f>
        <v>80058049</v>
      </c>
    </row>
    <row r="44" spans="1:5">
      <c r="A44" s="770">
        <v>5</v>
      </c>
      <c r="B44" s="770" t="s">
        <v>6944</v>
      </c>
      <c r="C44" s="142">
        <v>8210</v>
      </c>
      <c r="D44" s="773" t="s">
        <v>27</v>
      </c>
      <c r="E44" s="767">
        <v>81536702</v>
      </c>
    </row>
    <row r="45" spans="1:5">
      <c r="A45" s="770">
        <v>11</v>
      </c>
      <c r="B45" s="770" t="s">
        <v>6957</v>
      </c>
      <c r="C45" s="142">
        <v>14044</v>
      </c>
      <c r="D45" s="773" t="s">
        <v>13</v>
      </c>
      <c r="E45" s="767">
        <v>21014618</v>
      </c>
    </row>
    <row r="46" spans="1:5">
      <c r="A46" s="75">
        <v>5</v>
      </c>
      <c r="B46" s="770" t="s">
        <v>462</v>
      </c>
      <c r="C46" s="773" t="s">
        <v>10669</v>
      </c>
      <c r="E46" s="767">
        <f>+VLOOKUP(B46,[2]Feuil1!$C:$D,2,FALSE)</f>
        <v>24901140</v>
      </c>
    </row>
    <row r="47" spans="1:5">
      <c r="A47" s="75">
        <v>11</v>
      </c>
      <c r="B47" s="770" t="s">
        <v>6968</v>
      </c>
      <c r="C47" s="142">
        <v>5152</v>
      </c>
      <c r="D47" s="773" t="s">
        <v>13</v>
      </c>
      <c r="E47" s="767">
        <v>15304686</v>
      </c>
    </row>
  </sheetData>
  <mergeCells count="2">
    <mergeCell ref="F4:K4"/>
    <mergeCell ref="D21:L21"/>
  </mergeCells>
  <conditionalFormatting sqref="C43:C45">
    <cfRule type="duplicateValues" dxfId="3" priority="1"/>
  </conditionalFormatting>
  <conditionalFormatting sqref="D22:F22">
    <cfRule type="duplicateValues" dxfId="2" priority="2"/>
  </conditionalFormatting>
  <conditionalFormatting sqref="D22:H22">
    <cfRule type="duplicateValues" dxfId="1" priority="3"/>
  </conditionalFormatting>
  <conditionalFormatting sqref="D23:L30">
    <cfRule type="duplicateValues" dxfId="0" priority="4"/>
  </conditionalFormatting>
  <hyperlinks>
    <hyperlink ref="D5" r:id="rId1" xr:uid="{828ED3F4-75C6-400F-A454-BF32D990DE06}"/>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55E58-47C9-4E40-BF48-D0579AA6FEF6}">
  <sheetPr>
    <tabColor rgb="FF92D050"/>
  </sheetPr>
  <dimension ref="B1:K2200"/>
  <sheetViews>
    <sheetView workbookViewId="0">
      <selection activeCell="B1" sqref="B1"/>
    </sheetView>
  </sheetViews>
  <sheetFormatPr baseColWidth="10" defaultColWidth="11.4140625" defaultRowHeight="14"/>
  <cols>
    <col min="1" max="1" width="5" style="52" customWidth="1"/>
    <col min="2" max="2" width="5.83203125" style="852" customWidth="1"/>
    <col min="3" max="3" width="11.4140625" style="52"/>
    <col min="4" max="4" width="30.4140625" style="52" customWidth="1"/>
    <col min="5" max="16384" width="11.4140625" style="52"/>
  </cols>
  <sheetData>
    <row r="1" spans="2:11" ht="14.5">
      <c r="B1" s="173" t="s">
        <v>14567</v>
      </c>
    </row>
    <row r="3" spans="2:11" ht="36">
      <c r="B3" s="764" t="s">
        <v>3</v>
      </c>
      <c r="C3" s="764" t="s">
        <v>10704</v>
      </c>
      <c r="D3" s="764" t="s">
        <v>10705</v>
      </c>
      <c r="E3" s="764" t="s">
        <v>10706</v>
      </c>
      <c r="F3" s="764" t="s">
        <v>10707</v>
      </c>
      <c r="G3" s="764" t="s">
        <v>10708</v>
      </c>
      <c r="H3" s="764" t="s">
        <v>10709</v>
      </c>
      <c r="I3" s="764" t="s">
        <v>10710</v>
      </c>
      <c r="J3" s="764" t="s">
        <v>10711</v>
      </c>
      <c r="K3" s="764" t="s">
        <v>10712</v>
      </c>
    </row>
    <row r="4" spans="2:11">
      <c r="B4" s="848">
        <v>1</v>
      </c>
      <c r="C4" s="848" t="s">
        <v>10713</v>
      </c>
      <c r="D4" s="849" t="s">
        <v>1715</v>
      </c>
      <c r="E4" s="848" t="s">
        <v>3393</v>
      </c>
      <c r="F4" s="848" t="s">
        <v>10714</v>
      </c>
      <c r="G4" s="850" t="s">
        <v>10715</v>
      </c>
      <c r="H4" s="849" t="s">
        <v>10716</v>
      </c>
      <c r="I4" s="849"/>
      <c r="J4" s="851">
        <v>47.54</v>
      </c>
      <c r="K4" s="848" t="s">
        <v>10717</v>
      </c>
    </row>
    <row r="5" spans="2:11">
      <c r="B5" s="848">
        <v>2</v>
      </c>
      <c r="C5" s="848" t="s">
        <v>7133</v>
      </c>
      <c r="D5" s="849" t="s">
        <v>7988</v>
      </c>
      <c r="E5" s="848" t="s">
        <v>9506</v>
      </c>
      <c r="F5" s="848" t="s">
        <v>10718</v>
      </c>
      <c r="G5" s="850" t="s">
        <v>10719</v>
      </c>
      <c r="H5" s="849" t="s">
        <v>10716</v>
      </c>
      <c r="I5" s="849"/>
      <c r="J5" s="851">
        <v>68.128451999999996</v>
      </c>
      <c r="K5" s="848" t="s">
        <v>6162</v>
      </c>
    </row>
    <row r="6" spans="2:11">
      <c r="B6" s="848">
        <v>3</v>
      </c>
      <c r="C6" s="848" t="s">
        <v>7133</v>
      </c>
      <c r="D6" s="849" t="s">
        <v>7988</v>
      </c>
      <c r="E6" s="848" t="s">
        <v>9506</v>
      </c>
      <c r="F6" s="848" t="s">
        <v>10720</v>
      </c>
      <c r="G6" s="850" t="s">
        <v>10721</v>
      </c>
      <c r="H6" s="849" t="s">
        <v>10716</v>
      </c>
      <c r="I6" s="849"/>
      <c r="J6" s="851">
        <v>25.953695999999997</v>
      </c>
      <c r="K6" s="848" t="s">
        <v>6815</v>
      </c>
    </row>
    <row r="7" spans="2:11">
      <c r="B7" s="848">
        <v>4</v>
      </c>
      <c r="C7" s="848" t="s">
        <v>7133</v>
      </c>
      <c r="D7" s="849" t="s">
        <v>7988</v>
      </c>
      <c r="E7" s="848" t="s">
        <v>9506</v>
      </c>
      <c r="F7" s="848" t="s">
        <v>10722</v>
      </c>
      <c r="G7" s="850" t="s">
        <v>10723</v>
      </c>
      <c r="H7" s="849" t="s">
        <v>10716</v>
      </c>
      <c r="I7" s="849"/>
      <c r="J7" s="851">
        <v>45.418967999999992</v>
      </c>
      <c r="K7" s="848" t="s">
        <v>6816</v>
      </c>
    </row>
    <row r="8" spans="2:11">
      <c r="B8" s="848">
        <v>5</v>
      </c>
      <c r="C8" s="848" t="s">
        <v>7133</v>
      </c>
      <c r="D8" s="849" t="s">
        <v>7988</v>
      </c>
      <c r="E8" s="848" t="s">
        <v>9509</v>
      </c>
      <c r="F8" s="848" t="s">
        <v>10724</v>
      </c>
      <c r="G8" s="850" t="s">
        <v>10725</v>
      </c>
      <c r="H8" s="849" t="s">
        <v>10716</v>
      </c>
      <c r="I8" s="849"/>
      <c r="J8" s="851">
        <v>11.82</v>
      </c>
      <c r="K8" s="848" t="s">
        <v>6234</v>
      </c>
    </row>
    <row r="9" spans="2:11">
      <c r="B9" s="848">
        <v>6</v>
      </c>
      <c r="C9" s="848" t="s">
        <v>7133</v>
      </c>
      <c r="D9" s="849" t="s">
        <v>7988</v>
      </c>
      <c r="E9" s="848" t="s">
        <v>10726</v>
      </c>
      <c r="F9" s="848" t="s">
        <v>10727</v>
      </c>
      <c r="G9" s="850" t="s">
        <v>10728</v>
      </c>
      <c r="H9" s="849" t="s">
        <v>10716</v>
      </c>
      <c r="I9" s="849"/>
      <c r="J9" s="851">
        <v>10.842312</v>
      </c>
      <c r="K9" s="848" t="s">
        <v>6817</v>
      </c>
    </row>
    <row r="10" spans="2:11">
      <c r="B10" s="848">
        <v>7</v>
      </c>
      <c r="C10" s="848" t="s">
        <v>7133</v>
      </c>
      <c r="D10" s="849" t="s">
        <v>7988</v>
      </c>
      <c r="E10" s="848" t="s">
        <v>10726</v>
      </c>
      <c r="F10" s="848" t="s">
        <v>10729</v>
      </c>
      <c r="G10" s="850" t="s">
        <v>10730</v>
      </c>
      <c r="H10" s="849" t="s">
        <v>10716</v>
      </c>
      <c r="I10" s="849"/>
      <c r="J10" s="851">
        <v>10.842312</v>
      </c>
      <c r="K10" s="848" t="s">
        <v>6818</v>
      </c>
    </row>
    <row r="11" spans="2:11">
      <c r="B11" s="848">
        <v>8</v>
      </c>
      <c r="C11" s="848" t="s">
        <v>7133</v>
      </c>
      <c r="D11" s="849" t="s">
        <v>7988</v>
      </c>
      <c r="E11" s="848" t="s">
        <v>10726</v>
      </c>
      <c r="F11" s="848" t="s">
        <v>10731</v>
      </c>
      <c r="G11" s="850" t="s">
        <v>10732</v>
      </c>
      <c r="H11" s="849" t="s">
        <v>10716</v>
      </c>
      <c r="I11" s="849"/>
      <c r="J11" s="851">
        <v>10.842312</v>
      </c>
      <c r="K11" s="848" t="s">
        <v>6819</v>
      </c>
    </row>
    <row r="12" spans="2:11">
      <c r="B12" s="848">
        <v>9</v>
      </c>
      <c r="C12" s="848" t="s">
        <v>7133</v>
      </c>
      <c r="D12" s="849" t="s">
        <v>7988</v>
      </c>
      <c r="E12" s="848" t="s">
        <v>10733</v>
      </c>
      <c r="F12" s="848" t="s">
        <v>10734</v>
      </c>
      <c r="G12" s="850" t="s">
        <v>10735</v>
      </c>
      <c r="H12" s="849" t="s">
        <v>10716</v>
      </c>
      <c r="I12" s="849"/>
      <c r="J12" s="851">
        <v>16.8895935</v>
      </c>
      <c r="K12" s="848" t="s">
        <v>6577</v>
      </c>
    </row>
    <row r="13" spans="2:11">
      <c r="B13" s="848">
        <v>10</v>
      </c>
      <c r="C13" s="848" t="s">
        <v>7133</v>
      </c>
      <c r="D13" s="849" t="s">
        <v>7988</v>
      </c>
      <c r="E13" s="848" t="s">
        <v>10736</v>
      </c>
      <c r="F13" s="848" t="s">
        <v>10737</v>
      </c>
      <c r="G13" s="850" t="s">
        <v>10738</v>
      </c>
      <c r="H13" s="849" t="s">
        <v>10716</v>
      </c>
      <c r="I13" s="849"/>
      <c r="J13" s="851">
        <v>15.47</v>
      </c>
      <c r="K13" s="848" t="s">
        <v>6820</v>
      </c>
    </row>
    <row r="14" spans="2:11">
      <c r="B14" s="848">
        <v>11</v>
      </c>
      <c r="C14" s="848" t="s">
        <v>1277</v>
      </c>
      <c r="D14" s="849" t="s">
        <v>10739</v>
      </c>
      <c r="E14" s="848" t="s">
        <v>8582</v>
      </c>
      <c r="F14" s="848" t="s">
        <v>10740</v>
      </c>
      <c r="G14" s="850" t="s">
        <v>10741</v>
      </c>
      <c r="H14" s="849" t="s">
        <v>10716</v>
      </c>
      <c r="I14" s="849"/>
      <c r="J14" s="851">
        <v>55204.56</v>
      </c>
      <c r="K14" s="848" t="s">
        <v>10742</v>
      </c>
    </row>
    <row r="15" spans="2:11">
      <c r="B15" s="848">
        <v>12</v>
      </c>
      <c r="C15" s="848" t="s">
        <v>1277</v>
      </c>
      <c r="D15" s="849" t="s">
        <v>10739</v>
      </c>
      <c r="E15" s="848" t="s">
        <v>8582</v>
      </c>
      <c r="F15" s="848" t="s">
        <v>10743</v>
      </c>
      <c r="G15" s="850" t="s">
        <v>10744</v>
      </c>
      <c r="H15" s="849" t="s">
        <v>10716</v>
      </c>
      <c r="I15" s="849"/>
      <c r="J15" s="851">
        <v>38719.870000000003</v>
      </c>
      <c r="K15" s="848" t="s">
        <v>10745</v>
      </c>
    </row>
    <row r="16" spans="2:11">
      <c r="B16" s="848">
        <v>13</v>
      </c>
      <c r="C16" s="848" t="s">
        <v>10746</v>
      </c>
      <c r="D16" s="849" t="s">
        <v>7002</v>
      </c>
      <c r="E16" s="848" t="s">
        <v>10747</v>
      </c>
      <c r="F16" s="848" t="s">
        <v>10748</v>
      </c>
      <c r="G16" s="850" t="s">
        <v>10749</v>
      </c>
      <c r="H16" s="849" t="s">
        <v>10716</v>
      </c>
      <c r="I16" s="849"/>
      <c r="J16" s="851">
        <v>13322.88</v>
      </c>
      <c r="K16" s="848" t="s">
        <v>10750</v>
      </c>
    </row>
    <row r="17" spans="2:11">
      <c r="B17" s="848">
        <v>14</v>
      </c>
      <c r="C17" s="848" t="s">
        <v>1277</v>
      </c>
      <c r="D17" s="849" t="s">
        <v>7002</v>
      </c>
      <c r="E17" s="848" t="s">
        <v>3749</v>
      </c>
      <c r="F17" s="848" t="s">
        <v>10751</v>
      </c>
      <c r="G17" s="850" t="s">
        <v>10749</v>
      </c>
      <c r="H17" s="849" t="s">
        <v>10716</v>
      </c>
      <c r="I17" s="849"/>
      <c r="J17" s="851">
        <v>26645.759999999998</v>
      </c>
      <c r="K17" s="848" t="s">
        <v>10752</v>
      </c>
    </row>
    <row r="18" spans="2:11">
      <c r="B18" s="848">
        <v>15</v>
      </c>
      <c r="C18" s="848" t="s">
        <v>10753</v>
      </c>
      <c r="D18" s="849" t="s">
        <v>783</v>
      </c>
      <c r="E18" s="848" t="s">
        <v>10754</v>
      </c>
      <c r="F18" s="848" t="s">
        <v>10755</v>
      </c>
      <c r="G18" s="850" t="s">
        <v>10756</v>
      </c>
      <c r="H18" s="849" t="s">
        <v>10716</v>
      </c>
      <c r="I18" s="849"/>
      <c r="J18" s="851">
        <v>19</v>
      </c>
      <c r="K18" s="848" t="s">
        <v>5949</v>
      </c>
    </row>
    <row r="19" spans="2:11" ht="25">
      <c r="B19" s="848">
        <v>16</v>
      </c>
      <c r="C19" s="848" t="s">
        <v>1374</v>
      </c>
      <c r="D19" s="849" t="s">
        <v>7967</v>
      </c>
      <c r="E19" s="848" t="s">
        <v>10757</v>
      </c>
      <c r="F19" s="848" t="s">
        <v>10758</v>
      </c>
      <c r="G19" s="850" t="s">
        <v>10759</v>
      </c>
      <c r="H19" s="849" t="s">
        <v>10716</v>
      </c>
      <c r="I19" s="849"/>
      <c r="J19" s="851">
        <v>318</v>
      </c>
      <c r="K19" s="848" t="s">
        <v>10760</v>
      </c>
    </row>
    <row r="20" spans="2:11" ht="25">
      <c r="B20" s="848">
        <v>17</v>
      </c>
      <c r="C20" s="848" t="s">
        <v>1374</v>
      </c>
      <c r="D20" s="849" t="s">
        <v>7967</v>
      </c>
      <c r="E20" s="848" t="s">
        <v>10757</v>
      </c>
      <c r="F20" s="848" t="s">
        <v>10761</v>
      </c>
      <c r="G20" s="850" t="s">
        <v>10762</v>
      </c>
      <c r="H20" s="849" t="s">
        <v>10716</v>
      </c>
      <c r="I20" s="849"/>
      <c r="J20" s="851">
        <v>461</v>
      </c>
      <c r="K20" s="848" t="s">
        <v>10763</v>
      </c>
    </row>
    <row r="21" spans="2:11">
      <c r="B21" s="848">
        <v>18</v>
      </c>
      <c r="C21" s="848" t="s">
        <v>7165</v>
      </c>
      <c r="D21" s="849" t="s">
        <v>7985</v>
      </c>
      <c r="E21" s="848" t="s">
        <v>10764</v>
      </c>
      <c r="F21" s="848" t="s">
        <v>10765</v>
      </c>
      <c r="G21" s="850" t="s">
        <v>10766</v>
      </c>
      <c r="H21" s="849" t="s">
        <v>10716</v>
      </c>
      <c r="I21" s="849"/>
      <c r="J21" s="851">
        <v>9.23</v>
      </c>
      <c r="K21" s="848" t="s">
        <v>6742</v>
      </c>
    </row>
    <row r="22" spans="2:11">
      <c r="B22" s="848">
        <v>19</v>
      </c>
      <c r="C22" s="848" t="s">
        <v>7165</v>
      </c>
      <c r="D22" s="849" t="s">
        <v>7985</v>
      </c>
      <c r="E22" s="848" t="s">
        <v>10764</v>
      </c>
      <c r="F22" s="848" t="s">
        <v>10767</v>
      </c>
      <c r="G22" s="850" t="s">
        <v>10768</v>
      </c>
      <c r="H22" s="849" t="s">
        <v>10716</v>
      </c>
      <c r="I22" s="849"/>
      <c r="J22" s="851">
        <v>7.73</v>
      </c>
      <c r="K22" s="848" t="s">
        <v>6743</v>
      </c>
    </row>
    <row r="23" spans="2:11">
      <c r="B23" s="848">
        <v>20</v>
      </c>
      <c r="C23" s="848" t="s">
        <v>10769</v>
      </c>
      <c r="D23" s="849" t="s">
        <v>10770</v>
      </c>
      <c r="E23" s="848" t="s">
        <v>9347</v>
      </c>
      <c r="F23" s="848" t="s">
        <v>10724</v>
      </c>
      <c r="G23" s="850" t="s">
        <v>10749</v>
      </c>
      <c r="H23" s="849" t="s">
        <v>10716</v>
      </c>
      <c r="I23" s="849"/>
      <c r="J23" s="851">
        <v>92</v>
      </c>
      <c r="K23" s="848" t="s">
        <v>6085</v>
      </c>
    </row>
    <row r="24" spans="2:11">
      <c r="B24" s="848">
        <v>21</v>
      </c>
      <c r="C24" s="848" t="s">
        <v>10769</v>
      </c>
      <c r="D24" s="849" t="s">
        <v>10770</v>
      </c>
      <c r="E24" s="848" t="s">
        <v>9499</v>
      </c>
      <c r="F24" s="848" t="s">
        <v>10771</v>
      </c>
      <c r="G24" s="850" t="s">
        <v>10772</v>
      </c>
      <c r="H24" s="849" t="s">
        <v>10716</v>
      </c>
      <c r="I24" s="849"/>
      <c r="J24" s="851">
        <v>95.08</v>
      </c>
      <c r="K24" s="848" t="s">
        <v>6085</v>
      </c>
    </row>
    <row r="25" spans="2:11">
      <c r="B25" s="848">
        <v>22</v>
      </c>
      <c r="C25" s="848" t="s">
        <v>1382</v>
      </c>
      <c r="D25" s="849" t="s">
        <v>1041</v>
      </c>
      <c r="E25" s="848" t="s">
        <v>10773</v>
      </c>
      <c r="F25" s="848" t="s">
        <v>10730</v>
      </c>
      <c r="G25" s="850" t="s">
        <v>10749</v>
      </c>
      <c r="H25" s="849" t="s">
        <v>10716</v>
      </c>
      <c r="I25" s="849"/>
      <c r="J25" s="851">
        <v>77</v>
      </c>
      <c r="K25" s="848" t="s">
        <v>6649</v>
      </c>
    </row>
    <row r="26" spans="2:11">
      <c r="B26" s="848">
        <v>23</v>
      </c>
      <c r="C26" s="848" t="s">
        <v>1382</v>
      </c>
      <c r="D26" s="849" t="s">
        <v>1041</v>
      </c>
      <c r="E26" s="848" t="s">
        <v>10774</v>
      </c>
      <c r="F26" s="848" t="s">
        <v>10775</v>
      </c>
      <c r="G26" s="850" t="s">
        <v>10776</v>
      </c>
      <c r="H26" s="849" t="s">
        <v>10716</v>
      </c>
      <c r="I26" s="849"/>
      <c r="J26" s="851">
        <v>96</v>
      </c>
      <c r="K26" s="848" t="s">
        <v>6649</v>
      </c>
    </row>
    <row r="27" spans="2:11">
      <c r="B27" s="848">
        <v>24</v>
      </c>
      <c r="C27" s="848" t="s">
        <v>1367</v>
      </c>
      <c r="D27" s="849" t="s">
        <v>10777</v>
      </c>
      <c r="E27" s="848" t="s">
        <v>10778</v>
      </c>
      <c r="F27" s="848" t="s">
        <v>10779</v>
      </c>
      <c r="G27" s="850" t="s">
        <v>10780</v>
      </c>
      <c r="H27" s="849" t="s">
        <v>10716</v>
      </c>
      <c r="I27" s="849"/>
      <c r="J27" s="851">
        <v>2067.9899999999998</v>
      </c>
      <c r="K27" s="848" t="s">
        <v>10781</v>
      </c>
    </row>
    <row r="28" spans="2:11">
      <c r="B28" s="848">
        <v>25</v>
      </c>
      <c r="C28" s="848" t="s">
        <v>1367</v>
      </c>
      <c r="D28" s="849" t="s">
        <v>10777</v>
      </c>
      <c r="E28" s="848" t="s">
        <v>10778</v>
      </c>
      <c r="F28" s="848" t="s">
        <v>10782</v>
      </c>
      <c r="G28" s="850" t="s">
        <v>10783</v>
      </c>
      <c r="H28" s="849" t="s">
        <v>10716</v>
      </c>
      <c r="I28" s="849"/>
      <c r="J28" s="851">
        <v>791.01</v>
      </c>
      <c r="K28" s="848" t="s">
        <v>10781</v>
      </c>
    </row>
    <row r="29" spans="2:11">
      <c r="B29" s="848">
        <v>26</v>
      </c>
      <c r="C29" s="848" t="s">
        <v>1367</v>
      </c>
      <c r="D29" s="849" t="s">
        <v>10777</v>
      </c>
      <c r="E29" s="848" t="s">
        <v>10778</v>
      </c>
      <c r="F29" s="848" t="s">
        <v>10784</v>
      </c>
      <c r="G29" s="850" t="s">
        <v>10785</v>
      </c>
      <c r="H29" s="849" t="s">
        <v>10716</v>
      </c>
      <c r="I29" s="849"/>
      <c r="J29" s="851">
        <v>380.32</v>
      </c>
      <c r="K29" s="848" t="s">
        <v>10786</v>
      </c>
    </row>
    <row r="30" spans="2:11">
      <c r="B30" s="848">
        <v>27</v>
      </c>
      <c r="C30" s="848" t="s">
        <v>1367</v>
      </c>
      <c r="D30" s="849" t="s">
        <v>10777</v>
      </c>
      <c r="E30" s="848" t="s">
        <v>10778</v>
      </c>
      <c r="F30" s="848" t="s">
        <v>10787</v>
      </c>
      <c r="G30" s="850" t="s">
        <v>10788</v>
      </c>
      <c r="H30" s="849" t="s">
        <v>10716</v>
      </c>
      <c r="I30" s="849"/>
      <c r="J30" s="851">
        <v>379.29</v>
      </c>
      <c r="K30" s="848" t="s">
        <v>10786</v>
      </c>
    </row>
    <row r="31" spans="2:11">
      <c r="B31" s="848">
        <v>28</v>
      </c>
      <c r="C31" s="848" t="s">
        <v>1367</v>
      </c>
      <c r="D31" s="849" t="s">
        <v>10777</v>
      </c>
      <c r="E31" s="848" t="s">
        <v>10778</v>
      </c>
      <c r="F31" s="848" t="s">
        <v>10789</v>
      </c>
      <c r="G31" s="850" t="s">
        <v>10790</v>
      </c>
      <c r="H31" s="849" t="s">
        <v>10716</v>
      </c>
      <c r="I31" s="849"/>
      <c r="J31" s="851">
        <v>309.01</v>
      </c>
      <c r="K31" s="848" t="s">
        <v>6438</v>
      </c>
    </row>
    <row r="32" spans="2:11" ht="25">
      <c r="B32" s="848">
        <v>29</v>
      </c>
      <c r="C32" s="848" t="s">
        <v>1340</v>
      </c>
      <c r="D32" s="849" t="s">
        <v>10791</v>
      </c>
      <c r="E32" s="848" t="s">
        <v>9468</v>
      </c>
      <c r="F32" s="848" t="s">
        <v>10792</v>
      </c>
      <c r="G32" s="850" t="s">
        <v>10793</v>
      </c>
      <c r="H32" s="849" t="s">
        <v>10716</v>
      </c>
      <c r="I32" s="849"/>
      <c r="J32" s="851">
        <v>48</v>
      </c>
      <c r="K32" s="848" t="s">
        <v>10794</v>
      </c>
    </row>
    <row r="33" spans="2:11" ht="25">
      <c r="B33" s="848">
        <v>30</v>
      </c>
      <c r="C33" s="848" t="s">
        <v>1340</v>
      </c>
      <c r="D33" s="849" t="s">
        <v>10791</v>
      </c>
      <c r="E33" s="848" t="s">
        <v>9468</v>
      </c>
      <c r="F33" s="848" t="s">
        <v>10795</v>
      </c>
      <c r="G33" s="850" t="s">
        <v>10796</v>
      </c>
      <c r="H33" s="849" t="s">
        <v>10716</v>
      </c>
      <c r="I33" s="849"/>
      <c r="J33" s="851">
        <v>21</v>
      </c>
      <c r="K33" s="848" t="s">
        <v>10797</v>
      </c>
    </row>
    <row r="34" spans="2:11" ht="25">
      <c r="B34" s="848">
        <v>31</v>
      </c>
      <c r="C34" s="848" t="s">
        <v>1340</v>
      </c>
      <c r="D34" s="849" t="s">
        <v>10791</v>
      </c>
      <c r="E34" s="848" t="s">
        <v>9468</v>
      </c>
      <c r="F34" s="848" t="s">
        <v>10798</v>
      </c>
      <c r="G34" s="850" t="s">
        <v>10799</v>
      </c>
      <c r="H34" s="849" t="s">
        <v>10716</v>
      </c>
      <c r="I34" s="849"/>
      <c r="J34" s="851">
        <v>48</v>
      </c>
      <c r="K34" s="848" t="s">
        <v>6602</v>
      </c>
    </row>
    <row r="35" spans="2:11" ht="25">
      <c r="B35" s="848">
        <v>32</v>
      </c>
      <c r="C35" s="848" t="s">
        <v>1340</v>
      </c>
      <c r="D35" s="849" t="s">
        <v>10791</v>
      </c>
      <c r="E35" s="848" t="s">
        <v>9468</v>
      </c>
      <c r="F35" s="848" t="s">
        <v>10800</v>
      </c>
      <c r="G35" s="850" t="s">
        <v>10801</v>
      </c>
      <c r="H35" s="849" t="s">
        <v>10716</v>
      </c>
      <c r="I35" s="849"/>
      <c r="J35" s="851">
        <v>48</v>
      </c>
      <c r="K35" s="848" t="s">
        <v>6787</v>
      </c>
    </row>
    <row r="36" spans="2:11" ht="25">
      <c r="B36" s="848">
        <v>33</v>
      </c>
      <c r="C36" s="848" t="s">
        <v>1340</v>
      </c>
      <c r="D36" s="849" t="s">
        <v>10791</v>
      </c>
      <c r="E36" s="848" t="s">
        <v>9468</v>
      </c>
      <c r="F36" s="848" t="s">
        <v>10802</v>
      </c>
      <c r="G36" s="850" t="s">
        <v>10803</v>
      </c>
      <c r="H36" s="849" t="s">
        <v>10716</v>
      </c>
      <c r="I36" s="849"/>
      <c r="J36" s="851">
        <v>46</v>
      </c>
      <c r="K36" s="848" t="s">
        <v>6648</v>
      </c>
    </row>
    <row r="37" spans="2:11" ht="25">
      <c r="B37" s="848">
        <v>34</v>
      </c>
      <c r="C37" s="848" t="s">
        <v>1340</v>
      </c>
      <c r="D37" s="849" t="s">
        <v>10791</v>
      </c>
      <c r="E37" s="848" t="s">
        <v>10804</v>
      </c>
      <c r="F37" s="848" t="s">
        <v>10805</v>
      </c>
      <c r="G37" s="850" t="s">
        <v>10806</v>
      </c>
      <c r="H37" s="849" t="s">
        <v>10716</v>
      </c>
      <c r="I37" s="849"/>
      <c r="J37" s="851">
        <v>220</v>
      </c>
      <c r="K37" s="848" t="s">
        <v>10794</v>
      </c>
    </row>
    <row r="38" spans="2:11" ht="25">
      <c r="B38" s="848">
        <v>35</v>
      </c>
      <c r="C38" s="848" t="s">
        <v>1340</v>
      </c>
      <c r="D38" s="849" t="s">
        <v>10791</v>
      </c>
      <c r="E38" s="848" t="s">
        <v>10807</v>
      </c>
      <c r="F38" s="848" t="s">
        <v>10756</v>
      </c>
      <c r="G38" s="850" t="s">
        <v>10808</v>
      </c>
      <c r="H38" s="849" t="s">
        <v>10716</v>
      </c>
      <c r="I38" s="849"/>
      <c r="J38" s="851">
        <v>475.4</v>
      </c>
      <c r="K38" s="848" t="s">
        <v>10809</v>
      </c>
    </row>
    <row r="39" spans="2:11">
      <c r="B39" s="848">
        <v>36</v>
      </c>
      <c r="C39" s="848" t="s">
        <v>10810</v>
      </c>
      <c r="D39" s="849" t="s">
        <v>10811</v>
      </c>
      <c r="E39" s="848" t="s">
        <v>10754</v>
      </c>
      <c r="F39" s="848" t="s">
        <v>10812</v>
      </c>
      <c r="G39" s="850" t="s">
        <v>10813</v>
      </c>
      <c r="H39" s="849" t="s">
        <v>10716</v>
      </c>
      <c r="I39" s="849"/>
      <c r="J39" s="851">
        <v>119</v>
      </c>
      <c r="K39" s="848" t="s">
        <v>5902</v>
      </c>
    </row>
    <row r="40" spans="2:11">
      <c r="B40" s="848">
        <v>37</v>
      </c>
      <c r="C40" s="848" t="s">
        <v>10810</v>
      </c>
      <c r="D40" s="849" t="s">
        <v>10811</v>
      </c>
      <c r="E40" s="848" t="s">
        <v>10754</v>
      </c>
      <c r="F40" s="848" t="s">
        <v>10814</v>
      </c>
      <c r="G40" s="850" t="s">
        <v>10815</v>
      </c>
      <c r="H40" s="849" t="s">
        <v>10716</v>
      </c>
      <c r="I40" s="849"/>
      <c r="J40" s="851">
        <v>191</v>
      </c>
      <c r="K40" s="848" t="s">
        <v>5903</v>
      </c>
    </row>
    <row r="41" spans="2:11">
      <c r="B41" s="848">
        <v>38</v>
      </c>
      <c r="C41" s="848" t="s">
        <v>10810</v>
      </c>
      <c r="D41" s="849" t="s">
        <v>10811</v>
      </c>
      <c r="E41" s="848" t="s">
        <v>8582</v>
      </c>
      <c r="F41" s="848" t="s">
        <v>10816</v>
      </c>
      <c r="G41" s="850" t="s">
        <v>10817</v>
      </c>
      <c r="H41" s="849" t="s">
        <v>10716</v>
      </c>
      <c r="I41" s="849"/>
      <c r="J41" s="851">
        <v>95.08</v>
      </c>
      <c r="K41" s="848" t="s">
        <v>6433</v>
      </c>
    </row>
    <row r="42" spans="2:11">
      <c r="B42" s="848">
        <v>39</v>
      </c>
      <c r="C42" s="848" t="s">
        <v>10810</v>
      </c>
      <c r="D42" s="849" t="s">
        <v>10811</v>
      </c>
      <c r="E42" s="848" t="s">
        <v>8582</v>
      </c>
      <c r="F42" s="848" t="s">
        <v>10818</v>
      </c>
      <c r="G42" s="850" t="s">
        <v>10819</v>
      </c>
      <c r="H42" s="849" t="s">
        <v>10716</v>
      </c>
      <c r="I42" s="849"/>
      <c r="J42" s="851">
        <v>142.62</v>
      </c>
      <c r="K42" s="848" t="s">
        <v>6434</v>
      </c>
    </row>
    <row r="43" spans="2:11">
      <c r="B43" s="848">
        <v>40</v>
      </c>
      <c r="C43" s="848" t="s">
        <v>10810</v>
      </c>
      <c r="D43" s="849" t="s">
        <v>10811</v>
      </c>
      <c r="E43" s="848" t="s">
        <v>8582</v>
      </c>
      <c r="F43" s="848" t="s">
        <v>10820</v>
      </c>
      <c r="G43" s="850" t="s">
        <v>10821</v>
      </c>
      <c r="H43" s="849" t="s">
        <v>10716</v>
      </c>
      <c r="I43" s="849"/>
      <c r="J43" s="851">
        <v>190.16</v>
      </c>
      <c r="K43" s="848" t="s">
        <v>5901</v>
      </c>
    </row>
    <row r="44" spans="2:11">
      <c r="B44" s="848">
        <v>41</v>
      </c>
      <c r="C44" s="848" t="s">
        <v>10810</v>
      </c>
      <c r="D44" s="849" t="s">
        <v>10811</v>
      </c>
      <c r="E44" s="848" t="s">
        <v>8582</v>
      </c>
      <c r="F44" s="848" t="s">
        <v>10822</v>
      </c>
      <c r="G44" s="850" t="s">
        <v>10823</v>
      </c>
      <c r="H44" s="849" t="s">
        <v>10716</v>
      </c>
      <c r="I44" s="849"/>
      <c r="J44" s="851">
        <v>427.86</v>
      </c>
      <c r="K44" s="848" t="s">
        <v>6089</v>
      </c>
    </row>
    <row r="45" spans="2:11">
      <c r="B45" s="848">
        <v>42</v>
      </c>
      <c r="C45" s="848" t="s">
        <v>10810</v>
      </c>
      <c r="D45" s="849" t="s">
        <v>10811</v>
      </c>
      <c r="E45" s="848" t="s">
        <v>10824</v>
      </c>
      <c r="F45" s="848" t="s">
        <v>10825</v>
      </c>
      <c r="G45" s="850" t="s">
        <v>10826</v>
      </c>
      <c r="H45" s="849" t="s">
        <v>10716</v>
      </c>
      <c r="I45" s="849"/>
      <c r="J45" s="851">
        <v>9.86</v>
      </c>
      <c r="K45" s="848" t="s">
        <v>6561</v>
      </c>
    </row>
    <row r="46" spans="2:11">
      <c r="B46" s="848">
        <v>43</v>
      </c>
      <c r="C46" s="848" t="s">
        <v>10827</v>
      </c>
      <c r="D46" s="849" t="s">
        <v>10828</v>
      </c>
      <c r="E46" s="848" t="s">
        <v>10829</v>
      </c>
      <c r="F46" s="848" t="s">
        <v>10830</v>
      </c>
      <c r="G46" s="850" t="s">
        <v>10831</v>
      </c>
      <c r="H46" s="849" t="s">
        <v>10716</v>
      </c>
      <c r="I46" s="849"/>
      <c r="J46" s="851">
        <v>237.7</v>
      </c>
      <c r="K46" s="848" t="s">
        <v>10832</v>
      </c>
    </row>
    <row r="47" spans="2:11">
      <c r="B47" s="848">
        <v>44</v>
      </c>
      <c r="C47" s="848" t="s">
        <v>10827</v>
      </c>
      <c r="D47" s="849" t="s">
        <v>10828</v>
      </c>
      <c r="E47" s="848" t="s">
        <v>10829</v>
      </c>
      <c r="F47" s="848" t="s">
        <v>10833</v>
      </c>
      <c r="G47" s="850" t="s">
        <v>10834</v>
      </c>
      <c r="H47" s="849" t="s">
        <v>10716</v>
      </c>
      <c r="I47" s="849"/>
      <c r="J47" s="851">
        <v>93.511179999999996</v>
      </c>
      <c r="K47" s="848" t="s">
        <v>10832</v>
      </c>
    </row>
    <row r="48" spans="2:11">
      <c r="B48" s="848">
        <v>45</v>
      </c>
      <c r="C48" s="848" t="s">
        <v>1440</v>
      </c>
      <c r="D48" s="849" t="s">
        <v>337</v>
      </c>
      <c r="E48" s="848" t="s">
        <v>10754</v>
      </c>
      <c r="F48" s="848" t="s">
        <v>10835</v>
      </c>
      <c r="G48" s="850" t="s">
        <v>10836</v>
      </c>
      <c r="H48" s="849" t="s">
        <v>10716</v>
      </c>
      <c r="I48" s="849"/>
      <c r="J48" s="851">
        <v>71</v>
      </c>
      <c r="K48" s="848" t="s">
        <v>6099</v>
      </c>
    </row>
    <row r="49" spans="2:11">
      <c r="B49" s="848">
        <v>46</v>
      </c>
      <c r="C49" s="848" t="s">
        <v>1440</v>
      </c>
      <c r="D49" s="849" t="s">
        <v>337</v>
      </c>
      <c r="E49" s="848" t="s">
        <v>10754</v>
      </c>
      <c r="F49" s="848" t="s">
        <v>10837</v>
      </c>
      <c r="G49" s="850" t="s">
        <v>10838</v>
      </c>
      <c r="H49" s="849" t="s">
        <v>10716</v>
      </c>
      <c r="I49" s="849"/>
      <c r="J49" s="851">
        <v>36</v>
      </c>
      <c r="K49" s="848" t="s">
        <v>5969</v>
      </c>
    </row>
    <row r="50" spans="2:11">
      <c r="B50" s="848">
        <v>47</v>
      </c>
      <c r="C50" s="848" t="s">
        <v>1373</v>
      </c>
      <c r="D50" s="849" t="s">
        <v>7095</v>
      </c>
      <c r="E50" s="848" t="s">
        <v>3393</v>
      </c>
      <c r="F50" s="848" t="s">
        <v>10839</v>
      </c>
      <c r="G50" s="850" t="s">
        <v>10840</v>
      </c>
      <c r="H50" s="849" t="s">
        <v>10716</v>
      </c>
      <c r="I50" s="849"/>
      <c r="J50" s="851">
        <v>3067</v>
      </c>
      <c r="K50" s="848" t="s">
        <v>6293</v>
      </c>
    </row>
    <row r="51" spans="2:11">
      <c r="B51" s="848">
        <v>48</v>
      </c>
      <c r="C51" s="848" t="s">
        <v>7052</v>
      </c>
      <c r="D51" s="849" t="s">
        <v>7952</v>
      </c>
      <c r="E51" s="848" t="s">
        <v>3233</v>
      </c>
      <c r="F51" s="848" t="s">
        <v>10841</v>
      </c>
      <c r="G51" s="850" t="s">
        <v>10842</v>
      </c>
      <c r="H51" s="849" t="s">
        <v>10716</v>
      </c>
      <c r="I51" s="849"/>
      <c r="J51" s="851">
        <v>74.55</v>
      </c>
      <c r="K51" s="848" t="s">
        <v>6027</v>
      </c>
    </row>
    <row r="52" spans="2:11">
      <c r="B52" s="848">
        <v>49</v>
      </c>
      <c r="C52" s="848" t="s">
        <v>7052</v>
      </c>
      <c r="D52" s="849" t="s">
        <v>7952</v>
      </c>
      <c r="E52" s="848" t="s">
        <v>9499</v>
      </c>
      <c r="F52" s="848" t="s">
        <v>10843</v>
      </c>
      <c r="G52" s="850" t="s">
        <v>10844</v>
      </c>
      <c r="H52" s="849" t="s">
        <v>10716</v>
      </c>
      <c r="I52" s="849"/>
      <c r="J52" s="851">
        <v>7.85</v>
      </c>
      <c r="K52" s="848" t="s">
        <v>6037</v>
      </c>
    </row>
    <row r="53" spans="2:11">
      <c r="B53" s="848">
        <v>50</v>
      </c>
      <c r="C53" s="848" t="s">
        <v>7052</v>
      </c>
      <c r="D53" s="849" t="s">
        <v>7952</v>
      </c>
      <c r="E53" s="848" t="s">
        <v>10845</v>
      </c>
      <c r="F53" s="848" t="s">
        <v>10846</v>
      </c>
      <c r="G53" s="850" t="s">
        <v>10847</v>
      </c>
      <c r="H53" s="849" t="s">
        <v>10716</v>
      </c>
      <c r="I53" s="849"/>
      <c r="J53" s="851">
        <v>8.35</v>
      </c>
      <c r="K53" s="848" t="s">
        <v>6573</v>
      </c>
    </row>
    <row r="54" spans="2:11">
      <c r="B54" s="848">
        <v>51</v>
      </c>
      <c r="C54" s="848" t="s">
        <v>7052</v>
      </c>
      <c r="D54" s="849" t="s">
        <v>7952</v>
      </c>
      <c r="E54" s="848" t="s">
        <v>10848</v>
      </c>
      <c r="F54" s="848" t="s">
        <v>10849</v>
      </c>
      <c r="G54" s="850" t="s">
        <v>10850</v>
      </c>
      <c r="H54" s="849" t="s">
        <v>10716</v>
      </c>
      <c r="I54" s="849"/>
      <c r="J54" s="851">
        <v>2.4900000000000002</v>
      </c>
      <c r="K54" s="848" t="s">
        <v>6574</v>
      </c>
    </row>
    <row r="55" spans="2:11">
      <c r="B55" s="848">
        <v>52</v>
      </c>
      <c r="C55" s="848" t="s">
        <v>7052</v>
      </c>
      <c r="D55" s="849" t="s">
        <v>7952</v>
      </c>
      <c r="E55" s="848" t="s">
        <v>3335</v>
      </c>
      <c r="F55" s="848" t="s">
        <v>10851</v>
      </c>
      <c r="G55" s="850" t="s">
        <v>10852</v>
      </c>
      <c r="H55" s="849" t="s">
        <v>10716</v>
      </c>
      <c r="I55" s="849"/>
      <c r="J55" s="851">
        <v>3.3625280000000002</v>
      </c>
      <c r="K55" s="848" t="s">
        <v>6047</v>
      </c>
    </row>
    <row r="56" spans="2:11">
      <c r="B56" s="848">
        <v>53</v>
      </c>
      <c r="C56" s="848" t="s">
        <v>7052</v>
      </c>
      <c r="D56" s="849" t="s">
        <v>7952</v>
      </c>
      <c r="E56" s="848" t="s">
        <v>3335</v>
      </c>
      <c r="F56" s="848" t="s">
        <v>10853</v>
      </c>
      <c r="G56" s="850" t="s">
        <v>10854</v>
      </c>
      <c r="H56" s="849" t="s">
        <v>10716</v>
      </c>
      <c r="I56" s="849"/>
      <c r="J56" s="851">
        <v>3.3625280000000002</v>
      </c>
      <c r="K56" s="848" t="s">
        <v>6048</v>
      </c>
    </row>
    <row r="57" spans="2:11">
      <c r="B57" s="848">
        <v>54</v>
      </c>
      <c r="C57" s="848" t="s">
        <v>7052</v>
      </c>
      <c r="D57" s="849" t="s">
        <v>7952</v>
      </c>
      <c r="E57" s="848" t="s">
        <v>3335</v>
      </c>
      <c r="F57" s="848" t="s">
        <v>10855</v>
      </c>
      <c r="G57" s="850" t="s">
        <v>10856</v>
      </c>
      <c r="H57" s="849" t="s">
        <v>10716</v>
      </c>
      <c r="I57" s="849"/>
      <c r="J57" s="851">
        <v>3.3625280000000002</v>
      </c>
      <c r="K57" s="848" t="s">
        <v>6283</v>
      </c>
    </row>
    <row r="58" spans="2:11">
      <c r="B58" s="848">
        <v>55</v>
      </c>
      <c r="C58" s="848" t="s">
        <v>7052</v>
      </c>
      <c r="D58" s="849" t="s">
        <v>7952</v>
      </c>
      <c r="E58" s="848" t="s">
        <v>3335</v>
      </c>
      <c r="F58" s="848" t="s">
        <v>10857</v>
      </c>
      <c r="G58" s="850" t="s">
        <v>10858</v>
      </c>
      <c r="H58" s="849" t="s">
        <v>10716</v>
      </c>
      <c r="I58" s="849"/>
      <c r="J58" s="851">
        <v>3.3625280000000002</v>
      </c>
      <c r="K58" s="848" t="s">
        <v>6284</v>
      </c>
    </row>
    <row r="59" spans="2:11" ht="25">
      <c r="B59" s="848">
        <v>56</v>
      </c>
      <c r="C59" s="848" t="s">
        <v>1412</v>
      </c>
      <c r="D59" s="849" t="s">
        <v>10859</v>
      </c>
      <c r="E59" s="848" t="s">
        <v>9501</v>
      </c>
      <c r="F59" s="848" t="s">
        <v>10860</v>
      </c>
      <c r="G59" s="850" t="s">
        <v>10861</v>
      </c>
      <c r="H59" s="849" t="s">
        <v>10716</v>
      </c>
      <c r="I59" s="849"/>
      <c r="J59" s="851">
        <v>253.71065999999999</v>
      </c>
      <c r="K59" s="848" t="s">
        <v>6143</v>
      </c>
    </row>
    <row r="60" spans="2:11" ht="25">
      <c r="B60" s="848">
        <v>57</v>
      </c>
      <c r="C60" s="848" t="s">
        <v>1412</v>
      </c>
      <c r="D60" s="849" t="s">
        <v>10859</v>
      </c>
      <c r="E60" s="848" t="s">
        <v>9501</v>
      </c>
      <c r="F60" s="848" t="s">
        <v>10862</v>
      </c>
      <c r="G60" s="850" t="s">
        <v>10863</v>
      </c>
      <c r="H60" s="849" t="s">
        <v>10716</v>
      </c>
      <c r="I60" s="849"/>
      <c r="J60" s="851">
        <v>163.09971000000002</v>
      </c>
      <c r="K60" s="848" t="s">
        <v>6144</v>
      </c>
    </row>
    <row r="61" spans="2:11" ht="25">
      <c r="B61" s="848">
        <v>58</v>
      </c>
      <c r="C61" s="848" t="s">
        <v>1412</v>
      </c>
      <c r="D61" s="849" t="s">
        <v>10859</v>
      </c>
      <c r="E61" s="848" t="s">
        <v>9501</v>
      </c>
      <c r="F61" s="848" t="s">
        <v>10864</v>
      </c>
      <c r="G61" s="850" t="s">
        <v>10865</v>
      </c>
      <c r="H61" s="849" t="s">
        <v>10716</v>
      </c>
      <c r="I61" s="849"/>
      <c r="J61" s="851">
        <v>103.27500000000001</v>
      </c>
      <c r="K61" s="848" t="s">
        <v>6148</v>
      </c>
    </row>
    <row r="62" spans="2:11" ht="25">
      <c r="B62" s="848">
        <v>59</v>
      </c>
      <c r="C62" s="848" t="s">
        <v>1412</v>
      </c>
      <c r="D62" s="849" t="s">
        <v>10859</v>
      </c>
      <c r="E62" s="848" t="s">
        <v>9501</v>
      </c>
      <c r="F62" s="848" t="s">
        <v>10866</v>
      </c>
      <c r="G62" s="850" t="s">
        <v>10867</v>
      </c>
      <c r="H62" s="849" t="s">
        <v>10716</v>
      </c>
      <c r="I62" s="849"/>
      <c r="J62" s="851">
        <v>41.31</v>
      </c>
      <c r="K62" s="848" t="s">
        <v>6149</v>
      </c>
    </row>
    <row r="63" spans="2:11" ht="25">
      <c r="B63" s="848">
        <v>60</v>
      </c>
      <c r="C63" s="848" t="s">
        <v>1412</v>
      </c>
      <c r="D63" s="849" t="s">
        <v>10859</v>
      </c>
      <c r="E63" s="848" t="s">
        <v>9501</v>
      </c>
      <c r="F63" s="848" t="s">
        <v>10868</v>
      </c>
      <c r="G63" s="850" t="s">
        <v>10869</v>
      </c>
      <c r="H63" s="849" t="s">
        <v>10716</v>
      </c>
      <c r="I63" s="849"/>
      <c r="J63" s="851">
        <v>95.905754999999999</v>
      </c>
      <c r="K63" s="848" t="s">
        <v>6152</v>
      </c>
    </row>
    <row r="64" spans="2:11">
      <c r="B64" s="848">
        <v>61</v>
      </c>
      <c r="C64" s="848" t="s">
        <v>1244</v>
      </c>
      <c r="D64" s="849" t="s">
        <v>17</v>
      </c>
      <c r="E64" s="848" t="s">
        <v>9469</v>
      </c>
      <c r="F64" s="848" t="s">
        <v>10870</v>
      </c>
      <c r="G64" s="850" t="s">
        <v>10749</v>
      </c>
      <c r="H64" s="849" t="s">
        <v>10716</v>
      </c>
      <c r="I64" s="849"/>
      <c r="J64" s="851">
        <v>1611.37</v>
      </c>
      <c r="K64" s="848" t="s">
        <v>10871</v>
      </c>
    </row>
    <row r="65" spans="2:11">
      <c r="B65" s="848">
        <v>62</v>
      </c>
      <c r="C65" s="848" t="s">
        <v>1244</v>
      </c>
      <c r="D65" s="849" t="s">
        <v>17</v>
      </c>
      <c r="E65" s="848" t="s">
        <v>9469</v>
      </c>
      <c r="F65" s="848" t="s">
        <v>10872</v>
      </c>
      <c r="G65" s="850" t="s">
        <v>10873</v>
      </c>
      <c r="H65" s="849" t="s">
        <v>10716</v>
      </c>
      <c r="I65" s="849"/>
      <c r="J65" s="851">
        <v>6073.88</v>
      </c>
      <c r="K65" s="848" t="s">
        <v>10874</v>
      </c>
    </row>
    <row r="66" spans="2:11">
      <c r="B66" s="848">
        <v>63</v>
      </c>
      <c r="C66" s="848" t="s">
        <v>1244</v>
      </c>
      <c r="D66" s="849" t="s">
        <v>17</v>
      </c>
      <c r="E66" s="848" t="s">
        <v>9469</v>
      </c>
      <c r="F66" s="848" t="s">
        <v>10875</v>
      </c>
      <c r="G66" s="850" t="s">
        <v>10876</v>
      </c>
      <c r="H66" s="849" t="s">
        <v>10716</v>
      </c>
      <c r="I66" s="849"/>
      <c r="J66" s="851">
        <v>3009.16</v>
      </c>
      <c r="K66" s="848" t="s">
        <v>10877</v>
      </c>
    </row>
    <row r="67" spans="2:11">
      <c r="B67" s="848">
        <v>64</v>
      </c>
      <c r="C67" s="848" t="s">
        <v>1244</v>
      </c>
      <c r="D67" s="849" t="s">
        <v>17</v>
      </c>
      <c r="E67" s="848" t="s">
        <v>9469</v>
      </c>
      <c r="F67" s="848" t="s">
        <v>10878</v>
      </c>
      <c r="G67" s="850" t="s">
        <v>10879</v>
      </c>
      <c r="H67" s="849" t="s">
        <v>10716</v>
      </c>
      <c r="I67" s="849"/>
      <c r="J67" s="851">
        <v>57888.12</v>
      </c>
      <c r="K67" s="848" t="s">
        <v>6637</v>
      </c>
    </row>
    <row r="68" spans="2:11">
      <c r="B68" s="848">
        <v>65</v>
      </c>
      <c r="C68" s="848" t="s">
        <v>10880</v>
      </c>
      <c r="D68" s="849" t="s">
        <v>10881</v>
      </c>
      <c r="E68" s="848" t="s">
        <v>10882</v>
      </c>
      <c r="F68" s="848" t="s">
        <v>10883</v>
      </c>
      <c r="G68" s="850" t="s">
        <v>10884</v>
      </c>
      <c r="H68" s="849" t="s">
        <v>10716</v>
      </c>
      <c r="I68" s="849"/>
      <c r="J68" s="851">
        <v>23.77</v>
      </c>
      <c r="K68" s="848" t="s">
        <v>6833</v>
      </c>
    </row>
    <row r="69" spans="2:11">
      <c r="B69" s="848">
        <v>66</v>
      </c>
      <c r="C69" s="848" t="s">
        <v>10880</v>
      </c>
      <c r="D69" s="849" t="s">
        <v>10881</v>
      </c>
      <c r="E69" s="848" t="s">
        <v>10882</v>
      </c>
      <c r="F69" s="848" t="s">
        <v>10885</v>
      </c>
      <c r="G69" s="850" t="s">
        <v>10886</v>
      </c>
      <c r="H69" s="849" t="s">
        <v>10716</v>
      </c>
      <c r="I69" s="849"/>
      <c r="J69" s="851">
        <v>23.77</v>
      </c>
      <c r="K69" s="848" t="s">
        <v>6834</v>
      </c>
    </row>
    <row r="70" spans="2:11">
      <c r="B70" s="848">
        <v>67</v>
      </c>
      <c r="C70" s="848" t="s">
        <v>10880</v>
      </c>
      <c r="D70" s="849" t="s">
        <v>10881</v>
      </c>
      <c r="E70" s="848" t="s">
        <v>10882</v>
      </c>
      <c r="F70" s="848" t="s">
        <v>10887</v>
      </c>
      <c r="G70" s="850" t="s">
        <v>10888</v>
      </c>
      <c r="H70" s="849" t="s">
        <v>10716</v>
      </c>
      <c r="I70" s="849"/>
      <c r="J70" s="851">
        <v>23.77</v>
      </c>
      <c r="K70" s="848" t="s">
        <v>5746</v>
      </c>
    </row>
    <row r="71" spans="2:11">
      <c r="B71" s="848">
        <v>68</v>
      </c>
      <c r="C71" s="848" t="s">
        <v>10880</v>
      </c>
      <c r="D71" s="849" t="s">
        <v>10881</v>
      </c>
      <c r="E71" s="848" t="s">
        <v>10882</v>
      </c>
      <c r="F71" s="848" t="s">
        <v>10889</v>
      </c>
      <c r="G71" s="850" t="s">
        <v>10890</v>
      </c>
      <c r="H71" s="849" t="s">
        <v>10716</v>
      </c>
      <c r="I71" s="849"/>
      <c r="J71" s="851">
        <v>23.77</v>
      </c>
      <c r="K71" s="848" t="s">
        <v>5747</v>
      </c>
    </row>
    <row r="72" spans="2:11">
      <c r="B72" s="848">
        <v>69</v>
      </c>
      <c r="C72" s="848" t="s">
        <v>10880</v>
      </c>
      <c r="D72" s="849" t="s">
        <v>10881</v>
      </c>
      <c r="E72" s="848" t="s">
        <v>10882</v>
      </c>
      <c r="F72" s="848" t="s">
        <v>10838</v>
      </c>
      <c r="G72" s="850" t="s">
        <v>10891</v>
      </c>
      <c r="H72" s="849" t="s">
        <v>10716</v>
      </c>
      <c r="I72" s="849"/>
      <c r="J72" s="851">
        <v>47.54</v>
      </c>
      <c r="K72" s="848" t="s">
        <v>6835</v>
      </c>
    </row>
    <row r="73" spans="2:11">
      <c r="B73" s="848">
        <v>70</v>
      </c>
      <c r="C73" s="848" t="s">
        <v>10880</v>
      </c>
      <c r="D73" s="849" t="s">
        <v>10881</v>
      </c>
      <c r="E73" s="848" t="s">
        <v>10882</v>
      </c>
      <c r="F73" s="848" t="s">
        <v>10836</v>
      </c>
      <c r="G73" s="850" t="s">
        <v>10892</v>
      </c>
      <c r="H73" s="849" t="s">
        <v>10716</v>
      </c>
      <c r="I73" s="849"/>
      <c r="J73" s="851">
        <v>95.08</v>
      </c>
      <c r="K73" s="848" t="s">
        <v>6179</v>
      </c>
    </row>
    <row r="74" spans="2:11">
      <c r="B74" s="848">
        <v>71</v>
      </c>
      <c r="C74" s="848" t="s">
        <v>1372</v>
      </c>
      <c r="D74" s="849" t="s">
        <v>10893</v>
      </c>
      <c r="E74" s="848" t="s">
        <v>3344</v>
      </c>
      <c r="F74" s="848" t="s">
        <v>10894</v>
      </c>
      <c r="G74" s="850" t="s">
        <v>10895</v>
      </c>
      <c r="H74" s="849" t="s">
        <v>10716</v>
      </c>
      <c r="I74" s="849"/>
      <c r="J74" s="851">
        <v>2998</v>
      </c>
      <c r="K74" s="848" t="s">
        <v>5940</v>
      </c>
    </row>
    <row r="75" spans="2:11">
      <c r="B75" s="848">
        <v>72</v>
      </c>
      <c r="C75" s="848" t="s">
        <v>10896</v>
      </c>
      <c r="D75" s="849" t="s">
        <v>10897</v>
      </c>
      <c r="E75" s="848" t="s">
        <v>9429</v>
      </c>
      <c r="F75" s="848" t="s">
        <v>10898</v>
      </c>
      <c r="G75" s="850" t="s">
        <v>10899</v>
      </c>
      <c r="H75" s="849" t="s">
        <v>10716</v>
      </c>
      <c r="I75" s="849"/>
      <c r="J75" s="851">
        <v>55.775099999999995</v>
      </c>
      <c r="K75" s="848" t="s">
        <v>6519</v>
      </c>
    </row>
    <row r="76" spans="2:11">
      <c r="B76" s="848">
        <v>73</v>
      </c>
      <c r="C76" s="848" t="s">
        <v>10896</v>
      </c>
      <c r="D76" s="849" t="s">
        <v>10897</v>
      </c>
      <c r="E76" s="848" t="s">
        <v>9429</v>
      </c>
      <c r="F76" s="848" t="s">
        <v>10813</v>
      </c>
      <c r="G76" s="850" t="s">
        <v>10900</v>
      </c>
      <c r="H76" s="849" t="s">
        <v>10716</v>
      </c>
      <c r="I76" s="849"/>
      <c r="J76" s="851">
        <v>75.011394999999993</v>
      </c>
      <c r="K76" s="848" t="s">
        <v>6520</v>
      </c>
    </row>
    <row r="77" spans="2:11">
      <c r="B77" s="848">
        <v>74</v>
      </c>
      <c r="C77" s="848" t="s">
        <v>10896</v>
      </c>
      <c r="D77" s="849" t="s">
        <v>10897</v>
      </c>
      <c r="E77" s="848" t="s">
        <v>9429</v>
      </c>
      <c r="F77" s="848" t="s">
        <v>10815</v>
      </c>
      <c r="G77" s="850" t="s">
        <v>10901</v>
      </c>
      <c r="H77" s="849" t="s">
        <v>10716</v>
      </c>
      <c r="I77" s="849"/>
      <c r="J77" s="851">
        <v>111.55019999999999</v>
      </c>
      <c r="K77" s="848" t="s">
        <v>6521</v>
      </c>
    </row>
    <row r="78" spans="2:11">
      <c r="B78" s="848">
        <v>75</v>
      </c>
      <c r="C78" s="848" t="s">
        <v>10902</v>
      </c>
      <c r="D78" s="849" t="s">
        <v>7958</v>
      </c>
      <c r="E78" s="848" t="s">
        <v>8582</v>
      </c>
      <c r="F78" s="848" t="s">
        <v>10903</v>
      </c>
      <c r="G78" s="850" t="s">
        <v>10904</v>
      </c>
      <c r="H78" s="849" t="s">
        <v>10716</v>
      </c>
      <c r="I78" s="849"/>
      <c r="J78" s="851">
        <v>47.54</v>
      </c>
      <c r="K78" s="848" t="s">
        <v>6754</v>
      </c>
    </row>
    <row r="79" spans="2:11">
      <c r="B79" s="848">
        <v>76</v>
      </c>
      <c r="C79" s="848" t="s">
        <v>1421</v>
      </c>
      <c r="D79" s="849" t="s">
        <v>7958</v>
      </c>
      <c r="E79" s="848" t="s">
        <v>8582</v>
      </c>
      <c r="F79" s="848" t="s">
        <v>10905</v>
      </c>
      <c r="G79" s="850" t="s">
        <v>10906</v>
      </c>
      <c r="H79" s="849" t="s">
        <v>10716</v>
      </c>
      <c r="I79" s="849"/>
      <c r="J79" s="851">
        <v>31.3</v>
      </c>
      <c r="K79" s="848" t="s">
        <v>5972</v>
      </c>
    </row>
    <row r="80" spans="2:11">
      <c r="B80" s="848">
        <v>77</v>
      </c>
      <c r="C80" s="848" t="s">
        <v>1421</v>
      </c>
      <c r="D80" s="849" t="s">
        <v>7958</v>
      </c>
      <c r="E80" s="848" t="s">
        <v>8582</v>
      </c>
      <c r="F80" s="848" t="s">
        <v>10907</v>
      </c>
      <c r="G80" s="850" t="s">
        <v>10908</v>
      </c>
      <c r="H80" s="849" t="s">
        <v>10716</v>
      </c>
      <c r="I80" s="849"/>
      <c r="J80" s="851">
        <v>13.77</v>
      </c>
      <c r="K80" s="848" t="s">
        <v>6756</v>
      </c>
    </row>
    <row r="81" spans="2:11">
      <c r="B81" s="848">
        <v>78</v>
      </c>
      <c r="C81" s="848" t="s">
        <v>1421</v>
      </c>
      <c r="D81" s="849" t="s">
        <v>7958</v>
      </c>
      <c r="E81" s="848" t="s">
        <v>8582</v>
      </c>
      <c r="F81" s="848" t="s">
        <v>10909</v>
      </c>
      <c r="G81" s="850" t="s">
        <v>10910</v>
      </c>
      <c r="H81" s="849" t="s">
        <v>10716</v>
      </c>
      <c r="I81" s="849"/>
      <c r="J81" s="851">
        <v>41.31</v>
      </c>
      <c r="K81" s="848" t="s">
        <v>6757</v>
      </c>
    </row>
    <row r="82" spans="2:11">
      <c r="B82" s="848">
        <v>79</v>
      </c>
      <c r="C82" s="848" t="s">
        <v>10911</v>
      </c>
      <c r="D82" s="849" t="s">
        <v>470</v>
      </c>
      <c r="E82" s="848" t="s">
        <v>10778</v>
      </c>
      <c r="F82" s="848" t="s">
        <v>10912</v>
      </c>
      <c r="G82" s="850" t="s">
        <v>10913</v>
      </c>
      <c r="H82" s="849" t="s">
        <v>10716</v>
      </c>
      <c r="I82" s="849"/>
      <c r="J82" s="851">
        <v>92.8</v>
      </c>
      <c r="K82" s="848" t="s">
        <v>6813</v>
      </c>
    </row>
    <row r="83" spans="2:11">
      <c r="B83" s="848">
        <v>80</v>
      </c>
      <c r="C83" s="848" t="s">
        <v>10911</v>
      </c>
      <c r="D83" s="849" t="s">
        <v>470</v>
      </c>
      <c r="E83" s="848" t="s">
        <v>10778</v>
      </c>
      <c r="F83" s="848" t="s">
        <v>10914</v>
      </c>
      <c r="G83" s="850" t="s">
        <v>10915</v>
      </c>
      <c r="H83" s="849" t="s">
        <v>10716</v>
      </c>
      <c r="I83" s="849"/>
      <c r="J83" s="851">
        <v>82.49</v>
      </c>
      <c r="K83" s="848" t="s">
        <v>6109</v>
      </c>
    </row>
    <row r="84" spans="2:11">
      <c r="B84" s="848">
        <v>81</v>
      </c>
      <c r="C84" s="848" t="s">
        <v>10916</v>
      </c>
      <c r="D84" s="849" t="s">
        <v>10917</v>
      </c>
      <c r="E84" s="848" t="s">
        <v>10754</v>
      </c>
      <c r="F84" s="848" t="s">
        <v>10918</v>
      </c>
      <c r="G84" s="850" t="s">
        <v>10919</v>
      </c>
      <c r="H84" s="849" t="s">
        <v>10716</v>
      </c>
      <c r="I84" s="849"/>
      <c r="J84" s="851">
        <v>766.73</v>
      </c>
      <c r="K84" s="848" t="s">
        <v>6779</v>
      </c>
    </row>
    <row r="85" spans="2:11">
      <c r="B85" s="848">
        <v>82</v>
      </c>
      <c r="C85" s="848" t="s">
        <v>10920</v>
      </c>
      <c r="D85" s="849" t="s">
        <v>10917</v>
      </c>
      <c r="E85" s="848" t="s">
        <v>10754</v>
      </c>
      <c r="F85" s="848" t="s">
        <v>10921</v>
      </c>
      <c r="G85" s="850" t="s">
        <v>10922</v>
      </c>
      <c r="H85" s="849" t="s">
        <v>10716</v>
      </c>
      <c r="I85" s="849"/>
      <c r="J85" s="851">
        <v>766.73</v>
      </c>
      <c r="K85" s="848" t="s">
        <v>6780</v>
      </c>
    </row>
    <row r="86" spans="2:11" ht="25">
      <c r="B86" s="848">
        <v>83</v>
      </c>
      <c r="C86" s="848" t="s">
        <v>693</v>
      </c>
      <c r="D86" s="849" t="s">
        <v>10923</v>
      </c>
      <c r="E86" s="848" t="s">
        <v>3758</v>
      </c>
      <c r="F86" s="848" t="s">
        <v>10924</v>
      </c>
      <c r="G86" s="850" t="s">
        <v>10925</v>
      </c>
      <c r="H86" s="849" t="s">
        <v>10716</v>
      </c>
      <c r="I86" s="849"/>
      <c r="J86" s="851">
        <v>88940.68</v>
      </c>
      <c r="K86" s="848" t="s">
        <v>6272</v>
      </c>
    </row>
    <row r="87" spans="2:11" ht="25">
      <c r="B87" s="848">
        <v>84</v>
      </c>
      <c r="C87" s="848" t="s">
        <v>693</v>
      </c>
      <c r="D87" s="849" t="s">
        <v>10923</v>
      </c>
      <c r="E87" s="848" t="s">
        <v>10926</v>
      </c>
      <c r="F87" s="848" t="s">
        <v>10927</v>
      </c>
      <c r="G87" s="850" t="s">
        <v>10928</v>
      </c>
      <c r="H87" s="849" t="s">
        <v>10716</v>
      </c>
      <c r="I87" s="849"/>
      <c r="J87" s="851">
        <v>177114.63</v>
      </c>
      <c r="K87" s="848" t="s">
        <v>6271</v>
      </c>
    </row>
    <row r="88" spans="2:11">
      <c r="B88" s="848">
        <v>85</v>
      </c>
      <c r="C88" s="848" t="s">
        <v>1428</v>
      </c>
      <c r="D88" s="849" t="s">
        <v>7957</v>
      </c>
      <c r="E88" s="848" t="s">
        <v>10929</v>
      </c>
      <c r="F88" s="848" t="s">
        <v>10930</v>
      </c>
      <c r="G88" s="850" t="s">
        <v>10931</v>
      </c>
      <c r="H88" s="849" t="s">
        <v>10716</v>
      </c>
      <c r="I88" s="849"/>
      <c r="J88" s="851">
        <v>200.05432499999998</v>
      </c>
      <c r="K88" s="848" t="s">
        <v>6844</v>
      </c>
    </row>
    <row r="89" spans="2:11">
      <c r="B89" s="848">
        <v>86</v>
      </c>
      <c r="C89" s="848" t="s">
        <v>1428</v>
      </c>
      <c r="D89" s="849" t="s">
        <v>7957</v>
      </c>
      <c r="E89" s="848" t="s">
        <v>10929</v>
      </c>
      <c r="F89" s="848" t="s">
        <v>10932</v>
      </c>
      <c r="G89" s="850" t="s">
        <v>10933</v>
      </c>
      <c r="H89" s="849" t="s">
        <v>10716</v>
      </c>
      <c r="I89" s="849"/>
      <c r="J89" s="851">
        <v>521.05313999999998</v>
      </c>
      <c r="K89" s="848" t="s">
        <v>6845</v>
      </c>
    </row>
    <row r="90" spans="2:11">
      <c r="B90" s="848">
        <v>87</v>
      </c>
      <c r="C90" s="848" t="s">
        <v>10934</v>
      </c>
      <c r="D90" s="849" t="s">
        <v>7548</v>
      </c>
      <c r="E90" s="848" t="s">
        <v>8582</v>
      </c>
      <c r="F90" s="848" t="s">
        <v>10935</v>
      </c>
      <c r="G90" s="850" t="s">
        <v>10936</v>
      </c>
      <c r="H90" s="849" t="s">
        <v>10716</v>
      </c>
      <c r="I90" s="849"/>
      <c r="J90" s="851">
        <v>613.38</v>
      </c>
      <c r="K90" s="848" t="s">
        <v>6295</v>
      </c>
    </row>
    <row r="91" spans="2:11">
      <c r="B91" s="848">
        <v>88</v>
      </c>
      <c r="C91" s="848" t="s">
        <v>10934</v>
      </c>
      <c r="D91" s="849" t="s">
        <v>7548</v>
      </c>
      <c r="E91" s="848" t="s">
        <v>8582</v>
      </c>
      <c r="F91" s="848" t="s">
        <v>10937</v>
      </c>
      <c r="G91" s="850" t="s">
        <v>10938</v>
      </c>
      <c r="H91" s="849" t="s">
        <v>10716</v>
      </c>
      <c r="I91" s="849"/>
      <c r="J91" s="851">
        <v>613.38</v>
      </c>
      <c r="K91" s="848" t="s">
        <v>6296</v>
      </c>
    </row>
    <row r="92" spans="2:11">
      <c r="B92" s="848">
        <v>89</v>
      </c>
      <c r="C92" s="848" t="s">
        <v>10934</v>
      </c>
      <c r="D92" s="849" t="s">
        <v>7548</v>
      </c>
      <c r="E92" s="848" t="s">
        <v>8582</v>
      </c>
      <c r="F92" s="848" t="s">
        <v>10939</v>
      </c>
      <c r="G92" s="850" t="s">
        <v>10940</v>
      </c>
      <c r="H92" s="849" t="s">
        <v>10716</v>
      </c>
      <c r="I92" s="849"/>
      <c r="J92" s="851">
        <v>613.38</v>
      </c>
      <c r="K92" s="848" t="s">
        <v>6297</v>
      </c>
    </row>
    <row r="93" spans="2:11">
      <c r="B93" s="848">
        <v>90</v>
      </c>
      <c r="C93" s="848" t="s">
        <v>10934</v>
      </c>
      <c r="D93" s="849" t="s">
        <v>7548</v>
      </c>
      <c r="E93" s="848" t="s">
        <v>8582</v>
      </c>
      <c r="F93" s="848" t="s">
        <v>10941</v>
      </c>
      <c r="G93" s="850" t="s">
        <v>10942</v>
      </c>
      <c r="H93" s="849" t="s">
        <v>10716</v>
      </c>
      <c r="I93" s="849"/>
      <c r="J93" s="851">
        <v>613.38</v>
      </c>
      <c r="K93" s="848" t="s">
        <v>6298</v>
      </c>
    </row>
    <row r="94" spans="2:11">
      <c r="B94" s="848">
        <v>91</v>
      </c>
      <c r="C94" s="848" t="s">
        <v>10934</v>
      </c>
      <c r="D94" s="849" t="s">
        <v>7548</v>
      </c>
      <c r="E94" s="848" t="s">
        <v>8582</v>
      </c>
      <c r="F94" s="848" t="s">
        <v>10943</v>
      </c>
      <c r="G94" s="850" t="s">
        <v>10944</v>
      </c>
      <c r="H94" s="849" t="s">
        <v>10716</v>
      </c>
      <c r="I94" s="849"/>
      <c r="J94" s="851">
        <v>613.38</v>
      </c>
      <c r="K94" s="848" t="s">
        <v>6299</v>
      </c>
    </row>
    <row r="95" spans="2:11">
      <c r="B95" s="848">
        <v>92</v>
      </c>
      <c r="C95" s="848" t="s">
        <v>10934</v>
      </c>
      <c r="D95" s="849" t="s">
        <v>7548</v>
      </c>
      <c r="E95" s="848" t="s">
        <v>8582</v>
      </c>
      <c r="F95" s="848" t="s">
        <v>10945</v>
      </c>
      <c r="G95" s="850" t="s">
        <v>10946</v>
      </c>
      <c r="H95" s="849" t="s">
        <v>10716</v>
      </c>
      <c r="I95" s="849"/>
      <c r="J95" s="851">
        <v>613.38</v>
      </c>
      <c r="K95" s="848" t="s">
        <v>6300</v>
      </c>
    </row>
    <row r="96" spans="2:11">
      <c r="B96" s="848">
        <v>93</v>
      </c>
      <c r="C96" s="848" t="s">
        <v>10934</v>
      </c>
      <c r="D96" s="849" t="s">
        <v>7548</v>
      </c>
      <c r="E96" s="848" t="s">
        <v>8582</v>
      </c>
      <c r="F96" s="848" t="s">
        <v>10947</v>
      </c>
      <c r="G96" s="850" t="s">
        <v>10948</v>
      </c>
      <c r="H96" s="849" t="s">
        <v>10716</v>
      </c>
      <c r="I96" s="849"/>
      <c r="J96" s="851">
        <v>613.38</v>
      </c>
      <c r="K96" s="848" t="s">
        <v>6301</v>
      </c>
    </row>
    <row r="97" spans="2:11">
      <c r="B97" s="848">
        <v>94</v>
      </c>
      <c r="C97" s="848" t="s">
        <v>10934</v>
      </c>
      <c r="D97" s="849" t="s">
        <v>7548</v>
      </c>
      <c r="E97" s="848" t="s">
        <v>8582</v>
      </c>
      <c r="F97" s="848" t="s">
        <v>10949</v>
      </c>
      <c r="G97" s="850" t="s">
        <v>10950</v>
      </c>
      <c r="H97" s="849" t="s">
        <v>10716</v>
      </c>
      <c r="I97" s="849"/>
      <c r="J97" s="851">
        <v>5.13</v>
      </c>
      <c r="K97" s="848" t="s">
        <v>10951</v>
      </c>
    </row>
    <row r="98" spans="2:11">
      <c r="B98" s="848">
        <v>95</v>
      </c>
      <c r="C98" s="848" t="s">
        <v>10934</v>
      </c>
      <c r="D98" s="849" t="s">
        <v>7548</v>
      </c>
      <c r="E98" s="848" t="s">
        <v>8582</v>
      </c>
      <c r="F98" s="848" t="s">
        <v>10952</v>
      </c>
      <c r="G98" s="850" t="s">
        <v>10953</v>
      </c>
      <c r="H98" s="849" t="s">
        <v>10716</v>
      </c>
      <c r="I98" s="849"/>
      <c r="J98" s="851">
        <v>5.13</v>
      </c>
      <c r="K98" s="848" t="s">
        <v>10954</v>
      </c>
    </row>
    <row r="99" spans="2:11">
      <c r="B99" s="848">
        <v>96</v>
      </c>
      <c r="C99" s="848" t="s">
        <v>1290</v>
      </c>
      <c r="D99" s="849" t="s">
        <v>88</v>
      </c>
      <c r="E99" s="848" t="s">
        <v>10754</v>
      </c>
      <c r="F99" s="848" t="s">
        <v>10955</v>
      </c>
      <c r="G99" s="850" t="s">
        <v>10956</v>
      </c>
      <c r="H99" s="849" t="s">
        <v>10716</v>
      </c>
      <c r="I99" s="849"/>
      <c r="J99" s="851">
        <v>3908</v>
      </c>
      <c r="K99" s="848" t="s">
        <v>10957</v>
      </c>
    </row>
    <row r="100" spans="2:11">
      <c r="B100" s="848">
        <v>97</v>
      </c>
      <c r="C100" s="848" t="s">
        <v>1290</v>
      </c>
      <c r="D100" s="849" t="s">
        <v>88</v>
      </c>
      <c r="E100" s="848" t="s">
        <v>10754</v>
      </c>
      <c r="F100" s="848" t="s">
        <v>10958</v>
      </c>
      <c r="G100" s="850" t="s">
        <v>10959</v>
      </c>
      <c r="H100" s="849" t="s">
        <v>10716</v>
      </c>
      <c r="I100" s="849"/>
      <c r="J100" s="851">
        <v>2970.08</v>
      </c>
      <c r="K100" s="848" t="s">
        <v>10960</v>
      </c>
    </row>
    <row r="101" spans="2:11">
      <c r="B101" s="848">
        <v>98</v>
      </c>
      <c r="C101" s="848" t="s">
        <v>1290</v>
      </c>
      <c r="D101" s="849" t="s">
        <v>88</v>
      </c>
      <c r="E101" s="848" t="s">
        <v>10754</v>
      </c>
      <c r="F101" s="848" t="s">
        <v>10961</v>
      </c>
      <c r="G101" s="850" t="s">
        <v>10962</v>
      </c>
      <c r="H101" s="849" t="s">
        <v>10716</v>
      </c>
      <c r="I101" s="849"/>
      <c r="J101" s="851">
        <v>1641.36</v>
      </c>
      <c r="K101" s="848" t="s">
        <v>10963</v>
      </c>
    </row>
    <row r="102" spans="2:11">
      <c r="B102" s="848">
        <v>99</v>
      </c>
      <c r="C102" s="848" t="s">
        <v>1290</v>
      </c>
      <c r="D102" s="849" t="s">
        <v>88</v>
      </c>
      <c r="E102" s="848" t="s">
        <v>10754</v>
      </c>
      <c r="F102" s="848" t="s">
        <v>10964</v>
      </c>
      <c r="G102" s="850" t="s">
        <v>10965</v>
      </c>
      <c r="H102" s="849" t="s">
        <v>10716</v>
      </c>
      <c r="I102" s="849"/>
      <c r="J102" s="851">
        <v>5367.11</v>
      </c>
      <c r="K102" s="848" t="s">
        <v>10966</v>
      </c>
    </row>
    <row r="103" spans="2:11">
      <c r="B103" s="848">
        <v>100</v>
      </c>
      <c r="C103" s="848" t="s">
        <v>1290</v>
      </c>
      <c r="D103" s="849" t="s">
        <v>88</v>
      </c>
      <c r="E103" s="848" t="s">
        <v>10754</v>
      </c>
      <c r="F103" s="848" t="s">
        <v>10967</v>
      </c>
      <c r="G103" s="850" t="s">
        <v>10968</v>
      </c>
      <c r="H103" s="849" t="s">
        <v>10716</v>
      </c>
      <c r="I103" s="849"/>
      <c r="J103" s="851">
        <v>3790.76</v>
      </c>
      <c r="K103" s="848" t="s">
        <v>10969</v>
      </c>
    </row>
    <row r="104" spans="2:11">
      <c r="B104" s="848">
        <v>101</v>
      </c>
      <c r="C104" s="848" t="s">
        <v>1290</v>
      </c>
      <c r="D104" s="849" t="s">
        <v>88</v>
      </c>
      <c r="E104" s="848" t="s">
        <v>10754</v>
      </c>
      <c r="F104" s="848" t="s">
        <v>10970</v>
      </c>
      <c r="G104" s="850" t="s">
        <v>10971</v>
      </c>
      <c r="H104" s="849" t="s">
        <v>10716</v>
      </c>
      <c r="I104" s="849"/>
      <c r="J104" s="851">
        <v>3399.96</v>
      </c>
      <c r="K104" s="848" t="s">
        <v>10972</v>
      </c>
    </row>
    <row r="105" spans="2:11">
      <c r="B105" s="848">
        <v>102</v>
      </c>
      <c r="C105" s="848" t="s">
        <v>1290</v>
      </c>
      <c r="D105" s="849" t="s">
        <v>88</v>
      </c>
      <c r="E105" s="848" t="s">
        <v>10754</v>
      </c>
      <c r="F105" s="848" t="s">
        <v>10973</v>
      </c>
      <c r="G105" s="850" t="s">
        <v>10974</v>
      </c>
      <c r="H105" s="849" t="s">
        <v>10716</v>
      </c>
      <c r="I105" s="849"/>
      <c r="J105" s="851">
        <v>4142.4799999999996</v>
      </c>
      <c r="K105" s="848" t="s">
        <v>10975</v>
      </c>
    </row>
    <row r="106" spans="2:11">
      <c r="B106" s="848">
        <v>103</v>
      </c>
      <c r="C106" s="848" t="s">
        <v>1290</v>
      </c>
      <c r="D106" s="849" t="s">
        <v>88</v>
      </c>
      <c r="E106" s="848" t="s">
        <v>10754</v>
      </c>
      <c r="F106" s="848" t="s">
        <v>10976</v>
      </c>
      <c r="G106" s="850" t="s">
        <v>10977</v>
      </c>
      <c r="H106" s="849" t="s">
        <v>10716</v>
      </c>
      <c r="I106" s="849"/>
      <c r="J106" s="851">
        <v>2422.96</v>
      </c>
      <c r="K106" s="848" t="s">
        <v>10978</v>
      </c>
    </row>
    <row r="107" spans="2:11">
      <c r="B107" s="848">
        <v>104</v>
      </c>
      <c r="C107" s="848" t="s">
        <v>1290</v>
      </c>
      <c r="D107" s="849" t="s">
        <v>88</v>
      </c>
      <c r="E107" s="848" t="s">
        <v>10754</v>
      </c>
      <c r="F107" s="848" t="s">
        <v>10979</v>
      </c>
      <c r="G107" s="850" t="s">
        <v>10980</v>
      </c>
      <c r="H107" s="849" t="s">
        <v>10716</v>
      </c>
      <c r="I107" s="849"/>
      <c r="J107" s="851">
        <v>6370.04</v>
      </c>
      <c r="K107" s="848" t="s">
        <v>10981</v>
      </c>
    </row>
    <row r="108" spans="2:11">
      <c r="B108" s="848">
        <v>105</v>
      </c>
      <c r="C108" s="848" t="s">
        <v>1290</v>
      </c>
      <c r="D108" s="849" t="s">
        <v>88</v>
      </c>
      <c r="E108" s="848" t="s">
        <v>10754</v>
      </c>
      <c r="F108" s="848" t="s">
        <v>10982</v>
      </c>
      <c r="G108" s="850" t="s">
        <v>10983</v>
      </c>
      <c r="H108" s="849" t="s">
        <v>10716</v>
      </c>
      <c r="I108" s="849"/>
      <c r="J108" s="851">
        <v>2383.88</v>
      </c>
      <c r="K108" s="848" t="s">
        <v>10984</v>
      </c>
    </row>
    <row r="109" spans="2:11">
      <c r="B109" s="848">
        <v>106</v>
      </c>
      <c r="C109" s="848" t="s">
        <v>1290</v>
      </c>
      <c r="D109" s="849" t="s">
        <v>88</v>
      </c>
      <c r="E109" s="848" t="s">
        <v>10754</v>
      </c>
      <c r="F109" s="848" t="s">
        <v>10985</v>
      </c>
      <c r="G109" s="850" t="s">
        <v>10986</v>
      </c>
      <c r="H109" s="849" t="s">
        <v>10716</v>
      </c>
      <c r="I109" s="849"/>
      <c r="J109" s="851">
        <v>3908</v>
      </c>
      <c r="K109" s="848" t="s">
        <v>10987</v>
      </c>
    </row>
    <row r="110" spans="2:11">
      <c r="B110" s="848">
        <v>107</v>
      </c>
      <c r="C110" s="848" t="s">
        <v>1290</v>
      </c>
      <c r="D110" s="849" t="s">
        <v>88</v>
      </c>
      <c r="E110" s="848" t="s">
        <v>10754</v>
      </c>
      <c r="F110" s="848" t="s">
        <v>10988</v>
      </c>
      <c r="G110" s="850" t="s">
        <v>10989</v>
      </c>
      <c r="H110" s="849" t="s">
        <v>10716</v>
      </c>
      <c r="I110" s="849"/>
      <c r="J110" s="851">
        <v>3204.56</v>
      </c>
      <c r="K110" s="848" t="s">
        <v>10990</v>
      </c>
    </row>
    <row r="111" spans="2:11">
      <c r="B111" s="848">
        <v>108</v>
      </c>
      <c r="C111" s="848" t="s">
        <v>1290</v>
      </c>
      <c r="D111" s="849" t="s">
        <v>88</v>
      </c>
      <c r="E111" s="848" t="s">
        <v>10754</v>
      </c>
      <c r="F111" s="848" t="s">
        <v>10991</v>
      </c>
      <c r="G111" s="850" t="s">
        <v>10992</v>
      </c>
      <c r="H111" s="849" t="s">
        <v>10716</v>
      </c>
      <c r="I111" s="849"/>
      <c r="J111" s="851">
        <v>3790.76</v>
      </c>
      <c r="K111" s="848" t="s">
        <v>10993</v>
      </c>
    </row>
    <row r="112" spans="2:11">
      <c r="B112" s="848">
        <v>109</v>
      </c>
      <c r="C112" s="848" t="s">
        <v>1290</v>
      </c>
      <c r="D112" s="849" t="s">
        <v>88</v>
      </c>
      <c r="E112" s="848" t="s">
        <v>10754</v>
      </c>
      <c r="F112" s="848" t="s">
        <v>10922</v>
      </c>
      <c r="G112" s="850" t="s">
        <v>10994</v>
      </c>
      <c r="H112" s="849" t="s">
        <v>10716</v>
      </c>
      <c r="I112" s="849"/>
      <c r="J112" s="851">
        <v>1954</v>
      </c>
      <c r="K112" s="848" t="s">
        <v>10995</v>
      </c>
    </row>
    <row r="113" spans="2:11">
      <c r="B113" s="848">
        <v>110</v>
      </c>
      <c r="C113" s="848" t="s">
        <v>1290</v>
      </c>
      <c r="D113" s="849" t="s">
        <v>88</v>
      </c>
      <c r="E113" s="848" t="s">
        <v>10754</v>
      </c>
      <c r="F113" s="848" t="s">
        <v>10919</v>
      </c>
      <c r="G113" s="850" t="s">
        <v>10996</v>
      </c>
      <c r="H113" s="849" t="s">
        <v>10716</v>
      </c>
      <c r="I113" s="849"/>
      <c r="J113" s="851">
        <v>3595.36</v>
      </c>
      <c r="K113" s="848" t="s">
        <v>10997</v>
      </c>
    </row>
    <row r="114" spans="2:11">
      <c r="B114" s="848">
        <v>111</v>
      </c>
      <c r="C114" s="848" t="s">
        <v>1290</v>
      </c>
      <c r="D114" s="849" t="s">
        <v>88</v>
      </c>
      <c r="E114" s="848" t="s">
        <v>10754</v>
      </c>
      <c r="F114" s="848" t="s">
        <v>10998</v>
      </c>
      <c r="G114" s="850" t="s">
        <v>10999</v>
      </c>
      <c r="H114" s="849" t="s">
        <v>10716</v>
      </c>
      <c r="I114" s="849"/>
      <c r="J114" s="851">
        <v>3908</v>
      </c>
      <c r="K114" s="848" t="s">
        <v>11000</v>
      </c>
    </row>
    <row r="115" spans="2:11">
      <c r="B115" s="848">
        <v>112</v>
      </c>
      <c r="C115" s="848" t="s">
        <v>1290</v>
      </c>
      <c r="D115" s="849" t="s">
        <v>88</v>
      </c>
      <c r="E115" s="848" t="s">
        <v>10754</v>
      </c>
      <c r="F115" s="848" t="s">
        <v>11001</v>
      </c>
      <c r="G115" s="850" t="s">
        <v>11002</v>
      </c>
      <c r="H115" s="849" t="s">
        <v>10716</v>
      </c>
      <c r="I115" s="849"/>
      <c r="J115" s="851">
        <v>2735.6</v>
      </c>
      <c r="K115" s="848" t="s">
        <v>11003</v>
      </c>
    </row>
    <row r="116" spans="2:11">
      <c r="B116" s="848">
        <v>113</v>
      </c>
      <c r="C116" s="848" t="s">
        <v>1290</v>
      </c>
      <c r="D116" s="849" t="s">
        <v>88</v>
      </c>
      <c r="E116" s="848" t="s">
        <v>10754</v>
      </c>
      <c r="F116" s="848" t="s">
        <v>11004</v>
      </c>
      <c r="G116" s="850" t="s">
        <v>11005</v>
      </c>
      <c r="H116" s="849" t="s">
        <v>10716</v>
      </c>
      <c r="I116" s="849"/>
      <c r="J116" s="851">
        <v>3751.68</v>
      </c>
      <c r="K116" s="848" t="s">
        <v>11006</v>
      </c>
    </row>
    <row r="117" spans="2:11">
      <c r="B117" s="848">
        <v>114</v>
      </c>
      <c r="C117" s="848" t="s">
        <v>1290</v>
      </c>
      <c r="D117" s="849" t="s">
        <v>88</v>
      </c>
      <c r="E117" s="848" t="s">
        <v>10754</v>
      </c>
      <c r="F117" s="848" t="s">
        <v>11007</v>
      </c>
      <c r="G117" s="850" t="s">
        <v>11008</v>
      </c>
      <c r="H117" s="849" t="s">
        <v>10716</v>
      </c>
      <c r="I117" s="849"/>
      <c r="J117" s="851">
        <v>10734.22</v>
      </c>
      <c r="K117" s="848" t="s">
        <v>6398</v>
      </c>
    </row>
    <row r="118" spans="2:11">
      <c r="B118" s="848">
        <v>115</v>
      </c>
      <c r="C118" s="848" t="s">
        <v>1290</v>
      </c>
      <c r="D118" s="849" t="s">
        <v>88</v>
      </c>
      <c r="E118" s="848" t="s">
        <v>10754</v>
      </c>
      <c r="F118" s="848" t="s">
        <v>11009</v>
      </c>
      <c r="G118" s="850" t="s">
        <v>11010</v>
      </c>
      <c r="H118" s="849" t="s">
        <v>10716</v>
      </c>
      <c r="I118" s="849"/>
      <c r="J118" s="851">
        <v>9584.1299999999992</v>
      </c>
      <c r="K118" s="848" t="s">
        <v>6407</v>
      </c>
    </row>
    <row r="119" spans="2:11">
      <c r="B119" s="848">
        <v>116</v>
      </c>
      <c r="C119" s="848" t="s">
        <v>1330</v>
      </c>
      <c r="D119" s="849" t="s">
        <v>7984</v>
      </c>
      <c r="E119" s="848" t="s">
        <v>10757</v>
      </c>
      <c r="F119" s="848" t="s">
        <v>11011</v>
      </c>
      <c r="G119" s="850" t="s">
        <v>11012</v>
      </c>
      <c r="H119" s="849" t="s">
        <v>10716</v>
      </c>
      <c r="I119" s="849"/>
      <c r="J119" s="851">
        <v>10910.43</v>
      </c>
      <c r="K119" s="848" t="s">
        <v>11013</v>
      </c>
    </row>
    <row r="120" spans="2:11">
      <c r="B120" s="848">
        <v>117</v>
      </c>
      <c r="C120" s="848" t="s">
        <v>1355</v>
      </c>
      <c r="D120" s="849" t="s">
        <v>7970</v>
      </c>
      <c r="E120" s="848" t="s">
        <v>9469</v>
      </c>
      <c r="F120" s="848" t="s">
        <v>11014</v>
      </c>
      <c r="G120" s="850" t="s">
        <v>11015</v>
      </c>
      <c r="H120" s="849" t="s">
        <v>10716</v>
      </c>
      <c r="I120" s="849"/>
      <c r="J120" s="851">
        <v>2377</v>
      </c>
      <c r="K120" s="848" t="s">
        <v>11016</v>
      </c>
    </row>
    <row r="121" spans="2:11">
      <c r="B121" s="848">
        <v>118</v>
      </c>
      <c r="C121" s="848" t="s">
        <v>1355</v>
      </c>
      <c r="D121" s="849" t="s">
        <v>7970</v>
      </c>
      <c r="E121" s="848" t="s">
        <v>9469</v>
      </c>
      <c r="F121" s="848" t="s">
        <v>11017</v>
      </c>
      <c r="G121" s="850" t="s">
        <v>11018</v>
      </c>
      <c r="H121" s="849" t="s">
        <v>10716</v>
      </c>
      <c r="I121" s="849"/>
      <c r="J121" s="851">
        <v>2186.84</v>
      </c>
      <c r="K121" s="848" t="s">
        <v>11019</v>
      </c>
    </row>
    <row r="122" spans="2:11">
      <c r="B122" s="848">
        <v>119</v>
      </c>
      <c r="C122" s="848" t="s">
        <v>1355</v>
      </c>
      <c r="D122" s="849" t="s">
        <v>7970</v>
      </c>
      <c r="E122" s="848" t="s">
        <v>9469</v>
      </c>
      <c r="F122" s="848" t="s">
        <v>11020</v>
      </c>
      <c r="G122" s="850" t="s">
        <v>11021</v>
      </c>
      <c r="H122" s="849" t="s">
        <v>10716</v>
      </c>
      <c r="I122" s="849"/>
      <c r="J122" s="851">
        <v>213.93</v>
      </c>
      <c r="K122" s="848" t="s">
        <v>11022</v>
      </c>
    </row>
    <row r="123" spans="2:11">
      <c r="B123" s="848">
        <v>120</v>
      </c>
      <c r="C123" s="848" t="s">
        <v>11023</v>
      </c>
      <c r="D123" s="849" t="s">
        <v>11024</v>
      </c>
      <c r="E123" s="848" t="s">
        <v>9418</v>
      </c>
      <c r="F123" s="848" t="s">
        <v>11025</v>
      </c>
      <c r="G123" s="850" t="s">
        <v>11026</v>
      </c>
      <c r="H123" s="849" t="s">
        <v>10716</v>
      </c>
      <c r="I123" s="849"/>
      <c r="J123" s="851">
        <v>82</v>
      </c>
      <c r="K123" s="848" t="s">
        <v>6002</v>
      </c>
    </row>
    <row r="124" spans="2:11">
      <c r="B124" s="848">
        <v>121</v>
      </c>
      <c r="C124" s="848" t="s">
        <v>11023</v>
      </c>
      <c r="D124" s="849" t="s">
        <v>11024</v>
      </c>
      <c r="E124" s="848" t="s">
        <v>3222</v>
      </c>
      <c r="F124" s="848" t="s">
        <v>11027</v>
      </c>
      <c r="G124" s="850" t="s">
        <v>11028</v>
      </c>
      <c r="H124" s="849" t="s">
        <v>10716</v>
      </c>
      <c r="I124" s="849"/>
      <c r="J124" s="851">
        <v>29902.47</v>
      </c>
      <c r="K124" s="848" t="s">
        <v>6777</v>
      </c>
    </row>
    <row r="125" spans="2:11">
      <c r="B125" s="848">
        <v>122</v>
      </c>
      <c r="C125" s="848" t="s">
        <v>11023</v>
      </c>
      <c r="D125" s="849" t="s">
        <v>11024</v>
      </c>
      <c r="E125" s="848" t="s">
        <v>9499</v>
      </c>
      <c r="F125" s="848" t="s">
        <v>11029</v>
      </c>
      <c r="G125" s="850" t="s">
        <v>11030</v>
      </c>
      <c r="H125" s="849" t="s">
        <v>10716</v>
      </c>
      <c r="I125" s="849"/>
      <c r="J125" s="851">
        <v>82.091231999999991</v>
      </c>
      <c r="K125" s="848" t="s">
        <v>6003</v>
      </c>
    </row>
    <row r="126" spans="2:11">
      <c r="B126" s="848">
        <v>123</v>
      </c>
      <c r="C126" s="848" t="s">
        <v>11023</v>
      </c>
      <c r="D126" s="849" t="s">
        <v>11024</v>
      </c>
      <c r="E126" s="848" t="s">
        <v>9499</v>
      </c>
      <c r="F126" s="848" t="s">
        <v>11031</v>
      </c>
      <c r="G126" s="850" t="s">
        <v>11032</v>
      </c>
      <c r="H126" s="849" t="s">
        <v>10716</v>
      </c>
      <c r="I126" s="849"/>
      <c r="J126" s="851">
        <v>34.204679999999996</v>
      </c>
      <c r="K126" s="848" t="s">
        <v>6809</v>
      </c>
    </row>
    <row r="127" spans="2:11">
      <c r="B127" s="848">
        <v>124</v>
      </c>
      <c r="C127" s="848" t="s">
        <v>11023</v>
      </c>
      <c r="D127" s="849" t="s">
        <v>11024</v>
      </c>
      <c r="E127" s="848" t="s">
        <v>9499</v>
      </c>
      <c r="F127" s="848" t="s">
        <v>11033</v>
      </c>
      <c r="G127" s="850" t="s">
        <v>11034</v>
      </c>
      <c r="H127" s="849" t="s">
        <v>10716</v>
      </c>
      <c r="I127" s="849"/>
      <c r="J127" s="851">
        <v>17.102339999999998</v>
      </c>
      <c r="K127" s="848" t="s">
        <v>6810</v>
      </c>
    </row>
    <row r="128" spans="2:11">
      <c r="B128" s="848">
        <v>125</v>
      </c>
      <c r="C128" s="848" t="s">
        <v>697</v>
      </c>
      <c r="D128" s="849" t="s">
        <v>11035</v>
      </c>
      <c r="E128" s="848" t="s">
        <v>3344</v>
      </c>
      <c r="F128" s="848" t="s">
        <v>11036</v>
      </c>
      <c r="G128" s="850" t="s">
        <v>11037</v>
      </c>
      <c r="H128" s="849" t="s">
        <v>10716</v>
      </c>
      <c r="I128" s="849"/>
      <c r="J128" s="851">
        <v>12651.05</v>
      </c>
      <c r="K128" s="848" t="s">
        <v>5842</v>
      </c>
    </row>
    <row r="129" spans="2:11">
      <c r="B129" s="848">
        <v>126</v>
      </c>
      <c r="C129" s="848" t="s">
        <v>724</v>
      </c>
      <c r="D129" s="849" t="s">
        <v>11035</v>
      </c>
      <c r="E129" s="848" t="s">
        <v>3761</v>
      </c>
      <c r="F129" s="848" t="s">
        <v>11038</v>
      </c>
      <c r="G129" s="850" t="s">
        <v>11039</v>
      </c>
      <c r="H129" s="849" t="s">
        <v>10716</v>
      </c>
      <c r="I129" s="849"/>
      <c r="J129" s="851">
        <v>784.87</v>
      </c>
      <c r="K129" s="848" t="s">
        <v>5992</v>
      </c>
    </row>
    <row r="130" spans="2:11">
      <c r="B130" s="848">
        <v>127</v>
      </c>
      <c r="C130" s="848" t="s">
        <v>11040</v>
      </c>
      <c r="D130" s="849" t="s">
        <v>8081</v>
      </c>
      <c r="E130" s="848" t="s">
        <v>3344</v>
      </c>
      <c r="F130" s="848" t="s">
        <v>11041</v>
      </c>
      <c r="G130" s="850" t="s">
        <v>11042</v>
      </c>
      <c r="H130" s="849" t="s">
        <v>10716</v>
      </c>
      <c r="I130" s="849"/>
      <c r="J130" s="851">
        <v>619</v>
      </c>
      <c r="K130" s="848" t="s">
        <v>11043</v>
      </c>
    </row>
    <row r="131" spans="2:11">
      <c r="B131" s="848">
        <v>128</v>
      </c>
      <c r="C131" s="848" t="s">
        <v>11044</v>
      </c>
      <c r="D131" s="849" t="s">
        <v>5728</v>
      </c>
      <c r="E131" s="848" t="s">
        <v>11045</v>
      </c>
      <c r="F131" s="848" t="s">
        <v>11046</v>
      </c>
      <c r="G131" s="850" t="s">
        <v>11047</v>
      </c>
      <c r="H131" s="849" t="s">
        <v>10716</v>
      </c>
      <c r="I131" s="849"/>
      <c r="J131" s="851">
        <v>22.009049999999995</v>
      </c>
      <c r="K131" s="848" t="s">
        <v>6557</v>
      </c>
    </row>
    <row r="132" spans="2:11">
      <c r="B132" s="848">
        <v>129</v>
      </c>
      <c r="C132" s="848" t="s">
        <v>11044</v>
      </c>
      <c r="D132" s="849" t="s">
        <v>5728</v>
      </c>
      <c r="E132" s="848" t="s">
        <v>11045</v>
      </c>
      <c r="F132" s="848" t="s">
        <v>11048</v>
      </c>
      <c r="G132" s="850" t="s">
        <v>11049</v>
      </c>
      <c r="H132" s="849" t="s">
        <v>10716</v>
      </c>
      <c r="I132" s="849"/>
      <c r="J132" s="851">
        <v>22.009049999999995</v>
      </c>
      <c r="K132" s="848" t="s">
        <v>6558</v>
      </c>
    </row>
    <row r="133" spans="2:11">
      <c r="B133" s="848">
        <v>130</v>
      </c>
      <c r="C133" s="848" t="s">
        <v>11050</v>
      </c>
      <c r="D133" s="849" t="s">
        <v>197</v>
      </c>
      <c r="E133" s="848" t="s">
        <v>11051</v>
      </c>
      <c r="F133" s="848" t="s">
        <v>11052</v>
      </c>
      <c r="G133" s="850" t="s">
        <v>11053</v>
      </c>
      <c r="H133" s="849" t="s">
        <v>10716</v>
      </c>
      <c r="I133" s="849"/>
      <c r="J133" s="851">
        <v>12.54</v>
      </c>
      <c r="K133" s="848" t="s">
        <v>6310</v>
      </c>
    </row>
    <row r="134" spans="2:11">
      <c r="B134" s="848">
        <v>131</v>
      </c>
      <c r="C134" s="848" t="s">
        <v>11050</v>
      </c>
      <c r="D134" s="849" t="s">
        <v>197</v>
      </c>
      <c r="E134" s="848" t="s">
        <v>3248</v>
      </c>
      <c r="F134" s="848" t="s">
        <v>11054</v>
      </c>
      <c r="G134" s="850" t="s">
        <v>11031</v>
      </c>
      <c r="H134" s="849" t="s">
        <v>10716</v>
      </c>
      <c r="I134" s="849"/>
      <c r="J134" s="851">
        <v>59.75</v>
      </c>
      <c r="K134" s="848" t="s">
        <v>11055</v>
      </c>
    </row>
    <row r="135" spans="2:11">
      <c r="B135" s="848">
        <v>132</v>
      </c>
      <c r="C135" s="848" t="s">
        <v>11050</v>
      </c>
      <c r="D135" s="849" t="s">
        <v>197</v>
      </c>
      <c r="E135" s="848" t="s">
        <v>3248</v>
      </c>
      <c r="F135" s="848" t="s">
        <v>11056</v>
      </c>
      <c r="G135" s="850" t="s">
        <v>11029</v>
      </c>
      <c r="H135" s="849" t="s">
        <v>10716</v>
      </c>
      <c r="I135" s="849"/>
      <c r="J135" s="851">
        <v>44.81</v>
      </c>
      <c r="K135" s="848" t="s">
        <v>11057</v>
      </c>
    </row>
    <row r="136" spans="2:11">
      <c r="B136" s="848">
        <v>133</v>
      </c>
      <c r="C136" s="848" t="s">
        <v>11050</v>
      </c>
      <c r="D136" s="849" t="s">
        <v>197</v>
      </c>
      <c r="E136" s="848" t="s">
        <v>3248</v>
      </c>
      <c r="F136" s="848" t="s">
        <v>11058</v>
      </c>
      <c r="G136" s="850" t="s">
        <v>11059</v>
      </c>
      <c r="H136" s="849" t="s">
        <v>10716</v>
      </c>
      <c r="I136" s="849"/>
      <c r="J136" s="851">
        <v>74.69</v>
      </c>
      <c r="K136" s="848" t="s">
        <v>11060</v>
      </c>
    </row>
    <row r="137" spans="2:11">
      <c r="B137" s="848">
        <v>134</v>
      </c>
      <c r="C137" s="848" t="s">
        <v>11050</v>
      </c>
      <c r="D137" s="849" t="s">
        <v>197</v>
      </c>
      <c r="E137" s="848" t="s">
        <v>3248</v>
      </c>
      <c r="F137" s="848" t="s">
        <v>11061</v>
      </c>
      <c r="G137" s="850" t="s">
        <v>11062</v>
      </c>
      <c r="H137" s="849" t="s">
        <v>10716</v>
      </c>
      <c r="I137" s="849"/>
      <c r="J137" s="851">
        <v>71.13</v>
      </c>
      <c r="K137" s="848" t="s">
        <v>11063</v>
      </c>
    </row>
    <row r="138" spans="2:11">
      <c r="B138" s="848">
        <v>135</v>
      </c>
      <c r="C138" s="848" t="s">
        <v>11050</v>
      </c>
      <c r="D138" s="849" t="s">
        <v>197</v>
      </c>
      <c r="E138" s="848" t="s">
        <v>3248</v>
      </c>
      <c r="F138" s="848" t="s">
        <v>11064</v>
      </c>
      <c r="G138" s="850" t="s">
        <v>11065</v>
      </c>
      <c r="H138" s="849" t="s">
        <v>10716</v>
      </c>
      <c r="I138" s="849"/>
      <c r="J138" s="851">
        <v>95.08</v>
      </c>
      <c r="K138" s="848" t="s">
        <v>6414</v>
      </c>
    </row>
    <row r="139" spans="2:11">
      <c r="B139" s="848">
        <v>136</v>
      </c>
      <c r="C139" s="848" t="s">
        <v>1385</v>
      </c>
      <c r="D139" s="849" t="s">
        <v>126</v>
      </c>
      <c r="E139" s="848" t="s">
        <v>11066</v>
      </c>
      <c r="F139" s="848" t="s">
        <v>11067</v>
      </c>
      <c r="G139" s="850" t="s">
        <v>11068</v>
      </c>
      <c r="H139" s="849" t="s">
        <v>10716</v>
      </c>
      <c r="I139" s="849"/>
      <c r="J139" s="851">
        <v>1533.46</v>
      </c>
      <c r="K139" s="848" t="s">
        <v>11069</v>
      </c>
    </row>
    <row r="140" spans="2:11">
      <c r="B140" s="848">
        <v>137</v>
      </c>
      <c r="C140" s="848" t="s">
        <v>7111</v>
      </c>
      <c r="D140" s="849" t="s">
        <v>7983</v>
      </c>
      <c r="E140" s="848" t="s">
        <v>9441</v>
      </c>
      <c r="F140" s="848" t="s">
        <v>11070</v>
      </c>
      <c r="G140" s="850" t="s">
        <v>11071</v>
      </c>
      <c r="H140" s="849" t="s">
        <v>10716</v>
      </c>
      <c r="I140" s="849"/>
      <c r="J140" s="851">
        <v>1150.0999999999999</v>
      </c>
      <c r="K140" s="848" t="s">
        <v>11072</v>
      </c>
    </row>
    <row r="141" spans="2:11">
      <c r="B141" s="848">
        <v>138</v>
      </c>
      <c r="C141" s="848" t="s">
        <v>11073</v>
      </c>
      <c r="D141" s="849" t="s">
        <v>8068</v>
      </c>
      <c r="E141" s="848" t="s">
        <v>3233</v>
      </c>
      <c r="F141" s="848" t="s">
        <v>10943</v>
      </c>
      <c r="G141" s="850" t="s">
        <v>11074</v>
      </c>
      <c r="H141" s="849" t="s">
        <v>10716</v>
      </c>
      <c r="I141" s="849"/>
      <c r="J141" s="851">
        <v>950.8</v>
      </c>
      <c r="K141" s="848" t="s">
        <v>11075</v>
      </c>
    </row>
    <row r="142" spans="2:11">
      <c r="B142" s="848">
        <v>139</v>
      </c>
      <c r="C142" s="848" t="s">
        <v>11073</v>
      </c>
      <c r="D142" s="849" t="s">
        <v>11076</v>
      </c>
      <c r="E142" s="848" t="s">
        <v>3233</v>
      </c>
      <c r="F142" s="848" t="s">
        <v>11077</v>
      </c>
      <c r="G142" s="850" t="s">
        <v>11078</v>
      </c>
      <c r="H142" s="849" t="s">
        <v>10716</v>
      </c>
      <c r="I142" s="849"/>
      <c r="J142" s="851">
        <v>11354.43</v>
      </c>
      <c r="K142" s="848" t="s">
        <v>11075</v>
      </c>
    </row>
    <row r="143" spans="2:11">
      <c r="B143" s="848">
        <v>140</v>
      </c>
      <c r="C143" s="848" t="s">
        <v>11073</v>
      </c>
      <c r="D143" s="849" t="s">
        <v>8068</v>
      </c>
      <c r="E143" s="848" t="s">
        <v>3233</v>
      </c>
      <c r="F143" s="848" t="s">
        <v>11079</v>
      </c>
      <c r="G143" s="850" t="s">
        <v>11080</v>
      </c>
      <c r="H143" s="849" t="s">
        <v>10716</v>
      </c>
      <c r="I143" s="849"/>
      <c r="J143" s="851">
        <v>948.23</v>
      </c>
      <c r="K143" s="848" t="s">
        <v>11075</v>
      </c>
    </row>
    <row r="144" spans="2:11">
      <c r="B144" s="848">
        <v>141</v>
      </c>
      <c r="C144" s="848" t="s">
        <v>11073</v>
      </c>
      <c r="D144" s="849" t="s">
        <v>8068</v>
      </c>
      <c r="E144" s="848" t="s">
        <v>3761</v>
      </c>
      <c r="F144" s="848" t="s">
        <v>10740</v>
      </c>
      <c r="G144" s="850" t="s">
        <v>11081</v>
      </c>
      <c r="H144" s="849" t="s">
        <v>10716</v>
      </c>
      <c r="I144" s="849"/>
      <c r="J144" s="851">
        <v>948.23</v>
      </c>
      <c r="K144" s="848" t="s">
        <v>11075</v>
      </c>
    </row>
    <row r="145" spans="2:11" ht="25">
      <c r="B145" s="848">
        <v>142</v>
      </c>
      <c r="C145" s="848" t="s">
        <v>1432</v>
      </c>
      <c r="D145" s="849" t="s">
        <v>7108</v>
      </c>
      <c r="E145" s="848" t="s">
        <v>11082</v>
      </c>
      <c r="F145" s="848" t="s">
        <v>11083</v>
      </c>
      <c r="G145" s="850" t="s">
        <v>11084</v>
      </c>
      <c r="H145" s="849" t="s">
        <v>10716</v>
      </c>
      <c r="I145" s="849"/>
      <c r="J145" s="851">
        <v>48</v>
      </c>
      <c r="K145" s="848" t="s">
        <v>6245</v>
      </c>
    </row>
    <row r="146" spans="2:11">
      <c r="B146" s="848">
        <v>143</v>
      </c>
      <c r="C146" s="848" t="s">
        <v>1379</v>
      </c>
      <c r="D146" s="849" t="s">
        <v>331</v>
      </c>
      <c r="E146" s="848" t="s">
        <v>11085</v>
      </c>
      <c r="F146" s="848" t="s">
        <v>11086</v>
      </c>
      <c r="G146" s="850" t="s">
        <v>11087</v>
      </c>
      <c r="H146" s="849" t="s">
        <v>10716</v>
      </c>
      <c r="I146" s="849"/>
      <c r="J146" s="851">
        <v>88.55</v>
      </c>
      <c r="K146" s="848" t="s">
        <v>5963</v>
      </c>
    </row>
    <row r="147" spans="2:11">
      <c r="B147" s="848">
        <v>144</v>
      </c>
      <c r="C147" s="848" t="s">
        <v>473</v>
      </c>
      <c r="D147" s="849" t="s">
        <v>7209</v>
      </c>
      <c r="E147" s="848" t="s">
        <v>3393</v>
      </c>
      <c r="F147" s="848" t="s">
        <v>11088</v>
      </c>
      <c r="G147" s="850" t="s">
        <v>11089</v>
      </c>
      <c r="H147" s="849" t="s">
        <v>10716</v>
      </c>
      <c r="I147" s="849"/>
      <c r="J147" s="851">
        <v>16868.060000000001</v>
      </c>
      <c r="K147" s="848" t="s">
        <v>11090</v>
      </c>
    </row>
    <row r="148" spans="2:11">
      <c r="B148" s="848">
        <v>145</v>
      </c>
      <c r="C148" s="848" t="s">
        <v>473</v>
      </c>
      <c r="D148" s="849" t="s">
        <v>7209</v>
      </c>
      <c r="E148" s="848" t="s">
        <v>3393</v>
      </c>
      <c r="F148" s="848" t="s">
        <v>11091</v>
      </c>
      <c r="G148" s="850" t="s">
        <v>11092</v>
      </c>
      <c r="H148" s="849" t="s">
        <v>10716</v>
      </c>
      <c r="I148" s="849"/>
      <c r="J148" s="851">
        <v>57888.114999999998</v>
      </c>
      <c r="K148" s="848" t="s">
        <v>11093</v>
      </c>
    </row>
    <row r="149" spans="2:11">
      <c r="B149" s="848">
        <v>146</v>
      </c>
      <c r="C149" s="848" t="s">
        <v>473</v>
      </c>
      <c r="D149" s="849" t="s">
        <v>7209</v>
      </c>
      <c r="E149" s="848" t="s">
        <v>3393</v>
      </c>
      <c r="F149" s="848" t="s">
        <v>11094</v>
      </c>
      <c r="G149" s="850" t="s">
        <v>11095</v>
      </c>
      <c r="H149" s="849" t="s">
        <v>10716</v>
      </c>
      <c r="I149" s="849"/>
      <c r="J149" s="851">
        <v>10350.855</v>
      </c>
      <c r="K149" s="848" t="s">
        <v>11096</v>
      </c>
    </row>
    <row r="150" spans="2:11">
      <c r="B150" s="848">
        <v>147</v>
      </c>
      <c r="C150" s="848" t="s">
        <v>473</v>
      </c>
      <c r="D150" s="849" t="s">
        <v>7209</v>
      </c>
      <c r="E150" s="848" t="s">
        <v>3393</v>
      </c>
      <c r="F150" s="848" t="s">
        <v>11097</v>
      </c>
      <c r="G150" s="850" t="s">
        <v>11098</v>
      </c>
      <c r="H150" s="849" t="s">
        <v>10716</v>
      </c>
      <c r="I150" s="849"/>
      <c r="J150" s="851">
        <v>105425.375</v>
      </c>
      <c r="K150" s="848" t="s">
        <v>11099</v>
      </c>
    </row>
    <row r="151" spans="2:11">
      <c r="B151" s="848">
        <v>148</v>
      </c>
      <c r="C151" s="848" t="s">
        <v>473</v>
      </c>
      <c r="D151" s="849" t="s">
        <v>7209</v>
      </c>
      <c r="E151" s="848" t="s">
        <v>3393</v>
      </c>
      <c r="F151" s="848" t="s">
        <v>11100</v>
      </c>
      <c r="G151" s="850" t="s">
        <v>11101</v>
      </c>
      <c r="H151" s="849" t="s">
        <v>10716</v>
      </c>
      <c r="I151" s="849"/>
      <c r="J151" s="851">
        <v>766.73</v>
      </c>
      <c r="K151" s="848" t="s">
        <v>11102</v>
      </c>
    </row>
    <row r="152" spans="2:11">
      <c r="B152" s="848">
        <v>149</v>
      </c>
      <c r="C152" s="848" t="s">
        <v>7194</v>
      </c>
      <c r="D152" s="849" t="s">
        <v>7951</v>
      </c>
      <c r="E152" s="848" t="s">
        <v>9509</v>
      </c>
      <c r="F152" s="848" t="s">
        <v>11103</v>
      </c>
      <c r="G152" s="850" t="s">
        <v>11104</v>
      </c>
      <c r="H152" s="849" t="s">
        <v>10716</v>
      </c>
      <c r="I152" s="849"/>
      <c r="J152" s="851">
        <v>1.4084414999999999</v>
      </c>
      <c r="K152" s="848" t="s">
        <v>6852</v>
      </c>
    </row>
    <row r="153" spans="2:11">
      <c r="B153" s="848">
        <v>150</v>
      </c>
      <c r="C153" s="848" t="s">
        <v>7194</v>
      </c>
      <c r="D153" s="849" t="s">
        <v>7951</v>
      </c>
      <c r="E153" s="848" t="s">
        <v>9509</v>
      </c>
      <c r="F153" s="848" t="s">
        <v>11105</v>
      </c>
      <c r="G153" s="850" t="s">
        <v>11106</v>
      </c>
      <c r="H153" s="849" t="s">
        <v>10716</v>
      </c>
      <c r="I153" s="849"/>
      <c r="J153" s="851">
        <v>1.7164305</v>
      </c>
      <c r="K153" s="848" t="s">
        <v>6159</v>
      </c>
    </row>
    <row r="154" spans="2:11">
      <c r="B154" s="848">
        <v>151</v>
      </c>
      <c r="C154" s="848" t="s">
        <v>7194</v>
      </c>
      <c r="D154" s="849" t="s">
        <v>7951</v>
      </c>
      <c r="E154" s="848" t="s">
        <v>9509</v>
      </c>
      <c r="F154" s="848" t="s">
        <v>11107</v>
      </c>
      <c r="G154" s="850" t="s">
        <v>11108</v>
      </c>
      <c r="H154" s="849" t="s">
        <v>10716</v>
      </c>
      <c r="I154" s="849"/>
      <c r="J154" s="851">
        <v>1.4084414999999999</v>
      </c>
      <c r="K154" s="848" t="s">
        <v>6632</v>
      </c>
    </row>
    <row r="155" spans="2:11">
      <c r="B155" s="848">
        <v>152</v>
      </c>
      <c r="C155" s="848" t="s">
        <v>7194</v>
      </c>
      <c r="D155" s="849" t="s">
        <v>7951</v>
      </c>
      <c r="E155" s="848" t="s">
        <v>11109</v>
      </c>
      <c r="F155" s="848" t="s">
        <v>11110</v>
      </c>
      <c r="G155" s="850" t="s">
        <v>11111</v>
      </c>
      <c r="H155" s="849" t="s">
        <v>10716</v>
      </c>
      <c r="I155" s="849"/>
      <c r="J155" s="851">
        <v>1.3643775</v>
      </c>
      <c r="K155" s="848" t="s">
        <v>6634</v>
      </c>
    </row>
    <row r="156" spans="2:11">
      <c r="B156" s="848">
        <v>153</v>
      </c>
      <c r="C156" s="848" t="s">
        <v>11112</v>
      </c>
      <c r="D156" s="849" t="s">
        <v>11113</v>
      </c>
      <c r="E156" s="848" t="s">
        <v>3220</v>
      </c>
      <c r="F156" s="848" t="s">
        <v>11114</v>
      </c>
      <c r="G156" s="850" t="s">
        <v>11115</v>
      </c>
      <c r="H156" s="849" t="s">
        <v>10716</v>
      </c>
      <c r="I156" s="849"/>
      <c r="J156" s="851">
        <v>70.84</v>
      </c>
      <c r="K156" s="848" t="s">
        <v>5964</v>
      </c>
    </row>
    <row r="157" spans="2:11">
      <c r="B157" s="848">
        <v>154</v>
      </c>
      <c r="C157" s="848" t="s">
        <v>1312</v>
      </c>
      <c r="D157" s="849" t="s">
        <v>11116</v>
      </c>
      <c r="E157" s="848" t="s">
        <v>10829</v>
      </c>
      <c r="F157" s="848" t="s">
        <v>11117</v>
      </c>
      <c r="G157" s="850" t="s">
        <v>11118</v>
      </c>
      <c r="H157" s="849" t="s">
        <v>10716</v>
      </c>
      <c r="I157" s="849"/>
      <c r="J157" s="851">
        <v>9935.86</v>
      </c>
      <c r="K157" s="848" t="s">
        <v>11119</v>
      </c>
    </row>
    <row r="158" spans="2:11">
      <c r="B158" s="848">
        <v>155</v>
      </c>
      <c r="C158" s="848" t="s">
        <v>1312</v>
      </c>
      <c r="D158" s="849" t="s">
        <v>11116</v>
      </c>
      <c r="E158" s="848" t="s">
        <v>10829</v>
      </c>
      <c r="F158" s="848" t="s">
        <v>11120</v>
      </c>
      <c r="G158" s="850" t="s">
        <v>11121</v>
      </c>
      <c r="H158" s="849" t="s">
        <v>10716</v>
      </c>
      <c r="I158" s="849"/>
      <c r="J158" s="851">
        <v>2958.8991080000001</v>
      </c>
      <c r="K158" s="848" t="s">
        <v>11119</v>
      </c>
    </row>
    <row r="159" spans="2:11">
      <c r="B159" s="848">
        <v>156</v>
      </c>
      <c r="C159" s="848" t="s">
        <v>1312</v>
      </c>
      <c r="D159" s="849" t="s">
        <v>11116</v>
      </c>
      <c r="E159" s="848" t="s">
        <v>10829</v>
      </c>
      <c r="F159" s="848" t="s">
        <v>11122</v>
      </c>
      <c r="G159" s="850" t="s">
        <v>11123</v>
      </c>
      <c r="H159" s="849" t="s">
        <v>10716</v>
      </c>
      <c r="I159" s="849"/>
      <c r="J159" s="851">
        <v>19.175000000000001</v>
      </c>
      <c r="K159" s="848" t="s">
        <v>11124</v>
      </c>
    </row>
    <row r="160" spans="2:11">
      <c r="B160" s="848">
        <v>157</v>
      </c>
      <c r="C160" s="848" t="s">
        <v>1312</v>
      </c>
      <c r="D160" s="849" t="s">
        <v>11116</v>
      </c>
      <c r="E160" s="848" t="s">
        <v>10829</v>
      </c>
      <c r="F160" s="848" t="s">
        <v>11125</v>
      </c>
      <c r="G160" s="850" t="s">
        <v>11126</v>
      </c>
      <c r="H160" s="849" t="s">
        <v>10716</v>
      </c>
      <c r="I160" s="849"/>
      <c r="J160" s="851">
        <v>19.175000000000001</v>
      </c>
      <c r="K160" s="848" t="s">
        <v>11127</v>
      </c>
    </row>
    <row r="161" spans="2:11">
      <c r="B161" s="848">
        <v>158</v>
      </c>
      <c r="C161" s="848" t="s">
        <v>1312</v>
      </c>
      <c r="D161" s="849" t="s">
        <v>11116</v>
      </c>
      <c r="E161" s="848" t="s">
        <v>10829</v>
      </c>
      <c r="F161" s="848" t="s">
        <v>11128</v>
      </c>
      <c r="G161" s="850" t="s">
        <v>11129</v>
      </c>
      <c r="H161" s="849" t="s">
        <v>10716</v>
      </c>
      <c r="I161" s="849"/>
      <c r="J161" s="851">
        <v>2472.08</v>
      </c>
      <c r="K161" s="848" t="s">
        <v>11130</v>
      </c>
    </row>
    <row r="162" spans="2:11">
      <c r="B162" s="848">
        <v>159</v>
      </c>
      <c r="C162" s="848" t="s">
        <v>1312</v>
      </c>
      <c r="D162" s="849" t="s">
        <v>11116</v>
      </c>
      <c r="E162" s="848" t="s">
        <v>10829</v>
      </c>
      <c r="F162" s="848" t="s">
        <v>11131</v>
      </c>
      <c r="G162" s="850" t="s">
        <v>11132</v>
      </c>
      <c r="H162" s="849" t="s">
        <v>10716</v>
      </c>
      <c r="I162" s="849"/>
      <c r="J162" s="851">
        <v>1461.35583</v>
      </c>
      <c r="K162" s="848" t="s">
        <v>11133</v>
      </c>
    </row>
    <row r="163" spans="2:11">
      <c r="B163" s="848">
        <v>160</v>
      </c>
      <c r="C163" s="848" t="s">
        <v>11134</v>
      </c>
      <c r="D163" s="849" t="s">
        <v>11135</v>
      </c>
      <c r="E163" s="848" t="s">
        <v>11136</v>
      </c>
      <c r="F163" s="848" t="s">
        <v>11137</v>
      </c>
      <c r="G163" s="850" t="s">
        <v>11138</v>
      </c>
      <c r="H163" s="849" t="s">
        <v>10716</v>
      </c>
      <c r="I163" s="849"/>
      <c r="J163" s="851">
        <v>2.5099999999999998</v>
      </c>
      <c r="K163" s="848" t="s">
        <v>6829</v>
      </c>
    </row>
    <row r="164" spans="2:11">
      <c r="B164" s="848">
        <v>161</v>
      </c>
      <c r="C164" s="848" t="s">
        <v>1288</v>
      </c>
      <c r="D164" s="849" t="s">
        <v>196</v>
      </c>
      <c r="E164" s="848" t="s">
        <v>8582</v>
      </c>
      <c r="F164" s="848" t="s">
        <v>11139</v>
      </c>
      <c r="G164" s="850" t="s">
        <v>11140</v>
      </c>
      <c r="H164" s="849" t="s">
        <v>10716</v>
      </c>
      <c r="I164" s="849"/>
      <c r="J164" s="851">
        <v>7667.3</v>
      </c>
      <c r="K164" s="848" t="s">
        <v>11141</v>
      </c>
    </row>
    <row r="165" spans="2:11">
      <c r="B165" s="848">
        <v>162</v>
      </c>
      <c r="C165" s="848" t="s">
        <v>1288</v>
      </c>
      <c r="D165" s="849" t="s">
        <v>196</v>
      </c>
      <c r="E165" s="848" t="s">
        <v>3393</v>
      </c>
      <c r="F165" s="848" t="s">
        <v>11142</v>
      </c>
      <c r="G165" s="850" t="s">
        <v>11143</v>
      </c>
      <c r="H165" s="849" t="s">
        <v>10716</v>
      </c>
      <c r="I165" s="849"/>
      <c r="J165" s="851">
        <v>17.71</v>
      </c>
      <c r="K165" s="848" t="s">
        <v>11144</v>
      </c>
    </row>
    <row r="166" spans="2:11">
      <c r="B166" s="848">
        <v>163</v>
      </c>
      <c r="C166" s="848" t="s">
        <v>11145</v>
      </c>
      <c r="D166" s="849" t="s">
        <v>138</v>
      </c>
      <c r="E166" s="848" t="s">
        <v>10926</v>
      </c>
      <c r="F166" s="848" t="s">
        <v>11146</v>
      </c>
      <c r="G166" s="850" t="s">
        <v>11147</v>
      </c>
      <c r="H166" s="849" t="s">
        <v>10716</v>
      </c>
      <c r="I166" s="849"/>
      <c r="J166" s="851">
        <v>15334.6</v>
      </c>
      <c r="K166" s="848" t="s">
        <v>6382</v>
      </c>
    </row>
    <row r="167" spans="2:11">
      <c r="B167" s="848">
        <v>164</v>
      </c>
      <c r="C167" s="848" t="s">
        <v>1324</v>
      </c>
      <c r="D167" s="849" t="s">
        <v>11148</v>
      </c>
      <c r="E167" s="848" t="s">
        <v>9437</v>
      </c>
      <c r="F167" s="848" t="s">
        <v>11010</v>
      </c>
      <c r="G167" s="850" t="s">
        <v>11149</v>
      </c>
      <c r="H167" s="849" t="s">
        <v>10716</v>
      </c>
      <c r="I167" s="849"/>
      <c r="J167" s="851">
        <v>1070</v>
      </c>
      <c r="K167" s="848" t="s">
        <v>5920</v>
      </c>
    </row>
    <row r="168" spans="2:11">
      <c r="B168" s="848">
        <v>165</v>
      </c>
      <c r="C168" s="848" t="s">
        <v>11150</v>
      </c>
      <c r="D168" s="849" t="s">
        <v>260</v>
      </c>
      <c r="E168" s="848" t="s">
        <v>10778</v>
      </c>
      <c r="F168" s="848" t="s">
        <v>11008</v>
      </c>
      <c r="G168" s="850" t="s">
        <v>11151</v>
      </c>
      <c r="H168" s="849" t="s">
        <v>10716</v>
      </c>
      <c r="I168" s="849"/>
      <c r="J168" s="851">
        <v>142.62</v>
      </c>
      <c r="K168" s="848" t="s">
        <v>11152</v>
      </c>
    </row>
    <row r="169" spans="2:11">
      <c r="B169" s="848">
        <v>166</v>
      </c>
      <c r="C169" s="848" t="s">
        <v>11150</v>
      </c>
      <c r="D169" s="849" t="s">
        <v>260</v>
      </c>
      <c r="E169" s="848" t="s">
        <v>10778</v>
      </c>
      <c r="F169" s="848" t="s">
        <v>10956</v>
      </c>
      <c r="G169" s="850" t="s">
        <v>11153</v>
      </c>
      <c r="H169" s="849" t="s">
        <v>10716</v>
      </c>
      <c r="I169" s="849"/>
      <c r="J169" s="851">
        <v>142.62</v>
      </c>
      <c r="K169" s="848" t="s">
        <v>11154</v>
      </c>
    </row>
    <row r="170" spans="2:11">
      <c r="B170" s="848">
        <v>167</v>
      </c>
      <c r="C170" s="848" t="s">
        <v>11155</v>
      </c>
      <c r="D170" s="849" t="s">
        <v>11156</v>
      </c>
      <c r="E170" s="848" t="s">
        <v>3393</v>
      </c>
      <c r="F170" s="848" t="s">
        <v>11157</v>
      </c>
      <c r="G170" s="850" t="s">
        <v>11158</v>
      </c>
      <c r="H170" s="849" t="s">
        <v>10716</v>
      </c>
      <c r="I170" s="849"/>
      <c r="J170" s="851">
        <v>766.73</v>
      </c>
      <c r="K170" s="848" t="s">
        <v>6276</v>
      </c>
    </row>
    <row r="171" spans="2:11">
      <c r="B171" s="848">
        <v>168</v>
      </c>
      <c r="C171" s="848" t="s">
        <v>11159</v>
      </c>
      <c r="D171" s="849" t="s">
        <v>11160</v>
      </c>
      <c r="E171" s="848" t="s">
        <v>11161</v>
      </c>
      <c r="F171" s="848" t="s">
        <v>10959</v>
      </c>
      <c r="G171" s="850" t="s">
        <v>11162</v>
      </c>
      <c r="H171" s="849" t="s">
        <v>10716</v>
      </c>
      <c r="I171" s="849"/>
      <c r="J171" s="851">
        <v>84</v>
      </c>
      <c r="K171" s="848" t="s">
        <v>6653</v>
      </c>
    </row>
    <row r="172" spans="2:11">
      <c r="B172" s="848">
        <v>169</v>
      </c>
      <c r="C172" s="848" t="s">
        <v>11159</v>
      </c>
      <c r="D172" s="849" t="s">
        <v>11160</v>
      </c>
      <c r="E172" s="848" t="s">
        <v>11161</v>
      </c>
      <c r="F172" s="848" t="s">
        <v>10962</v>
      </c>
      <c r="G172" s="850" t="s">
        <v>11163</v>
      </c>
      <c r="H172" s="849" t="s">
        <v>10716</v>
      </c>
      <c r="I172" s="849"/>
      <c r="J172" s="851">
        <v>18</v>
      </c>
      <c r="K172" s="848" t="s">
        <v>6655</v>
      </c>
    </row>
    <row r="173" spans="2:11">
      <c r="B173" s="848">
        <v>170</v>
      </c>
      <c r="C173" s="848" t="s">
        <v>11159</v>
      </c>
      <c r="D173" s="849" t="s">
        <v>11160</v>
      </c>
      <c r="E173" s="848" t="s">
        <v>11161</v>
      </c>
      <c r="F173" s="848" t="s">
        <v>10965</v>
      </c>
      <c r="G173" s="850" t="s">
        <v>11164</v>
      </c>
      <c r="H173" s="849" t="s">
        <v>10716</v>
      </c>
      <c r="I173" s="849"/>
      <c r="J173" s="851">
        <v>37</v>
      </c>
      <c r="K173" s="848" t="s">
        <v>6656</v>
      </c>
    </row>
    <row r="174" spans="2:11">
      <c r="B174" s="848">
        <v>171</v>
      </c>
      <c r="C174" s="848" t="s">
        <v>11159</v>
      </c>
      <c r="D174" s="849" t="s">
        <v>11160</v>
      </c>
      <c r="E174" s="848" t="s">
        <v>11161</v>
      </c>
      <c r="F174" s="848" t="s">
        <v>10968</v>
      </c>
      <c r="G174" s="850" t="s">
        <v>11165</v>
      </c>
      <c r="H174" s="849" t="s">
        <v>10716</v>
      </c>
      <c r="I174" s="849"/>
      <c r="J174" s="851">
        <v>37</v>
      </c>
      <c r="K174" s="848" t="s">
        <v>6657</v>
      </c>
    </row>
    <row r="175" spans="2:11">
      <c r="B175" s="848">
        <v>172</v>
      </c>
      <c r="C175" s="848" t="s">
        <v>11159</v>
      </c>
      <c r="D175" s="849" t="s">
        <v>11160</v>
      </c>
      <c r="E175" s="848" t="s">
        <v>11161</v>
      </c>
      <c r="F175" s="848" t="s">
        <v>10971</v>
      </c>
      <c r="G175" s="850" t="s">
        <v>11166</v>
      </c>
      <c r="H175" s="849" t="s">
        <v>10716</v>
      </c>
      <c r="I175" s="849"/>
      <c r="J175" s="851">
        <v>18</v>
      </c>
      <c r="K175" s="848" t="s">
        <v>6658</v>
      </c>
    </row>
    <row r="176" spans="2:11">
      <c r="B176" s="848">
        <v>173</v>
      </c>
      <c r="C176" s="848" t="s">
        <v>11159</v>
      </c>
      <c r="D176" s="849" t="s">
        <v>11160</v>
      </c>
      <c r="E176" s="848" t="s">
        <v>11161</v>
      </c>
      <c r="F176" s="848" t="s">
        <v>10974</v>
      </c>
      <c r="G176" s="850" t="s">
        <v>11167</v>
      </c>
      <c r="H176" s="849" t="s">
        <v>10716</v>
      </c>
      <c r="I176" s="849"/>
      <c r="J176" s="851">
        <v>18</v>
      </c>
      <c r="K176" s="848" t="s">
        <v>6659</v>
      </c>
    </row>
    <row r="177" spans="2:11">
      <c r="B177" s="848">
        <v>174</v>
      </c>
      <c r="C177" s="848" t="s">
        <v>1284</v>
      </c>
      <c r="D177" s="849" t="s">
        <v>11168</v>
      </c>
      <c r="E177" s="848" t="s">
        <v>8582</v>
      </c>
      <c r="F177" s="848" t="s">
        <v>10977</v>
      </c>
      <c r="G177" s="850" t="s">
        <v>11169</v>
      </c>
      <c r="H177" s="849" t="s">
        <v>10716</v>
      </c>
      <c r="I177" s="849"/>
      <c r="J177" s="851">
        <v>237.7</v>
      </c>
      <c r="K177" s="848" t="s">
        <v>11170</v>
      </c>
    </row>
    <row r="178" spans="2:11">
      <c r="B178" s="848">
        <v>175</v>
      </c>
      <c r="C178" s="848" t="s">
        <v>1284</v>
      </c>
      <c r="D178" s="849" t="s">
        <v>11168</v>
      </c>
      <c r="E178" s="848" t="s">
        <v>8582</v>
      </c>
      <c r="F178" s="848" t="s">
        <v>10980</v>
      </c>
      <c r="G178" s="850" t="s">
        <v>11171</v>
      </c>
      <c r="H178" s="849" t="s">
        <v>10716</v>
      </c>
      <c r="I178" s="849"/>
      <c r="J178" s="851">
        <v>213.93</v>
      </c>
      <c r="K178" s="848" t="s">
        <v>11172</v>
      </c>
    </row>
    <row r="179" spans="2:11">
      <c r="B179" s="848">
        <v>176</v>
      </c>
      <c r="C179" s="848" t="s">
        <v>1284</v>
      </c>
      <c r="D179" s="849" t="s">
        <v>11168</v>
      </c>
      <c r="E179" s="848" t="s">
        <v>8582</v>
      </c>
      <c r="F179" s="848" t="s">
        <v>10983</v>
      </c>
      <c r="G179" s="850" t="s">
        <v>11173</v>
      </c>
      <c r="H179" s="849" t="s">
        <v>10716</v>
      </c>
      <c r="I179" s="849"/>
      <c r="J179" s="851">
        <v>190.16</v>
      </c>
      <c r="K179" s="848" t="s">
        <v>11174</v>
      </c>
    </row>
    <row r="180" spans="2:11">
      <c r="B180" s="848">
        <v>177</v>
      </c>
      <c r="C180" s="848" t="s">
        <v>1284</v>
      </c>
      <c r="D180" s="849" t="s">
        <v>11168</v>
      </c>
      <c r="E180" s="848" t="s">
        <v>8582</v>
      </c>
      <c r="F180" s="848" t="s">
        <v>10986</v>
      </c>
      <c r="G180" s="850" t="s">
        <v>11175</v>
      </c>
      <c r="H180" s="849" t="s">
        <v>10716</v>
      </c>
      <c r="I180" s="849"/>
      <c r="J180" s="851">
        <v>213.93</v>
      </c>
      <c r="K180" s="848" t="s">
        <v>11176</v>
      </c>
    </row>
    <row r="181" spans="2:11">
      <c r="B181" s="848">
        <v>178</v>
      </c>
      <c r="C181" s="848" t="s">
        <v>1284</v>
      </c>
      <c r="D181" s="849" t="s">
        <v>11168</v>
      </c>
      <c r="E181" s="848" t="s">
        <v>8582</v>
      </c>
      <c r="F181" s="848" t="s">
        <v>10989</v>
      </c>
      <c r="G181" s="850" t="s">
        <v>11177</v>
      </c>
      <c r="H181" s="849" t="s">
        <v>10716</v>
      </c>
      <c r="I181" s="849"/>
      <c r="J181" s="851">
        <v>190.16</v>
      </c>
      <c r="K181" s="848" t="s">
        <v>11178</v>
      </c>
    </row>
    <row r="182" spans="2:11">
      <c r="B182" s="848">
        <v>179</v>
      </c>
      <c r="C182" s="848" t="s">
        <v>1284</v>
      </c>
      <c r="D182" s="849" t="s">
        <v>11168</v>
      </c>
      <c r="E182" s="848" t="s">
        <v>8582</v>
      </c>
      <c r="F182" s="848" t="s">
        <v>10992</v>
      </c>
      <c r="G182" s="850" t="s">
        <v>11179</v>
      </c>
      <c r="H182" s="849" t="s">
        <v>10716</v>
      </c>
      <c r="I182" s="849"/>
      <c r="J182" s="851">
        <v>142.62</v>
      </c>
      <c r="K182" s="848" t="s">
        <v>11180</v>
      </c>
    </row>
    <row r="183" spans="2:11">
      <c r="B183" s="848">
        <v>180</v>
      </c>
      <c r="C183" s="848" t="s">
        <v>1284</v>
      </c>
      <c r="D183" s="849" t="s">
        <v>11168</v>
      </c>
      <c r="E183" s="848" t="s">
        <v>8582</v>
      </c>
      <c r="F183" s="848" t="s">
        <v>10994</v>
      </c>
      <c r="G183" s="850" t="s">
        <v>11181</v>
      </c>
      <c r="H183" s="849" t="s">
        <v>10716</v>
      </c>
      <c r="I183" s="849"/>
      <c r="J183" s="851">
        <v>95.08</v>
      </c>
      <c r="K183" s="848" t="s">
        <v>11182</v>
      </c>
    </row>
    <row r="184" spans="2:11">
      <c r="B184" s="848">
        <v>181</v>
      </c>
      <c r="C184" s="848" t="s">
        <v>1284</v>
      </c>
      <c r="D184" s="849" t="s">
        <v>11168</v>
      </c>
      <c r="E184" s="848" t="s">
        <v>8582</v>
      </c>
      <c r="F184" s="848" t="s">
        <v>10996</v>
      </c>
      <c r="G184" s="850" t="s">
        <v>11183</v>
      </c>
      <c r="H184" s="849" t="s">
        <v>10716</v>
      </c>
      <c r="I184" s="849"/>
      <c r="J184" s="851">
        <v>95.08</v>
      </c>
      <c r="K184" s="848" t="s">
        <v>11184</v>
      </c>
    </row>
    <row r="185" spans="2:11">
      <c r="B185" s="848">
        <v>182</v>
      </c>
      <c r="C185" s="848" t="s">
        <v>1284</v>
      </c>
      <c r="D185" s="849" t="s">
        <v>11168</v>
      </c>
      <c r="E185" s="848" t="s">
        <v>8582</v>
      </c>
      <c r="F185" s="848" t="s">
        <v>10999</v>
      </c>
      <c r="G185" s="850" t="s">
        <v>11185</v>
      </c>
      <c r="H185" s="849" t="s">
        <v>10716</v>
      </c>
      <c r="I185" s="849"/>
      <c r="J185" s="851">
        <v>95.08</v>
      </c>
      <c r="K185" s="848" t="s">
        <v>11186</v>
      </c>
    </row>
    <row r="186" spans="2:11">
      <c r="B186" s="848">
        <v>183</v>
      </c>
      <c r="C186" s="848" t="s">
        <v>1284</v>
      </c>
      <c r="D186" s="849" t="s">
        <v>11168</v>
      </c>
      <c r="E186" s="848" t="s">
        <v>8582</v>
      </c>
      <c r="F186" s="848" t="s">
        <v>11002</v>
      </c>
      <c r="G186" s="850" t="s">
        <v>11187</v>
      </c>
      <c r="H186" s="849" t="s">
        <v>10716</v>
      </c>
      <c r="I186" s="849"/>
      <c r="J186" s="851">
        <v>95.08</v>
      </c>
      <c r="K186" s="848" t="s">
        <v>11188</v>
      </c>
    </row>
    <row r="187" spans="2:11">
      <c r="B187" s="848">
        <v>184</v>
      </c>
      <c r="C187" s="848" t="s">
        <v>1284</v>
      </c>
      <c r="D187" s="849" t="s">
        <v>11168</v>
      </c>
      <c r="E187" s="848" t="s">
        <v>8582</v>
      </c>
      <c r="F187" s="848" t="s">
        <v>11005</v>
      </c>
      <c r="G187" s="850" t="s">
        <v>11189</v>
      </c>
      <c r="H187" s="849" t="s">
        <v>10716</v>
      </c>
      <c r="I187" s="849"/>
      <c r="J187" s="851">
        <v>95.08</v>
      </c>
      <c r="K187" s="848" t="s">
        <v>11190</v>
      </c>
    </row>
    <row r="188" spans="2:11">
      <c r="B188" s="848">
        <v>185</v>
      </c>
      <c r="C188" s="848" t="s">
        <v>1284</v>
      </c>
      <c r="D188" s="849" t="s">
        <v>11168</v>
      </c>
      <c r="E188" s="848" t="s">
        <v>8582</v>
      </c>
      <c r="F188" s="848" t="s">
        <v>11191</v>
      </c>
      <c r="G188" s="850" t="s">
        <v>11192</v>
      </c>
      <c r="H188" s="849" t="s">
        <v>10716</v>
      </c>
      <c r="I188" s="849"/>
      <c r="J188" s="851">
        <v>71.31</v>
      </c>
      <c r="K188" s="848" t="s">
        <v>11193</v>
      </c>
    </row>
    <row r="189" spans="2:11">
      <c r="B189" s="848">
        <v>186</v>
      </c>
      <c r="C189" s="848" t="s">
        <v>1284</v>
      </c>
      <c r="D189" s="849" t="s">
        <v>11168</v>
      </c>
      <c r="E189" s="848" t="s">
        <v>8582</v>
      </c>
      <c r="F189" s="848" t="s">
        <v>11194</v>
      </c>
      <c r="G189" s="850" t="s">
        <v>11195</v>
      </c>
      <c r="H189" s="849" t="s">
        <v>10716</v>
      </c>
      <c r="I189" s="849"/>
      <c r="J189" s="851">
        <v>95.08</v>
      </c>
      <c r="K189" s="848" t="s">
        <v>11196</v>
      </c>
    </row>
    <row r="190" spans="2:11">
      <c r="B190" s="848">
        <v>187</v>
      </c>
      <c r="C190" s="848" t="s">
        <v>1284</v>
      </c>
      <c r="D190" s="849" t="s">
        <v>11168</v>
      </c>
      <c r="E190" s="848" t="s">
        <v>8582</v>
      </c>
      <c r="F190" s="848" t="s">
        <v>11197</v>
      </c>
      <c r="G190" s="850" t="s">
        <v>11198</v>
      </c>
      <c r="H190" s="849" t="s">
        <v>10716</v>
      </c>
      <c r="I190" s="849"/>
      <c r="J190" s="851">
        <v>95.08</v>
      </c>
      <c r="K190" s="848" t="s">
        <v>11199</v>
      </c>
    </row>
    <row r="191" spans="2:11">
      <c r="B191" s="848">
        <v>188</v>
      </c>
      <c r="C191" s="848" t="s">
        <v>1284</v>
      </c>
      <c r="D191" s="849" t="s">
        <v>11168</v>
      </c>
      <c r="E191" s="848" t="s">
        <v>8582</v>
      </c>
      <c r="F191" s="848" t="s">
        <v>11200</v>
      </c>
      <c r="G191" s="850" t="s">
        <v>11201</v>
      </c>
      <c r="H191" s="849" t="s">
        <v>10716</v>
      </c>
      <c r="I191" s="849"/>
      <c r="J191" s="851">
        <v>95.08</v>
      </c>
      <c r="K191" s="848" t="s">
        <v>11202</v>
      </c>
    </row>
    <row r="192" spans="2:11">
      <c r="B192" s="848">
        <v>189</v>
      </c>
      <c r="C192" s="848" t="s">
        <v>1284</v>
      </c>
      <c r="D192" s="849" t="s">
        <v>11168</v>
      </c>
      <c r="E192" s="848" t="s">
        <v>8582</v>
      </c>
      <c r="F192" s="848" t="s">
        <v>11203</v>
      </c>
      <c r="G192" s="850" t="s">
        <v>11204</v>
      </c>
      <c r="H192" s="849" t="s">
        <v>10716</v>
      </c>
      <c r="I192" s="849"/>
      <c r="J192" s="851">
        <v>95.08</v>
      </c>
      <c r="K192" s="848" t="s">
        <v>11205</v>
      </c>
    </row>
    <row r="193" spans="2:11">
      <c r="B193" s="848">
        <v>190</v>
      </c>
      <c r="C193" s="848" t="s">
        <v>1284</v>
      </c>
      <c r="D193" s="849" t="s">
        <v>11168</v>
      </c>
      <c r="E193" s="848" t="s">
        <v>8582</v>
      </c>
      <c r="F193" s="848" t="s">
        <v>11206</v>
      </c>
      <c r="G193" s="850" t="s">
        <v>11207</v>
      </c>
      <c r="H193" s="849" t="s">
        <v>10716</v>
      </c>
      <c r="I193" s="849"/>
      <c r="J193" s="851">
        <v>95.08</v>
      </c>
      <c r="K193" s="848" t="s">
        <v>11208</v>
      </c>
    </row>
    <row r="194" spans="2:11">
      <c r="B194" s="848">
        <v>191</v>
      </c>
      <c r="C194" s="848" t="s">
        <v>1284</v>
      </c>
      <c r="D194" s="849" t="s">
        <v>11168</v>
      </c>
      <c r="E194" s="848" t="s">
        <v>8582</v>
      </c>
      <c r="F194" s="848" t="s">
        <v>11209</v>
      </c>
      <c r="G194" s="850" t="s">
        <v>11210</v>
      </c>
      <c r="H194" s="849" t="s">
        <v>10716</v>
      </c>
      <c r="I194" s="849"/>
      <c r="J194" s="851">
        <v>95.08</v>
      </c>
      <c r="K194" s="848" t="s">
        <v>11211</v>
      </c>
    </row>
    <row r="195" spans="2:11">
      <c r="B195" s="848">
        <v>192</v>
      </c>
      <c r="C195" s="848" t="s">
        <v>1284</v>
      </c>
      <c r="D195" s="849" t="s">
        <v>11168</v>
      </c>
      <c r="E195" s="848" t="s">
        <v>8582</v>
      </c>
      <c r="F195" s="848" t="s">
        <v>11212</v>
      </c>
      <c r="G195" s="850" t="s">
        <v>11213</v>
      </c>
      <c r="H195" s="849" t="s">
        <v>10716</v>
      </c>
      <c r="I195" s="849"/>
      <c r="J195" s="851">
        <v>118.85</v>
      </c>
      <c r="K195" s="848" t="s">
        <v>11214</v>
      </c>
    </row>
    <row r="196" spans="2:11">
      <c r="B196" s="848">
        <v>193</v>
      </c>
      <c r="C196" s="848" t="s">
        <v>1284</v>
      </c>
      <c r="D196" s="849" t="s">
        <v>11168</v>
      </c>
      <c r="E196" s="848" t="s">
        <v>8582</v>
      </c>
      <c r="F196" s="848" t="s">
        <v>11215</v>
      </c>
      <c r="G196" s="850" t="s">
        <v>11216</v>
      </c>
      <c r="H196" s="849" t="s">
        <v>10716</v>
      </c>
      <c r="I196" s="849"/>
      <c r="J196" s="851">
        <v>95.08</v>
      </c>
      <c r="K196" s="848" t="s">
        <v>11217</v>
      </c>
    </row>
    <row r="197" spans="2:11">
      <c r="B197" s="848">
        <v>194</v>
      </c>
      <c r="C197" s="848" t="s">
        <v>1284</v>
      </c>
      <c r="D197" s="849" t="s">
        <v>11168</v>
      </c>
      <c r="E197" s="848" t="s">
        <v>8582</v>
      </c>
      <c r="F197" s="848" t="s">
        <v>11218</v>
      </c>
      <c r="G197" s="850" t="s">
        <v>11219</v>
      </c>
      <c r="H197" s="849" t="s">
        <v>10716</v>
      </c>
      <c r="I197" s="849"/>
      <c r="J197" s="851">
        <v>95.08</v>
      </c>
      <c r="K197" s="848" t="s">
        <v>11220</v>
      </c>
    </row>
    <row r="198" spans="2:11">
      <c r="B198" s="848">
        <v>195</v>
      </c>
      <c r="C198" s="848" t="s">
        <v>1284</v>
      </c>
      <c r="D198" s="849" t="s">
        <v>11168</v>
      </c>
      <c r="E198" s="848" t="s">
        <v>8582</v>
      </c>
      <c r="F198" s="848" t="s">
        <v>11221</v>
      </c>
      <c r="G198" s="850" t="s">
        <v>11222</v>
      </c>
      <c r="H198" s="849" t="s">
        <v>10716</v>
      </c>
      <c r="I198" s="849"/>
      <c r="J198" s="851">
        <v>71.31</v>
      </c>
      <c r="K198" s="848" t="s">
        <v>11223</v>
      </c>
    </row>
    <row r="199" spans="2:11">
      <c r="B199" s="848">
        <v>196</v>
      </c>
      <c r="C199" s="848" t="s">
        <v>1284</v>
      </c>
      <c r="D199" s="849" t="s">
        <v>11168</v>
      </c>
      <c r="E199" s="848" t="s">
        <v>8582</v>
      </c>
      <c r="F199" s="848" t="s">
        <v>11224</v>
      </c>
      <c r="G199" s="850" t="s">
        <v>11225</v>
      </c>
      <c r="H199" s="849" t="s">
        <v>10716</v>
      </c>
      <c r="I199" s="849"/>
      <c r="J199" s="851">
        <v>95.08</v>
      </c>
      <c r="K199" s="848" t="s">
        <v>11226</v>
      </c>
    </row>
    <row r="200" spans="2:11">
      <c r="B200" s="848">
        <v>197</v>
      </c>
      <c r="C200" s="848" t="s">
        <v>1284</v>
      </c>
      <c r="D200" s="849" t="s">
        <v>11168</v>
      </c>
      <c r="E200" s="848" t="s">
        <v>8582</v>
      </c>
      <c r="F200" s="848" t="s">
        <v>11227</v>
      </c>
      <c r="G200" s="850" t="s">
        <v>10771</v>
      </c>
      <c r="H200" s="849" t="s">
        <v>10716</v>
      </c>
      <c r="I200" s="849"/>
      <c r="J200" s="851">
        <v>95.08</v>
      </c>
      <c r="K200" s="848" t="s">
        <v>11228</v>
      </c>
    </row>
    <row r="201" spans="2:11">
      <c r="B201" s="848">
        <v>198</v>
      </c>
      <c r="C201" s="848" t="s">
        <v>1284</v>
      </c>
      <c r="D201" s="849" t="s">
        <v>11168</v>
      </c>
      <c r="E201" s="848" t="s">
        <v>8582</v>
      </c>
      <c r="F201" s="848" t="s">
        <v>11229</v>
      </c>
      <c r="G201" s="850" t="s">
        <v>11230</v>
      </c>
      <c r="H201" s="849" t="s">
        <v>10716</v>
      </c>
      <c r="I201" s="849"/>
      <c r="J201" s="851">
        <v>118.85</v>
      </c>
      <c r="K201" s="848" t="s">
        <v>11231</v>
      </c>
    </row>
    <row r="202" spans="2:11">
      <c r="B202" s="848">
        <v>199</v>
      </c>
      <c r="C202" s="848" t="s">
        <v>1284</v>
      </c>
      <c r="D202" s="849" t="s">
        <v>11168</v>
      </c>
      <c r="E202" s="848" t="s">
        <v>8582</v>
      </c>
      <c r="F202" s="848" t="s">
        <v>11232</v>
      </c>
      <c r="G202" s="850" t="s">
        <v>11233</v>
      </c>
      <c r="H202" s="849" t="s">
        <v>10716</v>
      </c>
      <c r="I202" s="849"/>
      <c r="J202" s="851">
        <v>95.08</v>
      </c>
      <c r="K202" s="848" t="s">
        <v>11234</v>
      </c>
    </row>
    <row r="203" spans="2:11">
      <c r="B203" s="848">
        <v>200</v>
      </c>
      <c r="C203" s="848" t="s">
        <v>1284</v>
      </c>
      <c r="D203" s="849" t="s">
        <v>11168</v>
      </c>
      <c r="E203" s="848" t="s">
        <v>8582</v>
      </c>
      <c r="F203" s="848" t="s">
        <v>11235</v>
      </c>
      <c r="G203" s="850" t="s">
        <v>11236</v>
      </c>
      <c r="H203" s="849" t="s">
        <v>10716</v>
      </c>
      <c r="I203" s="849"/>
      <c r="J203" s="851">
        <v>95.08</v>
      </c>
      <c r="K203" s="848" t="s">
        <v>11237</v>
      </c>
    </row>
    <row r="204" spans="2:11">
      <c r="B204" s="848">
        <v>201</v>
      </c>
      <c r="C204" s="848" t="s">
        <v>1284</v>
      </c>
      <c r="D204" s="849" t="s">
        <v>11168</v>
      </c>
      <c r="E204" s="848" t="s">
        <v>8582</v>
      </c>
      <c r="F204" s="848" t="s">
        <v>11238</v>
      </c>
      <c r="G204" s="850" t="s">
        <v>11239</v>
      </c>
      <c r="H204" s="849" t="s">
        <v>10716</v>
      </c>
      <c r="I204" s="849"/>
      <c r="J204" s="851">
        <v>95.08</v>
      </c>
      <c r="K204" s="848" t="s">
        <v>11240</v>
      </c>
    </row>
    <row r="205" spans="2:11">
      <c r="B205" s="848">
        <v>202</v>
      </c>
      <c r="C205" s="848" t="s">
        <v>1284</v>
      </c>
      <c r="D205" s="849" t="s">
        <v>11168</v>
      </c>
      <c r="E205" s="848" t="s">
        <v>8582</v>
      </c>
      <c r="F205" s="848" t="s">
        <v>11241</v>
      </c>
      <c r="G205" s="850" t="s">
        <v>11242</v>
      </c>
      <c r="H205" s="849" t="s">
        <v>10716</v>
      </c>
      <c r="I205" s="849"/>
      <c r="J205" s="851">
        <v>95.08</v>
      </c>
      <c r="K205" s="848" t="s">
        <v>11243</v>
      </c>
    </row>
    <row r="206" spans="2:11">
      <c r="B206" s="848">
        <v>203</v>
      </c>
      <c r="C206" s="848" t="s">
        <v>1284</v>
      </c>
      <c r="D206" s="849" t="s">
        <v>11168</v>
      </c>
      <c r="E206" s="848" t="s">
        <v>8582</v>
      </c>
      <c r="F206" s="848" t="s">
        <v>11244</v>
      </c>
      <c r="G206" s="850" t="s">
        <v>11245</v>
      </c>
      <c r="H206" s="849" t="s">
        <v>10716</v>
      </c>
      <c r="I206" s="849"/>
      <c r="J206" s="851">
        <v>118.85</v>
      </c>
      <c r="K206" s="848" t="s">
        <v>11246</v>
      </c>
    </row>
    <row r="207" spans="2:11">
      <c r="B207" s="848">
        <v>204</v>
      </c>
      <c r="C207" s="848" t="s">
        <v>1284</v>
      </c>
      <c r="D207" s="849" t="s">
        <v>11168</v>
      </c>
      <c r="E207" s="848" t="s">
        <v>8582</v>
      </c>
      <c r="F207" s="848" t="s">
        <v>11247</v>
      </c>
      <c r="G207" s="850" t="s">
        <v>11248</v>
      </c>
      <c r="H207" s="849" t="s">
        <v>10716</v>
      </c>
      <c r="I207" s="849"/>
      <c r="J207" s="851">
        <v>95.08</v>
      </c>
      <c r="K207" s="848" t="s">
        <v>11249</v>
      </c>
    </row>
    <row r="208" spans="2:11">
      <c r="B208" s="848">
        <v>205</v>
      </c>
      <c r="C208" s="848" t="s">
        <v>1284</v>
      </c>
      <c r="D208" s="849" t="s">
        <v>11168</v>
      </c>
      <c r="E208" s="848" t="s">
        <v>8582</v>
      </c>
      <c r="F208" s="848" t="s">
        <v>11250</v>
      </c>
      <c r="G208" s="850" t="s">
        <v>11251</v>
      </c>
      <c r="H208" s="849" t="s">
        <v>10716</v>
      </c>
      <c r="I208" s="849"/>
      <c r="J208" s="851">
        <v>95.08</v>
      </c>
      <c r="K208" s="848" t="s">
        <v>11252</v>
      </c>
    </row>
    <row r="209" spans="2:11">
      <c r="B209" s="848">
        <v>206</v>
      </c>
      <c r="C209" s="848" t="s">
        <v>1284</v>
      </c>
      <c r="D209" s="849" t="s">
        <v>11168</v>
      </c>
      <c r="E209" s="848" t="s">
        <v>8582</v>
      </c>
      <c r="F209" s="848" t="s">
        <v>11253</v>
      </c>
      <c r="G209" s="850" t="s">
        <v>11254</v>
      </c>
      <c r="H209" s="849" t="s">
        <v>10716</v>
      </c>
      <c r="I209" s="849"/>
      <c r="J209" s="851">
        <v>95.08</v>
      </c>
      <c r="K209" s="848" t="s">
        <v>11255</v>
      </c>
    </row>
    <row r="210" spans="2:11">
      <c r="B210" s="848">
        <v>207</v>
      </c>
      <c r="C210" s="848" t="s">
        <v>11256</v>
      </c>
      <c r="D210" s="849" t="s">
        <v>11257</v>
      </c>
      <c r="E210" s="848" t="s">
        <v>3276</v>
      </c>
      <c r="F210" s="848" t="s">
        <v>11258</v>
      </c>
      <c r="G210" s="850" t="s">
        <v>11259</v>
      </c>
      <c r="H210" s="849" t="s">
        <v>10716</v>
      </c>
      <c r="I210" s="849"/>
      <c r="J210" s="851">
        <v>2.06</v>
      </c>
      <c r="K210" s="848" t="s">
        <v>6060</v>
      </c>
    </row>
    <row r="211" spans="2:11">
      <c r="B211" s="848">
        <v>208</v>
      </c>
      <c r="C211" s="848" t="s">
        <v>647</v>
      </c>
      <c r="D211" s="849" t="s">
        <v>11260</v>
      </c>
      <c r="E211" s="848" t="s">
        <v>11161</v>
      </c>
      <c r="F211" s="848" t="s">
        <v>11261</v>
      </c>
      <c r="G211" s="850" t="s">
        <v>11262</v>
      </c>
      <c r="H211" s="849" t="s">
        <v>10716</v>
      </c>
      <c r="I211" s="849"/>
      <c r="J211" s="851">
        <v>2300.19</v>
      </c>
      <c r="K211" s="848" t="s">
        <v>5846</v>
      </c>
    </row>
    <row r="212" spans="2:11">
      <c r="B212" s="848">
        <v>209</v>
      </c>
      <c r="C212" s="848" t="s">
        <v>11263</v>
      </c>
      <c r="D212" s="849" t="s">
        <v>11264</v>
      </c>
      <c r="E212" s="848" t="s">
        <v>11265</v>
      </c>
      <c r="F212" s="848" t="s">
        <v>11266</v>
      </c>
      <c r="G212" s="850" t="s">
        <v>11267</v>
      </c>
      <c r="H212" s="849" t="s">
        <v>10716</v>
      </c>
      <c r="I212" s="849"/>
      <c r="J212" s="851">
        <v>460.04</v>
      </c>
      <c r="K212" s="848" t="s">
        <v>11268</v>
      </c>
    </row>
    <row r="213" spans="2:11">
      <c r="B213" s="848">
        <v>210</v>
      </c>
      <c r="C213" s="848" t="s">
        <v>11269</v>
      </c>
      <c r="D213" s="849" t="s">
        <v>11270</v>
      </c>
      <c r="E213" s="848" t="s">
        <v>3344</v>
      </c>
      <c r="F213" s="848" t="s">
        <v>11271</v>
      </c>
      <c r="G213" s="850" t="s">
        <v>11272</v>
      </c>
      <c r="H213" s="849" t="s">
        <v>10716</v>
      </c>
      <c r="I213" s="849"/>
      <c r="J213" s="851">
        <v>153.35</v>
      </c>
      <c r="K213" s="848" t="s">
        <v>11273</v>
      </c>
    </row>
    <row r="214" spans="2:11">
      <c r="B214" s="848">
        <v>211</v>
      </c>
      <c r="C214" s="848" t="s">
        <v>11274</v>
      </c>
      <c r="D214" s="849" t="s">
        <v>11275</v>
      </c>
      <c r="E214" s="848" t="s">
        <v>3344</v>
      </c>
      <c r="F214" s="848" t="s">
        <v>11276</v>
      </c>
      <c r="G214" s="850" t="s">
        <v>11277</v>
      </c>
      <c r="H214" s="849" t="s">
        <v>10716</v>
      </c>
      <c r="I214" s="849"/>
      <c r="J214" s="851">
        <v>306.69</v>
      </c>
      <c r="K214" s="848" t="s">
        <v>11278</v>
      </c>
    </row>
    <row r="215" spans="2:11" ht="25">
      <c r="B215" s="848">
        <v>212</v>
      </c>
      <c r="C215" s="848" t="s">
        <v>11279</v>
      </c>
      <c r="D215" s="849" t="s">
        <v>11280</v>
      </c>
      <c r="E215" s="848" t="s">
        <v>3347</v>
      </c>
      <c r="F215" s="848" t="s">
        <v>11281</v>
      </c>
      <c r="G215" s="850" t="s">
        <v>11146</v>
      </c>
      <c r="H215" s="849" t="s">
        <v>10716</v>
      </c>
      <c r="I215" s="849"/>
      <c r="J215" s="851">
        <v>153.35</v>
      </c>
      <c r="K215" s="848" t="s">
        <v>11282</v>
      </c>
    </row>
    <row r="216" spans="2:11">
      <c r="B216" s="848">
        <v>213</v>
      </c>
      <c r="C216" s="848" t="s">
        <v>1308</v>
      </c>
      <c r="D216" s="849" t="s">
        <v>11283</v>
      </c>
      <c r="E216" s="848" t="s">
        <v>9437</v>
      </c>
      <c r="F216" s="848" t="s">
        <v>11284</v>
      </c>
      <c r="G216" s="850" t="s">
        <v>11224</v>
      </c>
      <c r="H216" s="849" t="s">
        <v>10716</v>
      </c>
      <c r="I216" s="849"/>
      <c r="J216" s="851">
        <v>766.73</v>
      </c>
      <c r="K216" s="848" t="s">
        <v>11285</v>
      </c>
    </row>
    <row r="217" spans="2:11">
      <c r="B217" s="848">
        <v>214</v>
      </c>
      <c r="C217" s="848" t="s">
        <v>1308</v>
      </c>
      <c r="D217" s="849" t="s">
        <v>11283</v>
      </c>
      <c r="E217" s="848" t="s">
        <v>10754</v>
      </c>
      <c r="F217" s="848" t="s">
        <v>11286</v>
      </c>
      <c r="G217" s="850" t="s">
        <v>11218</v>
      </c>
      <c r="H217" s="849" t="s">
        <v>10716</v>
      </c>
      <c r="I217" s="849"/>
      <c r="J217" s="851">
        <v>766.73</v>
      </c>
      <c r="K217" s="848" t="s">
        <v>11287</v>
      </c>
    </row>
    <row r="218" spans="2:11">
      <c r="B218" s="848">
        <v>215</v>
      </c>
      <c r="C218" s="848" t="s">
        <v>1308</v>
      </c>
      <c r="D218" s="849" t="s">
        <v>11283</v>
      </c>
      <c r="E218" s="848" t="s">
        <v>10754</v>
      </c>
      <c r="F218" s="848" t="s">
        <v>11276</v>
      </c>
      <c r="G218" s="850" t="s">
        <v>11191</v>
      </c>
      <c r="H218" s="849" t="s">
        <v>10716</v>
      </c>
      <c r="I218" s="849"/>
      <c r="J218" s="851">
        <v>186.47</v>
      </c>
      <c r="K218" s="848" t="s">
        <v>11287</v>
      </c>
    </row>
    <row r="219" spans="2:11">
      <c r="B219" s="848">
        <v>216</v>
      </c>
      <c r="C219" s="848" t="s">
        <v>1308</v>
      </c>
      <c r="D219" s="849" t="s">
        <v>11283</v>
      </c>
      <c r="E219" s="848" t="s">
        <v>10754</v>
      </c>
      <c r="F219" s="848" t="s">
        <v>11281</v>
      </c>
      <c r="G219" s="850" t="s">
        <v>11194</v>
      </c>
      <c r="H219" s="849" t="s">
        <v>10716</v>
      </c>
      <c r="I219" s="849"/>
      <c r="J219" s="851">
        <v>186.47</v>
      </c>
      <c r="K219" s="848" t="s">
        <v>11285</v>
      </c>
    </row>
    <row r="220" spans="2:11">
      <c r="B220" s="848">
        <v>217</v>
      </c>
      <c r="C220" s="848" t="s">
        <v>1308</v>
      </c>
      <c r="D220" s="849" t="s">
        <v>11283</v>
      </c>
      <c r="E220" s="848" t="s">
        <v>10754</v>
      </c>
      <c r="F220" s="848" t="s">
        <v>11286</v>
      </c>
      <c r="G220" s="850" t="s">
        <v>11197</v>
      </c>
      <c r="H220" s="849" t="s">
        <v>10716</v>
      </c>
      <c r="I220" s="849"/>
      <c r="J220" s="851">
        <v>186.47</v>
      </c>
      <c r="K220" s="848" t="s">
        <v>11288</v>
      </c>
    </row>
    <row r="221" spans="2:11">
      <c r="B221" s="848">
        <v>218</v>
      </c>
      <c r="C221" s="848" t="s">
        <v>1308</v>
      </c>
      <c r="D221" s="849" t="s">
        <v>11283</v>
      </c>
      <c r="E221" s="848" t="s">
        <v>10754</v>
      </c>
      <c r="F221" s="848" t="s">
        <v>11289</v>
      </c>
      <c r="G221" s="850" t="s">
        <v>11221</v>
      </c>
      <c r="H221" s="849" t="s">
        <v>10716</v>
      </c>
      <c r="I221" s="849"/>
      <c r="J221" s="851">
        <v>766.73</v>
      </c>
      <c r="K221" s="848" t="s">
        <v>11288</v>
      </c>
    </row>
    <row r="222" spans="2:11">
      <c r="B222" s="848">
        <v>219</v>
      </c>
      <c r="C222" s="848" t="s">
        <v>1308</v>
      </c>
      <c r="D222" s="849" t="s">
        <v>11283</v>
      </c>
      <c r="E222" s="848" t="s">
        <v>10754</v>
      </c>
      <c r="F222" s="848" t="s">
        <v>11290</v>
      </c>
      <c r="G222" s="850" t="s">
        <v>11215</v>
      </c>
      <c r="H222" s="849" t="s">
        <v>10716</v>
      </c>
      <c r="I222" s="849"/>
      <c r="J222" s="851">
        <v>766.73</v>
      </c>
      <c r="K222" s="848" t="s">
        <v>11291</v>
      </c>
    </row>
    <row r="223" spans="2:11">
      <c r="B223" s="848">
        <v>220</v>
      </c>
      <c r="C223" s="848" t="s">
        <v>1308</v>
      </c>
      <c r="D223" s="849" t="s">
        <v>11283</v>
      </c>
      <c r="E223" s="848" t="s">
        <v>10754</v>
      </c>
      <c r="F223" s="848" t="s">
        <v>11284</v>
      </c>
      <c r="G223" s="850" t="s">
        <v>11200</v>
      </c>
      <c r="H223" s="849" t="s">
        <v>10716</v>
      </c>
      <c r="I223" s="849"/>
      <c r="J223" s="851">
        <v>186.47</v>
      </c>
      <c r="K223" s="848" t="s">
        <v>11291</v>
      </c>
    </row>
    <row r="224" spans="2:11">
      <c r="B224" s="848">
        <v>221</v>
      </c>
      <c r="C224" s="848" t="s">
        <v>11292</v>
      </c>
      <c r="D224" s="849" t="s">
        <v>434</v>
      </c>
      <c r="E224" s="848" t="s">
        <v>11161</v>
      </c>
      <c r="F224" s="848" t="s">
        <v>11293</v>
      </c>
      <c r="G224" s="850" t="s">
        <v>11294</v>
      </c>
      <c r="H224" s="849" t="s">
        <v>10716</v>
      </c>
      <c r="I224" s="849"/>
      <c r="J224" s="851">
        <v>460.04</v>
      </c>
      <c r="K224" s="848" t="s">
        <v>11295</v>
      </c>
    </row>
    <row r="225" spans="2:11">
      <c r="B225" s="848">
        <v>222</v>
      </c>
      <c r="C225" s="848" t="s">
        <v>11296</v>
      </c>
      <c r="D225" s="849" t="s">
        <v>11297</v>
      </c>
      <c r="E225" s="848" t="s">
        <v>3227</v>
      </c>
      <c r="F225" s="848" t="s">
        <v>11298</v>
      </c>
      <c r="G225" s="850" t="s">
        <v>11299</v>
      </c>
      <c r="H225" s="849" t="s">
        <v>10716</v>
      </c>
      <c r="I225" s="849"/>
      <c r="J225" s="851">
        <v>23.71</v>
      </c>
      <c r="K225" s="848" t="s">
        <v>11300</v>
      </c>
    </row>
    <row r="226" spans="2:11">
      <c r="B226" s="848">
        <v>223</v>
      </c>
      <c r="C226" s="848" t="s">
        <v>11279</v>
      </c>
      <c r="D226" s="849" t="s">
        <v>60</v>
      </c>
      <c r="E226" s="848" t="s">
        <v>8582</v>
      </c>
      <c r="F226" s="848" t="s">
        <v>11301</v>
      </c>
      <c r="G226" s="850" t="s">
        <v>11302</v>
      </c>
      <c r="H226" s="849" t="s">
        <v>10716</v>
      </c>
      <c r="I226" s="849"/>
      <c r="J226" s="851">
        <v>306.69</v>
      </c>
      <c r="K226" s="848" t="s">
        <v>11303</v>
      </c>
    </row>
    <row r="227" spans="2:11">
      <c r="B227" s="848">
        <v>224</v>
      </c>
      <c r="C227" s="848" t="s">
        <v>11304</v>
      </c>
      <c r="D227" s="849" t="s">
        <v>8075</v>
      </c>
      <c r="E227" s="848" t="s">
        <v>3233</v>
      </c>
      <c r="F227" s="848" t="s">
        <v>11305</v>
      </c>
      <c r="G227" s="850" t="s">
        <v>11306</v>
      </c>
      <c r="H227" s="849" t="s">
        <v>10716</v>
      </c>
      <c r="I227" s="849"/>
      <c r="J227" s="851">
        <v>2645.18</v>
      </c>
      <c r="K227" s="848" t="s">
        <v>11307</v>
      </c>
    </row>
    <row r="228" spans="2:11">
      <c r="B228" s="848">
        <v>225</v>
      </c>
      <c r="C228" s="848" t="s">
        <v>11308</v>
      </c>
      <c r="D228" s="849" t="s">
        <v>5738</v>
      </c>
      <c r="E228" s="848" t="s">
        <v>9425</v>
      </c>
      <c r="F228" s="848" t="s">
        <v>11309</v>
      </c>
      <c r="G228" s="850" t="s">
        <v>10787</v>
      </c>
      <c r="H228" s="849" t="s">
        <v>10716</v>
      </c>
      <c r="I228" s="849"/>
      <c r="J228" s="851">
        <v>72</v>
      </c>
      <c r="K228" s="848" t="s">
        <v>6805</v>
      </c>
    </row>
    <row r="229" spans="2:11">
      <c r="B229" s="848">
        <v>226</v>
      </c>
      <c r="C229" s="848" t="s">
        <v>1320</v>
      </c>
      <c r="D229" s="849" t="s">
        <v>201</v>
      </c>
      <c r="E229" s="848" t="s">
        <v>11310</v>
      </c>
      <c r="F229" s="848" t="s">
        <v>11311</v>
      </c>
      <c r="G229" s="850" t="s">
        <v>11312</v>
      </c>
      <c r="H229" s="849" t="s">
        <v>10716</v>
      </c>
      <c r="I229" s="849"/>
      <c r="J229" s="851">
        <v>5584.05</v>
      </c>
      <c r="K229" s="848" t="s">
        <v>11313</v>
      </c>
    </row>
    <row r="230" spans="2:11">
      <c r="B230" s="848">
        <v>227</v>
      </c>
      <c r="C230" s="848" t="s">
        <v>1320</v>
      </c>
      <c r="D230" s="849" t="s">
        <v>201</v>
      </c>
      <c r="E230" s="848" t="s">
        <v>11310</v>
      </c>
      <c r="F230" s="848" t="s">
        <v>11314</v>
      </c>
      <c r="G230" s="850" t="s">
        <v>11315</v>
      </c>
      <c r="H230" s="849" t="s">
        <v>10716</v>
      </c>
      <c r="I230" s="849"/>
      <c r="J230" s="851">
        <v>71.900000000000006</v>
      </c>
      <c r="K230" s="848" t="s">
        <v>11316</v>
      </c>
    </row>
    <row r="231" spans="2:11">
      <c r="B231" s="848">
        <v>228</v>
      </c>
      <c r="C231" s="848" t="s">
        <v>1320</v>
      </c>
      <c r="D231" s="849" t="s">
        <v>201</v>
      </c>
      <c r="E231" s="848" t="s">
        <v>11310</v>
      </c>
      <c r="F231" s="848" t="s">
        <v>11317</v>
      </c>
      <c r="G231" s="850" t="s">
        <v>11318</v>
      </c>
      <c r="H231" s="849" t="s">
        <v>10716</v>
      </c>
      <c r="I231" s="849"/>
      <c r="J231" s="851">
        <v>71.900000000000006</v>
      </c>
      <c r="K231" s="848" t="s">
        <v>11319</v>
      </c>
    </row>
    <row r="232" spans="2:11">
      <c r="B232" s="848">
        <v>229</v>
      </c>
      <c r="C232" s="848" t="s">
        <v>1320</v>
      </c>
      <c r="D232" s="849" t="s">
        <v>201</v>
      </c>
      <c r="E232" s="848" t="s">
        <v>11310</v>
      </c>
      <c r="F232" s="848" t="s">
        <v>11320</v>
      </c>
      <c r="G232" s="850" t="s">
        <v>11321</v>
      </c>
      <c r="H232" s="849" t="s">
        <v>10716</v>
      </c>
      <c r="I232" s="849"/>
      <c r="J232" s="851">
        <v>53.92</v>
      </c>
      <c r="K232" s="848" t="s">
        <v>11322</v>
      </c>
    </row>
    <row r="233" spans="2:11">
      <c r="B233" s="848">
        <v>230</v>
      </c>
      <c r="C233" s="848" t="s">
        <v>1320</v>
      </c>
      <c r="D233" s="849" t="s">
        <v>201</v>
      </c>
      <c r="E233" s="848" t="s">
        <v>11310</v>
      </c>
      <c r="F233" s="848" t="s">
        <v>11323</v>
      </c>
      <c r="G233" s="850" t="s">
        <v>11324</v>
      </c>
      <c r="H233" s="849" t="s">
        <v>10716</v>
      </c>
      <c r="I233" s="849"/>
      <c r="J233" s="851">
        <v>95.08</v>
      </c>
      <c r="K233" s="848" t="s">
        <v>5904</v>
      </c>
    </row>
    <row r="234" spans="2:11">
      <c r="B234" s="848">
        <v>231</v>
      </c>
      <c r="C234" s="848" t="s">
        <v>1320</v>
      </c>
      <c r="D234" s="849" t="s">
        <v>201</v>
      </c>
      <c r="E234" s="848" t="s">
        <v>11310</v>
      </c>
      <c r="F234" s="848" t="s">
        <v>11325</v>
      </c>
      <c r="G234" s="850" t="s">
        <v>11326</v>
      </c>
      <c r="H234" s="849" t="s">
        <v>10716</v>
      </c>
      <c r="I234" s="849"/>
      <c r="J234" s="851">
        <v>118.85</v>
      </c>
      <c r="K234" s="848" t="s">
        <v>5909</v>
      </c>
    </row>
    <row r="235" spans="2:11">
      <c r="B235" s="848">
        <v>232</v>
      </c>
      <c r="C235" s="848" t="s">
        <v>1320</v>
      </c>
      <c r="D235" s="849" t="s">
        <v>201</v>
      </c>
      <c r="E235" s="848" t="s">
        <v>11310</v>
      </c>
      <c r="F235" s="848" t="s">
        <v>11327</v>
      </c>
      <c r="G235" s="850" t="s">
        <v>11328</v>
      </c>
      <c r="H235" s="849" t="s">
        <v>10716</v>
      </c>
      <c r="I235" s="849"/>
      <c r="J235" s="851">
        <v>118.85</v>
      </c>
      <c r="K235" s="848" t="s">
        <v>5910</v>
      </c>
    </row>
    <row r="236" spans="2:11">
      <c r="B236" s="848">
        <v>233</v>
      </c>
      <c r="C236" s="848" t="s">
        <v>1320</v>
      </c>
      <c r="D236" s="849" t="s">
        <v>201</v>
      </c>
      <c r="E236" s="848" t="s">
        <v>11310</v>
      </c>
      <c r="F236" s="848" t="s">
        <v>11329</v>
      </c>
      <c r="G236" s="850" t="s">
        <v>11330</v>
      </c>
      <c r="H236" s="849" t="s">
        <v>10716</v>
      </c>
      <c r="I236" s="849"/>
      <c r="J236" s="851">
        <v>95.08</v>
      </c>
      <c r="K236" s="848" t="s">
        <v>5911</v>
      </c>
    </row>
    <row r="237" spans="2:11">
      <c r="B237" s="848">
        <v>234</v>
      </c>
      <c r="C237" s="848" t="s">
        <v>1320</v>
      </c>
      <c r="D237" s="849" t="s">
        <v>201</v>
      </c>
      <c r="E237" s="848" t="s">
        <v>11310</v>
      </c>
      <c r="F237" s="848" t="s">
        <v>11331</v>
      </c>
      <c r="G237" s="850" t="s">
        <v>11332</v>
      </c>
      <c r="H237" s="849" t="s">
        <v>10716</v>
      </c>
      <c r="I237" s="849"/>
      <c r="J237" s="851">
        <v>142.62</v>
      </c>
      <c r="K237" s="848" t="s">
        <v>5912</v>
      </c>
    </row>
    <row r="238" spans="2:11">
      <c r="B238" s="848">
        <v>235</v>
      </c>
      <c r="C238" s="848" t="s">
        <v>1320</v>
      </c>
      <c r="D238" s="849" t="s">
        <v>201</v>
      </c>
      <c r="E238" s="848" t="s">
        <v>11310</v>
      </c>
      <c r="F238" s="848" t="s">
        <v>11333</v>
      </c>
      <c r="G238" s="850" t="s">
        <v>11334</v>
      </c>
      <c r="H238" s="849" t="s">
        <v>10716</v>
      </c>
      <c r="I238" s="849"/>
      <c r="J238" s="851">
        <v>95.08</v>
      </c>
      <c r="K238" s="848" t="s">
        <v>5913</v>
      </c>
    </row>
    <row r="239" spans="2:11">
      <c r="B239" s="848">
        <v>236</v>
      </c>
      <c r="C239" s="848" t="s">
        <v>1320</v>
      </c>
      <c r="D239" s="849" t="s">
        <v>201</v>
      </c>
      <c r="E239" s="848" t="s">
        <v>11310</v>
      </c>
      <c r="F239" s="848" t="s">
        <v>11335</v>
      </c>
      <c r="G239" s="850" t="s">
        <v>11336</v>
      </c>
      <c r="H239" s="849" t="s">
        <v>10716</v>
      </c>
      <c r="I239" s="849"/>
      <c r="J239" s="851">
        <v>5643.04</v>
      </c>
      <c r="K239" s="848" t="s">
        <v>6094</v>
      </c>
    </row>
    <row r="240" spans="2:11">
      <c r="B240" s="848">
        <v>237</v>
      </c>
      <c r="C240" s="848" t="s">
        <v>1320</v>
      </c>
      <c r="D240" s="849" t="s">
        <v>201</v>
      </c>
      <c r="E240" s="848" t="s">
        <v>11310</v>
      </c>
      <c r="F240" s="848" t="s">
        <v>11337</v>
      </c>
      <c r="G240" s="850" t="s">
        <v>11338</v>
      </c>
      <c r="H240" s="849" t="s">
        <v>10716</v>
      </c>
      <c r="I240" s="849"/>
      <c r="J240" s="851">
        <v>200.05</v>
      </c>
      <c r="K240" s="848" t="s">
        <v>5948</v>
      </c>
    </row>
    <row r="241" spans="2:11">
      <c r="B241" s="848">
        <v>238</v>
      </c>
      <c r="C241" s="848" t="s">
        <v>1320</v>
      </c>
      <c r="D241" s="849" t="s">
        <v>201</v>
      </c>
      <c r="E241" s="848" t="s">
        <v>11310</v>
      </c>
      <c r="F241" s="848" t="s">
        <v>11339</v>
      </c>
      <c r="G241" s="850" t="s">
        <v>11340</v>
      </c>
      <c r="H241" s="849" t="s">
        <v>10716</v>
      </c>
      <c r="I241" s="849"/>
      <c r="J241" s="851">
        <v>73.900000000000006</v>
      </c>
      <c r="K241" s="848" t="s">
        <v>5950</v>
      </c>
    </row>
    <row r="242" spans="2:11">
      <c r="B242" s="848">
        <v>239</v>
      </c>
      <c r="C242" s="848" t="s">
        <v>1320</v>
      </c>
      <c r="D242" s="849" t="s">
        <v>201</v>
      </c>
      <c r="E242" s="848" t="s">
        <v>9501</v>
      </c>
      <c r="F242" s="848" t="s">
        <v>11341</v>
      </c>
      <c r="G242" s="850" t="s">
        <v>11342</v>
      </c>
      <c r="H242" s="849" t="s">
        <v>10716</v>
      </c>
      <c r="I242" s="849"/>
      <c r="J242" s="851">
        <v>21.063509999999997</v>
      </c>
      <c r="K242" s="848" t="s">
        <v>5994</v>
      </c>
    </row>
    <row r="243" spans="2:11">
      <c r="B243" s="848">
        <v>240</v>
      </c>
      <c r="C243" s="848" t="s">
        <v>1320</v>
      </c>
      <c r="D243" s="849" t="s">
        <v>201</v>
      </c>
      <c r="E243" s="848" t="s">
        <v>9501</v>
      </c>
      <c r="F243" s="848" t="s">
        <v>11343</v>
      </c>
      <c r="G243" s="850" t="s">
        <v>11344</v>
      </c>
      <c r="H243" s="849" t="s">
        <v>10716</v>
      </c>
      <c r="I243" s="849"/>
      <c r="J243" s="851">
        <v>12.638105999999997</v>
      </c>
      <c r="K243" s="848" t="s">
        <v>5995</v>
      </c>
    </row>
    <row r="244" spans="2:11">
      <c r="B244" s="848">
        <v>241</v>
      </c>
      <c r="C244" s="848" t="s">
        <v>1320</v>
      </c>
      <c r="D244" s="849" t="s">
        <v>201</v>
      </c>
      <c r="E244" s="848" t="s">
        <v>9501</v>
      </c>
      <c r="F244" s="848" t="s">
        <v>11345</v>
      </c>
      <c r="G244" s="850" t="s">
        <v>11346</v>
      </c>
      <c r="H244" s="849" t="s">
        <v>10716</v>
      </c>
      <c r="I244" s="849"/>
      <c r="J244" s="851">
        <v>4.2127019999999993</v>
      </c>
      <c r="K244" s="848" t="s">
        <v>5996</v>
      </c>
    </row>
    <row r="245" spans="2:11">
      <c r="B245" s="848">
        <v>242</v>
      </c>
      <c r="C245" s="848" t="s">
        <v>11347</v>
      </c>
      <c r="D245" s="849" t="s">
        <v>11348</v>
      </c>
      <c r="E245" s="848" t="s">
        <v>8582</v>
      </c>
      <c r="F245" s="848" t="s">
        <v>11349</v>
      </c>
      <c r="G245" s="850" t="s">
        <v>11350</v>
      </c>
      <c r="H245" s="849" t="s">
        <v>10716</v>
      </c>
      <c r="I245" s="849"/>
      <c r="J245" s="851">
        <v>4533.28</v>
      </c>
      <c r="K245" s="848" t="s">
        <v>11351</v>
      </c>
    </row>
    <row r="246" spans="2:11">
      <c r="B246" s="848">
        <v>243</v>
      </c>
      <c r="C246" s="848" t="s">
        <v>11347</v>
      </c>
      <c r="D246" s="849" t="s">
        <v>11348</v>
      </c>
      <c r="E246" s="848" t="s">
        <v>8582</v>
      </c>
      <c r="F246" s="848" t="s">
        <v>11352</v>
      </c>
      <c r="G246" s="850" t="s">
        <v>11353</v>
      </c>
      <c r="H246" s="849" t="s">
        <v>10716</v>
      </c>
      <c r="I246" s="849"/>
      <c r="J246" s="851">
        <v>7701.48</v>
      </c>
      <c r="K246" s="848" t="s">
        <v>11354</v>
      </c>
    </row>
    <row r="247" spans="2:11">
      <c r="B247" s="848">
        <v>244</v>
      </c>
      <c r="C247" s="848" t="s">
        <v>11355</v>
      </c>
      <c r="D247" s="849" t="s">
        <v>11356</v>
      </c>
      <c r="E247" s="848" t="s">
        <v>9418</v>
      </c>
      <c r="F247" s="848" t="s">
        <v>11357</v>
      </c>
      <c r="G247" s="850" t="s">
        <v>11358</v>
      </c>
      <c r="H247" s="849" t="s">
        <v>10716</v>
      </c>
      <c r="I247" s="849"/>
      <c r="J247" s="851">
        <v>23106.94</v>
      </c>
      <c r="K247" s="848" t="s">
        <v>6380</v>
      </c>
    </row>
    <row r="248" spans="2:11">
      <c r="B248" s="848">
        <v>245</v>
      </c>
      <c r="C248" s="848" t="s">
        <v>608</v>
      </c>
      <c r="D248" s="849" t="s">
        <v>11356</v>
      </c>
      <c r="E248" s="848" t="s">
        <v>9418</v>
      </c>
      <c r="F248" s="848" t="s">
        <v>11359</v>
      </c>
      <c r="G248" s="850" t="s">
        <v>11360</v>
      </c>
      <c r="H248" s="849" t="s">
        <v>10716</v>
      </c>
      <c r="I248" s="849"/>
      <c r="J248" s="851">
        <v>3424.22</v>
      </c>
      <c r="K248" s="848" t="s">
        <v>11361</v>
      </c>
    </row>
    <row r="249" spans="2:11">
      <c r="B249" s="848">
        <v>246</v>
      </c>
      <c r="C249" s="848" t="s">
        <v>1249</v>
      </c>
      <c r="D249" s="849" t="s">
        <v>11356</v>
      </c>
      <c r="E249" s="848" t="s">
        <v>9418</v>
      </c>
      <c r="F249" s="848" t="s">
        <v>11362</v>
      </c>
      <c r="G249" s="850" t="s">
        <v>11363</v>
      </c>
      <c r="H249" s="849" t="s">
        <v>10716</v>
      </c>
      <c r="I249" s="849"/>
      <c r="J249" s="851">
        <v>1369.69</v>
      </c>
      <c r="K249" s="848" t="s">
        <v>6565</v>
      </c>
    </row>
    <row r="250" spans="2:11">
      <c r="B250" s="848">
        <v>247</v>
      </c>
      <c r="C250" s="848" t="s">
        <v>6978</v>
      </c>
      <c r="D250" s="849" t="s">
        <v>11356</v>
      </c>
      <c r="E250" s="848" t="s">
        <v>9418</v>
      </c>
      <c r="F250" s="848" t="s">
        <v>11364</v>
      </c>
      <c r="G250" s="850" t="s">
        <v>11365</v>
      </c>
      <c r="H250" s="849" t="s">
        <v>10716</v>
      </c>
      <c r="I250" s="849"/>
      <c r="J250" s="851">
        <v>1369.68</v>
      </c>
      <c r="K250" s="848" t="s">
        <v>6566</v>
      </c>
    </row>
    <row r="251" spans="2:11">
      <c r="B251" s="848">
        <v>248</v>
      </c>
      <c r="C251" s="848" t="s">
        <v>6976</v>
      </c>
      <c r="D251" s="849" t="s">
        <v>11356</v>
      </c>
      <c r="E251" s="848" t="s">
        <v>9418</v>
      </c>
      <c r="F251" s="848" t="s">
        <v>11366</v>
      </c>
      <c r="G251" s="850" t="s">
        <v>11367</v>
      </c>
      <c r="H251" s="849" t="s">
        <v>10716</v>
      </c>
      <c r="I251" s="849"/>
      <c r="J251" s="851">
        <v>684.84</v>
      </c>
      <c r="K251" s="848" t="s">
        <v>6567</v>
      </c>
    </row>
    <row r="252" spans="2:11">
      <c r="B252" s="848">
        <v>249</v>
      </c>
      <c r="C252" s="848" t="s">
        <v>11368</v>
      </c>
      <c r="D252" s="849" t="s">
        <v>11356</v>
      </c>
      <c r="E252" s="848" t="s">
        <v>8582</v>
      </c>
      <c r="F252" s="848" t="s">
        <v>11369</v>
      </c>
      <c r="G252" s="850" t="s">
        <v>11370</v>
      </c>
      <c r="H252" s="849" t="s">
        <v>10716</v>
      </c>
      <c r="I252" s="849"/>
      <c r="J252" s="851">
        <v>1563.2</v>
      </c>
      <c r="K252" s="848" t="s">
        <v>11371</v>
      </c>
    </row>
    <row r="253" spans="2:11">
      <c r="B253" s="848">
        <v>250</v>
      </c>
      <c r="C253" s="848" t="s">
        <v>11372</v>
      </c>
      <c r="D253" s="849" t="s">
        <v>11356</v>
      </c>
      <c r="E253" s="848" t="s">
        <v>8582</v>
      </c>
      <c r="F253" s="848" t="s">
        <v>11373</v>
      </c>
      <c r="G253" s="850" t="s">
        <v>11374</v>
      </c>
      <c r="H253" s="849" t="s">
        <v>10716</v>
      </c>
      <c r="I253" s="849"/>
      <c r="J253" s="851">
        <v>390.8</v>
      </c>
      <c r="K253" s="848" t="s">
        <v>11375</v>
      </c>
    </row>
    <row r="254" spans="2:11">
      <c r="B254" s="848">
        <v>251</v>
      </c>
      <c r="C254" s="848" t="s">
        <v>11372</v>
      </c>
      <c r="D254" s="849" t="s">
        <v>11356</v>
      </c>
      <c r="E254" s="848" t="s">
        <v>8582</v>
      </c>
      <c r="F254" s="848" t="s">
        <v>11376</v>
      </c>
      <c r="G254" s="850" t="s">
        <v>11377</v>
      </c>
      <c r="H254" s="849" t="s">
        <v>10716</v>
      </c>
      <c r="I254" s="849"/>
      <c r="J254" s="851">
        <v>1250.56</v>
      </c>
      <c r="K254" s="848" t="s">
        <v>11378</v>
      </c>
    </row>
    <row r="255" spans="2:11">
      <c r="B255" s="848">
        <v>252</v>
      </c>
      <c r="C255" s="848" t="s">
        <v>11372</v>
      </c>
      <c r="D255" s="849" t="s">
        <v>11356</v>
      </c>
      <c r="E255" s="848" t="s">
        <v>8582</v>
      </c>
      <c r="F255" s="848" t="s">
        <v>11379</v>
      </c>
      <c r="G255" s="850" t="s">
        <v>11380</v>
      </c>
      <c r="H255" s="849" t="s">
        <v>10716</v>
      </c>
      <c r="I255" s="849"/>
      <c r="J255" s="851">
        <v>2501.12</v>
      </c>
      <c r="K255" s="848" t="s">
        <v>11381</v>
      </c>
    </row>
    <row r="256" spans="2:11">
      <c r="B256" s="848">
        <v>253</v>
      </c>
      <c r="C256" s="848" t="s">
        <v>11372</v>
      </c>
      <c r="D256" s="849" t="s">
        <v>11356</v>
      </c>
      <c r="E256" s="848" t="s">
        <v>8582</v>
      </c>
      <c r="F256" s="848" t="s">
        <v>11382</v>
      </c>
      <c r="G256" s="850" t="s">
        <v>11383</v>
      </c>
      <c r="H256" s="849" t="s">
        <v>10716</v>
      </c>
      <c r="I256" s="849"/>
      <c r="J256" s="851">
        <v>4376.96</v>
      </c>
      <c r="K256" s="848" t="s">
        <v>10762</v>
      </c>
    </row>
    <row r="257" spans="2:11">
      <c r="B257" s="848">
        <v>254</v>
      </c>
      <c r="C257" s="848" t="s">
        <v>11372</v>
      </c>
      <c r="D257" s="849" t="s">
        <v>11356</v>
      </c>
      <c r="E257" s="848" t="s">
        <v>8582</v>
      </c>
      <c r="F257" s="848" t="s">
        <v>11384</v>
      </c>
      <c r="G257" s="850" t="s">
        <v>11385</v>
      </c>
      <c r="H257" s="849" t="s">
        <v>10716</v>
      </c>
      <c r="I257" s="849"/>
      <c r="J257" s="851">
        <v>468.96</v>
      </c>
      <c r="K257" s="848" t="s">
        <v>11107</v>
      </c>
    </row>
    <row r="258" spans="2:11">
      <c r="B258" s="848">
        <v>255</v>
      </c>
      <c r="C258" s="848" t="s">
        <v>11372</v>
      </c>
      <c r="D258" s="849" t="s">
        <v>11356</v>
      </c>
      <c r="E258" s="848" t="s">
        <v>8582</v>
      </c>
      <c r="F258" s="848" t="s">
        <v>11386</v>
      </c>
      <c r="G258" s="850" t="s">
        <v>11387</v>
      </c>
      <c r="H258" s="849" t="s">
        <v>10716</v>
      </c>
      <c r="I258" s="849"/>
      <c r="J258" s="851">
        <v>273.56</v>
      </c>
      <c r="K258" s="848" t="s">
        <v>11388</v>
      </c>
    </row>
    <row r="259" spans="2:11">
      <c r="B259" s="848">
        <v>256</v>
      </c>
      <c r="C259" s="848" t="s">
        <v>11372</v>
      </c>
      <c r="D259" s="849" t="s">
        <v>11356</v>
      </c>
      <c r="E259" s="848" t="s">
        <v>8582</v>
      </c>
      <c r="F259" s="848" t="s">
        <v>11389</v>
      </c>
      <c r="G259" s="850" t="s">
        <v>11390</v>
      </c>
      <c r="H259" s="849" t="s">
        <v>10716</v>
      </c>
      <c r="I259" s="849"/>
      <c r="J259" s="851">
        <v>2970.08</v>
      </c>
      <c r="K259" s="848" t="s">
        <v>11391</v>
      </c>
    </row>
    <row r="260" spans="2:11">
      <c r="B260" s="848">
        <v>257</v>
      </c>
      <c r="C260" s="848" t="s">
        <v>11372</v>
      </c>
      <c r="D260" s="849" t="s">
        <v>11356</v>
      </c>
      <c r="E260" s="848" t="s">
        <v>8582</v>
      </c>
      <c r="F260" s="848" t="s">
        <v>11392</v>
      </c>
      <c r="G260" s="850" t="s">
        <v>11393</v>
      </c>
      <c r="H260" s="849" t="s">
        <v>10716</v>
      </c>
      <c r="I260" s="849"/>
      <c r="J260" s="851">
        <v>781.6</v>
      </c>
      <c r="K260" s="848" t="s">
        <v>11394</v>
      </c>
    </row>
    <row r="261" spans="2:11">
      <c r="B261" s="848">
        <v>258</v>
      </c>
      <c r="C261" s="848" t="s">
        <v>11372</v>
      </c>
      <c r="D261" s="849" t="s">
        <v>11356</v>
      </c>
      <c r="E261" s="848" t="s">
        <v>8582</v>
      </c>
      <c r="F261" s="848" t="s">
        <v>11395</v>
      </c>
      <c r="G261" s="850" t="s">
        <v>11396</v>
      </c>
      <c r="H261" s="849" t="s">
        <v>10716</v>
      </c>
      <c r="I261" s="849"/>
      <c r="J261" s="851">
        <v>586.20000000000005</v>
      </c>
      <c r="K261" s="848" t="s">
        <v>11397</v>
      </c>
    </row>
    <row r="262" spans="2:11">
      <c r="B262" s="848">
        <v>259</v>
      </c>
      <c r="C262" s="848" t="s">
        <v>11372</v>
      </c>
      <c r="D262" s="849" t="s">
        <v>11356</v>
      </c>
      <c r="E262" s="848" t="s">
        <v>8582</v>
      </c>
      <c r="F262" s="848" t="s">
        <v>11398</v>
      </c>
      <c r="G262" s="850" t="s">
        <v>11399</v>
      </c>
      <c r="H262" s="849" t="s">
        <v>10716</v>
      </c>
      <c r="I262" s="849"/>
      <c r="J262" s="851">
        <v>2618.36</v>
      </c>
      <c r="K262" s="848" t="s">
        <v>11400</v>
      </c>
    </row>
    <row r="263" spans="2:11">
      <c r="B263" s="848">
        <v>260</v>
      </c>
      <c r="C263" s="848" t="s">
        <v>11368</v>
      </c>
      <c r="D263" s="849" t="s">
        <v>11356</v>
      </c>
      <c r="E263" s="848" t="s">
        <v>8582</v>
      </c>
      <c r="F263" s="848" t="s">
        <v>11401</v>
      </c>
      <c r="G263" s="850" t="s">
        <v>11402</v>
      </c>
      <c r="H263" s="849" t="s">
        <v>10716</v>
      </c>
      <c r="I263" s="849"/>
      <c r="J263" s="851">
        <v>2931</v>
      </c>
      <c r="K263" s="848" t="s">
        <v>11403</v>
      </c>
    </row>
    <row r="264" spans="2:11">
      <c r="B264" s="848">
        <v>261</v>
      </c>
      <c r="C264" s="848" t="s">
        <v>11404</v>
      </c>
      <c r="D264" s="849" t="s">
        <v>11356</v>
      </c>
      <c r="E264" s="848" t="s">
        <v>8582</v>
      </c>
      <c r="F264" s="848" t="s">
        <v>11405</v>
      </c>
      <c r="G264" s="850" t="s">
        <v>11406</v>
      </c>
      <c r="H264" s="849" t="s">
        <v>10716</v>
      </c>
      <c r="I264" s="849"/>
      <c r="J264" s="851">
        <v>3868.92</v>
      </c>
      <c r="K264" s="848" t="s">
        <v>11407</v>
      </c>
    </row>
    <row r="265" spans="2:11">
      <c r="B265" s="848">
        <v>262</v>
      </c>
      <c r="C265" s="848" t="s">
        <v>608</v>
      </c>
      <c r="D265" s="849" t="s">
        <v>11356</v>
      </c>
      <c r="E265" s="848" t="s">
        <v>8582</v>
      </c>
      <c r="F265" s="848" t="s">
        <v>11408</v>
      </c>
      <c r="G265" s="850" t="s">
        <v>11409</v>
      </c>
      <c r="H265" s="849" t="s">
        <v>10716</v>
      </c>
      <c r="I265" s="849"/>
      <c r="J265" s="851">
        <v>4373.68</v>
      </c>
      <c r="K265" s="848" t="s">
        <v>11410</v>
      </c>
    </row>
    <row r="266" spans="2:11">
      <c r="B266" s="848">
        <v>263</v>
      </c>
      <c r="C266" s="848" t="s">
        <v>608</v>
      </c>
      <c r="D266" s="849" t="s">
        <v>11356</v>
      </c>
      <c r="E266" s="848" t="s">
        <v>8582</v>
      </c>
      <c r="F266" s="848" t="s">
        <v>11411</v>
      </c>
      <c r="G266" s="850" t="s">
        <v>11412</v>
      </c>
      <c r="H266" s="849" t="s">
        <v>10716</v>
      </c>
      <c r="I266" s="849"/>
      <c r="J266" s="851">
        <v>9504.4500000000007</v>
      </c>
      <c r="K266" s="848" t="s">
        <v>11413</v>
      </c>
    </row>
    <row r="267" spans="2:11">
      <c r="B267" s="848">
        <v>264</v>
      </c>
      <c r="C267" s="848" t="s">
        <v>608</v>
      </c>
      <c r="D267" s="849" t="s">
        <v>11356</v>
      </c>
      <c r="E267" s="848" t="s">
        <v>8582</v>
      </c>
      <c r="F267" s="848" t="s">
        <v>11414</v>
      </c>
      <c r="G267" s="850" t="s">
        <v>11415</v>
      </c>
      <c r="H267" s="849" t="s">
        <v>10716</v>
      </c>
      <c r="I267" s="849"/>
      <c r="J267" s="851">
        <v>6940.84</v>
      </c>
      <c r="K267" s="848" t="s">
        <v>11416</v>
      </c>
    </row>
    <row r="268" spans="2:11">
      <c r="B268" s="848">
        <v>265</v>
      </c>
      <c r="C268" s="848" t="s">
        <v>608</v>
      </c>
      <c r="D268" s="849" t="s">
        <v>11356</v>
      </c>
      <c r="E268" s="848" t="s">
        <v>8582</v>
      </c>
      <c r="F268" s="848" t="s">
        <v>11417</v>
      </c>
      <c r="G268" s="850" t="s">
        <v>11418</v>
      </c>
      <c r="H268" s="849" t="s">
        <v>10716</v>
      </c>
      <c r="I268" s="849"/>
      <c r="J268" s="851">
        <v>5704.8</v>
      </c>
      <c r="K268" s="848" t="s">
        <v>11419</v>
      </c>
    </row>
    <row r="269" spans="2:11">
      <c r="B269" s="848">
        <v>266</v>
      </c>
      <c r="C269" s="848" t="s">
        <v>11347</v>
      </c>
      <c r="D269" s="849" t="s">
        <v>11356</v>
      </c>
      <c r="E269" s="848" t="s">
        <v>8582</v>
      </c>
      <c r="F269" s="848" t="s">
        <v>11420</v>
      </c>
      <c r="G269" s="850" t="s">
        <v>11421</v>
      </c>
      <c r="H269" s="849" t="s">
        <v>10716</v>
      </c>
      <c r="I269" s="849"/>
      <c r="J269" s="851">
        <v>742.52</v>
      </c>
      <c r="K269" s="848" t="s">
        <v>11422</v>
      </c>
    </row>
    <row r="270" spans="2:11">
      <c r="B270" s="848">
        <v>267</v>
      </c>
      <c r="C270" s="848" t="s">
        <v>608</v>
      </c>
      <c r="D270" s="849" t="s">
        <v>11356</v>
      </c>
      <c r="E270" s="848" t="s">
        <v>3393</v>
      </c>
      <c r="F270" s="848" t="s">
        <v>11423</v>
      </c>
      <c r="G270" s="850" t="s">
        <v>11424</v>
      </c>
      <c r="H270" s="849" t="s">
        <v>10716</v>
      </c>
      <c r="I270" s="849"/>
      <c r="J270" s="851">
        <v>171.74639999999999</v>
      </c>
      <c r="K270" s="848" t="s">
        <v>11425</v>
      </c>
    </row>
    <row r="271" spans="2:11">
      <c r="B271" s="848">
        <v>268</v>
      </c>
      <c r="C271" s="848" t="s">
        <v>608</v>
      </c>
      <c r="D271" s="849" t="s">
        <v>11356</v>
      </c>
      <c r="E271" s="848" t="s">
        <v>3393</v>
      </c>
      <c r="F271" s="848" t="s">
        <v>11426</v>
      </c>
      <c r="G271" s="850" t="s">
        <v>11427</v>
      </c>
      <c r="H271" s="849" t="s">
        <v>10716</v>
      </c>
      <c r="I271" s="849"/>
      <c r="J271" s="851">
        <v>766.72500000000002</v>
      </c>
      <c r="K271" s="848" t="s">
        <v>11425</v>
      </c>
    </row>
    <row r="272" spans="2:11">
      <c r="B272" s="848">
        <v>269</v>
      </c>
      <c r="C272" s="848" t="s">
        <v>608</v>
      </c>
      <c r="D272" s="849" t="s">
        <v>11356</v>
      </c>
      <c r="E272" s="848" t="s">
        <v>3393</v>
      </c>
      <c r="F272" s="848" t="s">
        <v>11428</v>
      </c>
      <c r="G272" s="850" t="s">
        <v>10990</v>
      </c>
      <c r="H272" s="849" t="s">
        <v>10716</v>
      </c>
      <c r="I272" s="849"/>
      <c r="J272" s="851">
        <v>137.39712</v>
      </c>
      <c r="K272" s="848" t="s">
        <v>11429</v>
      </c>
    </row>
    <row r="273" spans="2:11">
      <c r="B273" s="848">
        <v>270</v>
      </c>
      <c r="C273" s="848" t="s">
        <v>608</v>
      </c>
      <c r="D273" s="849" t="s">
        <v>11356</v>
      </c>
      <c r="E273" s="848" t="s">
        <v>3393</v>
      </c>
      <c r="F273" s="848" t="s">
        <v>11430</v>
      </c>
      <c r="G273" s="850" t="s">
        <v>10993</v>
      </c>
      <c r="H273" s="849" t="s">
        <v>10716</v>
      </c>
      <c r="I273" s="849"/>
      <c r="J273" s="851">
        <v>613.38</v>
      </c>
      <c r="K273" s="848" t="s">
        <v>11429</v>
      </c>
    </row>
    <row r="274" spans="2:11">
      <c r="B274" s="848">
        <v>271</v>
      </c>
      <c r="C274" s="848" t="s">
        <v>608</v>
      </c>
      <c r="D274" s="849" t="s">
        <v>11356</v>
      </c>
      <c r="E274" s="848" t="s">
        <v>3393</v>
      </c>
      <c r="F274" s="848" t="s">
        <v>11431</v>
      </c>
      <c r="G274" s="850" t="s">
        <v>11432</v>
      </c>
      <c r="H274" s="849" t="s">
        <v>10716</v>
      </c>
      <c r="I274" s="849"/>
      <c r="J274" s="851">
        <v>137.39712</v>
      </c>
      <c r="K274" s="848" t="s">
        <v>11433</v>
      </c>
    </row>
    <row r="275" spans="2:11">
      <c r="B275" s="848">
        <v>272</v>
      </c>
      <c r="C275" s="848" t="s">
        <v>608</v>
      </c>
      <c r="D275" s="849" t="s">
        <v>11356</v>
      </c>
      <c r="E275" s="848" t="s">
        <v>3393</v>
      </c>
      <c r="F275" s="848" t="s">
        <v>11434</v>
      </c>
      <c r="G275" s="850" t="s">
        <v>11435</v>
      </c>
      <c r="H275" s="849" t="s">
        <v>10716</v>
      </c>
      <c r="I275" s="849"/>
      <c r="J275" s="851">
        <v>613.38</v>
      </c>
      <c r="K275" s="848" t="s">
        <v>11433</v>
      </c>
    </row>
    <row r="276" spans="2:11">
      <c r="B276" s="848">
        <v>273</v>
      </c>
      <c r="C276" s="848" t="s">
        <v>608</v>
      </c>
      <c r="D276" s="849" t="s">
        <v>11356</v>
      </c>
      <c r="E276" s="848" t="s">
        <v>3393</v>
      </c>
      <c r="F276" s="848" t="s">
        <v>11436</v>
      </c>
      <c r="G276" s="850" t="s">
        <v>11437</v>
      </c>
      <c r="H276" s="849" t="s">
        <v>10716</v>
      </c>
      <c r="I276" s="849"/>
      <c r="J276" s="851">
        <v>334.41477600000002</v>
      </c>
      <c r="K276" s="848" t="s">
        <v>11438</v>
      </c>
    </row>
    <row r="277" spans="2:11">
      <c r="B277" s="848">
        <v>274</v>
      </c>
      <c r="C277" s="848" t="s">
        <v>608</v>
      </c>
      <c r="D277" s="849" t="s">
        <v>11356</v>
      </c>
      <c r="E277" s="848" t="s">
        <v>3393</v>
      </c>
      <c r="F277" s="848" t="s">
        <v>11439</v>
      </c>
      <c r="G277" s="850" t="s">
        <v>11440</v>
      </c>
      <c r="H277" s="849" t="s">
        <v>10716</v>
      </c>
      <c r="I277" s="849"/>
      <c r="J277" s="851">
        <v>334.41477600000002</v>
      </c>
      <c r="K277" s="848" t="s">
        <v>11441</v>
      </c>
    </row>
    <row r="278" spans="2:11">
      <c r="B278" s="848">
        <v>275</v>
      </c>
      <c r="C278" s="848" t="s">
        <v>608</v>
      </c>
      <c r="D278" s="849" t="s">
        <v>11356</v>
      </c>
      <c r="E278" s="848" t="s">
        <v>3393</v>
      </c>
      <c r="F278" s="848" t="s">
        <v>11442</v>
      </c>
      <c r="G278" s="850" t="s">
        <v>11443</v>
      </c>
      <c r="H278" s="849" t="s">
        <v>10716</v>
      </c>
      <c r="I278" s="849"/>
      <c r="J278" s="851">
        <v>334.41477600000002</v>
      </c>
      <c r="K278" s="848" t="s">
        <v>11444</v>
      </c>
    </row>
    <row r="279" spans="2:11">
      <c r="B279" s="848">
        <v>276</v>
      </c>
      <c r="C279" s="848" t="s">
        <v>608</v>
      </c>
      <c r="D279" s="849" t="s">
        <v>11356</v>
      </c>
      <c r="E279" s="848" t="s">
        <v>3393</v>
      </c>
      <c r="F279" s="848" t="s">
        <v>11445</v>
      </c>
      <c r="G279" s="850" t="s">
        <v>11446</v>
      </c>
      <c r="H279" s="849" t="s">
        <v>10716</v>
      </c>
      <c r="I279" s="849"/>
      <c r="J279" s="851">
        <v>334.41477600000002</v>
      </c>
      <c r="K279" s="848" t="s">
        <v>11447</v>
      </c>
    </row>
    <row r="280" spans="2:11">
      <c r="B280" s="848">
        <v>277</v>
      </c>
      <c r="C280" s="848" t="s">
        <v>608</v>
      </c>
      <c r="D280" s="849" t="s">
        <v>11356</v>
      </c>
      <c r="E280" s="848" t="s">
        <v>3393</v>
      </c>
      <c r="F280" s="848" t="s">
        <v>11448</v>
      </c>
      <c r="G280" s="850" t="s">
        <v>11449</v>
      </c>
      <c r="H280" s="849" t="s">
        <v>10716</v>
      </c>
      <c r="I280" s="849"/>
      <c r="J280" s="851">
        <v>418.01847000000004</v>
      </c>
      <c r="K280" s="848" t="s">
        <v>11450</v>
      </c>
    </row>
    <row r="281" spans="2:11">
      <c r="B281" s="848">
        <v>278</v>
      </c>
      <c r="C281" s="848" t="s">
        <v>608</v>
      </c>
      <c r="D281" s="849" t="s">
        <v>11356</v>
      </c>
      <c r="E281" s="848" t="s">
        <v>3393</v>
      </c>
      <c r="F281" s="848" t="s">
        <v>11451</v>
      </c>
      <c r="G281" s="850" t="s">
        <v>11452</v>
      </c>
      <c r="H281" s="849" t="s">
        <v>10716</v>
      </c>
      <c r="I281" s="849"/>
      <c r="J281" s="851">
        <v>334.41477600000002</v>
      </c>
      <c r="K281" s="848" t="s">
        <v>11453</v>
      </c>
    </row>
    <row r="282" spans="2:11">
      <c r="B282" s="848">
        <v>279</v>
      </c>
      <c r="C282" s="848" t="s">
        <v>608</v>
      </c>
      <c r="D282" s="849" t="s">
        <v>11356</v>
      </c>
      <c r="E282" s="848" t="s">
        <v>9468</v>
      </c>
      <c r="F282" s="848" t="s">
        <v>11454</v>
      </c>
      <c r="G282" s="850" t="s">
        <v>11455</v>
      </c>
      <c r="H282" s="849" t="s">
        <v>10716</v>
      </c>
      <c r="I282" s="849"/>
      <c r="J282" s="851">
        <v>2300.09</v>
      </c>
      <c r="K282" s="848" t="s">
        <v>10779</v>
      </c>
    </row>
    <row r="283" spans="2:11">
      <c r="B283" s="848">
        <v>280</v>
      </c>
      <c r="C283" s="848" t="s">
        <v>11368</v>
      </c>
      <c r="D283" s="849" t="s">
        <v>11356</v>
      </c>
      <c r="E283" s="848" t="s">
        <v>9468</v>
      </c>
      <c r="F283" s="848" t="s">
        <v>11456</v>
      </c>
      <c r="G283" s="850" t="s">
        <v>11457</v>
      </c>
      <c r="H283" s="849" t="s">
        <v>10716</v>
      </c>
      <c r="I283" s="849"/>
      <c r="J283" s="851">
        <v>24152</v>
      </c>
      <c r="K283" s="848" t="s">
        <v>11458</v>
      </c>
    </row>
    <row r="284" spans="2:11">
      <c r="B284" s="848">
        <v>281</v>
      </c>
      <c r="C284" s="848" t="s">
        <v>11355</v>
      </c>
      <c r="D284" s="849" t="s">
        <v>11356</v>
      </c>
      <c r="E284" s="848" t="s">
        <v>9468</v>
      </c>
      <c r="F284" s="848" t="s">
        <v>11459</v>
      </c>
      <c r="G284" s="850" t="s">
        <v>11460</v>
      </c>
      <c r="H284" s="849" t="s">
        <v>10716</v>
      </c>
      <c r="I284" s="849"/>
      <c r="J284" s="851">
        <v>6517.21</v>
      </c>
      <c r="K284" s="848" t="s">
        <v>11461</v>
      </c>
    </row>
    <row r="285" spans="2:11">
      <c r="B285" s="848">
        <v>282</v>
      </c>
      <c r="C285" s="848" t="s">
        <v>11355</v>
      </c>
      <c r="D285" s="849" t="s">
        <v>11356</v>
      </c>
      <c r="E285" s="848" t="s">
        <v>9468</v>
      </c>
      <c r="F285" s="848" t="s">
        <v>11462</v>
      </c>
      <c r="G285" s="850" t="s">
        <v>11463</v>
      </c>
      <c r="H285" s="849" t="s">
        <v>10716</v>
      </c>
      <c r="I285" s="849"/>
      <c r="J285" s="851">
        <v>4600.38</v>
      </c>
      <c r="K285" s="848" t="s">
        <v>11464</v>
      </c>
    </row>
    <row r="286" spans="2:11">
      <c r="B286" s="848">
        <v>283</v>
      </c>
      <c r="C286" s="848" t="s">
        <v>11355</v>
      </c>
      <c r="D286" s="849" t="s">
        <v>11356</v>
      </c>
      <c r="E286" s="848" t="s">
        <v>9468</v>
      </c>
      <c r="F286" s="848" t="s">
        <v>11465</v>
      </c>
      <c r="G286" s="850" t="s">
        <v>11466</v>
      </c>
      <c r="H286" s="849" t="s">
        <v>10716</v>
      </c>
      <c r="I286" s="849"/>
      <c r="J286" s="851">
        <v>5750.48</v>
      </c>
      <c r="K286" s="848" t="s">
        <v>11467</v>
      </c>
    </row>
    <row r="287" spans="2:11">
      <c r="B287" s="848">
        <v>284</v>
      </c>
      <c r="C287" s="848" t="s">
        <v>11355</v>
      </c>
      <c r="D287" s="849" t="s">
        <v>11356</v>
      </c>
      <c r="E287" s="848" t="s">
        <v>9468</v>
      </c>
      <c r="F287" s="848" t="s">
        <v>11468</v>
      </c>
      <c r="G287" s="850" t="s">
        <v>11469</v>
      </c>
      <c r="H287" s="849" t="s">
        <v>10716</v>
      </c>
      <c r="I287" s="849"/>
      <c r="J287" s="851">
        <v>1916.83</v>
      </c>
      <c r="K287" s="848" t="s">
        <v>11470</v>
      </c>
    </row>
    <row r="288" spans="2:11">
      <c r="B288" s="848">
        <v>285</v>
      </c>
      <c r="C288" s="848" t="s">
        <v>11355</v>
      </c>
      <c r="D288" s="849" t="s">
        <v>11356</v>
      </c>
      <c r="E288" s="848" t="s">
        <v>9468</v>
      </c>
      <c r="F288" s="848" t="s">
        <v>11471</v>
      </c>
      <c r="G288" s="850" t="s">
        <v>11472</v>
      </c>
      <c r="H288" s="849" t="s">
        <v>10716</v>
      </c>
      <c r="I288" s="849"/>
      <c r="J288" s="851">
        <v>51754.28</v>
      </c>
      <c r="K288" s="848" t="s">
        <v>11473</v>
      </c>
    </row>
    <row r="289" spans="2:11">
      <c r="B289" s="848">
        <v>286</v>
      </c>
      <c r="C289" s="848" t="s">
        <v>11355</v>
      </c>
      <c r="D289" s="849" t="s">
        <v>11356</v>
      </c>
      <c r="E289" s="848" t="s">
        <v>9468</v>
      </c>
      <c r="F289" s="848" t="s">
        <v>11474</v>
      </c>
      <c r="G289" s="850" t="s">
        <v>11475</v>
      </c>
      <c r="H289" s="849" t="s">
        <v>10716</v>
      </c>
      <c r="I289" s="849"/>
      <c r="J289" s="851">
        <v>14567.87</v>
      </c>
      <c r="K289" s="848" t="s">
        <v>11476</v>
      </c>
    </row>
    <row r="290" spans="2:11">
      <c r="B290" s="848">
        <v>287</v>
      </c>
      <c r="C290" s="848" t="s">
        <v>11477</v>
      </c>
      <c r="D290" s="849" t="s">
        <v>11356</v>
      </c>
      <c r="E290" s="848" t="s">
        <v>9468</v>
      </c>
      <c r="F290" s="848" t="s">
        <v>11478</v>
      </c>
      <c r="G290" s="850" t="s">
        <v>11479</v>
      </c>
      <c r="H290" s="849" t="s">
        <v>10716</v>
      </c>
      <c r="I290" s="849"/>
      <c r="J290" s="851">
        <v>4600.38</v>
      </c>
      <c r="K290" s="848" t="s">
        <v>10842</v>
      </c>
    </row>
    <row r="291" spans="2:11">
      <c r="B291" s="848">
        <v>288</v>
      </c>
      <c r="C291" s="848" t="s">
        <v>608</v>
      </c>
      <c r="D291" s="849" t="s">
        <v>11356</v>
      </c>
      <c r="E291" s="848" t="s">
        <v>9468</v>
      </c>
      <c r="F291" s="848" t="s">
        <v>11480</v>
      </c>
      <c r="G291" s="850" t="s">
        <v>11481</v>
      </c>
      <c r="H291" s="849" t="s">
        <v>10716</v>
      </c>
      <c r="I291" s="849"/>
      <c r="J291" s="851">
        <v>6517.21</v>
      </c>
      <c r="K291" s="848" t="s">
        <v>11482</v>
      </c>
    </row>
    <row r="292" spans="2:11">
      <c r="B292" s="848">
        <v>289</v>
      </c>
      <c r="C292" s="848" t="s">
        <v>11372</v>
      </c>
      <c r="D292" s="849" t="s">
        <v>11356</v>
      </c>
      <c r="E292" s="848" t="s">
        <v>9468</v>
      </c>
      <c r="F292" s="848" t="s">
        <v>11483</v>
      </c>
      <c r="G292" s="850" t="s">
        <v>11484</v>
      </c>
      <c r="H292" s="849" t="s">
        <v>10716</v>
      </c>
      <c r="I292" s="849"/>
      <c r="J292" s="851">
        <v>9200.76</v>
      </c>
      <c r="K292" s="848" t="s">
        <v>11111</v>
      </c>
    </row>
    <row r="293" spans="2:11">
      <c r="B293" s="848">
        <v>290</v>
      </c>
      <c r="C293" s="848" t="s">
        <v>11355</v>
      </c>
      <c r="D293" s="849" t="s">
        <v>11356</v>
      </c>
      <c r="E293" s="848" t="s">
        <v>9468</v>
      </c>
      <c r="F293" s="848" t="s">
        <v>11485</v>
      </c>
      <c r="G293" s="850" t="s">
        <v>11486</v>
      </c>
      <c r="H293" s="849" t="s">
        <v>10716</v>
      </c>
      <c r="I293" s="849"/>
      <c r="J293" s="851">
        <v>38719.870000000003</v>
      </c>
      <c r="K293" s="848" t="s">
        <v>11487</v>
      </c>
    </row>
    <row r="294" spans="2:11">
      <c r="B294" s="848">
        <v>291</v>
      </c>
      <c r="C294" s="848" t="s">
        <v>11372</v>
      </c>
      <c r="D294" s="849" t="s">
        <v>11356</v>
      </c>
      <c r="E294" s="848" t="s">
        <v>9468</v>
      </c>
      <c r="F294" s="848" t="s">
        <v>11488</v>
      </c>
      <c r="G294" s="850" t="s">
        <v>11489</v>
      </c>
      <c r="H294" s="849" t="s">
        <v>10716</v>
      </c>
      <c r="I294" s="849"/>
      <c r="J294" s="851">
        <v>68622.34</v>
      </c>
      <c r="K294" s="848" t="s">
        <v>11490</v>
      </c>
    </row>
    <row r="295" spans="2:11">
      <c r="B295" s="848">
        <v>292</v>
      </c>
      <c r="C295" s="848" t="s">
        <v>11372</v>
      </c>
      <c r="D295" s="849" t="s">
        <v>11356</v>
      </c>
      <c r="E295" s="848" t="s">
        <v>9468</v>
      </c>
      <c r="F295" s="848" t="s">
        <v>11491</v>
      </c>
      <c r="G295" s="850" t="s">
        <v>11492</v>
      </c>
      <c r="H295" s="849" t="s">
        <v>10716</v>
      </c>
      <c r="I295" s="849"/>
      <c r="J295" s="851">
        <v>16868.060000000001</v>
      </c>
      <c r="K295" s="848" t="s">
        <v>11493</v>
      </c>
    </row>
    <row r="296" spans="2:11">
      <c r="B296" s="848">
        <v>293</v>
      </c>
      <c r="C296" s="848" t="s">
        <v>11355</v>
      </c>
      <c r="D296" s="849" t="s">
        <v>11356</v>
      </c>
      <c r="E296" s="848" t="s">
        <v>9468</v>
      </c>
      <c r="F296" s="848" t="s">
        <v>11494</v>
      </c>
      <c r="G296" s="850" t="s">
        <v>11495</v>
      </c>
      <c r="H296" s="849" t="s">
        <v>10716</v>
      </c>
      <c r="I296" s="849"/>
      <c r="J296" s="851">
        <v>26068.82</v>
      </c>
      <c r="K296" s="848" t="s">
        <v>11496</v>
      </c>
    </row>
    <row r="297" spans="2:11">
      <c r="B297" s="848">
        <v>294</v>
      </c>
      <c r="C297" s="848" t="s">
        <v>11477</v>
      </c>
      <c r="D297" s="849" t="s">
        <v>11356</v>
      </c>
      <c r="E297" s="848" t="s">
        <v>9468</v>
      </c>
      <c r="F297" s="848" t="s">
        <v>11497</v>
      </c>
      <c r="G297" s="850" t="s">
        <v>11498</v>
      </c>
      <c r="H297" s="849" t="s">
        <v>10716</v>
      </c>
      <c r="I297" s="849"/>
      <c r="J297" s="851">
        <v>74372.81</v>
      </c>
      <c r="K297" s="848" t="s">
        <v>11499</v>
      </c>
    </row>
    <row r="298" spans="2:11">
      <c r="B298" s="848">
        <v>295</v>
      </c>
      <c r="C298" s="848" t="s">
        <v>11372</v>
      </c>
      <c r="D298" s="849" t="s">
        <v>11356</v>
      </c>
      <c r="E298" s="848" t="s">
        <v>9468</v>
      </c>
      <c r="F298" s="848" t="s">
        <v>11500</v>
      </c>
      <c r="G298" s="850" t="s">
        <v>11501</v>
      </c>
      <c r="H298" s="849" t="s">
        <v>10716</v>
      </c>
      <c r="I298" s="849"/>
      <c r="J298" s="851">
        <v>2683.56</v>
      </c>
      <c r="K298" s="848" t="s">
        <v>11502</v>
      </c>
    </row>
    <row r="299" spans="2:11">
      <c r="B299" s="848">
        <v>296</v>
      </c>
      <c r="C299" s="848" t="s">
        <v>11372</v>
      </c>
      <c r="D299" s="849" t="s">
        <v>11356</v>
      </c>
      <c r="E299" s="848" t="s">
        <v>9468</v>
      </c>
      <c r="F299" s="848" t="s">
        <v>11503</v>
      </c>
      <c r="G299" s="850" t="s">
        <v>11504</v>
      </c>
      <c r="H299" s="849" t="s">
        <v>10716</v>
      </c>
      <c r="I299" s="849"/>
      <c r="J299" s="851">
        <v>17634.79</v>
      </c>
      <c r="K299" s="848" t="s">
        <v>11505</v>
      </c>
    </row>
    <row r="300" spans="2:11">
      <c r="B300" s="848">
        <v>297</v>
      </c>
      <c r="C300" s="848" t="s">
        <v>11404</v>
      </c>
      <c r="D300" s="849" t="s">
        <v>11356</v>
      </c>
      <c r="E300" s="848" t="s">
        <v>9468</v>
      </c>
      <c r="F300" s="848" t="s">
        <v>11506</v>
      </c>
      <c r="G300" s="850" t="s">
        <v>11507</v>
      </c>
      <c r="H300" s="849" t="s">
        <v>10716</v>
      </c>
      <c r="I300" s="849"/>
      <c r="J300" s="851">
        <v>76673</v>
      </c>
      <c r="K300" s="848" t="s">
        <v>11508</v>
      </c>
    </row>
    <row r="301" spans="2:11">
      <c r="B301" s="848">
        <v>298</v>
      </c>
      <c r="C301" s="848" t="s">
        <v>11404</v>
      </c>
      <c r="D301" s="849" t="s">
        <v>11356</v>
      </c>
      <c r="E301" s="848" t="s">
        <v>9468</v>
      </c>
      <c r="F301" s="848" t="s">
        <v>11509</v>
      </c>
      <c r="G301" s="850" t="s">
        <v>11510</v>
      </c>
      <c r="H301" s="849" t="s">
        <v>10716</v>
      </c>
      <c r="I301" s="849"/>
      <c r="J301" s="851">
        <v>35652.949999999997</v>
      </c>
      <c r="K301" s="848" t="s">
        <v>11511</v>
      </c>
    </row>
    <row r="302" spans="2:11">
      <c r="B302" s="848">
        <v>299</v>
      </c>
      <c r="C302" s="848" t="s">
        <v>11355</v>
      </c>
      <c r="D302" s="849" t="s">
        <v>11356</v>
      </c>
      <c r="E302" s="848" t="s">
        <v>9468</v>
      </c>
      <c r="F302" s="848" t="s">
        <v>11512</v>
      </c>
      <c r="G302" s="850" t="s">
        <v>11513</v>
      </c>
      <c r="H302" s="849" t="s">
        <v>10716</v>
      </c>
      <c r="I302" s="849"/>
      <c r="J302" s="851">
        <v>41020.06</v>
      </c>
      <c r="K302" s="848" t="s">
        <v>11514</v>
      </c>
    </row>
    <row r="303" spans="2:11">
      <c r="B303" s="848">
        <v>300</v>
      </c>
      <c r="C303" s="848" t="s">
        <v>608</v>
      </c>
      <c r="D303" s="849" t="s">
        <v>11356</v>
      </c>
      <c r="E303" s="848" t="s">
        <v>9468</v>
      </c>
      <c r="F303" s="848" t="s">
        <v>11515</v>
      </c>
      <c r="G303" s="850" t="s">
        <v>11516</v>
      </c>
      <c r="H303" s="849" t="s">
        <v>10716</v>
      </c>
      <c r="I303" s="849"/>
      <c r="J303" s="851">
        <v>34502.85</v>
      </c>
      <c r="K303" s="848" t="s">
        <v>5828</v>
      </c>
    </row>
    <row r="304" spans="2:11">
      <c r="B304" s="848">
        <v>301</v>
      </c>
      <c r="C304" s="848" t="s">
        <v>11355</v>
      </c>
      <c r="D304" s="849" t="s">
        <v>11356</v>
      </c>
      <c r="E304" s="848" t="s">
        <v>9468</v>
      </c>
      <c r="F304" s="848" t="s">
        <v>11517</v>
      </c>
      <c r="G304" s="850" t="s">
        <v>11518</v>
      </c>
      <c r="H304" s="849" t="s">
        <v>10716</v>
      </c>
      <c r="I304" s="849"/>
      <c r="J304" s="851">
        <v>5367.11</v>
      </c>
      <c r="K304" s="848" t="s">
        <v>6388</v>
      </c>
    </row>
    <row r="305" spans="2:11">
      <c r="B305" s="848">
        <v>302</v>
      </c>
      <c r="C305" s="848" t="s">
        <v>11347</v>
      </c>
      <c r="D305" s="849" t="s">
        <v>11356</v>
      </c>
      <c r="E305" s="848" t="s">
        <v>9468</v>
      </c>
      <c r="F305" s="848" t="s">
        <v>11519</v>
      </c>
      <c r="G305" s="850" t="s">
        <v>11520</v>
      </c>
      <c r="H305" s="849" t="s">
        <v>10716</v>
      </c>
      <c r="I305" s="849"/>
      <c r="J305" s="851">
        <v>52521.01</v>
      </c>
      <c r="K305" s="848" t="s">
        <v>11521</v>
      </c>
    </row>
    <row r="306" spans="2:11">
      <c r="B306" s="848">
        <v>303</v>
      </c>
      <c r="C306" s="848" t="s">
        <v>11368</v>
      </c>
      <c r="D306" s="849" t="s">
        <v>11356</v>
      </c>
      <c r="E306" s="848" t="s">
        <v>9468</v>
      </c>
      <c r="F306" s="848" t="s">
        <v>11522</v>
      </c>
      <c r="G306" s="850" t="s">
        <v>11523</v>
      </c>
      <c r="H306" s="849" t="s">
        <v>10716</v>
      </c>
      <c r="I306" s="849"/>
      <c r="J306" s="851">
        <v>18784.89</v>
      </c>
      <c r="K306" s="848" t="s">
        <v>6080</v>
      </c>
    </row>
    <row r="307" spans="2:11">
      <c r="B307" s="848">
        <v>304</v>
      </c>
      <c r="C307" s="848" t="s">
        <v>11404</v>
      </c>
      <c r="D307" s="849" t="s">
        <v>11356</v>
      </c>
      <c r="E307" s="848" t="s">
        <v>9468</v>
      </c>
      <c r="F307" s="848" t="s">
        <v>11524</v>
      </c>
      <c r="G307" s="850" t="s">
        <v>11525</v>
      </c>
      <c r="H307" s="849" t="s">
        <v>10716</v>
      </c>
      <c r="I307" s="849"/>
      <c r="J307" s="851">
        <v>20701.71</v>
      </c>
      <c r="K307" s="848" t="s">
        <v>6081</v>
      </c>
    </row>
    <row r="308" spans="2:11">
      <c r="B308" s="848">
        <v>305</v>
      </c>
      <c r="C308" s="848" t="s">
        <v>11368</v>
      </c>
      <c r="D308" s="849" t="s">
        <v>11356</v>
      </c>
      <c r="E308" s="848" t="s">
        <v>11526</v>
      </c>
      <c r="F308" s="848" t="s">
        <v>11118</v>
      </c>
      <c r="G308" s="850" t="s">
        <v>11527</v>
      </c>
      <c r="H308" s="849" t="s">
        <v>10716</v>
      </c>
      <c r="I308" s="849"/>
      <c r="J308" s="851">
        <v>36036.31</v>
      </c>
      <c r="K308" s="848" t="s">
        <v>11528</v>
      </c>
    </row>
    <row r="309" spans="2:11">
      <c r="B309" s="848">
        <v>306</v>
      </c>
      <c r="C309" s="848" t="s">
        <v>11368</v>
      </c>
      <c r="D309" s="849" t="s">
        <v>11356</v>
      </c>
      <c r="E309" s="848" t="s">
        <v>11526</v>
      </c>
      <c r="F309" s="848" t="s">
        <v>11007</v>
      </c>
      <c r="G309" s="850" t="s">
        <v>11529</v>
      </c>
      <c r="H309" s="849" t="s">
        <v>10716</v>
      </c>
      <c r="I309" s="849"/>
      <c r="J309" s="851">
        <v>35939.011962999997</v>
      </c>
      <c r="K309" s="848" t="s">
        <v>11528</v>
      </c>
    </row>
    <row r="310" spans="2:11">
      <c r="B310" s="848">
        <v>307</v>
      </c>
      <c r="C310" s="848" t="s">
        <v>11404</v>
      </c>
      <c r="D310" s="849" t="s">
        <v>11356</v>
      </c>
      <c r="E310" s="848" t="s">
        <v>11526</v>
      </c>
      <c r="F310" s="848" t="s">
        <v>11530</v>
      </c>
      <c r="G310" s="850" t="s">
        <v>10957</v>
      </c>
      <c r="H310" s="849" t="s">
        <v>10716</v>
      </c>
      <c r="I310" s="849"/>
      <c r="J310" s="851">
        <v>40526.970936999998</v>
      </c>
      <c r="K310" s="848" t="s">
        <v>11531</v>
      </c>
    </row>
    <row r="311" spans="2:11">
      <c r="B311" s="848">
        <v>308</v>
      </c>
      <c r="C311" s="848" t="s">
        <v>11404</v>
      </c>
      <c r="D311" s="849" t="s">
        <v>11356</v>
      </c>
      <c r="E311" s="848" t="s">
        <v>11526</v>
      </c>
      <c r="F311" s="848" t="s">
        <v>11123</v>
      </c>
      <c r="G311" s="850" t="s">
        <v>10960</v>
      </c>
      <c r="H311" s="849" t="s">
        <v>10716</v>
      </c>
      <c r="I311" s="849"/>
      <c r="J311" s="851">
        <v>40636.69</v>
      </c>
      <c r="K311" s="848" t="s">
        <v>11531</v>
      </c>
    </row>
    <row r="312" spans="2:11">
      <c r="B312" s="848">
        <v>309</v>
      </c>
      <c r="C312" s="848" t="s">
        <v>11372</v>
      </c>
      <c r="D312" s="849" t="s">
        <v>11356</v>
      </c>
      <c r="E312" s="848" t="s">
        <v>11526</v>
      </c>
      <c r="F312" s="848" t="s">
        <v>11129</v>
      </c>
      <c r="G312" s="850" t="s">
        <v>10966</v>
      </c>
      <c r="H312" s="849" t="s">
        <v>10716</v>
      </c>
      <c r="I312" s="849"/>
      <c r="J312" s="851">
        <v>12651.045</v>
      </c>
      <c r="K312" s="848" t="s">
        <v>11532</v>
      </c>
    </row>
    <row r="313" spans="2:11">
      <c r="B313" s="848">
        <v>310</v>
      </c>
      <c r="C313" s="848" t="s">
        <v>11372</v>
      </c>
      <c r="D313" s="849" t="s">
        <v>11356</v>
      </c>
      <c r="E313" s="848" t="s">
        <v>11526</v>
      </c>
      <c r="F313" s="848" t="s">
        <v>11009</v>
      </c>
      <c r="G313" s="850" t="s">
        <v>10963</v>
      </c>
      <c r="H313" s="849" t="s">
        <v>10716</v>
      </c>
      <c r="I313" s="849"/>
      <c r="J313" s="851">
        <v>12616.89</v>
      </c>
      <c r="K313" s="848" t="s">
        <v>11532</v>
      </c>
    </row>
    <row r="314" spans="2:11">
      <c r="B314" s="848">
        <v>311</v>
      </c>
      <c r="C314" s="848" t="s">
        <v>612</v>
      </c>
      <c r="D314" s="849" t="s">
        <v>11533</v>
      </c>
      <c r="E314" s="848" t="s">
        <v>9449</v>
      </c>
      <c r="F314" s="848" t="s">
        <v>11534</v>
      </c>
      <c r="G314" s="850" t="s">
        <v>11535</v>
      </c>
      <c r="H314" s="849" t="s">
        <v>10716</v>
      </c>
      <c r="I314" s="849"/>
      <c r="J314" s="851">
        <v>3066.92</v>
      </c>
      <c r="K314" s="848" t="s">
        <v>6403</v>
      </c>
    </row>
    <row r="315" spans="2:11">
      <c r="B315" s="848">
        <v>312</v>
      </c>
      <c r="C315" s="848" t="s">
        <v>1350</v>
      </c>
      <c r="D315" s="849" t="s">
        <v>7178</v>
      </c>
      <c r="E315" s="848" t="s">
        <v>11536</v>
      </c>
      <c r="F315" s="848" t="s">
        <v>11537</v>
      </c>
      <c r="G315" s="850" t="s">
        <v>11538</v>
      </c>
      <c r="H315" s="849" t="s">
        <v>10716</v>
      </c>
      <c r="I315" s="849"/>
      <c r="J315" s="851">
        <v>16</v>
      </c>
      <c r="K315" s="848" t="s">
        <v>11539</v>
      </c>
    </row>
    <row r="316" spans="2:11">
      <c r="B316" s="848">
        <v>313</v>
      </c>
      <c r="C316" s="848" t="s">
        <v>1350</v>
      </c>
      <c r="D316" s="849" t="s">
        <v>7178</v>
      </c>
      <c r="E316" s="848" t="s">
        <v>11540</v>
      </c>
      <c r="F316" s="848" t="s">
        <v>11541</v>
      </c>
      <c r="G316" s="850" t="s">
        <v>11542</v>
      </c>
      <c r="H316" s="849" t="s">
        <v>10716</v>
      </c>
      <c r="I316" s="849"/>
      <c r="J316" s="851">
        <v>16</v>
      </c>
      <c r="K316" s="848" t="s">
        <v>11543</v>
      </c>
    </row>
    <row r="317" spans="2:11">
      <c r="B317" s="848">
        <v>314</v>
      </c>
      <c r="C317" s="848" t="s">
        <v>1444</v>
      </c>
      <c r="D317" s="849" t="s">
        <v>7953</v>
      </c>
      <c r="E317" s="848" t="s">
        <v>11085</v>
      </c>
      <c r="F317" s="848" t="s">
        <v>11544</v>
      </c>
      <c r="G317" s="850" t="s">
        <v>11545</v>
      </c>
      <c r="H317" s="849" t="s">
        <v>10716</v>
      </c>
      <c r="I317" s="849"/>
      <c r="J317" s="851">
        <v>18.36</v>
      </c>
      <c r="K317" s="848" t="s">
        <v>6758</v>
      </c>
    </row>
    <row r="318" spans="2:11">
      <c r="B318" s="848">
        <v>315</v>
      </c>
      <c r="C318" s="848" t="s">
        <v>1444</v>
      </c>
      <c r="D318" s="849" t="s">
        <v>7953</v>
      </c>
      <c r="E318" s="848" t="s">
        <v>11085</v>
      </c>
      <c r="F318" s="848" t="s">
        <v>11546</v>
      </c>
      <c r="G318" s="850" t="s">
        <v>11547</v>
      </c>
      <c r="H318" s="849" t="s">
        <v>10716</v>
      </c>
      <c r="I318" s="849"/>
      <c r="J318" s="851">
        <v>11.475</v>
      </c>
      <c r="K318" s="848" t="s">
        <v>6759</v>
      </c>
    </row>
    <row r="319" spans="2:11">
      <c r="B319" s="848">
        <v>316</v>
      </c>
      <c r="C319" s="848" t="s">
        <v>11548</v>
      </c>
      <c r="D319" s="849" t="s">
        <v>11549</v>
      </c>
      <c r="E319" s="848" t="s">
        <v>9499</v>
      </c>
      <c r="F319" s="848" t="s">
        <v>11436</v>
      </c>
      <c r="G319" s="850" t="s">
        <v>10749</v>
      </c>
      <c r="H319" s="849" t="s">
        <v>10716</v>
      </c>
      <c r="I319" s="849"/>
      <c r="J319" s="851">
        <v>646.08000000000004</v>
      </c>
      <c r="K319" s="848" t="s">
        <v>11550</v>
      </c>
    </row>
    <row r="320" spans="2:11">
      <c r="B320" s="848">
        <v>317</v>
      </c>
      <c r="C320" s="848" t="s">
        <v>11548</v>
      </c>
      <c r="D320" s="849" t="s">
        <v>11549</v>
      </c>
      <c r="E320" s="848" t="s">
        <v>9499</v>
      </c>
      <c r="F320" s="848" t="s">
        <v>11551</v>
      </c>
      <c r="G320" s="850" t="s">
        <v>10749</v>
      </c>
      <c r="H320" s="849" t="s">
        <v>10716</v>
      </c>
      <c r="I320" s="849"/>
      <c r="J320" s="851">
        <v>646.08000000000004</v>
      </c>
      <c r="K320" s="848" t="s">
        <v>11552</v>
      </c>
    </row>
    <row r="321" spans="2:11">
      <c r="B321" s="848">
        <v>318</v>
      </c>
      <c r="C321" s="848" t="s">
        <v>11548</v>
      </c>
      <c r="D321" s="849" t="s">
        <v>11549</v>
      </c>
      <c r="E321" s="848" t="s">
        <v>3244</v>
      </c>
      <c r="F321" s="848" t="s">
        <v>11439</v>
      </c>
      <c r="G321" s="850" t="s">
        <v>10749</v>
      </c>
      <c r="H321" s="849" t="s">
        <v>10716</v>
      </c>
      <c r="I321" s="849"/>
      <c r="J321" s="851">
        <v>646.08000000000004</v>
      </c>
      <c r="K321" s="848" t="s">
        <v>11553</v>
      </c>
    </row>
    <row r="322" spans="2:11">
      <c r="B322" s="848">
        <v>319</v>
      </c>
      <c r="C322" s="848" t="s">
        <v>11548</v>
      </c>
      <c r="D322" s="849" t="s">
        <v>11549</v>
      </c>
      <c r="E322" s="848" t="s">
        <v>3244</v>
      </c>
      <c r="F322" s="848" t="s">
        <v>11442</v>
      </c>
      <c r="G322" s="850" t="s">
        <v>10749</v>
      </c>
      <c r="H322" s="849" t="s">
        <v>10716</v>
      </c>
      <c r="I322" s="849"/>
      <c r="J322" s="851">
        <v>646.08000000000004</v>
      </c>
      <c r="K322" s="848" t="s">
        <v>11554</v>
      </c>
    </row>
    <row r="323" spans="2:11">
      <c r="B323" s="848">
        <v>320</v>
      </c>
      <c r="C323" s="848" t="s">
        <v>11548</v>
      </c>
      <c r="D323" s="849" t="s">
        <v>11549</v>
      </c>
      <c r="E323" s="848" t="s">
        <v>3244</v>
      </c>
      <c r="F323" s="848" t="s">
        <v>11445</v>
      </c>
      <c r="G323" s="850" t="s">
        <v>10749</v>
      </c>
      <c r="H323" s="849" t="s">
        <v>10716</v>
      </c>
      <c r="I323" s="849"/>
      <c r="J323" s="851">
        <v>646.08000000000004</v>
      </c>
      <c r="K323" s="848" t="s">
        <v>11555</v>
      </c>
    </row>
    <row r="324" spans="2:11">
      <c r="B324" s="848">
        <v>321</v>
      </c>
      <c r="C324" s="848" t="s">
        <v>11548</v>
      </c>
      <c r="D324" s="849" t="s">
        <v>11549</v>
      </c>
      <c r="E324" s="848" t="s">
        <v>3244</v>
      </c>
      <c r="F324" s="848" t="s">
        <v>11448</v>
      </c>
      <c r="G324" s="850" t="s">
        <v>10749</v>
      </c>
      <c r="H324" s="849" t="s">
        <v>10716</v>
      </c>
      <c r="I324" s="849"/>
      <c r="J324" s="851">
        <v>646.08000000000004</v>
      </c>
      <c r="K324" s="848" t="s">
        <v>11556</v>
      </c>
    </row>
    <row r="325" spans="2:11">
      <c r="B325" s="848">
        <v>322</v>
      </c>
      <c r="C325" s="848" t="s">
        <v>11548</v>
      </c>
      <c r="D325" s="849" t="s">
        <v>11549</v>
      </c>
      <c r="E325" s="848" t="s">
        <v>3244</v>
      </c>
      <c r="F325" s="848" t="s">
        <v>11451</v>
      </c>
      <c r="G325" s="850" t="s">
        <v>10749</v>
      </c>
      <c r="H325" s="849" t="s">
        <v>10716</v>
      </c>
      <c r="I325" s="849"/>
      <c r="J325" s="851">
        <v>646.08000000000004</v>
      </c>
      <c r="K325" s="848" t="s">
        <v>11557</v>
      </c>
    </row>
    <row r="326" spans="2:11">
      <c r="B326" s="848">
        <v>323</v>
      </c>
      <c r="C326" s="848" t="s">
        <v>11548</v>
      </c>
      <c r="D326" s="849" t="s">
        <v>11549</v>
      </c>
      <c r="E326" s="848" t="s">
        <v>3244</v>
      </c>
      <c r="F326" s="848" t="s">
        <v>11558</v>
      </c>
      <c r="G326" s="850" t="s">
        <v>10749</v>
      </c>
      <c r="H326" s="849" t="s">
        <v>10716</v>
      </c>
      <c r="I326" s="849"/>
      <c r="J326" s="851">
        <v>646.08000000000004</v>
      </c>
      <c r="K326" s="848" t="s">
        <v>11559</v>
      </c>
    </row>
    <row r="327" spans="2:11">
      <c r="B327" s="848">
        <v>324</v>
      </c>
      <c r="C327" s="848" t="s">
        <v>11548</v>
      </c>
      <c r="D327" s="849" t="s">
        <v>11549</v>
      </c>
      <c r="E327" s="848" t="s">
        <v>3244</v>
      </c>
      <c r="F327" s="848" t="s">
        <v>11560</v>
      </c>
      <c r="G327" s="850" t="s">
        <v>10749</v>
      </c>
      <c r="H327" s="849" t="s">
        <v>10716</v>
      </c>
      <c r="I327" s="849"/>
      <c r="J327" s="851">
        <v>646.08000000000004</v>
      </c>
      <c r="K327" s="848" t="s">
        <v>11561</v>
      </c>
    </row>
    <row r="328" spans="2:11">
      <c r="B328" s="848">
        <v>325</v>
      </c>
      <c r="C328" s="848" t="s">
        <v>11548</v>
      </c>
      <c r="D328" s="849" t="s">
        <v>11549</v>
      </c>
      <c r="E328" s="848" t="s">
        <v>11562</v>
      </c>
      <c r="F328" s="848" t="s">
        <v>11054</v>
      </c>
      <c r="G328" s="850" t="s">
        <v>11563</v>
      </c>
      <c r="H328" s="849" t="s">
        <v>10716</v>
      </c>
      <c r="I328" s="849"/>
      <c r="J328" s="851">
        <v>764.65484250000009</v>
      </c>
      <c r="K328" s="848" t="s">
        <v>11550</v>
      </c>
    </row>
    <row r="329" spans="2:11">
      <c r="B329" s="848">
        <v>326</v>
      </c>
      <c r="C329" s="848" t="s">
        <v>11548</v>
      </c>
      <c r="D329" s="849" t="s">
        <v>11549</v>
      </c>
      <c r="E329" s="848" t="s">
        <v>11562</v>
      </c>
      <c r="F329" s="848" t="s">
        <v>11094</v>
      </c>
      <c r="G329" s="850" t="s">
        <v>11564</v>
      </c>
      <c r="H329" s="849" t="s">
        <v>10716</v>
      </c>
      <c r="I329" s="849"/>
      <c r="J329" s="851">
        <v>764.65484250000009</v>
      </c>
      <c r="K329" s="848" t="s">
        <v>11550</v>
      </c>
    </row>
    <row r="330" spans="2:11">
      <c r="B330" s="848">
        <v>327</v>
      </c>
      <c r="C330" s="848" t="s">
        <v>11548</v>
      </c>
      <c r="D330" s="849" t="s">
        <v>11549</v>
      </c>
      <c r="E330" s="848" t="s">
        <v>11562</v>
      </c>
      <c r="F330" s="848" t="s">
        <v>11565</v>
      </c>
      <c r="G330" s="850" t="s">
        <v>11137</v>
      </c>
      <c r="H330" s="849" t="s">
        <v>10716</v>
      </c>
      <c r="I330" s="849"/>
      <c r="J330" s="851">
        <v>766.72500000000002</v>
      </c>
      <c r="K330" s="848" t="s">
        <v>11550</v>
      </c>
    </row>
    <row r="331" spans="2:11">
      <c r="B331" s="848">
        <v>328</v>
      </c>
      <c r="C331" s="848" t="s">
        <v>11548</v>
      </c>
      <c r="D331" s="849" t="s">
        <v>11549</v>
      </c>
      <c r="E331" s="848" t="s">
        <v>11562</v>
      </c>
      <c r="F331" s="848" t="s">
        <v>11566</v>
      </c>
      <c r="G331" s="850" t="s">
        <v>11567</v>
      </c>
      <c r="H331" s="849" t="s">
        <v>10716</v>
      </c>
      <c r="I331" s="849"/>
      <c r="J331" s="851">
        <v>766.72500000000002</v>
      </c>
      <c r="K331" s="848" t="s">
        <v>11552</v>
      </c>
    </row>
    <row r="332" spans="2:11">
      <c r="B332" s="848">
        <v>329</v>
      </c>
      <c r="C332" s="848" t="s">
        <v>11548</v>
      </c>
      <c r="D332" s="849" t="s">
        <v>11549</v>
      </c>
      <c r="E332" s="848" t="s">
        <v>11562</v>
      </c>
      <c r="F332" s="848" t="s">
        <v>11568</v>
      </c>
      <c r="G332" s="850" t="s">
        <v>11569</v>
      </c>
      <c r="H332" s="849" t="s">
        <v>10716</v>
      </c>
      <c r="I332" s="849"/>
      <c r="J332" s="851">
        <v>764.65484250000009</v>
      </c>
      <c r="K332" s="848" t="s">
        <v>11552</v>
      </c>
    </row>
    <row r="333" spans="2:11">
      <c r="B333" s="848">
        <v>330</v>
      </c>
      <c r="C333" s="848" t="s">
        <v>11548</v>
      </c>
      <c r="D333" s="849" t="s">
        <v>11549</v>
      </c>
      <c r="E333" s="848" t="s">
        <v>11562</v>
      </c>
      <c r="F333" s="848" t="s">
        <v>11097</v>
      </c>
      <c r="G333" s="850" t="s">
        <v>11570</v>
      </c>
      <c r="H333" s="849" t="s">
        <v>10716</v>
      </c>
      <c r="I333" s="849"/>
      <c r="J333" s="851">
        <v>764.65484250000009</v>
      </c>
      <c r="K333" s="848" t="s">
        <v>11552</v>
      </c>
    </row>
    <row r="334" spans="2:11">
      <c r="B334" s="848">
        <v>331</v>
      </c>
      <c r="C334" s="848" t="s">
        <v>11548</v>
      </c>
      <c r="D334" s="849" t="s">
        <v>11549</v>
      </c>
      <c r="E334" s="848" t="s">
        <v>11571</v>
      </c>
      <c r="F334" s="848" t="s">
        <v>11261</v>
      </c>
      <c r="G334" s="850" t="s">
        <v>11572</v>
      </c>
      <c r="H334" s="849" t="s">
        <v>10716</v>
      </c>
      <c r="I334" s="849"/>
      <c r="J334" s="851">
        <v>766.72500000000002</v>
      </c>
      <c r="K334" s="848" t="s">
        <v>11553</v>
      </c>
    </row>
    <row r="335" spans="2:11">
      <c r="B335" s="848">
        <v>332</v>
      </c>
      <c r="C335" s="848" t="s">
        <v>11548</v>
      </c>
      <c r="D335" s="849" t="s">
        <v>11549</v>
      </c>
      <c r="E335" s="848" t="s">
        <v>11571</v>
      </c>
      <c r="F335" s="848" t="s">
        <v>11563</v>
      </c>
      <c r="G335" s="850" t="s">
        <v>10857</v>
      </c>
      <c r="H335" s="849" t="s">
        <v>10716</v>
      </c>
      <c r="I335" s="849"/>
      <c r="J335" s="851">
        <v>766.72500000000002</v>
      </c>
      <c r="K335" s="848" t="s">
        <v>11553</v>
      </c>
    </row>
    <row r="336" spans="2:11">
      <c r="B336" s="848">
        <v>333</v>
      </c>
      <c r="C336" s="848" t="s">
        <v>11548</v>
      </c>
      <c r="D336" s="849" t="s">
        <v>11549</v>
      </c>
      <c r="E336" s="848" t="s">
        <v>11571</v>
      </c>
      <c r="F336" s="848" t="s">
        <v>11363</v>
      </c>
      <c r="G336" s="850" t="s">
        <v>11573</v>
      </c>
      <c r="H336" s="849" t="s">
        <v>10716</v>
      </c>
      <c r="I336" s="849"/>
      <c r="J336" s="851">
        <v>766.72500000000002</v>
      </c>
      <c r="K336" s="848" t="s">
        <v>11553</v>
      </c>
    </row>
    <row r="337" spans="2:11">
      <c r="B337" s="848">
        <v>334</v>
      </c>
      <c r="C337" s="848" t="s">
        <v>11548</v>
      </c>
      <c r="D337" s="849" t="s">
        <v>11549</v>
      </c>
      <c r="E337" s="848" t="s">
        <v>11571</v>
      </c>
      <c r="F337" s="848" t="s">
        <v>11574</v>
      </c>
      <c r="G337" s="850" t="s">
        <v>11575</v>
      </c>
      <c r="H337" s="849" t="s">
        <v>10716</v>
      </c>
      <c r="I337" s="849"/>
      <c r="J337" s="851">
        <v>766.72500000000002</v>
      </c>
      <c r="K337" s="848" t="s">
        <v>11554</v>
      </c>
    </row>
    <row r="338" spans="2:11">
      <c r="B338" s="848">
        <v>335</v>
      </c>
      <c r="C338" s="848" t="s">
        <v>11548</v>
      </c>
      <c r="D338" s="849" t="s">
        <v>11549</v>
      </c>
      <c r="E338" s="848" t="s">
        <v>11571</v>
      </c>
      <c r="F338" s="848" t="s">
        <v>11576</v>
      </c>
      <c r="G338" s="850" t="s">
        <v>11577</v>
      </c>
      <c r="H338" s="849" t="s">
        <v>10716</v>
      </c>
      <c r="I338" s="849"/>
      <c r="J338" s="851">
        <v>766.72500000000002</v>
      </c>
      <c r="K338" s="848" t="s">
        <v>11554</v>
      </c>
    </row>
    <row r="339" spans="2:11">
      <c r="B339" s="848">
        <v>336</v>
      </c>
      <c r="C339" s="848" t="s">
        <v>11548</v>
      </c>
      <c r="D339" s="849" t="s">
        <v>11549</v>
      </c>
      <c r="E339" s="848" t="s">
        <v>11571</v>
      </c>
      <c r="F339" s="848" t="s">
        <v>11480</v>
      </c>
      <c r="G339" s="850" t="s">
        <v>11578</v>
      </c>
      <c r="H339" s="849" t="s">
        <v>10716</v>
      </c>
      <c r="I339" s="849"/>
      <c r="J339" s="851">
        <v>766.72500000000002</v>
      </c>
      <c r="K339" s="848" t="s">
        <v>11554</v>
      </c>
    </row>
    <row r="340" spans="2:11">
      <c r="B340" s="848">
        <v>337</v>
      </c>
      <c r="C340" s="848" t="s">
        <v>11548</v>
      </c>
      <c r="D340" s="849" t="s">
        <v>11549</v>
      </c>
      <c r="E340" s="848" t="s">
        <v>11571</v>
      </c>
      <c r="F340" s="848" t="s">
        <v>11579</v>
      </c>
      <c r="G340" s="850" t="s">
        <v>11580</v>
      </c>
      <c r="H340" s="849" t="s">
        <v>10716</v>
      </c>
      <c r="I340" s="849"/>
      <c r="J340" s="851">
        <v>766.72500000000002</v>
      </c>
      <c r="K340" s="848" t="s">
        <v>11555</v>
      </c>
    </row>
    <row r="341" spans="2:11">
      <c r="B341" s="848">
        <v>338</v>
      </c>
      <c r="C341" s="848" t="s">
        <v>11548</v>
      </c>
      <c r="D341" s="849" t="s">
        <v>11549</v>
      </c>
      <c r="E341" s="848" t="s">
        <v>11571</v>
      </c>
      <c r="F341" s="848" t="s">
        <v>11581</v>
      </c>
      <c r="G341" s="850" t="s">
        <v>11582</v>
      </c>
      <c r="H341" s="849" t="s">
        <v>10716</v>
      </c>
      <c r="I341" s="849"/>
      <c r="J341" s="851">
        <v>766.72500000000002</v>
      </c>
      <c r="K341" s="848" t="s">
        <v>11555</v>
      </c>
    </row>
    <row r="342" spans="2:11">
      <c r="B342" s="848">
        <v>339</v>
      </c>
      <c r="C342" s="848" t="s">
        <v>11548</v>
      </c>
      <c r="D342" s="849" t="s">
        <v>11549</v>
      </c>
      <c r="E342" s="848" t="s">
        <v>11571</v>
      </c>
      <c r="F342" s="848" t="s">
        <v>11478</v>
      </c>
      <c r="G342" s="850" t="s">
        <v>11583</v>
      </c>
      <c r="H342" s="849" t="s">
        <v>10716</v>
      </c>
      <c r="I342" s="849"/>
      <c r="J342" s="851">
        <v>766.72500000000002</v>
      </c>
      <c r="K342" s="848" t="s">
        <v>11555</v>
      </c>
    </row>
    <row r="343" spans="2:11">
      <c r="B343" s="848">
        <v>340</v>
      </c>
      <c r="C343" s="848" t="s">
        <v>11548</v>
      </c>
      <c r="D343" s="849" t="s">
        <v>11549</v>
      </c>
      <c r="E343" s="848" t="s">
        <v>11571</v>
      </c>
      <c r="F343" s="848" t="s">
        <v>11474</v>
      </c>
      <c r="G343" s="850" t="s">
        <v>11584</v>
      </c>
      <c r="H343" s="849" t="s">
        <v>10716</v>
      </c>
      <c r="I343" s="849"/>
      <c r="J343" s="851">
        <v>766.72500000000002</v>
      </c>
      <c r="K343" s="848" t="s">
        <v>11556</v>
      </c>
    </row>
    <row r="344" spans="2:11">
      <c r="B344" s="848">
        <v>341</v>
      </c>
      <c r="C344" s="848" t="s">
        <v>11548</v>
      </c>
      <c r="D344" s="849" t="s">
        <v>11549</v>
      </c>
      <c r="E344" s="848" t="s">
        <v>11571</v>
      </c>
      <c r="F344" s="848" t="s">
        <v>11585</v>
      </c>
      <c r="G344" s="850" t="s">
        <v>11586</v>
      </c>
      <c r="H344" s="849" t="s">
        <v>10716</v>
      </c>
      <c r="I344" s="849"/>
      <c r="J344" s="851">
        <v>766.72500000000002</v>
      </c>
      <c r="K344" s="848" t="s">
        <v>11556</v>
      </c>
    </row>
    <row r="345" spans="2:11">
      <c r="B345" s="848">
        <v>342</v>
      </c>
      <c r="C345" s="848" t="s">
        <v>11548</v>
      </c>
      <c r="D345" s="849" t="s">
        <v>11549</v>
      </c>
      <c r="E345" s="848" t="s">
        <v>11571</v>
      </c>
      <c r="F345" s="848" t="s">
        <v>11587</v>
      </c>
      <c r="G345" s="850" t="s">
        <v>11588</v>
      </c>
      <c r="H345" s="849" t="s">
        <v>10716</v>
      </c>
      <c r="I345" s="849"/>
      <c r="J345" s="851">
        <v>766.72500000000002</v>
      </c>
      <c r="K345" s="848" t="s">
        <v>11556</v>
      </c>
    </row>
    <row r="346" spans="2:11">
      <c r="B346" s="848">
        <v>343</v>
      </c>
      <c r="C346" s="848" t="s">
        <v>11548</v>
      </c>
      <c r="D346" s="849" t="s">
        <v>11549</v>
      </c>
      <c r="E346" s="848" t="s">
        <v>11571</v>
      </c>
      <c r="F346" s="848" t="s">
        <v>11589</v>
      </c>
      <c r="G346" s="850" t="s">
        <v>11590</v>
      </c>
      <c r="H346" s="849" t="s">
        <v>10716</v>
      </c>
      <c r="I346" s="849"/>
      <c r="J346" s="851">
        <v>766.72500000000002</v>
      </c>
      <c r="K346" s="848" t="s">
        <v>11557</v>
      </c>
    </row>
    <row r="347" spans="2:11">
      <c r="B347" s="848">
        <v>344</v>
      </c>
      <c r="C347" s="848" t="s">
        <v>11548</v>
      </c>
      <c r="D347" s="849" t="s">
        <v>11549</v>
      </c>
      <c r="E347" s="848" t="s">
        <v>11571</v>
      </c>
      <c r="F347" s="848" t="s">
        <v>11591</v>
      </c>
      <c r="G347" s="850" t="s">
        <v>11592</v>
      </c>
      <c r="H347" s="849" t="s">
        <v>10716</v>
      </c>
      <c r="I347" s="849"/>
      <c r="J347" s="851">
        <v>766.72500000000002</v>
      </c>
      <c r="K347" s="848" t="s">
        <v>11557</v>
      </c>
    </row>
    <row r="348" spans="2:11">
      <c r="B348" s="848">
        <v>345</v>
      </c>
      <c r="C348" s="848" t="s">
        <v>11548</v>
      </c>
      <c r="D348" s="849" t="s">
        <v>11549</v>
      </c>
      <c r="E348" s="848" t="s">
        <v>11571</v>
      </c>
      <c r="F348" s="848" t="s">
        <v>11593</v>
      </c>
      <c r="G348" s="850" t="s">
        <v>11594</v>
      </c>
      <c r="H348" s="849" t="s">
        <v>10716</v>
      </c>
      <c r="I348" s="849"/>
      <c r="J348" s="851">
        <v>766.72500000000002</v>
      </c>
      <c r="K348" s="848" t="s">
        <v>11557</v>
      </c>
    </row>
    <row r="349" spans="2:11">
      <c r="B349" s="848">
        <v>346</v>
      </c>
      <c r="C349" s="848" t="s">
        <v>11548</v>
      </c>
      <c r="D349" s="849" t="s">
        <v>11549</v>
      </c>
      <c r="E349" s="848" t="s">
        <v>11571</v>
      </c>
      <c r="F349" s="848" t="s">
        <v>11026</v>
      </c>
      <c r="G349" s="850" t="s">
        <v>10855</v>
      </c>
      <c r="H349" s="849" t="s">
        <v>10716</v>
      </c>
      <c r="I349" s="849"/>
      <c r="J349" s="851">
        <v>766.72500000000002</v>
      </c>
      <c r="K349" s="848" t="s">
        <v>11559</v>
      </c>
    </row>
    <row r="350" spans="2:11">
      <c r="B350" s="848">
        <v>347</v>
      </c>
      <c r="C350" s="848" t="s">
        <v>11548</v>
      </c>
      <c r="D350" s="849" t="s">
        <v>11549</v>
      </c>
      <c r="E350" s="848" t="s">
        <v>11571</v>
      </c>
      <c r="F350" s="848" t="s">
        <v>11468</v>
      </c>
      <c r="G350" s="850" t="s">
        <v>10851</v>
      </c>
      <c r="H350" s="849" t="s">
        <v>10716</v>
      </c>
      <c r="I350" s="849"/>
      <c r="J350" s="851">
        <v>766.72500000000002</v>
      </c>
      <c r="K350" s="848" t="s">
        <v>11559</v>
      </c>
    </row>
    <row r="351" spans="2:11">
      <c r="B351" s="848">
        <v>348</v>
      </c>
      <c r="C351" s="848" t="s">
        <v>11548</v>
      </c>
      <c r="D351" s="849" t="s">
        <v>11549</v>
      </c>
      <c r="E351" s="848" t="s">
        <v>11571</v>
      </c>
      <c r="F351" s="848" t="s">
        <v>11567</v>
      </c>
      <c r="G351" s="850" t="s">
        <v>10853</v>
      </c>
      <c r="H351" s="849" t="s">
        <v>10716</v>
      </c>
      <c r="I351" s="849"/>
      <c r="J351" s="851">
        <v>766.72500000000002</v>
      </c>
      <c r="K351" s="848" t="s">
        <v>11559</v>
      </c>
    </row>
    <row r="352" spans="2:11">
      <c r="B352" s="848">
        <v>349</v>
      </c>
      <c r="C352" s="848" t="s">
        <v>11548</v>
      </c>
      <c r="D352" s="849" t="s">
        <v>11549</v>
      </c>
      <c r="E352" s="848" t="s">
        <v>11571</v>
      </c>
      <c r="F352" s="848" t="s">
        <v>11360</v>
      </c>
      <c r="G352" s="850" t="s">
        <v>11595</v>
      </c>
      <c r="H352" s="849" t="s">
        <v>10716</v>
      </c>
      <c r="I352" s="849"/>
      <c r="J352" s="851">
        <v>766.72500000000002</v>
      </c>
      <c r="K352" s="848" t="s">
        <v>11561</v>
      </c>
    </row>
    <row r="353" spans="2:11">
      <c r="B353" s="848">
        <v>350</v>
      </c>
      <c r="C353" s="848" t="s">
        <v>11548</v>
      </c>
      <c r="D353" s="849" t="s">
        <v>11549</v>
      </c>
      <c r="E353" s="848" t="s">
        <v>11571</v>
      </c>
      <c r="F353" s="848" t="s">
        <v>11569</v>
      </c>
      <c r="G353" s="850" t="s">
        <v>11596</v>
      </c>
      <c r="H353" s="849" t="s">
        <v>10716</v>
      </c>
      <c r="I353" s="849"/>
      <c r="J353" s="851">
        <v>766.72500000000002</v>
      </c>
      <c r="K353" s="848" t="s">
        <v>11561</v>
      </c>
    </row>
    <row r="354" spans="2:11">
      <c r="B354" s="848">
        <v>351</v>
      </c>
      <c r="C354" s="848" t="s">
        <v>11548</v>
      </c>
      <c r="D354" s="849" t="s">
        <v>11549</v>
      </c>
      <c r="E354" s="848" t="s">
        <v>11571</v>
      </c>
      <c r="F354" s="848" t="s">
        <v>11465</v>
      </c>
      <c r="G354" s="850" t="s">
        <v>11597</v>
      </c>
      <c r="H354" s="849" t="s">
        <v>10716</v>
      </c>
      <c r="I354" s="849"/>
      <c r="J354" s="851">
        <v>766.72500000000002</v>
      </c>
      <c r="K354" s="848" t="s">
        <v>11561</v>
      </c>
    </row>
    <row r="355" spans="2:11">
      <c r="B355" s="848">
        <v>352</v>
      </c>
      <c r="C355" s="848" t="s">
        <v>11598</v>
      </c>
      <c r="D355" s="849" t="s">
        <v>11599</v>
      </c>
      <c r="E355" s="848" t="s">
        <v>10926</v>
      </c>
      <c r="F355" s="848" t="s">
        <v>11558</v>
      </c>
      <c r="G355" s="850" t="s">
        <v>11600</v>
      </c>
      <c r="H355" s="849" t="s">
        <v>10716</v>
      </c>
      <c r="I355" s="849"/>
      <c r="J355" s="851">
        <v>766.73</v>
      </c>
      <c r="K355" s="848" t="s">
        <v>11601</v>
      </c>
    </row>
    <row r="356" spans="2:11">
      <c r="B356" s="848">
        <v>353</v>
      </c>
      <c r="C356" s="848" t="s">
        <v>11598</v>
      </c>
      <c r="D356" s="849" t="s">
        <v>11599</v>
      </c>
      <c r="E356" s="848" t="s">
        <v>10926</v>
      </c>
      <c r="F356" s="848" t="s">
        <v>11560</v>
      </c>
      <c r="G356" s="850" t="s">
        <v>11602</v>
      </c>
      <c r="H356" s="849" t="s">
        <v>10716</v>
      </c>
      <c r="I356" s="849"/>
      <c r="J356" s="851">
        <v>766.73</v>
      </c>
      <c r="K356" s="848" t="s">
        <v>11603</v>
      </c>
    </row>
    <row r="357" spans="2:11">
      <c r="B357" s="848">
        <v>354</v>
      </c>
      <c r="C357" s="848" t="s">
        <v>11598</v>
      </c>
      <c r="D357" s="849" t="s">
        <v>11599</v>
      </c>
      <c r="E357" s="848" t="s">
        <v>10926</v>
      </c>
      <c r="F357" s="848" t="s">
        <v>11551</v>
      </c>
      <c r="G357" s="850" t="s">
        <v>11604</v>
      </c>
      <c r="H357" s="849" t="s">
        <v>10716</v>
      </c>
      <c r="I357" s="849"/>
      <c r="J357" s="851">
        <v>766.73</v>
      </c>
      <c r="K357" s="848" t="s">
        <v>11605</v>
      </c>
    </row>
    <row r="358" spans="2:11">
      <c r="B358" s="848">
        <v>355</v>
      </c>
      <c r="C358" s="848" t="s">
        <v>11598</v>
      </c>
      <c r="D358" s="849" t="s">
        <v>11599</v>
      </c>
      <c r="E358" s="848" t="s">
        <v>10926</v>
      </c>
      <c r="F358" s="848" t="s">
        <v>11606</v>
      </c>
      <c r="G358" s="850" t="s">
        <v>11607</v>
      </c>
      <c r="H358" s="849" t="s">
        <v>10716</v>
      </c>
      <c r="I358" s="849"/>
      <c r="J358" s="851">
        <v>153.35</v>
      </c>
      <c r="K358" s="848" t="s">
        <v>11120</v>
      </c>
    </row>
    <row r="359" spans="2:11">
      <c r="B359" s="848">
        <v>356</v>
      </c>
      <c r="C359" s="848" t="s">
        <v>11598</v>
      </c>
      <c r="D359" s="849" t="s">
        <v>11599</v>
      </c>
      <c r="E359" s="848" t="s">
        <v>10926</v>
      </c>
      <c r="F359" s="848" t="s">
        <v>11608</v>
      </c>
      <c r="G359" s="850" t="s">
        <v>11609</v>
      </c>
      <c r="H359" s="849" t="s">
        <v>10716</v>
      </c>
      <c r="I359" s="849"/>
      <c r="J359" s="851">
        <v>460.04</v>
      </c>
      <c r="K359" s="848" t="s">
        <v>11610</v>
      </c>
    </row>
    <row r="360" spans="2:11">
      <c r="B360" s="848">
        <v>357</v>
      </c>
      <c r="C360" s="848" t="s">
        <v>11598</v>
      </c>
      <c r="D360" s="849" t="s">
        <v>11599</v>
      </c>
      <c r="E360" s="848" t="s">
        <v>10926</v>
      </c>
      <c r="F360" s="848" t="s">
        <v>11611</v>
      </c>
      <c r="G360" s="850" t="s">
        <v>11612</v>
      </c>
      <c r="H360" s="849" t="s">
        <v>10716</v>
      </c>
      <c r="I360" s="849"/>
      <c r="J360" s="851">
        <v>766.73</v>
      </c>
      <c r="K360" s="848" t="s">
        <v>11613</v>
      </c>
    </row>
    <row r="361" spans="2:11">
      <c r="B361" s="848">
        <v>358</v>
      </c>
      <c r="C361" s="848" t="s">
        <v>11598</v>
      </c>
      <c r="D361" s="849" t="s">
        <v>11599</v>
      </c>
      <c r="E361" s="848" t="s">
        <v>10926</v>
      </c>
      <c r="F361" s="848" t="s">
        <v>11614</v>
      </c>
      <c r="G361" s="850" t="s">
        <v>11615</v>
      </c>
      <c r="H361" s="849" t="s">
        <v>10716</v>
      </c>
      <c r="I361" s="849"/>
      <c r="J361" s="851">
        <v>306.69</v>
      </c>
      <c r="K361" s="848" t="s">
        <v>6292</v>
      </c>
    </row>
    <row r="362" spans="2:11">
      <c r="B362" s="848">
        <v>359</v>
      </c>
      <c r="C362" s="848" t="s">
        <v>11616</v>
      </c>
      <c r="D362" s="849" t="s">
        <v>11617</v>
      </c>
      <c r="E362" s="848" t="s">
        <v>11161</v>
      </c>
      <c r="F362" s="848" t="s">
        <v>11618</v>
      </c>
      <c r="G362" s="850" t="s">
        <v>11619</v>
      </c>
      <c r="H362" s="849" t="s">
        <v>10716</v>
      </c>
      <c r="I362" s="849"/>
      <c r="J362" s="851">
        <v>461</v>
      </c>
      <c r="K362" s="848" t="s">
        <v>11620</v>
      </c>
    </row>
    <row r="363" spans="2:11">
      <c r="B363" s="848">
        <v>360</v>
      </c>
      <c r="C363" s="848" t="s">
        <v>11616</v>
      </c>
      <c r="D363" s="849" t="s">
        <v>11617</v>
      </c>
      <c r="E363" s="848" t="s">
        <v>11161</v>
      </c>
      <c r="F363" s="848" t="s">
        <v>11621</v>
      </c>
      <c r="G363" s="850" t="s">
        <v>11622</v>
      </c>
      <c r="H363" s="849" t="s">
        <v>10716</v>
      </c>
      <c r="I363" s="849"/>
      <c r="J363" s="851">
        <v>8</v>
      </c>
      <c r="K363" s="848" t="s">
        <v>11623</v>
      </c>
    </row>
    <row r="364" spans="2:11">
      <c r="B364" s="848">
        <v>361</v>
      </c>
      <c r="C364" s="848" t="s">
        <v>11616</v>
      </c>
      <c r="D364" s="849" t="s">
        <v>11617</v>
      </c>
      <c r="E364" s="848" t="s">
        <v>9481</v>
      </c>
      <c r="F364" s="848" t="s">
        <v>11624</v>
      </c>
      <c r="G364" s="850" t="s">
        <v>11625</v>
      </c>
      <c r="H364" s="849" t="s">
        <v>10716</v>
      </c>
      <c r="I364" s="849"/>
      <c r="J364" s="851">
        <v>446.26</v>
      </c>
      <c r="K364" s="848" t="s">
        <v>11626</v>
      </c>
    </row>
    <row r="365" spans="2:11">
      <c r="B365" s="848">
        <v>362</v>
      </c>
      <c r="C365" s="848" t="s">
        <v>11616</v>
      </c>
      <c r="D365" s="849" t="s">
        <v>11617</v>
      </c>
      <c r="E365" s="848" t="s">
        <v>9481</v>
      </c>
      <c r="F365" s="848" t="s">
        <v>10723</v>
      </c>
      <c r="G365" s="850" t="s">
        <v>11627</v>
      </c>
      <c r="H365" s="849" t="s">
        <v>10716</v>
      </c>
      <c r="I365" s="849"/>
      <c r="J365" s="851">
        <v>215.46</v>
      </c>
      <c r="K365" s="848" t="s">
        <v>11623</v>
      </c>
    </row>
    <row r="366" spans="2:11">
      <c r="B366" s="848">
        <v>363</v>
      </c>
      <c r="C366" s="848" t="s">
        <v>11616</v>
      </c>
      <c r="D366" s="849" t="s">
        <v>11617</v>
      </c>
      <c r="E366" s="848" t="s">
        <v>3246</v>
      </c>
      <c r="F366" s="848" t="s">
        <v>11628</v>
      </c>
      <c r="G366" s="850" t="s">
        <v>11629</v>
      </c>
      <c r="H366" s="849" t="s">
        <v>10716</v>
      </c>
      <c r="I366" s="849"/>
      <c r="J366" s="851">
        <v>613.38</v>
      </c>
      <c r="K366" s="848" t="s">
        <v>11630</v>
      </c>
    </row>
    <row r="367" spans="2:11">
      <c r="B367" s="848">
        <v>364</v>
      </c>
      <c r="C367" s="848" t="s">
        <v>11616</v>
      </c>
      <c r="D367" s="849" t="s">
        <v>11617</v>
      </c>
      <c r="E367" s="848" t="s">
        <v>3246</v>
      </c>
      <c r="F367" s="848" t="s">
        <v>11631</v>
      </c>
      <c r="G367" s="850" t="s">
        <v>10868</v>
      </c>
      <c r="H367" s="849" t="s">
        <v>10716</v>
      </c>
      <c r="I367" s="849"/>
      <c r="J367" s="851">
        <v>460.03500000000003</v>
      </c>
      <c r="K367" s="848" t="s">
        <v>11632</v>
      </c>
    </row>
    <row r="368" spans="2:11">
      <c r="B368" s="848">
        <v>365</v>
      </c>
      <c r="C368" s="848" t="s">
        <v>11616</v>
      </c>
      <c r="D368" s="849" t="s">
        <v>11617</v>
      </c>
      <c r="E368" s="848" t="s">
        <v>3246</v>
      </c>
      <c r="F368" s="848" t="s">
        <v>11633</v>
      </c>
      <c r="G368" s="850" t="s">
        <v>11634</v>
      </c>
      <c r="H368" s="849" t="s">
        <v>10716</v>
      </c>
      <c r="I368" s="849"/>
      <c r="J368" s="851">
        <v>613.38</v>
      </c>
      <c r="K368" s="848" t="s">
        <v>11635</v>
      </c>
    </row>
    <row r="369" spans="2:11">
      <c r="B369" s="848">
        <v>366</v>
      </c>
      <c r="C369" s="848" t="s">
        <v>11616</v>
      </c>
      <c r="D369" s="849" t="s">
        <v>11617</v>
      </c>
      <c r="E369" s="848" t="s">
        <v>3246</v>
      </c>
      <c r="F369" s="848" t="s">
        <v>11636</v>
      </c>
      <c r="G369" s="850" t="s">
        <v>11637</v>
      </c>
      <c r="H369" s="849" t="s">
        <v>10716</v>
      </c>
      <c r="I369" s="849"/>
      <c r="J369" s="851">
        <v>613.38</v>
      </c>
      <c r="K369" s="848" t="s">
        <v>11638</v>
      </c>
    </row>
    <row r="370" spans="2:11">
      <c r="B370" s="848">
        <v>367</v>
      </c>
      <c r="C370" s="848" t="s">
        <v>11616</v>
      </c>
      <c r="D370" s="849" t="s">
        <v>11617</v>
      </c>
      <c r="E370" s="848" t="s">
        <v>3246</v>
      </c>
      <c r="F370" s="848" t="s">
        <v>11639</v>
      </c>
      <c r="G370" s="850" t="s">
        <v>10843</v>
      </c>
      <c r="H370" s="849" t="s">
        <v>10716</v>
      </c>
      <c r="I370" s="849"/>
      <c r="J370" s="851">
        <v>613.38</v>
      </c>
      <c r="K370" s="848" t="s">
        <v>11640</v>
      </c>
    </row>
    <row r="371" spans="2:11">
      <c r="B371" s="848">
        <v>368</v>
      </c>
      <c r="C371" s="848" t="s">
        <v>11616</v>
      </c>
      <c r="D371" s="849" t="s">
        <v>11617</v>
      </c>
      <c r="E371" s="848" t="s">
        <v>3246</v>
      </c>
      <c r="F371" s="848" t="s">
        <v>11641</v>
      </c>
      <c r="G371" s="850" t="s">
        <v>10841</v>
      </c>
      <c r="H371" s="849" t="s">
        <v>10716</v>
      </c>
      <c r="I371" s="849"/>
      <c r="J371" s="851">
        <v>613.38</v>
      </c>
      <c r="K371" s="848" t="s">
        <v>11642</v>
      </c>
    </row>
    <row r="372" spans="2:11">
      <c r="B372" s="848">
        <v>369</v>
      </c>
      <c r="C372" s="848" t="s">
        <v>11616</v>
      </c>
      <c r="D372" s="849" t="s">
        <v>11617</v>
      </c>
      <c r="E372" s="848" t="s">
        <v>3246</v>
      </c>
      <c r="F372" s="848" t="s">
        <v>11643</v>
      </c>
      <c r="G372" s="850" t="s">
        <v>11644</v>
      </c>
      <c r="H372" s="849" t="s">
        <v>10716</v>
      </c>
      <c r="I372" s="849"/>
      <c r="J372" s="851">
        <v>613.38</v>
      </c>
      <c r="K372" s="848" t="s">
        <v>11645</v>
      </c>
    </row>
    <row r="373" spans="2:11" ht="25">
      <c r="B373" s="848">
        <v>370</v>
      </c>
      <c r="C373" s="848" t="s">
        <v>11646</v>
      </c>
      <c r="D373" s="849" t="s">
        <v>11647</v>
      </c>
      <c r="E373" s="848" t="s">
        <v>10754</v>
      </c>
      <c r="F373" s="848" t="s">
        <v>11648</v>
      </c>
      <c r="G373" s="850" t="s">
        <v>10749</v>
      </c>
      <c r="H373" s="849" t="s">
        <v>10716</v>
      </c>
      <c r="I373" s="849"/>
      <c r="J373" s="851">
        <v>440.09</v>
      </c>
      <c r="K373" s="848" t="s">
        <v>11649</v>
      </c>
    </row>
    <row r="374" spans="2:11" ht="25">
      <c r="B374" s="848">
        <v>371</v>
      </c>
      <c r="C374" s="848" t="s">
        <v>11646</v>
      </c>
      <c r="D374" s="849" t="s">
        <v>11647</v>
      </c>
      <c r="E374" s="848" t="s">
        <v>10754</v>
      </c>
      <c r="F374" s="848" t="s">
        <v>11650</v>
      </c>
      <c r="G374" s="850" t="s">
        <v>11651</v>
      </c>
      <c r="H374" s="849" t="s">
        <v>10716</v>
      </c>
      <c r="I374" s="849"/>
      <c r="J374" s="851">
        <v>766.73</v>
      </c>
      <c r="K374" s="848" t="s">
        <v>11652</v>
      </c>
    </row>
    <row r="375" spans="2:11" ht="25">
      <c r="B375" s="848">
        <v>372</v>
      </c>
      <c r="C375" s="848" t="s">
        <v>11646</v>
      </c>
      <c r="D375" s="849" t="s">
        <v>11647</v>
      </c>
      <c r="E375" s="848" t="s">
        <v>10754</v>
      </c>
      <c r="F375" s="848" t="s">
        <v>11653</v>
      </c>
      <c r="G375" s="850" t="s">
        <v>11654</v>
      </c>
      <c r="H375" s="849" t="s">
        <v>10716</v>
      </c>
      <c r="I375" s="849"/>
      <c r="J375" s="851">
        <v>766.73</v>
      </c>
      <c r="K375" s="848" t="s">
        <v>11655</v>
      </c>
    </row>
    <row r="376" spans="2:11" ht="25">
      <c r="B376" s="848">
        <v>373</v>
      </c>
      <c r="C376" s="848" t="s">
        <v>11646</v>
      </c>
      <c r="D376" s="849" t="s">
        <v>11647</v>
      </c>
      <c r="E376" s="848" t="s">
        <v>10754</v>
      </c>
      <c r="F376" s="848" t="s">
        <v>11656</v>
      </c>
      <c r="G376" s="850" t="s">
        <v>11657</v>
      </c>
      <c r="H376" s="849" t="s">
        <v>10716</v>
      </c>
      <c r="I376" s="849"/>
      <c r="J376" s="851">
        <v>766.73</v>
      </c>
      <c r="K376" s="848" t="s">
        <v>11658</v>
      </c>
    </row>
    <row r="377" spans="2:11" ht="25">
      <c r="B377" s="848">
        <v>374</v>
      </c>
      <c r="C377" s="848" t="s">
        <v>11646</v>
      </c>
      <c r="D377" s="849" t="s">
        <v>11647</v>
      </c>
      <c r="E377" s="848" t="s">
        <v>10754</v>
      </c>
      <c r="F377" s="848" t="s">
        <v>11659</v>
      </c>
      <c r="G377" s="850" t="s">
        <v>11660</v>
      </c>
      <c r="H377" s="849" t="s">
        <v>10716</v>
      </c>
      <c r="I377" s="849"/>
      <c r="J377" s="851">
        <v>766.73</v>
      </c>
      <c r="K377" s="848" t="s">
        <v>11661</v>
      </c>
    </row>
    <row r="378" spans="2:11" ht="25">
      <c r="B378" s="848">
        <v>375</v>
      </c>
      <c r="C378" s="848" t="s">
        <v>11646</v>
      </c>
      <c r="D378" s="849" t="s">
        <v>11647</v>
      </c>
      <c r="E378" s="848" t="s">
        <v>10754</v>
      </c>
      <c r="F378" s="848" t="s">
        <v>11662</v>
      </c>
      <c r="G378" s="850" t="s">
        <v>11663</v>
      </c>
      <c r="H378" s="849" t="s">
        <v>10716</v>
      </c>
      <c r="I378" s="849"/>
      <c r="J378" s="851">
        <v>766.73</v>
      </c>
      <c r="K378" s="848" t="s">
        <v>11664</v>
      </c>
    </row>
    <row r="379" spans="2:11" ht="25">
      <c r="B379" s="848">
        <v>376</v>
      </c>
      <c r="C379" s="848" t="s">
        <v>11646</v>
      </c>
      <c r="D379" s="849" t="s">
        <v>11647</v>
      </c>
      <c r="E379" s="848" t="s">
        <v>10754</v>
      </c>
      <c r="F379" s="848" t="s">
        <v>11665</v>
      </c>
      <c r="G379" s="850" t="s">
        <v>11666</v>
      </c>
      <c r="H379" s="849" t="s">
        <v>10716</v>
      </c>
      <c r="I379" s="849"/>
      <c r="J379" s="851">
        <v>766.73</v>
      </c>
      <c r="K379" s="848" t="s">
        <v>11667</v>
      </c>
    </row>
    <row r="380" spans="2:11" ht="25">
      <c r="B380" s="848">
        <v>377</v>
      </c>
      <c r="C380" s="848" t="s">
        <v>11646</v>
      </c>
      <c r="D380" s="849" t="s">
        <v>11647</v>
      </c>
      <c r="E380" s="848" t="s">
        <v>10754</v>
      </c>
      <c r="F380" s="848" t="s">
        <v>11668</v>
      </c>
      <c r="G380" s="850" t="s">
        <v>11064</v>
      </c>
      <c r="H380" s="849" t="s">
        <v>10716</v>
      </c>
      <c r="I380" s="849"/>
      <c r="J380" s="851">
        <v>766.73</v>
      </c>
      <c r="K380" s="848" t="s">
        <v>11669</v>
      </c>
    </row>
    <row r="381" spans="2:11" ht="25">
      <c r="B381" s="848">
        <v>378</v>
      </c>
      <c r="C381" s="848" t="s">
        <v>11646</v>
      </c>
      <c r="D381" s="849" t="s">
        <v>11647</v>
      </c>
      <c r="E381" s="848" t="s">
        <v>10754</v>
      </c>
      <c r="F381" s="848" t="s">
        <v>11670</v>
      </c>
      <c r="G381" s="850" t="s">
        <v>11671</v>
      </c>
      <c r="H381" s="849" t="s">
        <v>10716</v>
      </c>
      <c r="I381" s="849"/>
      <c r="J381" s="851">
        <v>766.73</v>
      </c>
      <c r="K381" s="848" t="s">
        <v>11672</v>
      </c>
    </row>
    <row r="382" spans="2:11" ht="25">
      <c r="B382" s="848">
        <v>379</v>
      </c>
      <c r="C382" s="848" t="s">
        <v>11646</v>
      </c>
      <c r="D382" s="849" t="s">
        <v>11647</v>
      </c>
      <c r="E382" s="848" t="s">
        <v>10754</v>
      </c>
      <c r="F382" s="848" t="s">
        <v>10833</v>
      </c>
      <c r="G382" s="850" t="s">
        <v>11673</v>
      </c>
      <c r="H382" s="849" t="s">
        <v>10716</v>
      </c>
      <c r="I382" s="849"/>
      <c r="J382" s="851">
        <v>766.73</v>
      </c>
      <c r="K382" s="848" t="s">
        <v>11674</v>
      </c>
    </row>
    <row r="383" spans="2:11">
      <c r="B383" s="848">
        <v>380</v>
      </c>
      <c r="C383" s="848" t="s">
        <v>11675</v>
      </c>
      <c r="D383" s="849" t="s">
        <v>11676</v>
      </c>
      <c r="E383" s="848" t="s">
        <v>8582</v>
      </c>
      <c r="F383" s="848" t="s">
        <v>11677</v>
      </c>
      <c r="G383" s="850" t="s">
        <v>11678</v>
      </c>
      <c r="H383" s="849" t="s">
        <v>10716</v>
      </c>
      <c r="I383" s="849"/>
      <c r="J383" s="851">
        <v>6.29</v>
      </c>
      <c r="K383" s="848" t="s">
        <v>11679</v>
      </c>
    </row>
    <row r="384" spans="2:11">
      <c r="B384" s="848">
        <v>381</v>
      </c>
      <c r="C384" s="848" t="s">
        <v>11675</v>
      </c>
      <c r="D384" s="849" t="s">
        <v>11676</v>
      </c>
      <c r="E384" s="848" t="s">
        <v>8582</v>
      </c>
      <c r="F384" s="848" t="s">
        <v>11677</v>
      </c>
      <c r="G384" s="850" t="s">
        <v>11680</v>
      </c>
      <c r="H384" s="849" t="s">
        <v>10716</v>
      </c>
      <c r="I384" s="849"/>
      <c r="J384" s="851">
        <v>766.73</v>
      </c>
      <c r="K384" s="848" t="s">
        <v>11679</v>
      </c>
    </row>
    <row r="385" spans="2:11">
      <c r="B385" s="848">
        <v>382</v>
      </c>
      <c r="C385" s="848" t="s">
        <v>11675</v>
      </c>
      <c r="D385" s="849" t="s">
        <v>11676</v>
      </c>
      <c r="E385" s="848" t="s">
        <v>8582</v>
      </c>
      <c r="F385" s="848" t="s">
        <v>11079</v>
      </c>
      <c r="G385" s="850" t="s">
        <v>11681</v>
      </c>
      <c r="H385" s="849" t="s">
        <v>10716</v>
      </c>
      <c r="I385" s="849"/>
      <c r="J385" s="851">
        <v>766.73</v>
      </c>
      <c r="K385" s="848" t="s">
        <v>11682</v>
      </c>
    </row>
    <row r="386" spans="2:11">
      <c r="B386" s="848">
        <v>383</v>
      </c>
      <c r="C386" s="848" t="s">
        <v>11675</v>
      </c>
      <c r="D386" s="849" t="s">
        <v>11676</v>
      </c>
      <c r="E386" s="848" t="s">
        <v>8582</v>
      </c>
      <c r="F386" s="848" t="s">
        <v>11079</v>
      </c>
      <c r="G386" s="850" t="s">
        <v>11683</v>
      </c>
      <c r="H386" s="849" t="s">
        <v>10716</v>
      </c>
      <c r="I386" s="849"/>
      <c r="J386" s="851">
        <v>6.29</v>
      </c>
      <c r="K386" s="848" t="s">
        <v>11682</v>
      </c>
    </row>
    <row r="387" spans="2:11">
      <c r="B387" s="848">
        <v>384</v>
      </c>
      <c r="C387" s="848" t="s">
        <v>11675</v>
      </c>
      <c r="D387" s="849" t="s">
        <v>11676</v>
      </c>
      <c r="E387" s="848" t="s">
        <v>8582</v>
      </c>
      <c r="F387" s="848" t="s">
        <v>11684</v>
      </c>
      <c r="G387" s="850" t="s">
        <v>11685</v>
      </c>
      <c r="H387" s="849" t="s">
        <v>10716</v>
      </c>
      <c r="I387" s="849"/>
      <c r="J387" s="851">
        <v>766.73</v>
      </c>
      <c r="K387" s="848" t="s">
        <v>11686</v>
      </c>
    </row>
    <row r="388" spans="2:11">
      <c r="B388" s="848">
        <v>385</v>
      </c>
      <c r="C388" s="848" t="s">
        <v>11675</v>
      </c>
      <c r="D388" s="849" t="s">
        <v>11676</v>
      </c>
      <c r="E388" s="848" t="s">
        <v>8582</v>
      </c>
      <c r="F388" s="848" t="s">
        <v>11684</v>
      </c>
      <c r="G388" s="850" t="s">
        <v>11687</v>
      </c>
      <c r="H388" s="849" t="s">
        <v>10716</v>
      </c>
      <c r="I388" s="849"/>
      <c r="J388" s="851">
        <v>6.29</v>
      </c>
      <c r="K388" s="848" t="s">
        <v>11686</v>
      </c>
    </row>
    <row r="389" spans="2:11">
      <c r="B389" s="848">
        <v>386</v>
      </c>
      <c r="C389" s="848" t="s">
        <v>11675</v>
      </c>
      <c r="D389" s="849" t="s">
        <v>11676</v>
      </c>
      <c r="E389" s="848" t="s">
        <v>8582</v>
      </c>
      <c r="F389" s="848" t="s">
        <v>11688</v>
      </c>
      <c r="G389" s="850" t="s">
        <v>11689</v>
      </c>
      <c r="H389" s="849" t="s">
        <v>10716</v>
      </c>
      <c r="I389" s="849"/>
      <c r="J389" s="851">
        <v>766.73</v>
      </c>
      <c r="K389" s="848" t="s">
        <v>11690</v>
      </c>
    </row>
    <row r="390" spans="2:11">
      <c r="B390" s="848">
        <v>387</v>
      </c>
      <c r="C390" s="848" t="s">
        <v>11675</v>
      </c>
      <c r="D390" s="849" t="s">
        <v>11676</v>
      </c>
      <c r="E390" s="848" t="s">
        <v>8582</v>
      </c>
      <c r="F390" s="848" t="s">
        <v>11688</v>
      </c>
      <c r="G390" s="850" t="s">
        <v>11691</v>
      </c>
      <c r="H390" s="849" t="s">
        <v>10716</v>
      </c>
      <c r="I390" s="849"/>
      <c r="J390" s="851">
        <v>6.29</v>
      </c>
      <c r="K390" s="848" t="s">
        <v>11690</v>
      </c>
    </row>
    <row r="391" spans="2:11">
      <c r="B391" s="848">
        <v>388</v>
      </c>
      <c r="C391" s="848" t="s">
        <v>11675</v>
      </c>
      <c r="D391" s="849" t="s">
        <v>11676</v>
      </c>
      <c r="E391" s="848" t="s">
        <v>8582</v>
      </c>
      <c r="F391" s="848" t="s">
        <v>11692</v>
      </c>
      <c r="G391" s="850" t="s">
        <v>11693</v>
      </c>
      <c r="H391" s="849" t="s">
        <v>10716</v>
      </c>
      <c r="I391" s="849"/>
      <c r="J391" s="851">
        <v>613.38</v>
      </c>
      <c r="K391" s="848" t="s">
        <v>11694</v>
      </c>
    </row>
    <row r="392" spans="2:11">
      <c r="B392" s="848">
        <v>389</v>
      </c>
      <c r="C392" s="848" t="s">
        <v>11675</v>
      </c>
      <c r="D392" s="849" t="s">
        <v>11676</v>
      </c>
      <c r="E392" s="848" t="s">
        <v>8582</v>
      </c>
      <c r="F392" s="848" t="s">
        <v>11692</v>
      </c>
      <c r="G392" s="850" t="s">
        <v>11695</v>
      </c>
      <c r="H392" s="849" t="s">
        <v>10716</v>
      </c>
      <c r="I392" s="849"/>
      <c r="J392" s="851">
        <v>5.03</v>
      </c>
      <c r="K392" s="848" t="s">
        <v>11694</v>
      </c>
    </row>
    <row r="393" spans="2:11">
      <c r="B393" s="848">
        <v>390</v>
      </c>
      <c r="C393" s="848" t="s">
        <v>11675</v>
      </c>
      <c r="D393" s="849" t="s">
        <v>11676</v>
      </c>
      <c r="E393" s="848" t="s">
        <v>8582</v>
      </c>
      <c r="F393" s="848" t="s">
        <v>11568</v>
      </c>
      <c r="G393" s="850" t="s">
        <v>11696</v>
      </c>
      <c r="H393" s="849" t="s">
        <v>10716</v>
      </c>
      <c r="I393" s="849"/>
      <c r="J393" s="851">
        <v>306.69</v>
      </c>
      <c r="K393" s="848" t="s">
        <v>6639</v>
      </c>
    </row>
    <row r="394" spans="2:11">
      <c r="B394" s="848">
        <v>391</v>
      </c>
      <c r="C394" s="848" t="s">
        <v>11697</v>
      </c>
      <c r="D394" s="849" t="s">
        <v>11698</v>
      </c>
      <c r="E394" s="848" t="s">
        <v>3761</v>
      </c>
      <c r="F394" s="848" t="s">
        <v>11699</v>
      </c>
      <c r="G394" s="850" t="s">
        <v>10749</v>
      </c>
      <c r="H394" s="849" t="s">
        <v>10716</v>
      </c>
      <c r="I394" s="849"/>
      <c r="J394" s="851">
        <v>69</v>
      </c>
      <c r="K394" s="848" t="s">
        <v>11700</v>
      </c>
    </row>
    <row r="395" spans="2:11">
      <c r="B395" s="848">
        <v>392</v>
      </c>
      <c r="C395" s="848" t="s">
        <v>11697</v>
      </c>
      <c r="D395" s="849" t="s">
        <v>11698</v>
      </c>
      <c r="E395" s="848" t="s">
        <v>3761</v>
      </c>
      <c r="F395" s="848" t="s">
        <v>11701</v>
      </c>
      <c r="G395" s="850" t="s">
        <v>10749</v>
      </c>
      <c r="H395" s="849" t="s">
        <v>10716</v>
      </c>
      <c r="I395" s="849"/>
      <c r="J395" s="851">
        <v>741</v>
      </c>
      <c r="K395" s="848" t="s">
        <v>11700</v>
      </c>
    </row>
    <row r="396" spans="2:11">
      <c r="B396" s="848">
        <v>393</v>
      </c>
      <c r="C396" s="848" t="s">
        <v>11697</v>
      </c>
      <c r="D396" s="849" t="s">
        <v>11698</v>
      </c>
      <c r="E396" s="848" t="s">
        <v>11702</v>
      </c>
      <c r="F396" s="848" t="s">
        <v>11703</v>
      </c>
      <c r="G396" s="850" t="s">
        <v>11704</v>
      </c>
      <c r="H396" s="849" t="s">
        <v>10716</v>
      </c>
      <c r="I396" s="849"/>
      <c r="J396" s="851">
        <v>766.73</v>
      </c>
      <c r="K396" s="848" t="s">
        <v>11700</v>
      </c>
    </row>
    <row r="397" spans="2:11">
      <c r="B397" s="848">
        <v>394</v>
      </c>
      <c r="C397" s="848" t="s">
        <v>1343</v>
      </c>
      <c r="D397" s="849" t="s">
        <v>8080</v>
      </c>
      <c r="E397" s="848" t="s">
        <v>10754</v>
      </c>
      <c r="F397" s="848" t="s">
        <v>11705</v>
      </c>
      <c r="G397" s="850" t="s">
        <v>10932</v>
      </c>
      <c r="H397" s="849" t="s">
        <v>10716</v>
      </c>
      <c r="I397" s="849"/>
      <c r="J397" s="851">
        <v>237.7</v>
      </c>
      <c r="K397" s="848" t="s">
        <v>5884</v>
      </c>
    </row>
    <row r="398" spans="2:11">
      <c r="B398" s="848">
        <v>395</v>
      </c>
      <c r="C398" s="848" t="s">
        <v>1343</v>
      </c>
      <c r="D398" s="849" t="s">
        <v>8080</v>
      </c>
      <c r="E398" s="848" t="s">
        <v>10754</v>
      </c>
      <c r="F398" s="848" t="s">
        <v>11706</v>
      </c>
      <c r="G398" s="850" t="s">
        <v>10909</v>
      </c>
      <c r="H398" s="849" t="s">
        <v>10716</v>
      </c>
      <c r="I398" s="849"/>
      <c r="J398" s="851">
        <v>237.7</v>
      </c>
      <c r="K398" s="848" t="s">
        <v>5894</v>
      </c>
    </row>
    <row r="399" spans="2:11">
      <c r="B399" s="848">
        <v>396</v>
      </c>
      <c r="C399" s="848" t="s">
        <v>11598</v>
      </c>
      <c r="D399" s="849" t="s">
        <v>435</v>
      </c>
      <c r="E399" s="848" t="s">
        <v>10926</v>
      </c>
      <c r="F399" s="848" t="s">
        <v>11054</v>
      </c>
      <c r="G399" s="850" t="s">
        <v>11707</v>
      </c>
      <c r="H399" s="849" t="s">
        <v>10716</v>
      </c>
      <c r="I399" s="849"/>
      <c r="J399" s="851">
        <v>766.73</v>
      </c>
      <c r="K399" s="848" t="s">
        <v>11708</v>
      </c>
    </row>
    <row r="400" spans="2:11">
      <c r="B400" s="848">
        <v>397</v>
      </c>
      <c r="C400" s="848" t="s">
        <v>667</v>
      </c>
      <c r="D400" s="849" t="s">
        <v>11709</v>
      </c>
      <c r="E400" s="848" t="s">
        <v>3220</v>
      </c>
      <c r="F400" s="848" t="s">
        <v>11710</v>
      </c>
      <c r="G400" s="850" t="s">
        <v>11711</v>
      </c>
      <c r="H400" s="849" t="s">
        <v>10716</v>
      </c>
      <c r="I400" s="849"/>
      <c r="J400" s="851">
        <v>8434.0300000000007</v>
      </c>
      <c r="K400" s="848" t="s">
        <v>11712</v>
      </c>
    </row>
    <row r="401" spans="2:11">
      <c r="B401" s="848">
        <v>398</v>
      </c>
      <c r="C401" s="848" t="s">
        <v>667</v>
      </c>
      <c r="D401" s="849" t="s">
        <v>11709</v>
      </c>
      <c r="E401" s="848" t="s">
        <v>3220</v>
      </c>
      <c r="F401" s="848" t="s">
        <v>11713</v>
      </c>
      <c r="G401" s="850" t="s">
        <v>11714</v>
      </c>
      <c r="H401" s="849" t="s">
        <v>10716</v>
      </c>
      <c r="I401" s="849"/>
      <c r="J401" s="851">
        <v>75.010000000000005</v>
      </c>
      <c r="K401" s="848" t="s">
        <v>6529</v>
      </c>
    </row>
    <row r="402" spans="2:11">
      <c r="B402" s="848">
        <v>399</v>
      </c>
      <c r="C402" s="848" t="s">
        <v>667</v>
      </c>
      <c r="D402" s="849" t="s">
        <v>11709</v>
      </c>
      <c r="E402" s="848" t="s">
        <v>11082</v>
      </c>
      <c r="F402" s="848" t="s">
        <v>11715</v>
      </c>
      <c r="G402" s="850" t="s">
        <v>11716</v>
      </c>
      <c r="H402" s="849" t="s">
        <v>10716</v>
      </c>
      <c r="I402" s="849"/>
      <c r="J402" s="851">
        <v>5</v>
      </c>
      <c r="K402" s="848" t="s">
        <v>6512</v>
      </c>
    </row>
    <row r="403" spans="2:11">
      <c r="B403" s="848">
        <v>400</v>
      </c>
      <c r="C403" s="848" t="s">
        <v>711</v>
      </c>
      <c r="D403" s="849" t="s">
        <v>11717</v>
      </c>
      <c r="E403" s="848" t="s">
        <v>8582</v>
      </c>
      <c r="F403" s="848" t="s">
        <v>11718</v>
      </c>
      <c r="G403" s="850" t="s">
        <v>11719</v>
      </c>
      <c r="H403" s="849" t="s">
        <v>10716</v>
      </c>
      <c r="I403" s="849"/>
      <c r="J403" s="851">
        <v>21851.81</v>
      </c>
      <c r="K403" s="848" t="s">
        <v>11720</v>
      </c>
    </row>
    <row r="404" spans="2:11">
      <c r="B404" s="848">
        <v>401</v>
      </c>
      <c r="C404" s="848" t="s">
        <v>11721</v>
      </c>
      <c r="D404" s="849" t="s">
        <v>11717</v>
      </c>
      <c r="E404" s="848" t="s">
        <v>8582</v>
      </c>
      <c r="F404" s="848" t="s">
        <v>11722</v>
      </c>
      <c r="G404" s="850" t="s">
        <v>11723</v>
      </c>
      <c r="H404" s="849" t="s">
        <v>10716</v>
      </c>
      <c r="I404" s="849"/>
      <c r="J404" s="851">
        <v>46.42</v>
      </c>
      <c r="K404" s="848" t="s">
        <v>5956</v>
      </c>
    </row>
    <row r="405" spans="2:11">
      <c r="B405" s="848">
        <v>402</v>
      </c>
      <c r="C405" s="848" t="s">
        <v>11721</v>
      </c>
      <c r="D405" s="849" t="s">
        <v>11717</v>
      </c>
      <c r="E405" s="848" t="s">
        <v>11085</v>
      </c>
      <c r="F405" s="848" t="s">
        <v>11724</v>
      </c>
      <c r="G405" s="850" t="s">
        <v>11725</v>
      </c>
      <c r="H405" s="849" t="s">
        <v>10716</v>
      </c>
      <c r="I405" s="849"/>
      <c r="J405" s="851">
        <v>7.02</v>
      </c>
      <c r="K405" s="848" t="s">
        <v>6556</v>
      </c>
    </row>
    <row r="406" spans="2:11" ht="25">
      <c r="B406" s="848">
        <v>403</v>
      </c>
      <c r="C406" s="848" t="s">
        <v>11726</v>
      </c>
      <c r="D406" s="849" t="s">
        <v>11727</v>
      </c>
      <c r="E406" s="848" t="s">
        <v>11728</v>
      </c>
      <c r="F406" s="848" t="s">
        <v>11729</v>
      </c>
      <c r="G406" s="850" t="s">
        <v>11730</v>
      </c>
      <c r="H406" s="849" t="s">
        <v>10716</v>
      </c>
      <c r="I406" s="849"/>
      <c r="J406" s="851">
        <v>237.7</v>
      </c>
      <c r="K406" s="848" t="s">
        <v>6430</v>
      </c>
    </row>
    <row r="407" spans="2:11" ht="25">
      <c r="B407" s="848">
        <v>404</v>
      </c>
      <c r="C407" s="848" t="s">
        <v>11726</v>
      </c>
      <c r="D407" s="849" t="s">
        <v>11727</v>
      </c>
      <c r="E407" s="848" t="s">
        <v>11728</v>
      </c>
      <c r="F407" s="848" t="s">
        <v>10936</v>
      </c>
      <c r="G407" s="850" t="s">
        <v>11731</v>
      </c>
      <c r="H407" s="849" t="s">
        <v>10716</v>
      </c>
      <c r="I407" s="849"/>
      <c r="J407" s="851">
        <v>118.85</v>
      </c>
      <c r="K407" s="848" t="s">
        <v>6431</v>
      </c>
    </row>
    <row r="408" spans="2:11" ht="25">
      <c r="B408" s="848">
        <v>405</v>
      </c>
      <c r="C408" s="848" t="s">
        <v>11726</v>
      </c>
      <c r="D408" s="849" t="s">
        <v>11727</v>
      </c>
      <c r="E408" s="848" t="s">
        <v>11728</v>
      </c>
      <c r="F408" s="848" t="s">
        <v>11732</v>
      </c>
      <c r="G408" s="850" t="s">
        <v>11733</v>
      </c>
      <c r="H408" s="849" t="s">
        <v>10716</v>
      </c>
      <c r="I408" s="849"/>
      <c r="J408" s="851">
        <v>285.24</v>
      </c>
      <c r="K408" s="848" t="s">
        <v>6468</v>
      </c>
    </row>
    <row r="409" spans="2:11">
      <c r="B409" s="848">
        <v>406</v>
      </c>
      <c r="C409" s="848" t="s">
        <v>1390</v>
      </c>
      <c r="D409" s="849" t="s">
        <v>8069</v>
      </c>
      <c r="E409" s="848" t="s">
        <v>11051</v>
      </c>
      <c r="F409" s="848" t="s">
        <v>11734</v>
      </c>
      <c r="G409" s="850" t="s">
        <v>11735</v>
      </c>
      <c r="H409" s="849" t="s">
        <v>10716</v>
      </c>
      <c r="I409" s="849"/>
      <c r="J409" s="851">
        <v>1599.98</v>
      </c>
      <c r="K409" s="848" t="s">
        <v>11736</v>
      </c>
    </row>
    <row r="410" spans="2:11">
      <c r="B410" s="848">
        <v>407</v>
      </c>
      <c r="C410" s="848" t="s">
        <v>712</v>
      </c>
      <c r="D410" s="849" t="s">
        <v>7208</v>
      </c>
      <c r="E410" s="848" t="s">
        <v>11161</v>
      </c>
      <c r="F410" s="848" t="s">
        <v>11737</v>
      </c>
      <c r="G410" s="850" t="s">
        <v>11738</v>
      </c>
      <c r="H410" s="849" t="s">
        <v>10716</v>
      </c>
      <c r="I410" s="849"/>
      <c r="J410" s="851">
        <v>13034.41</v>
      </c>
      <c r="K410" s="848" t="s">
        <v>11739</v>
      </c>
    </row>
    <row r="411" spans="2:11">
      <c r="B411" s="848">
        <v>408</v>
      </c>
      <c r="C411" s="848" t="s">
        <v>712</v>
      </c>
      <c r="D411" s="849" t="s">
        <v>7208</v>
      </c>
      <c r="E411" s="848" t="s">
        <v>11161</v>
      </c>
      <c r="F411" s="848" t="s">
        <v>10945</v>
      </c>
      <c r="G411" s="850" t="s">
        <v>11740</v>
      </c>
      <c r="H411" s="849" t="s">
        <v>10716</v>
      </c>
      <c r="I411" s="849"/>
      <c r="J411" s="851">
        <v>8546.66</v>
      </c>
      <c r="K411" s="848" t="s">
        <v>11739</v>
      </c>
    </row>
    <row r="412" spans="2:11">
      <c r="B412" s="848">
        <v>409</v>
      </c>
      <c r="C412" s="848" t="s">
        <v>712</v>
      </c>
      <c r="D412" s="849" t="s">
        <v>7208</v>
      </c>
      <c r="E412" s="848" t="s">
        <v>11161</v>
      </c>
      <c r="F412" s="848" t="s">
        <v>10947</v>
      </c>
      <c r="G412" s="850" t="s">
        <v>11741</v>
      </c>
      <c r="H412" s="849" t="s">
        <v>10716</v>
      </c>
      <c r="I412" s="849"/>
      <c r="J412" s="851">
        <v>10306.27</v>
      </c>
      <c r="K412" s="848" t="s">
        <v>11742</v>
      </c>
    </row>
    <row r="413" spans="2:11">
      <c r="B413" s="848">
        <v>410</v>
      </c>
      <c r="C413" s="848" t="s">
        <v>712</v>
      </c>
      <c r="D413" s="849" t="s">
        <v>7208</v>
      </c>
      <c r="E413" s="848" t="s">
        <v>11161</v>
      </c>
      <c r="F413" s="848" t="s">
        <v>11743</v>
      </c>
      <c r="G413" s="850" t="s">
        <v>11744</v>
      </c>
      <c r="H413" s="849" t="s">
        <v>10716</v>
      </c>
      <c r="I413" s="849"/>
      <c r="J413" s="851">
        <v>15717.97</v>
      </c>
      <c r="K413" s="848" t="s">
        <v>11742</v>
      </c>
    </row>
    <row r="414" spans="2:11">
      <c r="B414" s="848">
        <v>411</v>
      </c>
      <c r="C414" s="848" t="s">
        <v>712</v>
      </c>
      <c r="D414" s="849" t="s">
        <v>7208</v>
      </c>
      <c r="E414" s="848" t="s">
        <v>11161</v>
      </c>
      <c r="F414" s="848" t="s">
        <v>11157</v>
      </c>
      <c r="G414" s="850" t="s">
        <v>11745</v>
      </c>
      <c r="H414" s="849" t="s">
        <v>10716</v>
      </c>
      <c r="I414" s="849"/>
      <c r="J414" s="851">
        <v>30667.439999999999</v>
      </c>
      <c r="K414" s="848" t="s">
        <v>11746</v>
      </c>
    </row>
    <row r="415" spans="2:11">
      <c r="B415" s="848">
        <v>412</v>
      </c>
      <c r="C415" s="848" t="s">
        <v>712</v>
      </c>
      <c r="D415" s="849" t="s">
        <v>7208</v>
      </c>
      <c r="E415" s="848" t="s">
        <v>11161</v>
      </c>
      <c r="F415" s="848" t="s">
        <v>11747</v>
      </c>
      <c r="G415" s="850" t="s">
        <v>11748</v>
      </c>
      <c r="H415" s="849" t="s">
        <v>10716</v>
      </c>
      <c r="I415" s="849"/>
      <c r="J415" s="851">
        <v>46770.53</v>
      </c>
      <c r="K415" s="848" t="s">
        <v>11746</v>
      </c>
    </row>
    <row r="416" spans="2:11">
      <c r="B416" s="848">
        <v>413</v>
      </c>
      <c r="C416" s="848" t="s">
        <v>712</v>
      </c>
      <c r="D416" s="849" t="s">
        <v>7208</v>
      </c>
      <c r="E416" s="848" t="s">
        <v>11161</v>
      </c>
      <c r="F416" s="848" t="s">
        <v>11149</v>
      </c>
      <c r="G416" s="850" t="s">
        <v>11749</v>
      </c>
      <c r="H416" s="849" t="s">
        <v>10716</v>
      </c>
      <c r="I416" s="849"/>
      <c r="J416" s="851">
        <v>6133.84</v>
      </c>
      <c r="K416" s="848" t="s">
        <v>11750</v>
      </c>
    </row>
    <row r="417" spans="2:11">
      <c r="B417" s="848">
        <v>414</v>
      </c>
      <c r="C417" s="848" t="s">
        <v>712</v>
      </c>
      <c r="D417" s="849" t="s">
        <v>7208</v>
      </c>
      <c r="E417" s="848" t="s">
        <v>11161</v>
      </c>
      <c r="F417" s="848" t="s">
        <v>11266</v>
      </c>
      <c r="G417" s="850" t="s">
        <v>11751</v>
      </c>
      <c r="H417" s="849" t="s">
        <v>10716</v>
      </c>
      <c r="I417" s="849"/>
      <c r="J417" s="851">
        <v>4021.96</v>
      </c>
      <c r="K417" s="848" t="s">
        <v>11750</v>
      </c>
    </row>
    <row r="418" spans="2:11">
      <c r="B418" s="848">
        <v>415</v>
      </c>
      <c r="C418" s="848" t="s">
        <v>712</v>
      </c>
      <c r="D418" s="849" t="s">
        <v>7208</v>
      </c>
      <c r="E418" s="848" t="s">
        <v>11752</v>
      </c>
      <c r="F418" s="848" t="s">
        <v>11753</v>
      </c>
      <c r="G418" s="850" t="s">
        <v>11754</v>
      </c>
      <c r="H418" s="849" t="s">
        <v>10716</v>
      </c>
      <c r="I418" s="849"/>
      <c r="J418" s="851">
        <v>121.87</v>
      </c>
      <c r="K418" s="848" t="s">
        <v>6559</v>
      </c>
    </row>
    <row r="419" spans="2:11">
      <c r="B419" s="848">
        <v>416</v>
      </c>
      <c r="C419" s="848" t="s">
        <v>712</v>
      </c>
      <c r="D419" s="849" t="s">
        <v>7208</v>
      </c>
      <c r="E419" s="848" t="s">
        <v>11752</v>
      </c>
      <c r="F419" s="848" t="s">
        <v>11755</v>
      </c>
      <c r="G419" s="850" t="s">
        <v>11756</v>
      </c>
      <c r="H419" s="849" t="s">
        <v>10716</v>
      </c>
      <c r="I419" s="849"/>
      <c r="J419" s="851">
        <v>29.18</v>
      </c>
      <c r="K419" s="848" t="s">
        <v>6560</v>
      </c>
    </row>
    <row r="420" spans="2:11">
      <c r="B420" s="848">
        <v>417</v>
      </c>
      <c r="C420" s="848" t="s">
        <v>7025</v>
      </c>
      <c r="D420" s="849" t="s">
        <v>11757</v>
      </c>
      <c r="E420" s="848" t="s">
        <v>8582</v>
      </c>
      <c r="F420" s="848" t="s">
        <v>10938</v>
      </c>
      <c r="G420" s="850" t="s">
        <v>11758</v>
      </c>
      <c r="H420" s="849" t="s">
        <v>10716</v>
      </c>
      <c r="I420" s="849"/>
      <c r="J420" s="851">
        <v>4572.3599999999997</v>
      </c>
      <c r="K420" s="848" t="s">
        <v>11759</v>
      </c>
    </row>
    <row r="421" spans="2:11">
      <c r="B421" s="848">
        <v>418</v>
      </c>
      <c r="C421" s="848" t="s">
        <v>7025</v>
      </c>
      <c r="D421" s="849" t="s">
        <v>11757</v>
      </c>
      <c r="E421" s="848" t="s">
        <v>8582</v>
      </c>
      <c r="F421" s="848" t="s">
        <v>11760</v>
      </c>
      <c r="G421" s="850" t="s">
        <v>11761</v>
      </c>
      <c r="H421" s="849" t="s">
        <v>10716</v>
      </c>
      <c r="I421" s="849"/>
      <c r="J421" s="851">
        <v>4494.2</v>
      </c>
      <c r="K421" s="848" t="s">
        <v>11187</v>
      </c>
    </row>
    <row r="422" spans="2:11">
      <c r="B422" s="848">
        <v>419</v>
      </c>
      <c r="C422" s="848" t="s">
        <v>7025</v>
      </c>
      <c r="D422" s="849" t="s">
        <v>11757</v>
      </c>
      <c r="E422" s="848" t="s">
        <v>8582</v>
      </c>
      <c r="F422" s="848" t="s">
        <v>11762</v>
      </c>
      <c r="G422" s="850" t="s">
        <v>11763</v>
      </c>
      <c r="H422" s="849" t="s">
        <v>10716</v>
      </c>
      <c r="I422" s="849"/>
      <c r="J422" s="851">
        <v>4416.04</v>
      </c>
      <c r="K422" s="848" t="s">
        <v>11764</v>
      </c>
    </row>
    <row r="423" spans="2:11">
      <c r="B423" s="848">
        <v>420</v>
      </c>
      <c r="C423" s="848" t="s">
        <v>7025</v>
      </c>
      <c r="D423" s="849" t="s">
        <v>11757</v>
      </c>
      <c r="E423" s="848" t="s">
        <v>8582</v>
      </c>
      <c r="F423" s="848" t="s">
        <v>10940</v>
      </c>
      <c r="G423" s="850" t="s">
        <v>11765</v>
      </c>
      <c r="H423" s="849" t="s">
        <v>10716</v>
      </c>
      <c r="I423" s="849"/>
      <c r="J423" s="851">
        <v>4572.3599999999997</v>
      </c>
      <c r="K423" s="848" t="s">
        <v>11195</v>
      </c>
    </row>
    <row r="424" spans="2:11">
      <c r="B424" s="848">
        <v>421</v>
      </c>
      <c r="C424" s="848" t="s">
        <v>7025</v>
      </c>
      <c r="D424" s="849" t="s">
        <v>11757</v>
      </c>
      <c r="E424" s="848" t="s">
        <v>8582</v>
      </c>
      <c r="F424" s="848" t="s">
        <v>11766</v>
      </c>
      <c r="G424" s="850" t="s">
        <v>11767</v>
      </c>
      <c r="H424" s="849" t="s">
        <v>10716</v>
      </c>
      <c r="I424" s="849"/>
      <c r="J424" s="851">
        <v>4298.8</v>
      </c>
      <c r="K424" s="848" t="s">
        <v>11768</v>
      </c>
    </row>
    <row r="425" spans="2:11">
      <c r="B425" s="848">
        <v>422</v>
      </c>
      <c r="C425" s="848" t="s">
        <v>7025</v>
      </c>
      <c r="D425" s="849" t="s">
        <v>11757</v>
      </c>
      <c r="E425" s="848" t="s">
        <v>8582</v>
      </c>
      <c r="F425" s="848" t="s">
        <v>10942</v>
      </c>
      <c r="G425" s="850" t="s">
        <v>11769</v>
      </c>
      <c r="H425" s="849" t="s">
        <v>10716</v>
      </c>
      <c r="I425" s="849"/>
      <c r="J425" s="851">
        <v>4455.12</v>
      </c>
      <c r="K425" s="848" t="s">
        <v>11198</v>
      </c>
    </row>
    <row r="426" spans="2:11">
      <c r="B426" s="848">
        <v>423</v>
      </c>
      <c r="C426" s="848" t="s">
        <v>7025</v>
      </c>
      <c r="D426" s="849" t="s">
        <v>11757</v>
      </c>
      <c r="E426" s="848" t="s">
        <v>8582</v>
      </c>
      <c r="F426" s="848" t="s">
        <v>10944</v>
      </c>
      <c r="G426" s="850" t="s">
        <v>11770</v>
      </c>
      <c r="H426" s="849" t="s">
        <v>10716</v>
      </c>
      <c r="I426" s="849"/>
      <c r="J426" s="851">
        <v>3360.88</v>
      </c>
      <c r="K426" s="848" t="s">
        <v>11771</v>
      </c>
    </row>
    <row r="427" spans="2:11">
      <c r="B427" s="848">
        <v>424</v>
      </c>
      <c r="C427" s="848" t="s">
        <v>7025</v>
      </c>
      <c r="D427" s="849" t="s">
        <v>11757</v>
      </c>
      <c r="E427" s="848" t="s">
        <v>8582</v>
      </c>
      <c r="F427" s="848" t="s">
        <v>11772</v>
      </c>
      <c r="G427" s="850" t="s">
        <v>11773</v>
      </c>
      <c r="H427" s="849" t="s">
        <v>10716</v>
      </c>
      <c r="I427" s="849"/>
      <c r="J427" s="851">
        <v>2774.68</v>
      </c>
      <c r="K427" s="848" t="s">
        <v>11201</v>
      </c>
    </row>
    <row r="428" spans="2:11">
      <c r="B428" s="848">
        <v>425</v>
      </c>
      <c r="C428" s="848" t="s">
        <v>540</v>
      </c>
      <c r="D428" s="849" t="s">
        <v>11774</v>
      </c>
      <c r="E428" s="848" t="s">
        <v>3393</v>
      </c>
      <c r="F428" s="848" t="s">
        <v>11775</v>
      </c>
      <c r="G428" s="850" t="s">
        <v>11776</v>
      </c>
      <c r="H428" s="849" t="s">
        <v>10716</v>
      </c>
      <c r="I428" s="849"/>
      <c r="J428" s="851">
        <v>383.37</v>
      </c>
      <c r="K428" s="848" t="s">
        <v>11777</v>
      </c>
    </row>
    <row r="429" spans="2:11">
      <c r="B429" s="848">
        <v>426</v>
      </c>
      <c r="C429" s="848" t="s">
        <v>540</v>
      </c>
      <c r="D429" s="849" t="s">
        <v>11774</v>
      </c>
      <c r="E429" s="848" t="s">
        <v>3393</v>
      </c>
      <c r="F429" s="848" t="s">
        <v>11778</v>
      </c>
      <c r="G429" s="850" t="s">
        <v>11779</v>
      </c>
      <c r="H429" s="849" t="s">
        <v>10716</v>
      </c>
      <c r="I429" s="849"/>
      <c r="J429" s="851">
        <v>1150.0999999999999</v>
      </c>
      <c r="K429" s="848" t="s">
        <v>11780</v>
      </c>
    </row>
    <row r="430" spans="2:11" ht="25">
      <c r="B430" s="848">
        <v>427</v>
      </c>
      <c r="C430" s="848" t="s">
        <v>11781</v>
      </c>
      <c r="D430" s="849" t="s">
        <v>11782</v>
      </c>
      <c r="E430" s="848" t="s">
        <v>3393</v>
      </c>
      <c r="F430" s="848" t="s">
        <v>10948</v>
      </c>
      <c r="G430" s="850" t="s">
        <v>11783</v>
      </c>
      <c r="H430" s="849" t="s">
        <v>10716</v>
      </c>
      <c r="I430" s="849"/>
      <c r="J430" s="851">
        <v>95.08</v>
      </c>
      <c r="K430" s="848" t="s">
        <v>6638</v>
      </c>
    </row>
    <row r="431" spans="2:11" ht="25">
      <c r="B431" s="848">
        <v>428</v>
      </c>
      <c r="C431" s="848" t="s">
        <v>11781</v>
      </c>
      <c r="D431" s="849" t="s">
        <v>11782</v>
      </c>
      <c r="E431" s="848" t="s">
        <v>3393</v>
      </c>
      <c r="F431" s="848" t="s">
        <v>11784</v>
      </c>
      <c r="G431" s="850" t="s">
        <v>11785</v>
      </c>
      <c r="H431" s="849" t="s">
        <v>10716</v>
      </c>
      <c r="I431" s="849"/>
      <c r="J431" s="851">
        <v>7.88</v>
      </c>
      <c r="K431" s="848" t="s">
        <v>11786</v>
      </c>
    </row>
    <row r="432" spans="2:11" ht="25">
      <c r="B432" s="848">
        <v>429</v>
      </c>
      <c r="C432" s="848" t="s">
        <v>11781</v>
      </c>
      <c r="D432" s="849" t="s">
        <v>11782</v>
      </c>
      <c r="E432" s="848" t="s">
        <v>3393</v>
      </c>
      <c r="F432" s="848" t="s">
        <v>10946</v>
      </c>
      <c r="G432" s="850" t="s">
        <v>11787</v>
      </c>
      <c r="H432" s="849" t="s">
        <v>10716</v>
      </c>
      <c r="I432" s="849"/>
      <c r="J432" s="851">
        <v>31.52</v>
      </c>
      <c r="K432" s="848" t="s">
        <v>11788</v>
      </c>
    </row>
    <row r="433" spans="2:11" ht="25">
      <c r="B433" s="848">
        <v>430</v>
      </c>
      <c r="C433" s="848" t="s">
        <v>11781</v>
      </c>
      <c r="D433" s="849" t="s">
        <v>11782</v>
      </c>
      <c r="E433" s="848" t="s">
        <v>3393</v>
      </c>
      <c r="F433" s="848" t="s">
        <v>11789</v>
      </c>
      <c r="G433" s="850" t="s">
        <v>11790</v>
      </c>
      <c r="H433" s="849" t="s">
        <v>10716</v>
      </c>
      <c r="I433" s="849"/>
      <c r="J433" s="851">
        <v>70.92</v>
      </c>
      <c r="K433" s="848" t="s">
        <v>11791</v>
      </c>
    </row>
    <row r="434" spans="2:11" ht="25">
      <c r="B434" s="848">
        <v>431</v>
      </c>
      <c r="C434" s="848" t="s">
        <v>11792</v>
      </c>
      <c r="D434" s="849" t="s">
        <v>7158</v>
      </c>
      <c r="E434" s="848" t="s">
        <v>11793</v>
      </c>
      <c r="F434" s="848" t="s">
        <v>11794</v>
      </c>
      <c r="G434" s="850" t="s">
        <v>11795</v>
      </c>
      <c r="H434" s="849" t="s">
        <v>10716</v>
      </c>
      <c r="I434" s="849"/>
      <c r="J434" s="851">
        <v>73.897059999999996</v>
      </c>
      <c r="K434" s="848" t="s">
        <v>6302</v>
      </c>
    </row>
    <row r="435" spans="2:11" ht="25">
      <c r="B435" s="848">
        <v>432</v>
      </c>
      <c r="C435" s="848" t="s">
        <v>11796</v>
      </c>
      <c r="D435" s="849" t="s">
        <v>408</v>
      </c>
      <c r="E435" s="848" t="s">
        <v>9468</v>
      </c>
      <c r="F435" s="848" t="s">
        <v>11056</v>
      </c>
      <c r="G435" s="850" t="s">
        <v>11797</v>
      </c>
      <c r="H435" s="849" t="s">
        <v>10716</v>
      </c>
      <c r="I435" s="849"/>
      <c r="J435" s="851">
        <v>613.38</v>
      </c>
      <c r="K435" s="848" t="s">
        <v>11798</v>
      </c>
    </row>
    <row r="436" spans="2:11" ht="25">
      <c r="B436" s="848">
        <v>433</v>
      </c>
      <c r="C436" s="848" t="s">
        <v>11796</v>
      </c>
      <c r="D436" s="849" t="s">
        <v>408</v>
      </c>
      <c r="E436" s="848" t="s">
        <v>9468</v>
      </c>
      <c r="F436" s="848" t="s">
        <v>11058</v>
      </c>
      <c r="G436" s="850" t="s">
        <v>11799</v>
      </c>
      <c r="H436" s="849" t="s">
        <v>10716</v>
      </c>
      <c r="I436" s="849"/>
      <c r="J436" s="851">
        <v>613.38</v>
      </c>
      <c r="K436" s="848" t="s">
        <v>11800</v>
      </c>
    </row>
    <row r="437" spans="2:11" ht="25">
      <c r="B437" s="848">
        <v>434</v>
      </c>
      <c r="C437" s="848" t="s">
        <v>11796</v>
      </c>
      <c r="D437" s="849" t="s">
        <v>408</v>
      </c>
      <c r="E437" s="848" t="s">
        <v>9468</v>
      </c>
      <c r="F437" s="848" t="s">
        <v>11061</v>
      </c>
      <c r="G437" s="850" t="s">
        <v>11801</v>
      </c>
      <c r="H437" s="849" t="s">
        <v>10716</v>
      </c>
      <c r="I437" s="849"/>
      <c r="J437" s="851">
        <v>613.38</v>
      </c>
      <c r="K437" s="848" t="s">
        <v>11802</v>
      </c>
    </row>
    <row r="438" spans="2:11" ht="25">
      <c r="B438" s="848">
        <v>435</v>
      </c>
      <c r="C438" s="848" t="s">
        <v>11796</v>
      </c>
      <c r="D438" s="849" t="s">
        <v>408</v>
      </c>
      <c r="E438" s="848" t="s">
        <v>9468</v>
      </c>
      <c r="F438" s="848" t="s">
        <v>11803</v>
      </c>
      <c r="G438" s="850" t="s">
        <v>11804</v>
      </c>
      <c r="H438" s="849" t="s">
        <v>10716</v>
      </c>
      <c r="I438" s="849"/>
      <c r="J438" s="851">
        <v>613.38</v>
      </c>
      <c r="K438" s="848" t="s">
        <v>11805</v>
      </c>
    </row>
    <row r="439" spans="2:11" ht="25">
      <c r="B439" s="848">
        <v>436</v>
      </c>
      <c r="C439" s="848" t="s">
        <v>11796</v>
      </c>
      <c r="D439" s="849" t="s">
        <v>408</v>
      </c>
      <c r="E439" s="848" t="s">
        <v>9468</v>
      </c>
      <c r="F439" s="848" t="s">
        <v>11806</v>
      </c>
      <c r="G439" s="850" t="s">
        <v>11048</v>
      </c>
      <c r="H439" s="849" t="s">
        <v>10716</v>
      </c>
      <c r="I439" s="849"/>
      <c r="J439" s="851">
        <v>613.38</v>
      </c>
      <c r="K439" s="848" t="s">
        <v>11807</v>
      </c>
    </row>
    <row r="440" spans="2:11" ht="25">
      <c r="B440" s="848">
        <v>437</v>
      </c>
      <c r="C440" s="848" t="s">
        <v>11796</v>
      </c>
      <c r="D440" s="849" t="s">
        <v>408</v>
      </c>
      <c r="E440" s="848" t="s">
        <v>9468</v>
      </c>
      <c r="F440" s="848" t="s">
        <v>11808</v>
      </c>
      <c r="G440" s="850" t="s">
        <v>11046</v>
      </c>
      <c r="H440" s="849" t="s">
        <v>10716</v>
      </c>
      <c r="I440" s="849"/>
      <c r="J440" s="851">
        <v>613.38</v>
      </c>
      <c r="K440" s="848" t="s">
        <v>11809</v>
      </c>
    </row>
    <row r="441" spans="2:11" ht="25">
      <c r="B441" s="848">
        <v>438</v>
      </c>
      <c r="C441" s="848" t="s">
        <v>11796</v>
      </c>
      <c r="D441" s="849" t="s">
        <v>408</v>
      </c>
      <c r="E441" s="848" t="s">
        <v>9468</v>
      </c>
      <c r="F441" s="848" t="s">
        <v>11810</v>
      </c>
      <c r="G441" s="850" t="s">
        <v>11811</v>
      </c>
      <c r="H441" s="849" t="s">
        <v>10716</v>
      </c>
      <c r="I441" s="849"/>
      <c r="J441" s="851">
        <v>613.38</v>
      </c>
      <c r="K441" s="848" t="s">
        <v>11812</v>
      </c>
    </row>
    <row r="442" spans="2:11" ht="25">
      <c r="B442" s="848">
        <v>439</v>
      </c>
      <c r="C442" s="848" t="s">
        <v>571</v>
      </c>
      <c r="D442" s="849" t="s">
        <v>11813</v>
      </c>
      <c r="E442" s="848" t="s">
        <v>3758</v>
      </c>
      <c r="F442" s="848" t="s">
        <v>11814</v>
      </c>
      <c r="G442" s="850" t="s">
        <v>11815</v>
      </c>
      <c r="H442" s="849" t="s">
        <v>10716</v>
      </c>
      <c r="I442" s="849"/>
      <c r="J442" s="851">
        <v>5750.48</v>
      </c>
      <c r="K442" s="848" t="s">
        <v>10962</v>
      </c>
    </row>
    <row r="443" spans="2:11">
      <c r="B443" s="848">
        <v>440</v>
      </c>
      <c r="C443" s="848" t="s">
        <v>1410</v>
      </c>
      <c r="D443" s="849" t="s">
        <v>452</v>
      </c>
      <c r="E443" s="848" t="s">
        <v>11816</v>
      </c>
      <c r="F443" s="848" t="s">
        <v>11817</v>
      </c>
      <c r="G443" s="850" t="s">
        <v>11818</v>
      </c>
      <c r="H443" s="849" t="s">
        <v>10716</v>
      </c>
      <c r="I443" s="849"/>
      <c r="J443" s="851">
        <v>352.69</v>
      </c>
      <c r="K443" s="848" t="s">
        <v>11819</v>
      </c>
    </row>
    <row r="444" spans="2:11">
      <c r="B444" s="848">
        <v>441</v>
      </c>
      <c r="C444" s="848" t="s">
        <v>11820</v>
      </c>
      <c r="D444" s="849" t="s">
        <v>578</v>
      </c>
      <c r="E444" s="848" t="s">
        <v>3393</v>
      </c>
      <c r="F444" s="848" t="s">
        <v>11821</v>
      </c>
      <c r="G444" s="850" t="s">
        <v>11822</v>
      </c>
      <c r="H444" s="849" t="s">
        <v>10716</v>
      </c>
      <c r="I444" s="849"/>
      <c r="J444" s="851">
        <v>1533.46</v>
      </c>
      <c r="K444" s="848" t="s">
        <v>5825</v>
      </c>
    </row>
    <row r="445" spans="2:11">
      <c r="B445" s="848">
        <v>442</v>
      </c>
      <c r="C445" s="848" t="s">
        <v>11820</v>
      </c>
      <c r="D445" s="849" t="s">
        <v>578</v>
      </c>
      <c r="E445" s="848" t="s">
        <v>3393</v>
      </c>
      <c r="F445" s="848" t="s">
        <v>11823</v>
      </c>
      <c r="G445" s="850" t="s">
        <v>11824</v>
      </c>
      <c r="H445" s="849" t="s">
        <v>10716</v>
      </c>
      <c r="I445" s="849"/>
      <c r="J445" s="851">
        <v>4217.0200000000004</v>
      </c>
      <c r="K445" s="848" t="s">
        <v>5826</v>
      </c>
    </row>
    <row r="446" spans="2:11" ht="25">
      <c r="B446" s="848">
        <v>443</v>
      </c>
      <c r="C446" s="848" t="s">
        <v>1404</v>
      </c>
      <c r="D446" s="849" t="s">
        <v>11825</v>
      </c>
      <c r="E446" s="848" t="s">
        <v>9437</v>
      </c>
      <c r="F446" s="848" t="s">
        <v>10950</v>
      </c>
      <c r="G446" s="850" t="s">
        <v>11775</v>
      </c>
      <c r="H446" s="849" t="s">
        <v>10716</v>
      </c>
      <c r="I446" s="849"/>
      <c r="J446" s="851">
        <v>118.85</v>
      </c>
      <c r="K446" s="848" t="s">
        <v>11826</v>
      </c>
    </row>
    <row r="447" spans="2:11" ht="25">
      <c r="B447" s="848">
        <v>444</v>
      </c>
      <c r="C447" s="848" t="s">
        <v>1404</v>
      </c>
      <c r="D447" s="849" t="s">
        <v>11825</v>
      </c>
      <c r="E447" s="848" t="s">
        <v>9437</v>
      </c>
      <c r="F447" s="848" t="s">
        <v>11693</v>
      </c>
      <c r="G447" s="850" t="s">
        <v>11778</v>
      </c>
      <c r="H447" s="849" t="s">
        <v>10716</v>
      </c>
      <c r="I447" s="849"/>
      <c r="J447" s="851">
        <v>190.16</v>
      </c>
      <c r="K447" s="848" t="s">
        <v>6786</v>
      </c>
    </row>
    <row r="448" spans="2:11" ht="25">
      <c r="B448" s="848">
        <v>445</v>
      </c>
      <c r="C448" s="848" t="s">
        <v>11827</v>
      </c>
      <c r="D448" s="849" t="s">
        <v>39</v>
      </c>
      <c r="E448" s="848" t="s">
        <v>9469</v>
      </c>
      <c r="F448" s="848" t="s">
        <v>11828</v>
      </c>
      <c r="G448" s="850" t="s">
        <v>11829</v>
      </c>
      <c r="H448" s="849" t="s">
        <v>10716</v>
      </c>
      <c r="I448" s="849"/>
      <c r="J448" s="851">
        <v>24535.360000000001</v>
      </c>
      <c r="K448" s="848" t="s">
        <v>11457</v>
      </c>
    </row>
    <row r="449" spans="2:11" ht="25">
      <c r="B449" s="848">
        <v>446</v>
      </c>
      <c r="C449" s="848" t="s">
        <v>11827</v>
      </c>
      <c r="D449" s="849" t="s">
        <v>39</v>
      </c>
      <c r="E449" s="848" t="s">
        <v>9469</v>
      </c>
      <c r="F449" s="848" t="s">
        <v>11830</v>
      </c>
      <c r="G449" s="850" t="s">
        <v>11831</v>
      </c>
      <c r="H449" s="849" t="s">
        <v>10716</v>
      </c>
      <c r="I449" s="849"/>
      <c r="J449" s="851">
        <v>1485.04</v>
      </c>
      <c r="K449" s="848" t="s">
        <v>11475</v>
      </c>
    </row>
    <row r="450" spans="2:11" ht="25">
      <c r="B450" s="848">
        <v>447</v>
      </c>
      <c r="C450" s="848" t="s">
        <v>11827</v>
      </c>
      <c r="D450" s="849" t="s">
        <v>39</v>
      </c>
      <c r="E450" s="848" t="s">
        <v>9469</v>
      </c>
      <c r="F450" s="848" t="s">
        <v>11832</v>
      </c>
      <c r="G450" s="850" t="s">
        <v>11833</v>
      </c>
      <c r="H450" s="849" t="s">
        <v>10716</v>
      </c>
      <c r="I450" s="849"/>
      <c r="J450" s="851">
        <v>1445.96</v>
      </c>
      <c r="K450" s="848" t="s">
        <v>11481</v>
      </c>
    </row>
    <row r="451" spans="2:11" ht="25">
      <c r="B451" s="848">
        <v>448</v>
      </c>
      <c r="C451" s="848" t="s">
        <v>11827</v>
      </c>
      <c r="D451" s="849" t="s">
        <v>39</v>
      </c>
      <c r="E451" s="848" t="s">
        <v>9469</v>
      </c>
      <c r="F451" s="848" t="s">
        <v>11696</v>
      </c>
      <c r="G451" s="850" t="s">
        <v>11834</v>
      </c>
      <c r="H451" s="849" t="s">
        <v>10716</v>
      </c>
      <c r="I451" s="849"/>
      <c r="J451" s="851">
        <v>4142.4799999999996</v>
      </c>
      <c r="K451" s="848" t="s">
        <v>11484</v>
      </c>
    </row>
    <row r="452" spans="2:11" ht="25">
      <c r="B452" s="848">
        <v>449</v>
      </c>
      <c r="C452" s="848" t="s">
        <v>11827</v>
      </c>
      <c r="D452" s="849" t="s">
        <v>39</v>
      </c>
      <c r="E452" s="848" t="s">
        <v>9469</v>
      </c>
      <c r="F452" s="848" t="s">
        <v>10953</v>
      </c>
      <c r="G452" s="850" t="s">
        <v>11835</v>
      </c>
      <c r="H452" s="849" t="s">
        <v>10716</v>
      </c>
      <c r="I452" s="849"/>
      <c r="J452" s="851">
        <v>497.77</v>
      </c>
      <c r="K452" s="848" t="s">
        <v>11836</v>
      </c>
    </row>
    <row r="453" spans="2:11" ht="25">
      <c r="B453" s="848">
        <v>450</v>
      </c>
      <c r="C453" s="848" t="s">
        <v>11827</v>
      </c>
      <c r="D453" s="849" t="s">
        <v>39</v>
      </c>
      <c r="E453" s="848" t="s">
        <v>9469</v>
      </c>
      <c r="F453" s="848" t="s">
        <v>11837</v>
      </c>
      <c r="G453" s="850" t="s">
        <v>11838</v>
      </c>
      <c r="H453" s="849" t="s">
        <v>10716</v>
      </c>
      <c r="I453" s="849"/>
      <c r="J453" s="851">
        <v>106.67</v>
      </c>
      <c r="K453" s="848" t="s">
        <v>11839</v>
      </c>
    </row>
    <row r="454" spans="2:11" ht="25">
      <c r="B454" s="848">
        <v>451</v>
      </c>
      <c r="C454" s="848" t="s">
        <v>11827</v>
      </c>
      <c r="D454" s="849" t="s">
        <v>39</v>
      </c>
      <c r="E454" s="848" t="s">
        <v>9469</v>
      </c>
      <c r="F454" s="848" t="s">
        <v>11840</v>
      </c>
      <c r="G454" s="850" t="s">
        <v>11841</v>
      </c>
      <c r="H454" s="849" t="s">
        <v>10716</v>
      </c>
      <c r="I454" s="849"/>
      <c r="J454" s="851">
        <v>462.22</v>
      </c>
      <c r="K454" s="848" t="s">
        <v>11842</v>
      </c>
    </row>
    <row r="455" spans="2:11" ht="25">
      <c r="B455" s="848">
        <v>452</v>
      </c>
      <c r="C455" s="848" t="s">
        <v>11827</v>
      </c>
      <c r="D455" s="849" t="s">
        <v>39</v>
      </c>
      <c r="E455" s="848" t="s">
        <v>9469</v>
      </c>
      <c r="F455" s="848" t="s">
        <v>11843</v>
      </c>
      <c r="G455" s="850" t="s">
        <v>11844</v>
      </c>
      <c r="H455" s="849" t="s">
        <v>10716</v>
      </c>
      <c r="I455" s="849"/>
      <c r="J455" s="851">
        <v>195.55</v>
      </c>
      <c r="K455" s="848" t="s">
        <v>11845</v>
      </c>
    </row>
    <row r="456" spans="2:11" ht="25">
      <c r="B456" s="848">
        <v>453</v>
      </c>
      <c r="C456" s="848" t="s">
        <v>11827</v>
      </c>
      <c r="D456" s="849" t="s">
        <v>39</v>
      </c>
      <c r="E456" s="848" t="s">
        <v>9469</v>
      </c>
      <c r="F456" s="848" t="s">
        <v>11846</v>
      </c>
      <c r="G456" s="850" t="s">
        <v>11847</v>
      </c>
      <c r="H456" s="849" t="s">
        <v>10716</v>
      </c>
      <c r="I456" s="849"/>
      <c r="J456" s="851">
        <v>1120</v>
      </c>
      <c r="K456" s="848" t="s">
        <v>11848</v>
      </c>
    </row>
    <row r="457" spans="2:11" ht="25">
      <c r="B457" s="848">
        <v>454</v>
      </c>
      <c r="C457" s="848" t="s">
        <v>11827</v>
      </c>
      <c r="D457" s="849" t="s">
        <v>39</v>
      </c>
      <c r="E457" s="848" t="s">
        <v>9469</v>
      </c>
      <c r="F457" s="848" t="s">
        <v>11683</v>
      </c>
      <c r="G457" s="850" t="s">
        <v>11849</v>
      </c>
      <c r="H457" s="849" t="s">
        <v>10716</v>
      </c>
      <c r="I457" s="849"/>
      <c r="J457" s="851">
        <v>3199.96</v>
      </c>
      <c r="K457" s="848" t="s">
        <v>11850</v>
      </c>
    </row>
    <row r="458" spans="2:11" ht="25">
      <c r="B458" s="848">
        <v>455</v>
      </c>
      <c r="C458" s="848" t="s">
        <v>11827</v>
      </c>
      <c r="D458" s="849" t="s">
        <v>39</v>
      </c>
      <c r="E458" s="848" t="s">
        <v>9469</v>
      </c>
      <c r="F458" s="848" t="s">
        <v>11851</v>
      </c>
      <c r="G458" s="850" t="s">
        <v>11852</v>
      </c>
      <c r="H458" s="849" t="s">
        <v>10716</v>
      </c>
      <c r="I458" s="849"/>
      <c r="J458" s="851">
        <v>284.44</v>
      </c>
      <c r="K458" s="848" t="s">
        <v>11853</v>
      </c>
    </row>
    <row r="459" spans="2:11">
      <c r="B459" s="848">
        <v>456</v>
      </c>
      <c r="C459" s="848" t="s">
        <v>619</v>
      </c>
      <c r="D459" s="849" t="s">
        <v>70</v>
      </c>
      <c r="E459" s="848" t="s">
        <v>3758</v>
      </c>
      <c r="F459" s="848" t="s">
        <v>11854</v>
      </c>
      <c r="G459" s="850" t="s">
        <v>11855</v>
      </c>
      <c r="H459" s="849" t="s">
        <v>10716</v>
      </c>
      <c r="I459" s="849"/>
      <c r="J459" s="851">
        <v>2300.19</v>
      </c>
      <c r="K459" s="848" t="s">
        <v>10785</v>
      </c>
    </row>
    <row r="460" spans="2:11">
      <c r="B460" s="848">
        <v>457</v>
      </c>
      <c r="C460" s="848" t="s">
        <v>571</v>
      </c>
      <c r="D460" s="849" t="s">
        <v>70</v>
      </c>
      <c r="E460" s="848" t="s">
        <v>3758</v>
      </c>
      <c r="F460" s="848" t="s">
        <v>11856</v>
      </c>
      <c r="G460" s="850" t="s">
        <v>11857</v>
      </c>
      <c r="H460" s="849" t="s">
        <v>10716</v>
      </c>
      <c r="I460" s="849"/>
      <c r="J460" s="851">
        <v>3833.65</v>
      </c>
      <c r="K460" s="848" t="s">
        <v>5818</v>
      </c>
    </row>
    <row r="461" spans="2:11" ht="25">
      <c r="B461" s="848">
        <v>458</v>
      </c>
      <c r="C461" s="848" t="s">
        <v>571</v>
      </c>
      <c r="D461" s="849" t="s">
        <v>7969</v>
      </c>
      <c r="E461" s="848" t="s">
        <v>3332</v>
      </c>
      <c r="F461" s="848" t="s">
        <v>11858</v>
      </c>
      <c r="G461" s="850" t="s">
        <v>11859</v>
      </c>
      <c r="H461" s="849" t="s">
        <v>10716</v>
      </c>
      <c r="I461" s="849"/>
      <c r="J461" s="851">
        <v>3066.92</v>
      </c>
      <c r="K461" s="848" t="s">
        <v>11860</v>
      </c>
    </row>
    <row r="462" spans="2:11" ht="25">
      <c r="B462" s="848">
        <v>459</v>
      </c>
      <c r="C462" s="848" t="s">
        <v>11861</v>
      </c>
      <c r="D462" s="849" t="s">
        <v>7969</v>
      </c>
      <c r="E462" s="848" t="s">
        <v>9493</v>
      </c>
      <c r="F462" s="848" t="s">
        <v>11862</v>
      </c>
      <c r="G462" s="850" t="s">
        <v>11467</v>
      </c>
      <c r="H462" s="849" t="s">
        <v>10716</v>
      </c>
      <c r="I462" s="849"/>
      <c r="J462" s="851">
        <v>6133.84</v>
      </c>
      <c r="K462" s="848" t="s">
        <v>11863</v>
      </c>
    </row>
    <row r="463" spans="2:11" ht="25">
      <c r="B463" s="848">
        <v>460</v>
      </c>
      <c r="C463" s="848" t="s">
        <v>11861</v>
      </c>
      <c r="D463" s="849" t="s">
        <v>7969</v>
      </c>
      <c r="E463" s="848" t="s">
        <v>9493</v>
      </c>
      <c r="F463" s="848" t="s">
        <v>11864</v>
      </c>
      <c r="G463" s="850" t="s">
        <v>11865</v>
      </c>
      <c r="H463" s="849" t="s">
        <v>10716</v>
      </c>
      <c r="I463" s="849"/>
      <c r="J463" s="851">
        <v>6900.57</v>
      </c>
      <c r="K463" s="848" t="s">
        <v>5864</v>
      </c>
    </row>
    <row r="464" spans="2:11">
      <c r="B464" s="848">
        <v>461</v>
      </c>
      <c r="C464" s="848" t="s">
        <v>11866</v>
      </c>
      <c r="D464" s="849" t="s">
        <v>5736</v>
      </c>
      <c r="E464" s="848" t="s">
        <v>11867</v>
      </c>
      <c r="F464" s="848" t="s">
        <v>11538</v>
      </c>
      <c r="G464" s="850" t="s">
        <v>11868</v>
      </c>
      <c r="H464" s="849" t="s">
        <v>10716</v>
      </c>
      <c r="I464" s="849"/>
      <c r="J464" s="851">
        <v>4</v>
      </c>
      <c r="K464" s="848" t="s">
        <v>6745</v>
      </c>
    </row>
    <row r="465" spans="2:11" ht="25">
      <c r="B465" s="848">
        <v>462</v>
      </c>
      <c r="C465" s="848" t="s">
        <v>11869</v>
      </c>
      <c r="D465" s="849" t="s">
        <v>11870</v>
      </c>
      <c r="E465" s="848" t="s">
        <v>11871</v>
      </c>
      <c r="F465" s="848" t="s">
        <v>11872</v>
      </c>
      <c r="G465" s="850" t="s">
        <v>11873</v>
      </c>
      <c r="H465" s="849" t="s">
        <v>10716</v>
      </c>
      <c r="I465" s="849"/>
      <c r="J465" s="851">
        <v>75.31</v>
      </c>
      <c r="K465" s="848" t="s">
        <v>5936</v>
      </c>
    </row>
    <row r="466" spans="2:11" ht="25">
      <c r="B466" s="848">
        <v>463</v>
      </c>
      <c r="C466" s="848" t="s">
        <v>11874</v>
      </c>
      <c r="D466" s="849" t="s">
        <v>5710</v>
      </c>
      <c r="E466" s="848" t="s">
        <v>11045</v>
      </c>
      <c r="F466" s="848" t="s">
        <v>11875</v>
      </c>
      <c r="G466" s="850" t="s">
        <v>11876</v>
      </c>
      <c r="H466" s="849" t="s">
        <v>10716</v>
      </c>
      <c r="I466" s="849"/>
      <c r="J466" s="851">
        <v>21.857120999999999</v>
      </c>
      <c r="K466" s="848" t="s">
        <v>6155</v>
      </c>
    </row>
    <row r="467" spans="2:11" ht="25">
      <c r="B467" s="848">
        <v>464</v>
      </c>
      <c r="C467" s="848" t="s">
        <v>11874</v>
      </c>
      <c r="D467" s="849" t="s">
        <v>5710</v>
      </c>
      <c r="E467" s="848" t="s">
        <v>11045</v>
      </c>
      <c r="F467" s="848" t="s">
        <v>11877</v>
      </c>
      <c r="G467" s="850" t="s">
        <v>11878</v>
      </c>
      <c r="H467" s="849" t="s">
        <v>10716</v>
      </c>
      <c r="I467" s="849"/>
      <c r="J467" s="851">
        <v>32.548837499999998</v>
      </c>
      <c r="K467" s="848" t="s">
        <v>6156</v>
      </c>
    </row>
    <row r="468" spans="2:11" ht="25">
      <c r="B468" s="848">
        <v>465</v>
      </c>
      <c r="C468" s="848" t="s">
        <v>11874</v>
      </c>
      <c r="D468" s="849" t="s">
        <v>5710</v>
      </c>
      <c r="E468" s="848" t="s">
        <v>11045</v>
      </c>
      <c r="F468" s="848" t="s">
        <v>11879</v>
      </c>
      <c r="G468" s="850" t="s">
        <v>11880</v>
      </c>
      <c r="H468" s="849" t="s">
        <v>10716</v>
      </c>
      <c r="I468" s="849"/>
      <c r="J468" s="851">
        <v>28.348987499999996</v>
      </c>
      <c r="K468" s="848" t="s">
        <v>6855</v>
      </c>
    </row>
    <row r="469" spans="2:11" ht="25">
      <c r="B469" s="848">
        <v>466</v>
      </c>
      <c r="C469" s="848" t="s">
        <v>11874</v>
      </c>
      <c r="D469" s="849" t="s">
        <v>5710</v>
      </c>
      <c r="E469" s="848" t="s">
        <v>11045</v>
      </c>
      <c r="F469" s="848" t="s">
        <v>11881</v>
      </c>
      <c r="G469" s="850" t="s">
        <v>10849</v>
      </c>
      <c r="H469" s="849" t="s">
        <v>10716</v>
      </c>
      <c r="I469" s="849"/>
      <c r="J469" s="851">
        <v>19.870109999999997</v>
      </c>
      <c r="K469" s="848" t="s">
        <v>6235</v>
      </c>
    </row>
    <row r="470" spans="2:11">
      <c r="B470" s="848">
        <v>467</v>
      </c>
      <c r="C470" s="848" t="s">
        <v>11882</v>
      </c>
      <c r="D470" s="849" t="s">
        <v>257</v>
      </c>
      <c r="E470" s="848" t="s">
        <v>11066</v>
      </c>
      <c r="F470" s="848" t="s">
        <v>11687</v>
      </c>
      <c r="G470" s="850" t="s">
        <v>11883</v>
      </c>
      <c r="H470" s="849" t="s">
        <v>10716</v>
      </c>
      <c r="I470" s="849"/>
      <c r="J470" s="851">
        <v>2353.23</v>
      </c>
      <c r="K470" s="848" t="s">
        <v>6442</v>
      </c>
    </row>
    <row r="471" spans="2:11">
      <c r="B471" s="848">
        <v>468</v>
      </c>
      <c r="C471" s="848" t="s">
        <v>11882</v>
      </c>
      <c r="D471" s="849" t="s">
        <v>257</v>
      </c>
      <c r="E471" s="848" t="s">
        <v>11066</v>
      </c>
      <c r="F471" s="848" t="s">
        <v>11884</v>
      </c>
      <c r="G471" s="850" t="s">
        <v>11885</v>
      </c>
      <c r="H471" s="849" t="s">
        <v>10716</v>
      </c>
      <c r="I471" s="849"/>
      <c r="J471" s="851">
        <v>2781.09</v>
      </c>
      <c r="K471" s="848" t="s">
        <v>6443</v>
      </c>
    </row>
    <row r="472" spans="2:11">
      <c r="B472" s="848">
        <v>469</v>
      </c>
      <c r="C472" s="848" t="s">
        <v>11882</v>
      </c>
      <c r="D472" s="849" t="s">
        <v>257</v>
      </c>
      <c r="E472" s="848" t="s">
        <v>3265</v>
      </c>
      <c r="F472" s="848" t="s">
        <v>11886</v>
      </c>
      <c r="G472" s="850" t="s">
        <v>11887</v>
      </c>
      <c r="H472" s="849" t="s">
        <v>10716</v>
      </c>
      <c r="I472" s="849"/>
      <c r="J472" s="851">
        <v>3660.58</v>
      </c>
      <c r="K472" s="848" t="s">
        <v>6441</v>
      </c>
    </row>
    <row r="473" spans="2:11">
      <c r="B473" s="848">
        <v>470</v>
      </c>
      <c r="C473" s="848" t="s">
        <v>1348</v>
      </c>
      <c r="D473" s="849" t="s">
        <v>7960</v>
      </c>
      <c r="E473" s="848" t="s">
        <v>3227</v>
      </c>
      <c r="F473" s="848" t="s">
        <v>11678</v>
      </c>
      <c r="G473" s="850" t="s">
        <v>11888</v>
      </c>
      <c r="H473" s="849" t="s">
        <v>10716</v>
      </c>
      <c r="I473" s="849"/>
      <c r="J473" s="851">
        <v>1045.8800000000001</v>
      </c>
      <c r="K473" s="848" t="s">
        <v>11889</v>
      </c>
    </row>
    <row r="474" spans="2:11">
      <c r="B474" s="848">
        <v>471</v>
      </c>
      <c r="C474" s="848" t="s">
        <v>1348</v>
      </c>
      <c r="D474" s="849" t="s">
        <v>7960</v>
      </c>
      <c r="E474" s="848" t="s">
        <v>3233</v>
      </c>
      <c r="F474" s="848" t="s">
        <v>11695</v>
      </c>
      <c r="G474" s="850" t="s">
        <v>11890</v>
      </c>
      <c r="H474" s="849" t="s">
        <v>10716</v>
      </c>
      <c r="I474" s="849"/>
      <c r="J474" s="851">
        <v>784.41</v>
      </c>
      <c r="K474" s="848" t="s">
        <v>11891</v>
      </c>
    </row>
    <row r="475" spans="2:11">
      <c r="B475" s="848">
        <v>472</v>
      </c>
      <c r="C475" s="848" t="s">
        <v>1348</v>
      </c>
      <c r="D475" s="849" t="s">
        <v>7960</v>
      </c>
      <c r="E475" s="848" t="s">
        <v>3233</v>
      </c>
      <c r="F475" s="848" t="s">
        <v>11892</v>
      </c>
      <c r="G475" s="850" t="s">
        <v>11893</v>
      </c>
      <c r="H475" s="849" t="s">
        <v>10716</v>
      </c>
      <c r="I475" s="849"/>
      <c r="J475" s="851">
        <v>95.08</v>
      </c>
      <c r="K475" s="848" t="s">
        <v>11894</v>
      </c>
    </row>
    <row r="476" spans="2:11">
      <c r="B476" s="848">
        <v>473</v>
      </c>
      <c r="C476" s="848" t="s">
        <v>1348</v>
      </c>
      <c r="D476" s="849" t="s">
        <v>7960</v>
      </c>
      <c r="E476" s="848" t="s">
        <v>11895</v>
      </c>
      <c r="F476" s="848" t="s">
        <v>11896</v>
      </c>
      <c r="G476" s="850" t="s">
        <v>11897</v>
      </c>
      <c r="H476" s="849" t="s">
        <v>10716</v>
      </c>
      <c r="I476" s="849"/>
      <c r="J476" s="851">
        <v>190.16</v>
      </c>
      <c r="K476" s="848" t="s">
        <v>6700</v>
      </c>
    </row>
    <row r="477" spans="2:11">
      <c r="B477" s="848">
        <v>474</v>
      </c>
      <c r="C477" s="848" t="s">
        <v>1348</v>
      </c>
      <c r="D477" s="849" t="s">
        <v>7960</v>
      </c>
      <c r="E477" s="848" t="s">
        <v>11895</v>
      </c>
      <c r="F477" s="848" t="s">
        <v>11898</v>
      </c>
      <c r="G477" s="850" t="s">
        <v>11899</v>
      </c>
      <c r="H477" s="849" t="s">
        <v>10716</v>
      </c>
      <c r="I477" s="849"/>
      <c r="J477" s="851">
        <v>237.7</v>
      </c>
      <c r="K477" s="848" t="s">
        <v>6701</v>
      </c>
    </row>
    <row r="478" spans="2:11">
      <c r="B478" s="848">
        <v>475</v>
      </c>
      <c r="C478" s="848" t="s">
        <v>1348</v>
      </c>
      <c r="D478" s="849" t="s">
        <v>7960</v>
      </c>
      <c r="E478" s="848" t="s">
        <v>11895</v>
      </c>
      <c r="F478" s="848" t="s">
        <v>11691</v>
      </c>
      <c r="G478" s="850" t="s">
        <v>11900</v>
      </c>
      <c r="H478" s="849" t="s">
        <v>10716</v>
      </c>
      <c r="I478" s="849"/>
      <c r="J478" s="851">
        <v>380.32</v>
      </c>
      <c r="K478" s="848" t="s">
        <v>6702</v>
      </c>
    </row>
    <row r="479" spans="2:11">
      <c r="B479" s="848">
        <v>476</v>
      </c>
      <c r="C479" s="848" t="s">
        <v>1348</v>
      </c>
      <c r="D479" s="849" t="s">
        <v>7960</v>
      </c>
      <c r="E479" s="848" t="s">
        <v>11895</v>
      </c>
      <c r="F479" s="848" t="s">
        <v>11901</v>
      </c>
      <c r="G479" s="850" t="s">
        <v>11902</v>
      </c>
      <c r="H479" s="849" t="s">
        <v>10716</v>
      </c>
      <c r="I479" s="849"/>
      <c r="J479" s="851">
        <v>237.7</v>
      </c>
      <c r="K479" s="848" t="s">
        <v>6703</v>
      </c>
    </row>
    <row r="480" spans="2:11">
      <c r="B480" s="848">
        <v>477</v>
      </c>
      <c r="C480" s="848" t="s">
        <v>7099</v>
      </c>
      <c r="D480" s="849" t="s">
        <v>440</v>
      </c>
      <c r="E480" s="848" t="s">
        <v>3242</v>
      </c>
      <c r="F480" s="848" t="s">
        <v>11903</v>
      </c>
      <c r="G480" s="850" t="s">
        <v>11103</v>
      </c>
      <c r="H480" s="849" t="s">
        <v>10716</v>
      </c>
      <c r="I480" s="849"/>
      <c r="J480" s="851">
        <v>306.69</v>
      </c>
      <c r="K480" s="848" t="s">
        <v>11904</v>
      </c>
    </row>
    <row r="481" spans="2:11">
      <c r="B481" s="848">
        <v>478</v>
      </c>
      <c r="C481" s="848" t="s">
        <v>7190</v>
      </c>
      <c r="D481" s="849" t="s">
        <v>7990</v>
      </c>
      <c r="E481" s="848" t="s">
        <v>3750</v>
      </c>
      <c r="F481" s="848" t="s">
        <v>11905</v>
      </c>
      <c r="G481" s="850" t="s">
        <v>11906</v>
      </c>
      <c r="H481" s="849" t="s">
        <v>10716</v>
      </c>
      <c r="I481" s="849"/>
      <c r="J481" s="851">
        <v>6.34</v>
      </c>
      <c r="K481" s="848" t="s">
        <v>6032</v>
      </c>
    </row>
    <row r="482" spans="2:11" ht="25">
      <c r="B482" s="848">
        <v>479</v>
      </c>
      <c r="C482" s="848" t="s">
        <v>11907</v>
      </c>
      <c r="D482" s="849" t="s">
        <v>11908</v>
      </c>
      <c r="E482" s="848" t="s">
        <v>9449</v>
      </c>
      <c r="F482" s="848" t="s">
        <v>11909</v>
      </c>
      <c r="G482" s="850" t="s">
        <v>11910</v>
      </c>
      <c r="H482" s="849" t="s">
        <v>10716</v>
      </c>
      <c r="I482" s="849"/>
      <c r="J482" s="851">
        <v>240</v>
      </c>
      <c r="K482" s="848" t="s">
        <v>6491</v>
      </c>
    </row>
    <row r="483" spans="2:11" ht="25">
      <c r="B483" s="848">
        <v>480</v>
      </c>
      <c r="C483" s="848" t="s">
        <v>11907</v>
      </c>
      <c r="D483" s="849" t="s">
        <v>11908</v>
      </c>
      <c r="E483" s="848" t="s">
        <v>9449</v>
      </c>
      <c r="F483" s="848" t="s">
        <v>11911</v>
      </c>
      <c r="G483" s="850" t="s">
        <v>11912</v>
      </c>
      <c r="H483" s="849" t="s">
        <v>10716</v>
      </c>
      <c r="I483" s="849"/>
      <c r="J483" s="851">
        <v>210</v>
      </c>
      <c r="K483" s="848" t="s">
        <v>11913</v>
      </c>
    </row>
    <row r="484" spans="2:11" ht="25">
      <c r="B484" s="848">
        <v>481</v>
      </c>
      <c r="C484" s="848" t="s">
        <v>707</v>
      </c>
      <c r="D484" s="849" t="s">
        <v>11914</v>
      </c>
      <c r="E484" s="848" t="s">
        <v>3393</v>
      </c>
      <c r="F484" s="848" t="s">
        <v>11711</v>
      </c>
      <c r="G484" s="850" t="s">
        <v>11915</v>
      </c>
      <c r="H484" s="849" t="s">
        <v>10716</v>
      </c>
      <c r="I484" s="849"/>
      <c r="J484" s="851">
        <v>2300.19</v>
      </c>
      <c r="K484" s="848" t="s">
        <v>11916</v>
      </c>
    </row>
    <row r="485" spans="2:11" ht="25">
      <c r="B485" s="848">
        <v>482</v>
      </c>
      <c r="C485" s="848" t="s">
        <v>707</v>
      </c>
      <c r="D485" s="849" t="s">
        <v>11914</v>
      </c>
      <c r="E485" s="848" t="s">
        <v>3393</v>
      </c>
      <c r="F485" s="848" t="s">
        <v>11917</v>
      </c>
      <c r="G485" s="850" t="s">
        <v>11918</v>
      </c>
      <c r="H485" s="849" t="s">
        <v>10716</v>
      </c>
      <c r="I485" s="849"/>
      <c r="J485" s="851">
        <v>4217.0200000000004</v>
      </c>
      <c r="K485" s="848" t="s">
        <v>11919</v>
      </c>
    </row>
    <row r="486" spans="2:11" ht="25">
      <c r="B486" s="848">
        <v>483</v>
      </c>
      <c r="C486" s="848" t="s">
        <v>11920</v>
      </c>
      <c r="D486" s="849" t="s">
        <v>11921</v>
      </c>
      <c r="E486" s="848" t="s">
        <v>8582</v>
      </c>
      <c r="F486" s="848" t="s">
        <v>11922</v>
      </c>
      <c r="G486" s="850" t="s">
        <v>11896</v>
      </c>
      <c r="H486" s="849" t="s">
        <v>10716</v>
      </c>
      <c r="I486" s="849"/>
      <c r="J486" s="851">
        <v>614</v>
      </c>
      <c r="K486" s="848" t="s">
        <v>5858</v>
      </c>
    </row>
    <row r="487" spans="2:11" ht="25">
      <c r="B487" s="848">
        <v>484</v>
      </c>
      <c r="C487" s="848" t="s">
        <v>11920</v>
      </c>
      <c r="D487" s="849" t="s">
        <v>11921</v>
      </c>
      <c r="E487" s="848" t="s">
        <v>8582</v>
      </c>
      <c r="F487" s="848" t="s">
        <v>11680</v>
      </c>
      <c r="G487" s="850" t="s">
        <v>11923</v>
      </c>
      <c r="H487" s="849" t="s">
        <v>10716</v>
      </c>
      <c r="I487" s="849"/>
      <c r="J487" s="851">
        <v>24</v>
      </c>
      <c r="K487" s="848" t="s">
        <v>11924</v>
      </c>
    </row>
    <row r="488" spans="2:11" ht="25">
      <c r="B488" s="848">
        <v>485</v>
      </c>
      <c r="C488" s="848" t="s">
        <v>11920</v>
      </c>
      <c r="D488" s="849" t="s">
        <v>11921</v>
      </c>
      <c r="E488" s="848" t="s">
        <v>8582</v>
      </c>
      <c r="F488" s="848" t="s">
        <v>11681</v>
      </c>
      <c r="G488" s="850" t="s">
        <v>11732</v>
      </c>
      <c r="H488" s="849" t="s">
        <v>10716</v>
      </c>
      <c r="I488" s="849"/>
      <c r="J488" s="851">
        <v>99</v>
      </c>
      <c r="K488" s="848" t="s">
        <v>11925</v>
      </c>
    </row>
    <row r="489" spans="2:11" ht="25">
      <c r="B489" s="848">
        <v>486</v>
      </c>
      <c r="C489" s="848" t="s">
        <v>11920</v>
      </c>
      <c r="D489" s="849" t="s">
        <v>11921</v>
      </c>
      <c r="E489" s="848" t="s">
        <v>8582</v>
      </c>
      <c r="F489" s="848" t="s">
        <v>11926</v>
      </c>
      <c r="G489" s="850" t="s">
        <v>11901</v>
      </c>
      <c r="H489" s="849" t="s">
        <v>10716</v>
      </c>
      <c r="I489" s="849"/>
      <c r="J489" s="851">
        <v>48</v>
      </c>
      <c r="K489" s="848" t="s">
        <v>11927</v>
      </c>
    </row>
    <row r="490" spans="2:11" ht="25">
      <c r="B490" s="848">
        <v>487</v>
      </c>
      <c r="C490" s="848" t="s">
        <v>11920</v>
      </c>
      <c r="D490" s="849" t="s">
        <v>11921</v>
      </c>
      <c r="E490" s="848" t="s">
        <v>8582</v>
      </c>
      <c r="F490" s="848" t="s">
        <v>11928</v>
      </c>
      <c r="G490" s="850" t="s">
        <v>11911</v>
      </c>
      <c r="H490" s="849" t="s">
        <v>10716</v>
      </c>
      <c r="I490" s="849"/>
      <c r="J490" s="851">
        <v>237</v>
      </c>
      <c r="K490" s="848" t="s">
        <v>11929</v>
      </c>
    </row>
    <row r="491" spans="2:11" ht="25">
      <c r="B491" s="848">
        <v>488</v>
      </c>
      <c r="C491" s="848" t="s">
        <v>11920</v>
      </c>
      <c r="D491" s="849" t="s">
        <v>11921</v>
      </c>
      <c r="E491" s="848" t="s">
        <v>8582</v>
      </c>
      <c r="F491" s="848" t="s">
        <v>11689</v>
      </c>
      <c r="G491" s="850" t="s">
        <v>11884</v>
      </c>
      <c r="H491" s="849" t="s">
        <v>10716</v>
      </c>
      <c r="I491" s="849"/>
      <c r="J491" s="851">
        <v>95</v>
      </c>
      <c r="K491" s="848" t="s">
        <v>11930</v>
      </c>
    </row>
    <row r="492" spans="2:11" ht="25">
      <c r="B492" s="848">
        <v>489</v>
      </c>
      <c r="C492" s="848" t="s">
        <v>11920</v>
      </c>
      <c r="D492" s="849" t="s">
        <v>11921</v>
      </c>
      <c r="E492" s="848" t="s">
        <v>8582</v>
      </c>
      <c r="F492" s="848" t="s">
        <v>11931</v>
      </c>
      <c r="G492" s="850" t="s">
        <v>11832</v>
      </c>
      <c r="H492" s="849" t="s">
        <v>10716</v>
      </c>
      <c r="I492" s="849"/>
      <c r="J492" s="851">
        <v>48</v>
      </c>
      <c r="K492" s="848" t="s">
        <v>11932</v>
      </c>
    </row>
    <row r="493" spans="2:11" ht="25">
      <c r="B493" s="848">
        <v>490</v>
      </c>
      <c r="C493" s="848" t="s">
        <v>11920</v>
      </c>
      <c r="D493" s="849" t="s">
        <v>11921</v>
      </c>
      <c r="E493" s="848" t="s">
        <v>8582</v>
      </c>
      <c r="F493" s="848" t="s">
        <v>11933</v>
      </c>
      <c r="G493" s="850" t="s">
        <v>11784</v>
      </c>
      <c r="H493" s="849" t="s">
        <v>10716</v>
      </c>
      <c r="I493" s="849"/>
      <c r="J493" s="851">
        <v>57</v>
      </c>
      <c r="K493" s="848" t="s">
        <v>11934</v>
      </c>
    </row>
    <row r="494" spans="2:11" ht="25">
      <c r="B494" s="848">
        <v>491</v>
      </c>
      <c r="C494" s="848" t="s">
        <v>11920</v>
      </c>
      <c r="D494" s="849" t="s">
        <v>11921</v>
      </c>
      <c r="E494" s="848" t="s">
        <v>8582</v>
      </c>
      <c r="F494" s="848" t="s">
        <v>11685</v>
      </c>
      <c r="G494" s="850" t="s">
        <v>11789</v>
      </c>
      <c r="H494" s="849" t="s">
        <v>10716</v>
      </c>
      <c r="I494" s="849"/>
      <c r="J494" s="851">
        <v>19</v>
      </c>
      <c r="K494" s="848" t="s">
        <v>11935</v>
      </c>
    </row>
    <row r="495" spans="2:11" ht="25">
      <c r="B495" s="848">
        <v>492</v>
      </c>
      <c r="C495" s="848" t="s">
        <v>11920</v>
      </c>
      <c r="D495" s="849" t="s">
        <v>11921</v>
      </c>
      <c r="E495" s="848" t="s">
        <v>8582</v>
      </c>
      <c r="F495" s="848" t="s">
        <v>11936</v>
      </c>
      <c r="G495" s="850" t="s">
        <v>11762</v>
      </c>
      <c r="H495" s="849" t="s">
        <v>10716</v>
      </c>
      <c r="I495" s="849"/>
      <c r="J495" s="851">
        <v>5</v>
      </c>
      <c r="K495" s="848" t="s">
        <v>11937</v>
      </c>
    </row>
    <row r="496" spans="2:11" ht="25">
      <c r="B496" s="848">
        <v>493</v>
      </c>
      <c r="C496" s="848" t="s">
        <v>11920</v>
      </c>
      <c r="D496" s="849" t="s">
        <v>11921</v>
      </c>
      <c r="E496" s="848" t="s">
        <v>8582</v>
      </c>
      <c r="F496" s="848" t="s">
        <v>11938</v>
      </c>
      <c r="G496" s="850" t="s">
        <v>11840</v>
      </c>
      <c r="H496" s="849" t="s">
        <v>10716</v>
      </c>
      <c r="I496" s="849"/>
      <c r="J496" s="851">
        <v>48</v>
      </c>
      <c r="K496" s="848" t="s">
        <v>11939</v>
      </c>
    </row>
    <row r="497" spans="2:11" ht="25">
      <c r="B497" s="848">
        <v>494</v>
      </c>
      <c r="C497" s="848" t="s">
        <v>11920</v>
      </c>
      <c r="D497" s="849" t="s">
        <v>11921</v>
      </c>
      <c r="E497" s="848" t="s">
        <v>8582</v>
      </c>
      <c r="F497" s="848" t="s">
        <v>11923</v>
      </c>
      <c r="G497" s="850" t="s">
        <v>11872</v>
      </c>
      <c r="H497" s="849" t="s">
        <v>10716</v>
      </c>
      <c r="I497" s="849"/>
      <c r="J497" s="851">
        <v>54</v>
      </c>
      <c r="K497" s="848" t="s">
        <v>11940</v>
      </c>
    </row>
    <row r="498" spans="2:11" ht="25">
      <c r="B498" s="848">
        <v>495</v>
      </c>
      <c r="C498" s="848" t="s">
        <v>11920</v>
      </c>
      <c r="D498" s="849" t="s">
        <v>11921</v>
      </c>
      <c r="E498" s="848" t="s">
        <v>8582</v>
      </c>
      <c r="F498" s="848" t="s">
        <v>11941</v>
      </c>
      <c r="G498" s="850" t="s">
        <v>11734</v>
      </c>
      <c r="H498" s="849" t="s">
        <v>10716</v>
      </c>
      <c r="I498" s="849"/>
      <c r="J498" s="851">
        <v>99</v>
      </c>
      <c r="K498" s="848" t="s">
        <v>11942</v>
      </c>
    </row>
    <row r="499" spans="2:11" ht="25">
      <c r="B499" s="848">
        <v>496</v>
      </c>
      <c r="C499" s="848" t="s">
        <v>11920</v>
      </c>
      <c r="D499" s="849" t="s">
        <v>11921</v>
      </c>
      <c r="E499" s="848" t="s">
        <v>8582</v>
      </c>
      <c r="F499" s="848" t="s">
        <v>11943</v>
      </c>
      <c r="G499" s="850" t="s">
        <v>11909</v>
      </c>
      <c r="H499" s="849" t="s">
        <v>10716</v>
      </c>
      <c r="I499" s="849"/>
      <c r="J499" s="851">
        <v>96</v>
      </c>
      <c r="K499" s="848" t="s">
        <v>5862</v>
      </c>
    </row>
    <row r="500" spans="2:11" ht="25">
      <c r="B500" s="848">
        <v>497</v>
      </c>
      <c r="C500" s="848" t="s">
        <v>11920</v>
      </c>
      <c r="D500" s="849" t="s">
        <v>11921</v>
      </c>
      <c r="E500" s="848" t="s">
        <v>8582</v>
      </c>
      <c r="F500" s="848" t="s">
        <v>11944</v>
      </c>
      <c r="G500" s="850" t="s">
        <v>11772</v>
      </c>
      <c r="H500" s="849" t="s">
        <v>10716</v>
      </c>
      <c r="I500" s="849"/>
      <c r="J500" s="851">
        <v>1154</v>
      </c>
      <c r="K500" s="848" t="s">
        <v>11945</v>
      </c>
    </row>
    <row r="501" spans="2:11" ht="25">
      <c r="B501" s="848">
        <v>498</v>
      </c>
      <c r="C501" s="848" t="s">
        <v>11920</v>
      </c>
      <c r="D501" s="849" t="s">
        <v>11921</v>
      </c>
      <c r="E501" s="848" t="s">
        <v>8582</v>
      </c>
      <c r="F501" s="848" t="s">
        <v>11946</v>
      </c>
      <c r="G501" s="850" t="s">
        <v>11846</v>
      </c>
      <c r="H501" s="849" t="s">
        <v>10716</v>
      </c>
      <c r="I501" s="849"/>
      <c r="J501" s="851">
        <v>1284</v>
      </c>
      <c r="K501" s="848" t="s">
        <v>11945</v>
      </c>
    </row>
    <row r="502" spans="2:11" ht="25">
      <c r="B502" s="848">
        <v>499</v>
      </c>
      <c r="C502" s="848" t="s">
        <v>11920</v>
      </c>
      <c r="D502" s="849" t="s">
        <v>11921</v>
      </c>
      <c r="E502" s="848" t="s">
        <v>8582</v>
      </c>
      <c r="F502" s="848" t="s">
        <v>11947</v>
      </c>
      <c r="G502" s="850" t="s">
        <v>11760</v>
      </c>
      <c r="H502" s="849" t="s">
        <v>10716</v>
      </c>
      <c r="I502" s="849"/>
      <c r="J502" s="851">
        <v>807</v>
      </c>
      <c r="K502" s="848" t="s">
        <v>11948</v>
      </c>
    </row>
    <row r="503" spans="2:11" ht="25">
      <c r="B503" s="848">
        <v>500</v>
      </c>
      <c r="C503" s="848" t="s">
        <v>11920</v>
      </c>
      <c r="D503" s="849" t="s">
        <v>11921</v>
      </c>
      <c r="E503" s="848" t="s">
        <v>8582</v>
      </c>
      <c r="F503" s="848" t="s">
        <v>11302</v>
      </c>
      <c r="G503" s="850" t="s">
        <v>11898</v>
      </c>
      <c r="H503" s="849" t="s">
        <v>10716</v>
      </c>
      <c r="I503" s="849"/>
      <c r="J503" s="851">
        <v>1902</v>
      </c>
      <c r="K503" s="848" t="s">
        <v>11949</v>
      </c>
    </row>
    <row r="504" spans="2:11" ht="25">
      <c r="B504" s="848">
        <v>501</v>
      </c>
      <c r="C504" s="848" t="s">
        <v>11920</v>
      </c>
      <c r="D504" s="849" t="s">
        <v>11921</v>
      </c>
      <c r="E504" s="848" t="s">
        <v>8582</v>
      </c>
      <c r="F504" s="848" t="s">
        <v>11950</v>
      </c>
      <c r="G504" s="850" t="s">
        <v>11830</v>
      </c>
      <c r="H504" s="849" t="s">
        <v>10716</v>
      </c>
      <c r="I504" s="849"/>
      <c r="J504" s="851">
        <v>1710</v>
      </c>
      <c r="K504" s="848" t="s">
        <v>11949</v>
      </c>
    </row>
    <row r="505" spans="2:11" ht="25">
      <c r="B505" s="848">
        <v>502</v>
      </c>
      <c r="C505" s="848" t="s">
        <v>11920</v>
      </c>
      <c r="D505" s="849" t="s">
        <v>11921</v>
      </c>
      <c r="E505" s="848" t="s">
        <v>8582</v>
      </c>
      <c r="F505" s="848" t="s">
        <v>11951</v>
      </c>
      <c r="G505" s="850" t="s">
        <v>11941</v>
      </c>
      <c r="H505" s="849" t="s">
        <v>10716</v>
      </c>
      <c r="I505" s="849"/>
      <c r="J505" s="851">
        <v>5895</v>
      </c>
      <c r="K505" s="848" t="s">
        <v>11952</v>
      </c>
    </row>
    <row r="506" spans="2:11" ht="25">
      <c r="B506" s="848">
        <v>503</v>
      </c>
      <c r="C506" s="848" t="s">
        <v>11920</v>
      </c>
      <c r="D506" s="849" t="s">
        <v>11921</v>
      </c>
      <c r="E506" s="848" t="s">
        <v>8582</v>
      </c>
      <c r="F506" s="848" t="s">
        <v>11953</v>
      </c>
      <c r="G506" s="850" t="s">
        <v>11766</v>
      </c>
      <c r="H506" s="849" t="s">
        <v>10716</v>
      </c>
      <c r="I506" s="849"/>
      <c r="J506" s="851">
        <v>111</v>
      </c>
      <c r="K506" s="848" t="s">
        <v>11954</v>
      </c>
    </row>
    <row r="507" spans="2:11" ht="25">
      <c r="B507" s="848">
        <v>504</v>
      </c>
      <c r="C507" s="848" t="s">
        <v>11920</v>
      </c>
      <c r="D507" s="849" t="s">
        <v>11921</v>
      </c>
      <c r="E507" s="848" t="s">
        <v>11955</v>
      </c>
      <c r="F507" s="848" t="s">
        <v>11103</v>
      </c>
      <c r="G507" s="850" t="s">
        <v>10749</v>
      </c>
      <c r="H507" s="849" t="s">
        <v>10716</v>
      </c>
      <c r="I507" s="849"/>
      <c r="J507" s="851">
        <v>396</v>
      </c>
      <c r="K507" s="848" t="s">
        <v>11956</v>
      </c>
    </row>
    <row r="508" spans="2:11" ht="25">
      <c r="B508" s="848">
        <v>505</v>
      </c>
      <c r="C508" s="848" t="s">
        <v>11957</v>
      </c>
      <c r="D508" s="849" t="s">
        <v>11958</v>
      </c>
      <c r="E508" s="848" t="s">
        <v>3585</v>
      </c>
      <c r="F508" s="848" t="s">
        <v>11582</v>
      </c>
      <c r="G508" s="850" t="s">
        <v>11959</v>
      </c>
      <c r="H508" s="849" t="s">
        <v>10716</v>
      </c>
      <c r="I508" s="849"/>
      <c r="J508" s="851">
        <v>3</v>
      </c>
      <c r="K508" s="848" t="s">
        <v>6050</v>
      </c>
    </row>
    <row r="509" spans="2:11" ht="25">
      <c r="B509" s="848">
        <v>506</v>
      </c>
      <c r="C509" s="848" t="s">
        <v>11957</v>
      </c>
      <c r="D509" s="849" t="s">
        <v>11958</v>
      </c>
      <c r="E509" s="848" t="s">
        <v>3585</v>
      </c>
      <c r="F509" s="848" t="s">
        <v>11580</v>
      </c>
      <c r="G509" s="850" t="s">
        <v>11960</v>
      </c>
      <c r="H509" s="849" t="s">
        <v>10716</v>
      </c>
      <c r="I509" s="849"/>
      <c r="J509" s="851">
        <v>3</v>
      </c>
      <c r="K509" s="848" t="s">
        <v>6051</v>
      </c>
    </row>
    <row r="510" spans="2:11" ht="25">
      <c r="B510" s="848">
        <v>507</v>
      </c>
      <c r="C510" s="848" t="s">
        <v>11957</v>
      </c>
      <c r="D510" s="849" t="s">
        <v>11958</v>
      </c>
      <c r="E510" s="848" t="s">
        <v>3585</v>
      </c>
      <c r="F510" s="848" t="s">
        <v>11583</v>
      </c>
      <c r="G510" s="850" t="s">
        <v>11961</v>
      </c>
      <c r="H510" s="849" t="s">
        <v>10716</v>
      </c>
      <c r="I510" s="849"/>
      <c r="J510" s="851">
        <v>3</v>
      </c>
      <c r="K510" s="848" t="s">
        <v>6052</v>
      </c>
    </row>
    <row r="511" spans="2:11" ht="25">
      <c r="B511" s="848">
        <v>508</v>
      </c>
      <c r="C511" s="848" t="s">
        <v>11957</v>
      </c>
      <c r="D511" s="849" t="s">
        <v>11958</v>
      </c>
      <c r="E511" s="848" t="s">
        <v>3585</v>
      </c>
      <c r="F511" s="848" t="s">
        <v>11588</v>
      </c>
      <c r="G511" s="850" t="s">
        <v>11962</v>
      </c>
      <c r="H511" s="849" t="s">
        <v>10716</v>
      </c>
      <c r="I511" s="849"/>
      <c r="J511" s="851">
        <v>3</v>
      </c>
      <c r="K511" s="848" t="s">
        <v>6053</v>
      </c>
    </row>
    <row r="512" spans="2:11" ht="25">
      <c r="B512" s="848">
        <v>509</v>
      </c>
      <c r="C512" s="848" t="s">
        <v>11957</v>
      </c>
      <c r="D512" s="849" t="s">
        <v>11958</v>
      </c>
      <c r="E512" s="848" t="s">
        <v>3585</v>
      </c>
      <c r="F512" s="848" t="s">
        <v>11586</v>
      </c>
      <c r="G512" s="850" t="s">
        <v>11963</v>
      </c>
      <c r="H512" s="849" t="s">
        <v>10716</v>
      </c>
      <c r="I512" s="849"/>
      <c r="J512" s="851">
        <v>3</v>
      </c>
      <c r="K512" s="848" t="s">
        <v>6054</v>
      </c>
    </row>
    <row r="513" spans="2:11" ht="25">
      <c r="B513" s="848">
        <v>510</v>
      </c>
      <c r="C513" s="848" t="s">
        <v>11957</v>
      </c>
      <c r="D513" s="849" t="s">
        <v>11958</v>
      </c>
      <c r="E513" s="848" t="s">
        <v>3585</v>
      </c>
      <c r="F513" s="848" t="s">
        <v>11578</v>
      </c>
      <c r="G513" s="850" t="s">
        <v>11964</v>
      </c>
      <c r="H513" s="849" t="s">
        <v>10716</v>
      </c>
      <c r="I513" s="849"/>
      <c r="J513" s="851">
        <v>3</v>
      </c>
      <c r="K513" s="848" t="s">
        <v>6055</v>
      </c>
    </row>
    <row r="514" spans="2:11" ht="25">
      <c r="B514" s="848">
        <v>511</v>
      </c>
      <c r="C514" s="848" t="s">
        <v>11957</v>
      </c>
      <c r="D514" s="849" t="s">
        <v>11958</v>
      </c>
      <c r="E514" s="848" t="s">
        <v>3585</v>
      </c>
      <c r="F514" s="848" t="s">
        <v>11595</v>
      </c>
      <c r="G514" s="850" t="s">
        <v>11965</v>
      </c>
      <c r="H514" s="849" t="s">
        <v>10716</v>
      </c>
      <c r="I514" s="849"/>
      <c r="J514" s="851">
        <v>3</v>
      </c>
      <c r="K514" s="848" t="s">
        <v>6056</v>
      </c>
    </row>
    <row r="515" spans="2:11" ht="25">
      <c r="B515" s="848">
        <v>512</v>
      </c>
      <c r="C515" s="848" t="s">
        <v>11957</v>
      </c>
      <c r="D515" s="849" t="s">
        <v>11958</v>
      </c>
      <c r="E515" s="848" t="s">
        <v>3585</v>
      </c>
      <c r="F515" s="848" t="s">
        <v>11575</v>
      </c>
      <c r="G515" s="850" t="s">
        <v>11966</v>
      </c>
      <c r="H515" s="849" t="s">
        <v>10716</v>
      </c>
      <c r="I515" s="849"/>
      <c r="J515" s="851">
        <v>3</v>
      </c>
      <c r="K515" s="848" t="s">
        <v>6057</v>
      </c>
    </row>
    <row r="516" spans="2:11" ht="25">
      <c r="B516" s="848">
        <v>513</v>
      </c>
      <c r="C516" s="848" t="s">
        <v>11957</v>
      </c>
      <c r="D516" s="849" t="s">
        <v>11958</v>
      </c>
      <c r="E516" s="848" t="s">
        <v>3585</v>
      </c>
      <c r="F516" s="848" t="s">
        <v>11596</v>
      </c>
      <c r="G516" s="850" t="s">
        <v>11967</v>
      </c>
      <c r="H516" s="849" t="s">
        <v>10716</v>
      </c>
      <c r="I516" s="849"/>
      <c r="J516" s="851">
        <v>3</v>
      </c>
      <c r="K516" s="848" t="s">
        <v>6058</v>
      </c>
    </row>
    <row r="517" spans="2:11" ht="25">
      <c r="B517" s="848">
        <v>514</v>
      </c>
      <c r="C517" s="848" t="s">
        <v>11968</v>
      </c>
      <c r="D517" s="849" t="s">
        <v>11969</v>
      </c>
      <c r="E517" s="848" t="s">
        <v>9441</v>
      </c>
      <c r="F517" s="848" t="s">
        <v>11714</v>
      </c>
      <c r="G517" s="850" t="s">
        <v>11970</v>
      </c>
      <c r="H517" s="849" t="s">
        <v>10716</v>
      </c>
      <c r="I517" s="849"/>
      <c r="J517" s="851">
        <v>13034.41</v>
      </c>
      <c r="K517" s="848" t="s">
        <v>10790</v>
      </c>
    </row>
    <row r="518" spans="2:11" ht="25">
      <c r="B518" s="848">
        <v>515</v>
      </c>
      <c r="C518" s="848" t="s">
        <v>600</v>
      </c>
      <c r="D518" s="849" t="s">
        <v>11969</v>
      </c>
      <c r="E518" s="848" t="s">
        <v>9441</v>
      </c>
      <c r="F518" s="848" t="s">
        <v>11971</v>
      </c>
      <c r="G518" s="850" t="s">
        <v>11972</v>
      </c>
      <c r="H518" s="849" t="s">
        <v>10716</v>
      </c>
      <c r="I518" s="849"/>
      <c r="J518" s="851">
        <v>683.94</v>
      </c>
      <c r="K518" s="848" t="s">
        <v>6492</v>
      </c>
    </row>
    <row r="519" spans="2:11" ht="25">
      <c r="B519" s="848">
        <v>516</v>
      </c>
      <c r="C519" s="848" t="s">
        <v>600</v>
      </c>
      <c r="D519" s="849" t="s">
        <v>11969</v>
      </c>
      <c r="E519" s="848" t="s">
        <v>9441</v>
      </c>
      <c r="F519" s="848" t="s">
        <v>11140</v>
      </c>
      <c r="G519" s="850" t="s">
        <v>11973</v>
      </c>
      <c r="H519" s="849" t="s">
        <v>10716</v>
      </c>
      <c r="I519" s="849"/>
      <c r="J519" s="851">
        <v>471.16</v>
      </c>
      <c r="K519" s="848" t="s">
        <v>6493</v>
      </c>
    </row>
    <row r="520" spans="2:11" ht="25">
      <c r="B520" s="848">
        <v>517</v>
      </c>
      <c r="C520" s="848" t="s">
        <v>1283</v>
      </c>
      <c r="D520" s="849" t="s">
        <v>7112</v>
      </c>
      <c r="E520" s="848" t="s">
        <v>3220</v>
      </c>
      <c r="F520" s="848" t="s">
        <v>11974</v>
      </c>
      <c r="G520" s="850" t="s">
        <v>11975</v>
      </c>
      <c r="H520" s="849" t="s">
        <v>10716</v>
      </c>
      <c r="I520" s="849"/>
      <c r="J520" s="851">
        <v>75.739999999999995</v>
      </c>
      <c r="K520" s="848" t="s">
        <v>6799</v>
      </c>
    </row>
    <row r="521" spans="2:11" ht="25">
      <c r="B521" s="848">
        <v>518</v>
      </c>
      <c r="C521" s="848" t="s">
        <v>1283</v>
      </c>
      <c r="D521" s="849" t="s">
        <v>7112</v>
      </c>
      <c r="E521" s="848" t="s">
        <v>3220</v>
      </c>
      <c r="F521" s="848" t="s">
        <v>11976</v>
      </c>
      <c r="G521" s="850" t="s">
        <v>11977</v>
      </c>
      <c r="H521" s="849" t="s">
        <v>10716</v>
      </c>
      <c r="I521" s="849"/>
      <c r="J521" s="851">
        <v>94.1</v>
      </c>
      <c r="K521" s="848" t="s">
        <v>6800</v>
      </c>
    </row>
    <row r="522" spans="2:11" ht="25">
      <c r="B522" s="848">
        <v>519</v>
      </c>
      <c r="C522" s="848" t="s">
        <v>1283</v>
      </c>
      <c r="D522" s="849" t="s">
        <v>7112</v>
      </c>
      <c r="E522" s="848" t="s">
        <v>3220</v>
      </c>
      <c r="F522" s="848" t="s">
        <v>11978</v>
      </c>
      <c r="G522" s="850" t="s">
        <v>11979</v>
      </c>
      <c r="H522" s="849" t="s">
        <v>10716</v>
      </c>
      <c r="I522" s="849"/>
      <c r="J522" s="851">
        <v>110.16</v>
      </c>
      <c r="K522" s="848" t="s">
        <v>6801</v>
      </c>
    </row>
    <row r="523" spans="2:11" ht="25">
      <c r="B523" s="848">
        <v>520</v>
      </c>
      <c r="C523" s="848" t="s">
        <v>1283</v>
      </c>
      <c r="D523" s="849" t="s">
        <v>7112</v>
      </c>
      <c r="E523" s="848" t="s">
        <v>3220</v>
      </c>
      <c r="F523" s="848" t="s">
        <v>11980</v>
      </c>
      <c r="G523" s="850" t="s">
        <v>11981</v>
      </c>
      <c r="H523" s="849" t="s">
        <v>10716</v>
      </c>
      <c r="I523" s="849"/>
      <c r="J523" s="851">
        <v>4.59</v>
      </c>
      <c r="K523" s="848" t="s">
        <v>6802</v>
      </c>
    </row>
    <row r="524" spans="2:11" ht="25">
      <c r="B524" s="848">
        <v>521</v>
      </c>
      <c r="C524" s="848" t="s">
        <v>1283</v>
      </c>
      <c r="D524" s="849" t="s">
        <v>7112</v>
      </c>
      <c r="E524" s="848" t="s">
        <v>3220</v>
      </c>
      <c r="F524" s="848" t="s">
        <v>11982</v>
      </c>
      <c r="G524" s="850" t="s">
        <v>11983</v>
      </c>
      <c r="H524" s="849" t="s">
        <v>10716</v>
      </c>
      <c r="I524" s="849"/>
      <c r="J524" s="851">
        <v>9.18</v>
      </c>
      <c r="K524" s="848" t="s">
        <v>6803</v>
      </c>
    </row>
    <row r="525" spans="2:11" ht="25">
      <c r="B525" s="848">
        <v>522</v>
      </c>
      <c r="C525" s="848" t="s">
        <v>1283</v>
      </c>
      <c r="D525" s="849" t="s">
        <v>7112</v>
      </c>
      <c r="E525" s="848" t="s">
        <v>3220</v>
      </c>
      <c r="F525" s="848" t="s">
        <v>11984</v>
      </c>
      <c r="G525" s="850" t="s">
        <v>11985</v>
      </c>
      <c r="H525" s="849" t="s">
        <v>10716</v>
      </c>
      <c r="I525" s="849"/>
      <c r="J525" s="851">
        <v>34.43</v>
      </c>
      <c r="K525" s="848" t="s">
        <v>6804</v>
      </c>
    </row>
    <row r="526" spans="2:11">
      <c r="B526" s="848">
        <v>523</v>
      </c>
      <c r="C526" s="848" t="s">
        <v>11986</v>
      </c>
      <c r="D526" s="849" t="s">
        <v>5741</v>
      </c>
      <c r="E526" s="848" t="s">
        <v>10824</v>
      </c>
      <c r="F526" s="848" t="s">
        <v>11987</v>
      </c>
      <c r="G526" s="850" t="s">
        <v>11988</v>
      </c>
      <c r="H526" s="849" t="s">
        <v>10716</v>
      </c>
      <c r="I526" s="849"/>
      <c r="J526" s="851">
        <v>39.43</v>
      </c>
      <c r="K526" s="848" t="s">
        <v>6826</v>
      </c>
    </row>
    <row r="527" spans="2:11">
      <c r="B527" s="848">
        <v>524</v>
      </c>
      <c r="C527" s="848" t="s">
        <v>11986</v>
      </c>
      <c r="D527" s="849" t="s">
        <v>5741</v>
      </c>
      <c r="E527" s="848" t="s">
        <v>10824</v>
      </c>
      <c r="F527" s="848" t="s">
        <v>11989</v>
      </c>
      <c r="G527" s="850" t="s">
        <v>11990</v>
      </c>
      <c r="H527" s="849" t="s">
        <v>10716</v>
      </c>
      <c r="I527" s="849"/>
      <c r="J527" s="851">
        <v>75.34</v>
      </c>
      <c r="K527" s="848" t="s">
        <v>6827</v>
      </c>
    </row>
    <row r="528" spans="2:11">
      <c r="B528" s="848">
        <v>525</v>
      </c>
      <c r="C528" s="848" t="s">
        <v>710</v>
      </c>
      <c r="D528" s="849" t="s">
        <v>50</v>
      </c>
      <c r="E528" s="848" t="s">
        <v>11991</v>
      </c>
      <c r="F528" s="848" t="s">
        <v>11979</v>
      </c>
      <c r="G528" s="850" t="s">
        <v>11992</v>
      </c>
      <c r="H528" s="849" t="s">
        <v>10716</v>
      </c>
      <c r="I528" s="849"/>
      <c r="J528" s="851">
        <v>82806.84</v>
      </c>
      <c r="K528" s="848" t="s">
        <v>11289</v>
      </c>
    </row>
    <row r="529" spans="2:11">
      <c r="B529" s="848">
        <v>526</v>
      </c>
      <c r="C529" s="848" t="s">
        <v>710</v>
      </c>
      <c r="D529" s="849" t="s">
        <v>50</v>
      </c>
      <c r="E529" s="848" t="s">
        <v>11991</v>
      </c>
      <c r="F529" s="848" t="s">
        <v>11977</v>
      </c>
      <c r="G529" s="850" t="s">
        <v>11993</v>
      </c>
      <c r="H529" s="849" t="s">
        <v>10716</v>
      </c>
      <c r="I529" s="849"/>
      <c r="J529" s="851">
        <v>124210.26</v>
      </c>
      <c r="K529" s="848" t="s">
        <v>11994</v>
      </c>
    </row>
    <row r="530" spans="2:11">
      <c r="B530" s="848">
        <v>527</v>
      </c>
      <c r="C530" s="848" t="s">
        <v>11995</v>
      </c>
      <c r="D530" s="849" t="s">
        <v>11996</v>
      </c>
      <c r="E530" s="848" t="s">
        <v>9436</v>
      </c>
      <c r="F530" s="848" t="s">
        <v>11997</v>
      </c>
      <c r="G530" s="850" t="s">
        <v>11471</v>
      </c>
      <c r="H530" s="849" t="s">
        <v>10716</v>
      </c>
      <c r="I530" s="849"/>
      <c r="J530" s="851">
        <v>217.63</v>
      </c>
      <c r="K530" s="848" t="s">
        <v>11998</v>
      </c>
    </row>
    <row r="531" spans="2:11">
      <c r="B531" s="848">
        <v>528</v>
      </c>
      <c r="C531" s="848" t="s">
        <v>11995</v>
      </c>
      <c r="D531" s="849" t="s">
        <v>11996</v>
      </c>
      <c r="E531" s="848" t="s">
        <v>9436</v>
      </c>
      <c r="F531" s="848" t="s">
        <v>11999</v>
      </c>
      <c r="G531" s="850" t="s">
        <v>11480</v>
      </c>
      <c r="H531" s="849" t="s">
        <v>10716</v>
      </c>
      <c r="I531" s="849"/>
      <c r="J531" s="851">
        <v>153.35</v>
      </c>
      <c r="K531" s="848" t="s">
        <v>12000</v>
      </c>
    </row>
    <row r="532" spans="2:11">
      <c r="B532" s="848">
        <v>529</v>
      </c>
      <c r="C532" s="848" t="s">
        <v>11995</v>
      </c>
      <c r="D532" s="849" t="s">
        <v>11996</v>
      </c>
      <c r="E532" s="848" t="s">
        <v>9436</v>
      </c>
      <c r="F532" s="848" t="s">
        <v>12001</v>
      </c>
      <c r="G532" s="850" t="s">
        <v>11478</v>
      </c>
      <c r="H532" s="849" t="s">
        <v>10716</v>
      </c>
      <c r="I532" s="849"/>
      <c r="J532" s="851">
        <v>95.08</v>
      </c>
      <c r="K532" s="848" t="s">
        <v>5942</v>
      </c>
    </row>
    <row r="533" spans="2:11">
      <c r="B533" s="848">
        <v>530</v>
      </c>
      <c r="C533" s="848" t="s">
        <v>11995</v>
      </c>
      <c r="D533" s="849" t="s">
        <v>11996</v>
      </c>
      <c r="E533" s="848" t="s">
        <v>9436</v>
      </c>
      <c r="F533" s="848" t="s">
        <v>12002</v>
      </c>
      <c r="G533" s="850" t="s">
        <v>11474</v>
      </c>
      <c r="H533" s="849" t="s">
        <v>10716</v>
      </c>
      <c r="I533" s="849"/>
      <c r="J533" s="851">
        <v>47.54</v>
      </c>
      <c r="K533" s="848" t="s">
        <v>5943</v>
      </c>
    </row>
    <row r="534" spans="2:11">
      <c r="B534" s="848">
        <v>531</v>
      </c>
      <c r="C534" s="848" t="s">
        <v>11995</v>
      </c>
      <c r="D534" s="849" t="s">
        <v>11996</v>
      </c>
      <c r="E534" s="848" t="s">
        <v>9436</v>
      </c>
      <c r="F534" s="848" t="s">
        <v>12003</v>
      </c>
      <c r="G534" s="850" t="s">
        <v>11468</v>
      </c>
      <c r="H534" s="849" t="s">
        <v>10716</v>
      </c>
      <c r="I534" s="849"/>
      <c r="J534" s="851">
        <v>75.069999999999993</v>
      </c>
      <c r="K534" s="848" t="s">
        <v>6496</v>
      </c>
    </row>
    <row r="535" spans="2:11" ht="25">
      <c r="B535" s="848">
        <v>532</v>
      </c>
      <c r="C535" s="848" t="s">
        <v>12004</v>
      </c>
      <c r="D535" s="849" t="s">
        <v>12005</v>
      </c>
      <c r="E535" s="848" t="s">
        <v>8582</v>
      </c>
      <c r="F535" s="848" t="s">
        <v>11367</v>
      </c>
      <c r="G535" s="850" t="s">
        <v>11376</v>
      </c>
      <c r="H535" s="849" t="s">
        <v>10716</v>
      </c>
      <c r="I535" s="849"/>
      <c r="J535" s="851">
        <v>614</v>
      </c>
      <c r="K535" s="848" t="s">
        <v>12006</v>
      </c>
    </row>
    <row r="536" spans="2:11" ht="25">
      <c r="B536" s="848">
        <v>533</v>
      </c>
      <c r="C536" s="848" t="s">
        <v>1438</v>
      </c>
      <c r="D536" s="849" t="s">
        <v>7152</v>
      </c>
      <c r="E536" s="848" t="s">
        <v>11066</v>
      </c>
      <c r="F536" s="848" t="s">
        <v>12007</v>
      </c>
      <c r="G536" s="850" t="s">
        <v>12008</v>
      </c>
      <c r="H536" s="849" t="s">
        <v>10716</v>
      </c>
      <c r="I536" s="849"/>
      <c r="J536" s="851">
        <v>88.84</v>
      </c>
      <c r="K536" s="848" t="s">
        <v>6513</v>
      </c>
    </row>
    <row r="537" spans="2:11">
      <c r="B537" s="848">
        <v>534</v>
      </c>
      <c r="C537" s="848" t="s">
        <v>7177</v>
      </c>
      <c r="D537" s="849" t="s">
        <v>7991</v>
      </c>
      <c r="E537" s="848" t="s">
        <v>12009</v>
      </c>
      <c r="F537" s="848" t="s">
        <v>12010</v>
      </c>
      <c r="G537" s="850" t="s">
        <v>12011</v>
      </c>
      <c r="H537" s="849" t="s">
        <v>10716</v>
      </c>
      <c r="I537" s="849"/>
      <c r="J537" s="851">
        <v>16.73</v>
      </c>
      <c r="K537" s="848" t="s">
        <v>6038</v>
      </c>
    </row>
    <row r="538" spans="2:11">
      <c r="B538" s="848">
        <v>535</v>
      </c>
      <c r="C538" s="848" t="s">
        <v>7177</v>
      </c>
      <c r="D538" s="849" t="s">
        <v>7991</v>
      </c>
      <c r="E538" s="848" t="s">
        <v>12009</v>
      </c>
      <c r="F538" s="848" t="s">
        <v>12012</v>
      </c>
      <c r="G538" s="850" t="s">
        <v>12013</v>
      </c>
      <c r="H538" s="849" t="s">
        <v>10716</v>
      </c>
      <c r="I538" s="849"/>
      <c r="J538" s="851">
        <v>16.73</v>
      </c>
      <c r="K538" s="848" t="s">
        <v>6039</v>
      </c>
    </row>
    <row r="539" spans="2:11">
      <c r="B539" s="848">
        <v>536</v>
      </c>
      <c r="C539" s="848" t="s">
        <v>12014</v>
      </c>
      <c r="D539" s="849" t="s">
        <v>12015</v>
      </c>
      <c r="E539" s="848" t="s">
        <v>3758</v>
      </c>
      <c r="F539" s="848" t="s">
        <v>12016</v>
      </c>
      <c r="G539" s="850" t="s">
        <v>12017</v>
      </c>
      <c r="H539" s="849" t="s">
        <v>10716</v>
      </c>
      <c r="I539" s="849"/>
      <c r="J539" s="851">
        <v>1117.0999999999999</v>
      </c>
      <c r="K539" s="848" t="s">
        <v>12018</v>
      </c>
    </row>
    <row r="540" spans="2:11">
      <c r="B540" s="848">
        <v>537</v>
      </c>
      <c r="C540" s="848" t="s">
        <v>12014</v>
      </c>
      <c r="D540" s="849" t="s">
        <v>12015</v>
      </c>
      <c r="E540" s="848" t="s">
        <v>3758</v>
      </c>
      <c r="F540" s="848" t="s">
        <v>10861</v>
      </c>
      <c r="G540" s="850" t="s">
        <v>12019</v>
      </c>
      <c r="H540" s="849" t="s">
        <v>10716</v>
      </c>
      <c r="I540" s="849"/>
      <c r="J540" s="851">
        <v>1117.0999999999999</v>
      </c>
      <c r="K540" s="848" t="s">
        <v>12020</v>
      </c>
    </row>
    <row r="541" spans="2:11">
      <c r="B541" s="848">
        <v>538</v>
      </c>
      <c r="C541" s="848" t="s">
        <v>12014</v>
      </c>
      <c r="D541" s="849" t="s">
        <v>12015</v>
      </c>
      <c r="E541" s="848" t="s">
        <v>3758</v>
      </c>
      <c r="F541" s="848" t="s">
        <v>12021</v>
      </c>
      <c r="G541" s="850" t="s">
        <v>12022</v>
      </c>
      <c r="H541" s="849" t="s">
        <v>10716</v>
      </c>
      <c r="I541" s="849"/>
      <c r="J541" s="851">
        <v>1117.0999999999999</v>
      </c>
      <c r="K541" s="848" t="s">
        <v>12023</v>
      </c>
    </row>
    <row r="542" spans="2:11">
      <c r="B542" s="848">
        <v>539</v>
      </c>
      <c r="C542" s="848" t="s">
        <v>12014</v>
      </c>
      <c r="D542" s="849" t="s">
        <v>12015</v>
      </c>
      <c r="E542" s="848" t="s">
        <v>3758</v>
      </c>
      <c r="F542" s="848" t="s">
        <v>10863</v>
      </c>
      <c r="G542" s="850" t="s">
        <v>12024</v>
      </c>
      <c r="H542" s="849" t="s">
        <v>10716</v>
      </c>
      <c r="I542" s="849"/>
      <c r="J542" s="851">
        <v>837.83</v>
      </c>
      <c r="K542" s="848" t="s">
        <v>12025</v>
      </c>
    </row>
    <row r="543" spans="2:11">
      <c r="B543" s="848">
        <v>540</v>
      </c>
      <c r="C543" s="848" t="s">
        <v>12014</v>
      </c>
      <c r="D543" s="849" t="s">
        <v>12015</v>
      </c>
      <c r="E543" s="848" t="s">
        <v>3758</v>
      </c>
      <c r="F543" s="848" t="s">
        <v>12026</v>
      </c>
      <c r="G543" s="850" t="s">
        <v>12027</v>
      </c>
      <c r="H543" s="849" t="s">
        <v>10716</v>
      </c>
      <c r="I543" s="849"/>
      <c r="J543" s="851">
        <v>1117.0999999999999</v>
      </c>
      <c r="K543" s="848" t="s">
        <v>12028</v>
      </c>
    </row>
    <row r="544" spans="2:11">
      <c r="B544" s="848">
        <v>541</v>
      </c>
      <c r="C544" s="848" t="s">
        <v>12014</v>
      </c>
      <c r="D544" s="849" t="s">
        <v>12015</v>
      </c>
      <c r="E544" s="848" t="s">
        <v>9487</v>
      </c>
      <c r="F544" s="848" t="s">
        <v>12029</v>
      </c>
      <c r="G544" s="850" t="s">
        <v>12030</v>
      </c>
      <c r="H544" s="849" t="s">
        <v>10716</v>
      </c>
      <c r="I544" s="849"/>
      <c r="J544" s="851">
        <v>4.75</v>
      </c>
      <c r="K544" s="848" t="s">
        <v>12031</v>
      </c>
    </row>
    <row r="545" spans="2:11">
      <c r="B545" s="848">
        <v>542</v>
      </c>
      <c r="C545" s="848" t="s">
        <v>12014</v>
      </c>
      <c r="D545" s="849" t="s">
        <v>12015</v>
      </c>
      <c r="E545" s="848" t="s">
        <v>9487</v>
      </c>
      <c r="F545" s="848" t="s">
        <v>12032</v>
      </c>
      <c r="G545" s="850" t="s">
        <v>11528</v>
      </c>
      <c r="H545" s="849" t="s">
        <v>10716</v>
      </c>
      <c r="I545" s="849"/>
      <c r="J545" s="851">
        <v>11.51</v>
      </c>
      <c r="K545" s="848" t="s">
        <v>12031</v>
      </c>
    </row>
    <row r="546" spans="2:11">
      <c r="B546" s="848">
        <v>543</v>
      </c>
      <c r="C546" s="848" t="s">
        <v>12014</v>
      </c>
      <c r="D546" s="849" t="s">
        <v>12015</v>
      </c>
      <c r="E546" s="848" t="s">
        <v>9487</v>
      </c>
      <c r="F546" s="848" t="s">
        <v>12033</v>
      </c>
      <c r="G546" s="850" t="s">
        <v>12034</v>
      </c>
      <c r="H546" s="849" t="s">
        <v>10716</v>
      </c>
      <c r="I546" s="849"/>
      <c r="J546" s="851">
        <v>7.91</v>
      </c>
      <c r="K546" s="848" t="s">
        <v>12035</v>
      </c>
    </row>
    <row r="547" spans="2:11">
      <c r="B547" s="848">
        <v>544</v>
      </c>
      <c r="C547" s="848" t="s">
        <v>12014</v>
      </c>
      <c r="D547" s="849" t="s">
        <v>12015</v>
      </c>
      <c r="E547" s="848" t="s">
        <v>9487</v>
      </c>
      <c r="F547" s="848" t="s">
        <v>12036</v>
      </c>
      <c r="G547" s="850" t="s">
        <v>12037</v>
      </c>
      <c r="H547" s="849" t="s">
        <v>10716</v>
      </c>
      <c r="I547" s="849"/>
      <c r="J547" s="851">
        <v>19.18</v>
      </c>
      <c r="K547" s="848" t="s">
        <v>12035</v>
      </c>
    </row>
    <row r="548" spans="2:11">
      <c r="B548" s="848">
        <v>545</v>
      </c>
      <c r="C548" s="848" t="s">
        <v>12014</v>
      </c>
      <c r="D548" s="849" t="s">
        <v>12015</v>
      </c>
      <c r="E548" s="848" t="s">
        <v>9487</v>
      </c>
      <c r="F548" s="848" t="s">
        <v>12038</v>
      </c>
      <c r="G548" s="850" t="s">
        <v>12039</v>
      </c>
      <c r="H548" s="849" t="s">
        <v>10716</v>
      </c>
      <c r="I548" s="849"/>
      <c r="J548" s="851">
        <v>15.34</v>
      </c>
      <c r="K548" s="848" t="s">
        <v>12018</v>
      </c>
    </row>
    <row r="549" spans="2:11">
      <c r="B549" s="848">
        <v>546</v>
      </c>
      <c r="C549" s="848" t="s">
        <v>12014</v>
      </c>
      <c r="D549" s="849" t="s">
        <v>12015</v>
      </c>
      <c r="E549" s="848" t="s">
        <v>9487</v>
      </c>
      <c r="F549" s="848" t="s">
        <v>12040</v>
      </c>
      <c r="G549" s="850" t="s">
        <v>12041</v>
      </c>
      <c r="H549" s="849" t="s">
        <v>10716</v>
      </c>
      <c r="I549" s="849"/>
      <c r="J549" s="851">
        <v>11.51</v>
      </c>
      <c r="K549" s="848" t="s">
        <v>12042</v>
      </c>
    </row>
    <row r="550" spans="2:11">
      <c r="B550" s="848">
        <v>547</v>
      </c>
      <c r="C550" s="848" t="s">
        <v>12014</v>
      </c>
      <c r="D550" s="849" t="s">
        <v>12015</v>
      </c>
      <c r="E550" s="848" t="s">
        <v>9487</v>
      </c>
      <c r="F550" s="848" t="s">
        <v>12043</v>
      </c>
      <c r="G550" s="850" t="s">
        <v>12044</v>
      </c>
      <c r="H550" s="849" t="s">
        <v>10716</v>
      </c>
      <c r="I550" s="849"/>
      <c r="J550" s="851">
        <v>4.75</v>
      </c>
      <c r="K550" s="848" t="s">
        <v>12042</v>
      </c>
    </row>
    <row r="551" spans="2:11">
      <c r="B551" s="848">
        <v>548</v>
      </c>
      <c r="C551" s="848" t="s">
        <v>12014</v>
      </c>
      <c r="D551" s="849" t="s">
        <v>12015</v>
      </c>
      <c r="E551" s="848" t="s">
        <v>9487</v>
      </c>
      <c r="F551" s="848" t="s">
        <v>12045</v>
      </c>
      <c r="G551" s="850" t="s">
        <v>12046</v>
      </c>
      <c r="H551" s="849" t="s">
        <v>10716</v>
      </c>
      <c r="I551" s="849"/>
      <c r="J551" s="851">
        <v>15.34</v>
      </c>
      <c r="K551" s="848" t="s">
        <v>12020</v>
      </c>
    </row>
    <row r="552" spans="2:11">
      <c r="B552" s="848">
        <v>549</v>
      </c>
      <c r="C552" s="848" t="s">
        <v>12014</v>
      </c>
      <c r="D552" s="849" t="s">
        <v>12015</v>
      </c>
      <c r="E552" s="848" t="s">
        <v>9487</v>
      </c>
      <c r="F552" s="848" t="s">
        <v>12047</v>
      </c>
      <c r="G552" s="850" t="s">
        <v>12048</v>
      </c>
      <c r="H552" s="849" t="s">
        <v>10716</v>
      </c>
      <c r="I552" s="849"/>
      <c r="J552" s="851">
        <v>15.34</v>
      </c>
      <c r="K552" s="848" t="s">
        <v>12023</v>
      </c>
    </row>
    <row r="553" spans="2:11">
      <c r="B553" s="848">
        <v>550</v>
      </c>
      <c r="C553" s="848" t="s">
        <v>12014</v>
      </c>
      <c r="D553" s="849" t="s">
        <v>12015</v>
      </c>
      <c r="E553" s="848" t="s">
        <v>9487</v>
      </c>
      <c r="F553" s="848" t="s">
        <v>12049</v>
      </c>
      <c r="G553" s="850" t="s">
        <v>12050</v>
      </c>
      <c r="H553" s="849" t="s">
        <v>10716</v>
      </c>
      <c r="I553" s="849"/>
      <c r="J553" s="851">
        <v>11.51</v>
      </c>
      <c r="K553" s="848" t="s">
        <v>12025</v>
      </c>
    </row>
    <row r="554" spans="2:11">
      <c r="B554" s="848">
        <v>551</v>
      </c>
      <c r="C554" s="848" t="s">
        <v>12014</v>
      </c>
      <c r="D554" s="849" t="s">
        <v>12015</v>
      </c>
      <c r="E554" s="848" t="s">
        <v>9487</v>
      </c>
      <c r="F554" s="848" t="s">
        <v>11363</v>
      </c>
      <c r="G554" s="850" t="s">
        <v>12051</v>
      </c>
      <c r="H554" s="849" t="s">
        <v>10716</v>
      </c>
      <c r="I554" s="849"/>
      <c r="J554" s="851">
        <v>153.35</v>
      </c>
      <c r="K554" s="848" t="s">
        <v>5932</v>
      </c>
    </row>
    <row r="555" spans="2:11">
      <c r="B555" s="848">
        <v>552</v>
      </c>
      <c r="C555" s="848" t="s">
        <v>12014</v>
      </c>
      <c r="D555" s="849" t="s">
        <v>12015</v>
      </c>
      <c r="E555" s="848" t="s">
        <v>9487</v>
      </c>
      <c r="F555" s="848" t="s">
        <v>12052</v>
      </c>
      <c r="G555" s="850" t="s">
        <v>12053</v>
      </c>
      <c r="H555" s="849" t="s">
        <v>10716</v>
      </c>
      <c r="I555" s="849"/>
      <c r="J555" s="851">
        <v>15.34</v>
      </c>
      <c r="K555" s="848" t="s">
        <v>12028</v>
      </c>
    </row>
    <row r="556" spans="2:11" ht="25">
      <c r="B556" s="848">
        <v>553</v>
      </c>
      <c r="C556" s="848" t="s">
        <v>691</v>
      </c>
      <c r="D556" s="849" t="s">
        <v>127</v>
      </c>
      <c r="E556" s="848" t="s">
        <v>11991</v>
      </c>
      <c r="F556" s="848" t="s">
        <v>11975</v>
      </c>
      <c r="G556" s="850" t="s">
        <v>12054</v>
      </c>
      <c r="H556" s="849" t="s">
        <v>10716</v>
      </c>
      <c r="I556" s="849"/>
      <c r="J556" s="851">
        <v>7283.94</v>
      </c>
      <c r="K556" s="848" t="s">
        <v>12055</v>
      </c>
    </row>
    <row r="557" spans="2:11">
      <c r="B557" s="848">
        <v>554</v>
      </c>
      <c r="C557" s="848" t="s">
        <v>12056</v>
      </c>
      <c r="D557" s="849" t="s">
        <v>12057</v>
      </c>
      <c r="E557" s="848" t="s">
        <v>3244</v>
      </c>
      <c r="F557" s="848" t="s">
        <v>12058</v>
      </c>
      <c r="G557" s="850" t="s">
        <v>12059</v>
      </c>
      <c r="H557" s="849" t="s">
        <v>10716</v>
      </c>
      <c r="I557" s="849"/>
      <c r="J557" s="851">
        <v>3.835</v>
      </c>
      <c r="K557" s="848" t="s">
        <v>12060</v>
      </c>
    </row>
    <row r="558" spans="2:11">
      <c r="B558" s="848">
        <v>555</v>
      </c>
      <c r="C558" s="848" t="s">
        <v>12056</v>
      </c>
      <c r="D558" s="849" t="s">
        <v>12057</v>
      </c>
      <c r="E558" s="848" t="s">
        <v>3244</v>
      </c>
      <c r="F558" s="848" t="s">
        <v>12061</v>
      </c>
      <c r="G558" s="850" t="s">
        <v>12062</v>
      </c>
      <c r="H558" s="849" t="s">
        <v>10716</v>
      </c>
      <c r="I558" s="849"/>
      <c r="J558" s="851">
        <v>19.175000000000001</v>
      </c>
      <c r="K558" s="848" t="s">
        <v>12063</v>
      </c>
    </row>
    <row r="559" spans="2:11">
      <c r="B559" s="848">
        <v>556</v>
      </c>
      <c r="C559" s="848" t="s">
        <v>12056</v>
      </c>
      <c r="D559" s="849" t="s">
        <v>12057</v>
      </c>
      <c r="E559" s="848" t="s">
        <v>3244</v>
      </c>
      <c r="F559" s="848" t="s">
        <v>12064</v>
      </c>
      <c r="G559" s="850" t="s">
        <v>12065</v>
      </c>
      <c r="H559" s="849" t="s">
        <v>10716</v>
      </c>
      <c r="I559" s="849"/>
      <c r="J559" s="851">
        <v>19.175000000000001</v>
      </c>
      <c r="K559" s="848" t="s">
        <v>12066</v>
      </c>
    </row>
    <row r="560" spans="2:11">
      <c r="B560" s="848">
        <v>557</v>
      </c>
      <c r="C560" s="848" t="s">
        <v>12056</v>
      </c>
      <c r="D560" s="849" t="s">
        <v>12057</v>
      </c>
      <c r="E560" s="848" t="s">
        <v>3244</v>
      </c>
      <c r="F560" s="848" t="s">
        <v>12067</v>
      </c>
      <c r="G560" s="850" t="s">
        <v>12068</v>
      </c>
      <c r="H560" s="849" t="s">
        <v>10716</v>
      </c>
      <c r="I560" s="849"/>
      <c r="J560" s="851">
        <v>475.4</v>
      </c>
      <c r="K560" s="848" t="s">
        <v>6082</v>
      </c>
    </row>
    <row r="561" spans="2:11">
      <c r="B561" s="848">
        <v>558</v>
      </c>
      <c r="C561" s="848" t="s">
        <v>12056</v>
      </c>
      <c r="D561" s="849" t="s">
        <v>12057</v>
      </c>
      <c r="E561" s="848" t="s">
        <v>3244</v>
      </c>
      <c r="F561" s="848" t="s">
        <v>12069</v>
      </c>
      <c r="G561" s="850" t="s">
        <v>12070</v>
      </c>
      <c r="H561" s="849" t="s">
        <v>10716</v>
      </c>
      <c r="I561" s="849"/>
      <c r="J561" s="851">
        <v>332.78</v>
      </c>
      <c r="K561" s="848" t="s">
        <v>6404</v>
      </c>
    </row>
    <row r="562" spans="2:11" ht="25">
      <c r="B562" s="848">
        <v>559</v>
      </c>
      <c r="C562" s="848" t="s">
        <v>12071</v>
      </c>
      <c r="D562" s="849" t="s">
        <v>12072</v>
      </c>
      <c r="E562" s="848" t="s">
        <v>10807</v>
      </c>
      <c r="F562" s="848" t="s">
        <v>11916</v>
      </c>
      <c r="G562" s="850" t="s">
        <v>10749</v>
      </c>
      <c r="H562" s="849" t="s">
        <v>10716</v>
      </c>
      <c r="I562" s="849"/>
      <c r="J562" s="851">
        <v>25875.72</v>
      </c>
      <c r="K562" s="848" t="s">
        <v>12073</v>
      </c>
    </row>
    <row r="563" spans="2:11">
      <c r="B563" s="848">
        <v>560</v>
      </c>
      <c r="C563" s="848" t="s">
        <v>1313</v>
      </c>
      <c r="D563" s="849" t="s">
        <v>7986</v>
      </c>
      <c r="E563" s="848" t="s">
        <v>12074</v>
      </c>
      <c r="F563" s="848" t="s">
        <v>12075</v>
      </c>
      <c r="G563" s="850" t="s">
        <v>10727</v>
      </c>
      <c r="H563" s="849" t="s">
        <v>10716</v>
      </c>
      <c r="I563" s="849"/>
      <c r="J563" s="851">
        <v>232.96356</v>
      </c>
      <c r="K563" s="848" t="s">
        <v>6735</v>
      </c>
    </row>
    <row r="564" spans="2:11">
      <c r="B564" s="848">
        <v>561</v>
      </c>
      <c r="C564" s="848" t="s">
        <v>1313</v>
      </c>
      <c r="D564" s="849" t="s">
        <v>7986</v>
      </c>
      <c r="E564" s="848" t="s">
        <v>12074</v>
      </c>
      <c r="F564" s="848" t="s">
        <v>12076</v>
      </c>
      <c r="G564" s="850" t="s">
        <v>10729</v>
      </c>
      <c r="H564" s="849" t="s">
        <v>10716</v>
      </c>
      <c r="I564" s="849"/>
      <c r="J564" s="851">
        <v>177.95827499999999</v>
      </c>
      <c r="K564" s="848" t="s">
        <v>6736</v>
      </c>
    </row>
    <row r="565" spans="2:11">
      <c r="B565" s="848">
        <v>562</v>
      </c>
      <c r="C565" s="848" t="s">
        <v>1313</v>
      </c>
      <c r="D565" s="849" t="s">
        <v>7986</v>
      </c>
      <c r="E565" s="848" t="s">
        <v>12074</v>
      </c>
      <c r="F565" s="848" t="s">
        <v>12077</v>
      </c>
      <c r="G565" s="850" t="s">
        <v>10731</v>
      </c>
      <c r="H565" s="849" t="s">
        <v>10716</v>
      </c>
      <c r="I565" s="849"/>
      <c r="J565" s="851">
        <v>93.832544999999996</v>
      </c>
      <c r="K565" s="848" t="s">
        <v>12078</v>
      </c>
    </row>
    <row r="566" spans="2:11">
      <c r="B566" s="848">
        <v>563</v>
      </c>
      <c r="C566" s="848" t="s">
        <v>1313</v>
      </c>
      <c r="D566" s="849" t="s">
        <v>7986</v>
      </c>
      <c r="E566" s="848" t="s">
        <v>3321</v>
      </c>
      <c r="F566" s="848" t="s">
        <v>11594</v>
      </c>
      <c r="G566" s="850" t="s">
        <v>12079</v>
      </c>
      <c r="H566" s="849" t="s">
        <v>10716</v>
      </c>
      <c r="I566" s="849"/>
      <c r="J566" s="851">
        <v>4107.9399999999996</v>
      </c>
      <c r="K566" s="848" t="s">
        <v>6735</v>
      </c>
    </row>
    <row r="567" spans="2:11">
      <c r="B567" s="848">
        <v>564</v>
      </c>
      <c r="C567" s="848" t="s">
        <v>1313</v>
      </c>
      <c r="D567" s="849" t="s">
        <v>7986</v>
      </c>
      <c r="E567" s="848" t="s">
        <v>3321</v>
      </c>
      <c r="F567" s="848" t="s">
        <v>11590</v>
      </c>
      <c r="G567" s="850" t="s">
        <v>12080</v>
      </c>
      <c r="H567" s="849" t="s">
        <v>10716</v>
      </c>
      <c r="I567" s="849"/>
      <c r="J567" s="851">
        <v>4036.0149999999999</v>
      </c>
      <c r="K567" s="848" t="s">
        <v>6736</v>
      </c>
    </row>
    <row r="568" spans="2:11">
      <c r="B568" s="848">
        <v>565</v>
      </c>
      <c r="C568" s="848" t="s">
        <v>1313</v>
      </c>
      <c r="D568" s="849" t="s">
        <v>7986</v>
      </c>
      <c r="E568" s="848" t="s">
        <v>3321</v>
      </c>
      <c r="F568" s="848" t="s">
        <v>11573</v>
      </c>
      <c r="G568" s="850" t="s">
        <v>12081</v>
      </c>
      <c r="H568" s="849" t="s">
        <v>10716</v>
      </c>
      <c r="I568" s="849"/>
      <c r="J568" s="851">
        <v>1654.59</v>
      </c>
      <c r="K568" s="848" t="s">
        <v>12078</v>
      </c>
    </row>
    <row r="569" spans="2:11" ht="25">
      <c r="B569" s="848">
        <v>566</v>
      </c>
      <c r="C569" s="848" t="s">
        <v>12082</v>
      </c>
      <c r="D569" s="849" t="s">
        <v>5731</v>
      </c>
      <c r="E569" s="848" t="s">
        <v>3310</v>
      </c>
      <c r="F569" s="848" t="s">
        <v>10759</v>
      </c>
      <c r="G569" s="850" t="s">
        <v>12083</v>
      </c>
      <c r="H569" s="849" t="s">
        <v>10716</v>
      </c>
      <c r="I569" s="849"/>
      <c r="J569" s="851">
        <v>18</v>
      </c>
      <c r="K569" s="848" t="s">
        <v>6626</v>
      </c>
    </row>
    <row r="570" spans="2:11" ht="25">
      <c r="B570" s="848">
        <v>567</v>
      </c>
      <c r="C570" s="848" t="s">
        <v>12082</v>
      </c>
      <c r="D570" s="849" t="s">
        <v>5731</v>
      </c>
      <c r="E570" s="848" t="s">
        <v>3267</v>
      </c>
      <c r="F570" s="848" t="s">
        <v>12084</v>
      </c>
      <c r="G570" s="850" t="s">
        <v>12085</v>
      </c>
      <c r="H570" s="849" t="s">
        <v>10716</v>
      </c>
      <c r="I570" s="849"/>
      <c r="J570" s="851">
        <v>32.35</v>
      </c>
      <c r="K570" s="848" t="s">
        <v>6628</v>
      </c>
    </row>
    <row r="571" spans="2:11" ht="25">
      <c r="B571" s="848">
        <v>568</v>
      </c>
      <c r="C571" s="848" t="s">
        <v>12082</v>
      </c>
      <c r="D571" s="849" t="s">
        <v>5731</v>
      </c>
      <c r="E571" s="848" t="s">
        <v>3267</v>
      </c>
      <c r="F571" s="848" t="s">
        <v>12086</v>
      </c>
      <c r="G571" s="850" t="s">
        <v>12087</v>
      </c>
      <c r="H571" s="849" t="s">
        <v>10716</v>
      </c>
      <c r="I571" s="849"/>
      <c r="J571" s="851">
        <v>13.86</v>
      </c>
      <c r="K571" s="848" t="s">
        <v>6629</v>
      </c>
    </row>
    <row r="572" spans="2:11" ht="25">
      <c r="B572" s="848">
        <v>569</v>
      </c>
      <c r="C572" s="848" t="s">
        <v>12082</v>
      </c>
      <c r="D572" s="849" t="s">
        <v>5731</v>
      </c>
      <c r="E572" s="848" t="s">
        <v>3267</v>
      </c>
      <c r="F572" s="848" t="s">
        <v>12088</v>
      </c>
      <c r="G572" s="850" t="s">
        <v>12089</v>
      </c>
      <c r="H572" s="849" t="s">
        <v>10716</v>
      </c>
      <c r="I572" s="849"/>
      <c r="J572" s="851">
        <v>23.1</v>
      </c>
      <c r="K572" s="848" t="s">
        <v>6630</v>
      </c>
    </row>
    <row r="573" spans="2:11">
      <c r="B573" s="848">
        <v>570</v>
      </c>
      <c r="C573" s="848" t="s">
        <v>1294</v>
      </c>
      <c r="D573" s="849" t="s">
        <v>8057</v>
      </c>
      <c r="E573" s="848" t="s">
        <v>3344</v>
      </c>
      <c r="F573" s="848" t="s">
        <v>11169</v>
      </c>
      <c r="G573" s="850" t="s">
        <v>12090</v>
      </c>
      <c r="H573" s="849" t="s">
        <v>10716</v>
      </c>
      <c r="I573" s="849"/>
      <c r="J573" s="851">
        <v>304</v>
      </c>
      <c r="K573" s="848" t="s">
        <v>6699</v>
      </c>
    </row>
    <row r="574" spans="2:11">
      <c r="B574" s="848">
        <v>571</v>
      </c>
      <c r="C574" s="848" t="s">
        <v>1294</v>
      </c>
      <c r="D574" s="849" t="s">
        <v>8057</v>
      </c>
      <c r="E574" s="848" t="s">
        <v>3344</v>
      </c>
      <c r="F574" s="848" t="s">
        <v>11712</v>
      </c>
      <c r="G574" s="850" t="s">
        <v>12091</v>
      </c>
      <c r="H574" s="849" t="s">
        <v>10716</v>
      </c>
      <c r="I574" s="849"/>
      <c r="J574" s="851">
        <v>102</v>
      </c>
      <c r="K574" s="848" t="s">
        <v>6603</v>
      </c>
    </row>
    <row r="575" spans="2:11">
      <c r="B575" s="848">
        <v>572</v>
      </c>
      <c r="C575" s="848" t="s">
        <v>12092</v>
      </c>
      <c r="D575" s="849" t="s">
        <v>12093</v>
      </c>
      <c r="E575" s="848" t="s">
        <v>12094</v>
      </c>
      <c r="F575" s="848" t="s">
        <v>12095</v>
      </c>
      <c r="G575" s="850" t="s">
        <v>12096</v>
      </c>
      <c r="H575" s="849" t="s">
        <v>10716</v>
      </c>
      <c r="I575" s="849"/>
      <c r="J575" s="851">
        <v>237.7</v>
      </c>
      <c r="K575" s="848" t="s">
        <v>6421</v>
      </c>
    </row>
    <row r="576" spans="2:11">
      <c r="B576" s="848">
        <v>573</v>
      </c>
      <c r="C576" s="848" t="s">
        <v>12092</v>
      </c>
      <c r="D576" s="849" t="s">
        <v>12093</v>
      </c>
      <c r="E576" s="848" t="s">
        <v>12094</v>
      </c>
      <c r="F576" s="848" t="s">
        <v>11173</v>
      </c>
      <c r="G576" s="850" t="s">
        <v>12097</v>
      </c>
      <c r="H576" s="849" t="s">
        <v>10716</v>
      </c>
      <c r="I576" s="849"/>
      <c r="J576" s="851">
        <v>142.65</v>
      </c>
      <c r="K576" s="848" t="s">
        <v>6422</v>
      </c>
    </row>
    <row r="577" spans="2:11">
      <c r="B577" s="848">
        <v>574</v>
      </c>
      <c r="C577" s="848" t="s">
        <v>1337</v>
      </c>
      <c r="D577" s="849" t="s">
        <v>7181</v>
      </c>
      <c r="E577" s="848" t="s">
        <v>12098</v>
      </c>
      <c r="F577" s="848" t="s">
        <v>11175</v>
      </c>
      <c r="G577" s="850" t="s">
        <v>12099</v>
      </c>
      <c r="H577" s="849" t="s">
        <v>10716</v>
      </c>
      <c r="I577" s="849"/>
      <c r="J577" s="851">
        <v>18.36</v>
      </c>
      <c r="K577" s="848" t="s">
        <v>6523</v>
      </c>
    </row>
    <row r="578" spans="2:11">
      <c r="B578" s="848">
        <v>575</v>
      </c>
      <c r="C578" s="848" t="s">
        <v>1337</v>
      </c>
      <c r="D578" s="849" t="s">
        <v>7181</v>
      </c>
      <c r="E578" s="848" t="s">
        <v>12098</v>
      </c>
      <c r="F578" s="848" t="s">
        <v>12100</v>
      </c>
      <c r="G578" s="850" t="s">
        <v>12101</v>
      </c>
      <c r="H578" s="849" t="s">
        <v>10716</v>
      </c>
      <c r="I578" s="849"/>
      <c r="J578" s="851">
        <v>9.18</v>
      </c>
      <c r="K578" s="848" t="s">
        <v>6524</v>
      </c>
    </row>
    <row r="579" spans="2:11">
      <c r="B579" s="848">
        <v>576</v>
      </c>
      <c r="C579" s="848" t="s">
        <v>12102</v>
      </c>
      <c r="D579" s="849" t="s">
        <v>12103</v>
      </c>
      <c r="E579" s="848" t="s">
        <v>3758</v>
      </c>
      <c r="F579" s="848" t="s">
        <v>12104</v>
      </c>
      <c r="G579" s="850" t="s">
        <v>12105</v>
      </c>
      <c r="H579" s="849" t="s">
        <v>10716</v>
      </c>
      <c r="I579" s="849"/>
      <c r="J579" s="851">
        <v>3.84</v>
      </c>
      <c r="K579" s="848" t="s">
        <v>12106</v>
      </c>
    </row>
    <row r="580" spans="2:11" ht="25">
      <c r="B580" s="848">
        <v>577</v>
      </c>
      <c r="C580" s="848" t="s">
        <v>12107</v>
      </c>
      <c r="D580" s="849" t="s">
        <v>8073</v>
      </c>
      <c r="E580" s="848" t="s">
        <v>9471</v>
      </c>
      <c r="F580" s="848" t="s">
        <v>11985</v>
      </c>
      <c r="G580" s="850" t="s">
        <v>12108</v>
      </c>
      <c r="H580" s="849" t="s">
        <v>10716</v>
      </c>
      <c r="I580" s="849"/>
      <c r="J580" s="851">
        <v>4600.38</v>
      </c>
      <c r="K580" s="848" t="s">
        <v>6386</v>
      </c>
    </row>
    <row r="581" spans="2:11" ht="25">
      <c r="B581" s="848">
        <v>578</v>
      </c>
      <c r="C581" s="848" t="s">
        <v>715</v>
      </c>
      <c r="D581" s="849" t="s">
        <v>12109</v>
      </c>
      <c r="E581" s="848" t="s">
        <v>3347</v>
      </c>
      <c r="F581" s="848" t="s">
        <v>12110</v>
      </c>
      <c r="G581" s="850" t="s">
        <v>10749</v>
      </c>
      <c r="H581" s="849" t="s">
        <v>10716</v>
      </c>
      <c r="I581" s="849"/>
      <c r="J581" s="851">
        <v>4818.45</v>
      </c>
      <c r="K581" s="848" t="s">
        <v>12111</v>
      </c>
    </row>
    <row r="582" spans="2:11" ht="25">
      <c r="B582" s="848">
        <v>579</v>
      </c>
      <c r="C582" s="848" t="s">
        <v>715</v>
      </c>
      <c r="D582" s="849" t="s">
        <v>12109</v>
      </c>
      <c r="E582" s="848" t="s">
        <v>3347</v>
      </c>
      <c r="F582" s="848" t="s">
        <v>11542</v>
      </c>
      <c r="G582" s="850" t="s">
        <v>10749</v>
      </c>
      <c r="H582" s="849" t="s">
        <v>10716</v>
      </c>
      <c r="I582" s="849"/>
      <c r="J582" s="851">
        <v>14980.68</v>
      </c>
      <c r="K582" s="848" t="s">
        <v>6769</v>
      </c>
    </row>
    <row r="583" spans="2:11" ht="25">
      <c r="B583" s="848">
        <v>580</v>
      </c>
      <c r="C583" s="848" t="s">
        <v>715</v>
      </c>
      <c r="D583" s="849" t="s">
        <v>12109</v>
      </c>
      <c r="E583" s="848" t="s">
        <v>8582</v>
      </c>
      <c r="F583" s="848" t="s">
        <v>12112</v>
      </c>
      <c r="G583" s="850" t="s">
        <v>12113</v>
      </c>
      <c r="H583" s="849" t="s">
        <v>10716</v>
      </c>
      <c r="I583" s="849"/>
      <c r="J583" s="851">
        <v>10734.22</v>
      </c>
      <c r="K583" s="848" t="s">
        <v>12114</v>
      </c>
    </row>
    <row r="584" spans="2:11" ht="25">
      <c r="B584" s="848">
        <v>581</v>
      </c>
      <c r="C584" s="848" t="s">
        <v>715</v>
      </c>
      <c r="D584" s="849" t="s">
        <v>12109</v>
      </c>
      <c r="E584" s="848" t="s">
        <v>3393</v>
      </c>
      <c r="F584" s="848" t="s">
        <v>11983</v>
      </c>
      <c r="G584" s="850" t="s">
        <v>12115</v>
      </c>
      <c r="H584" s="849" t="s">
        <v>10716</v>
      </c>
      <c r="I584" s="849"/>
      <c r="J584" s="851">
        <v>142611.78</v>
      </c>
      <c r="K584" s="848" t="s">
        <v>12116</v>
      </c>
    </row>
    <row r="585" spans="2:11" ht="25">
      <c r="B585" s="848">
        <v>582</v>
      </c>
      <c r="C585" s="848" t="s">
        <v>715</v>
      </c>
      <c r="D585" s="849" t="s">
        <v>12109</v>
      </c>
      <c r="E585" s="848" t="s">
        <v>11895</v>
      </c>
      <c r="F585" s="848" t="s">
        <v>11981</v>
      </c>
      <c r="G585" s="850" t="s">
        <v>12117</v>
      </c>
      <c r="H585" s="849" t="s">
        <v>10716</v>
      </c>
      <c r="I585" s="849"/>
      <c r="J585" s="851">
        <v>138011.4</v>
      </c>
      <c r="K585" s="848" t="s">
        <v>5833</v>
      </c>
    </row>
    <row r="586" spans="2:11" ht="25">
      <c r="B586" s="848">
        <v>583</v>
      </c>
      <c r="C586" s="848" t="s">
        <v>715</v>
      </c>
      <c r="D586" s="849" t="s">
        <v>12109</v>
      </c>
      <c r="E586" s="848" t="s">
        <v>12118</v>
      </c>
      <c r="F586" s="848" t="s">
        <v>12119</v>
      </c>
      <c r="G586" s="850" t="s">
        <v>12120</v>
      </c>
      <c r="H586" s="849" t="s">
        <v>10716</v>
      </c>
      <c r="I586" s="849"/>
      <c r="J586" s="851">
        <v>5253.17</v>
      </c>
      <c r="K586" s="848" t="s">
        <v>6778</v>
      </c>
    </row>
    <row r="587" spans="2:11" ht="25">
      <c r="B587" s="848">
        <v>584</v>
      </c>
      <c r="C587" s="848" t="s">
        <v>715</v>
      </c>
      <c r="D587" s="849" t="s">
        <v>12109</v>
      </c>
      <c r="E587" s="848" t="s">
        <v>12121</v>
      </c>
      <c r="F587" s="848" t="s">
        <v>12122</v>
      </c>
      <c r="G587" s="850" t="s">
        <v>12123</v>
      </c>
      <c r="H587" s="849" t="s">
        <v>10716</v>
      </c>
      <c r="I587" s="849"/>
      <c r="J587" s="851">
        <v>15518.36</v>
      </c>
      <c r="K587" s="848" t="s">
        <v>6769</v>
      </c>
    </row>
    <row r="588" spans="2:11" ht="25">
      <c r="B588" s="848">
        <v>585</v>
      </c>
      <c r="C588" s="848" t="s">
        <v>715</v>
      </c>
      <c r="D588" s="849" t="s">
        <v>12109</v>
      </c>
      <c r="E588" s="848" t="s">
        <v>12124</v>
      </c>
      <c r="F588" s="848" t="s">
        <v>12125</v>
      </c>
      <c r="G588" s="850" t="s">
        <v>12126</v>
      </c>
      <c r="H588" s="849" t="s">
        <v>10716</v>
      </c>
      <c r="I588" s="849"/>
      <c r="J588" s="851">
        <v>4991.7</v>
      </c>
      <c r="K588" s="848" t="s">
        <v>12111</v>
      </c>
    </row>
    <row r="589" spans="2:11" ht="25">
      <c r="B589" s="848">
        <v>586</v>
      </c>
      <c r="C589" s="848" t="s">
        <v>12127</v>
      </c>
      <c r="D589" s="849" t="s">
        <v>12128</v>
      </c>
      <c r="E589" s="848" t="s">
        <v>12009</v>
      </c>
      <c r="F589" s="848" t="s">
        <v>12129</v>
      </c>
      <c r="G589" s="850" t="s">
        <v>12130</v>
      </c>
      <c r="H589" s="849" t="s">
        <v>10716</v>
      </c>
      <c r="I589" s="849"/>
      <c r="J589" s="851">
        <v>237.7</v>
      </c>
      <c r="K589" s="848" t="s">
        <v>5874</v>
      </c>
    </row>
    <row r="590" spans="2:11" ht="25">
      <c r="B590" s="848">
        <v>587</v>
      </c>
      <c r="C590" s="848" t="s">
        <v>12127</v>
      </c>
      <c r="D590" s="849" t="s">
        <v>12128</v>
      </c>
      <c r="E590" s="848" t="s">
        <v>12009</v>
      </c>
      <c r="F590" s="848" t="s">
        <v>11177</v>
      </c>
      <c r="G590" s="850" t="s">
        <v>12131</v>
      </c>
      <c r="H590" s="849" t="s">
        <v>10716</v>
      </c>
      <c r="I590" s="849"/>
      <c r="J590" s="851">
        <v>237.7</v>
      </c>
      <c r="K590" s="848" t="s">
        <v>5875</v>
      </c>
    </row>
    <row r="591" spans="2:11" ht="25">
      <c r="B591" s="848">
        <v>588</v>
      </c>
      <c r="C591" s="848" t="s">
        <v>12127</v>
      </c>
      <c r="D591" s="849" t="s">
        <v>12128</v>
      </c>
      <c r="E591" s="848" t="s">
        <v>12009</v>
      </c>
      <c r="F591" s="848" t="s">
        <v>11179</v>
      </c>
      <c r="G591" s="850" t="s">
        <v>12132</v>
      </c>
      <c r="H591" s="849" t="s">
        <v>10716</v>
      </c>
      <c r="I591" s="849"/>
      <c r="J591" s="851">
        <v>16.07</v>
      </c>
      <c r="K591" s="848" t="s">
        <v>5947</v>
      </c>
    </row>
    <row r="592" spans="2:11">
      <c r="B592" s="848">
        <v>589</v>
      </c>
      <c r="C592" s="848" t="s">
        <v>12133</v>
      </c>
      <c r="D592" s="849" t="s">
        <v>12134</v>
      </c>
      <c r="E592" s="848" t="s">
        <v>8582</v>
      </c>
      <c r="F592" s="848" t="s">
        <v>12135</v>
      </c>
      <c r="G592" s="850" t="s">
        <v>12136</v>
      </c>
      <c r="H592" s="849" t="s">
        <v>10716</v>
      </c>
      <c r="I592" s="849"/>
      <c r="J592" s="851">
        <v>4600.38</v>
      </c>
      <c r="K592" s="848" t="s">
        <v>6294</v>
      </c>
    </row>
    <row r="593" spans="2:11" ht="25">
      <c r="B593" s="848">
        <v>590</v>
      </c>
      <c r="C593" s="848" t="s">
        <v>12137</v>
      </c>
      <c r="D593" s="849" t="s">
        <v>12138</v>
      </c>
      <c r="E593" s="848" t="s">
        <v>3233</v>
      </c>
      <c r="F593" s="848" t="s">
        <v>10730</v>
      </c>
      <c r="G593" s="850" t="s">
        <v>12139</v>
      </c>
      <c r="H593" s="849" t="s">
        <v>10716</v>
      </c>
      <c r="I593" s="849"/>
      <c r="J593" s="851">
        <v>3.17</v>
      </c>
      <c r="K593" s="848" t="s">
        <v>5993</v>
      </c>
    </row>
    <row r="594" spans="2:11" ht="25">
      <c r="B594" s="848">
        <v>591</v>
      </c>
      <c r="C594" s="848" t="s">
        <v>12140</v>
      </c>
      <c r="D594" s="849" t="s">
        <v>12141</v>
      </c>
      <c r="E594" s="848" t="s">
        <v>11085</v>
      </c>
      <c r="F594" s="848" t="s">
        <v>12142</v>
      </c>
      <c r="G594" s="850" t="s">
        <v>12143</v>
      </c>
      <c r="H594" s="849" t="s">
        <v>10716</v>
      </c>
      <c r="I594" s="849"/>
      <c r="J594" s="851">
        <v>23.77</v>
      </c>
      <c r="K594" s="848" t="s">
        <v>5921</v>
      </c>
    </row>
    <row r="595" spans="2:11" ht="25">
      <c r="B595" s="848">
        <v>592</v>
      </c>
      <c r="C595" s="848" t="s">
        <v>12140</v>
      </c>
      <c r="D595" s="849" t="s">
        <v>12141</v>
      </c>
      <c r="E595" s="848" t="s">
        <v>11085</v>
      </c>
      <c r="F595" s="848" t="s">
        <v>11192</v>
      </c>
      <c r="G595" s="850" t="s">
        <v>12144</v>
      </c>
      <c r="H595" s="849" t="s">
        <v>10716</v>
      </c>
      <c r="I595" s="849"/>
      <c r="J595" s="851">
        <v>53.129265000000004</v>
      </c>
      <c r="K595" s="848" t="s">
        <v>5965</v>
      </c>
    </row>
    <row r="596" spans="2:11" ht="25">
      <c r="B596" s="848">
        <v>593</v>
      </c>
      <c r="C596" s="848" t="s">
        <v>12140</v>
      </c>
      <c r="D596" s="849" t="s">
        <v>12141</v>
      </c>
      <c r="E596" s="848" t="s">
        <v>11085</v>
      </c>
      <c r="F596" s="848" t="s">
        <v>12145</v>
      </c>
      <c r="G596" s="850" t="s">
        <v>12146</v>
      </c>
      <c r="H596" s="849" t="s">
        <v>10716</v>
      </c>
      <c r="I596" s="849"/>
      <c r="J596" s="851">
        <v>53.129265000000004</v>
      </c>
      <c r="K596" s="848" t="s">
        <v>5966</v>
      </c>
    </row>
    <row r="597" spans="2:11" ht="25">
      <c r="B597" s="848">
        <v>594</v>
      </c>
      <c r="C597" s="848" t="s">
        <v>12147</v>
      </c>
      <c r="D597" s="849" t="s">
        <v>12148</v>
      </c>
      <c r="E597" s="848" t="s">
        <v>9468</v>
      </c>
      <c r="F597" s="848" t="s">
        <v>12149</v>
      </c>
      <c r="G597" s="850" t="s">
        <v>12150</v>
      </c>
      <c r="H597" s="849" t="s">
        <v>10716</v>
      </c>
      <c r="I597" s="849"/>
      <c r="J597" s="851">
        <v>5750.48</v>
      </c>
      <c r="K597" s="848" t="s">
        <v>6640</v>
      </c>
    </row>
    <row r="598" spans="2:11" ht="25">
      <c r="B598" s="848">
        <v>595</v>
      </c>
      <c r="C598" s="848" t="s">
        <v>12147</v>
      </c>
      <c r="D598" s="849" t="s">
        <v>12148</v>
      </c>
      <c r="E598" s="848" t="s">
        <v>9468</v>
      </c>
      <c r="F598" s="848" t="s">
        <v>12151</v>
      </c>
      <c r="G598" s="850" t="s">
        <v>12152</v>
      </c>
      <c r="H598" s="849" t="s">
        <v>10716</v>
      </c>
      <c r="I598" s="849"/>
      <c r="J598" s="851">
        <v>3066.92</v>
      </c>
      <c r="K598" s="848" t="s">
        <v>6695</v>
      </c>
    </row>
    <row r="599" spans="2:11" ht="25">
      <c r="B599" s="848">
        <v>596</v>
      </c>
      <c r="C599" s="848" t="s">
        <v>12147</v>
      </c>
      <c r="D599" s="849" t="s">
        <v>12148</v>
      </c>
      <c r="E599" s="848" t="s">
        <v>3233</v>
      </c>
      <c r="F599" s="848" t="s">
        <v>12153</v>
      </c>
      <c r="G599" s="850" t="s">
        <v>12154</v>
      </c>
      <c r="H599" s="849" t="s">
        <v>10716</v>
      </c>
      <c r="I599" s="849"/>
      <c r="J599" s="851">
        <v>3.28</v>
      </c>
      <c r="K599" s="848" t="s">
        <v>6806</v>
      </c>
    </row>
    <row r="600" spans="2:11" ht="25">
      <c r="B600" s="848">
        <v>597</v>
      </c>
      <c r="C600" s="848" t="s">
        <v>12147</v>
      </c>
      <c r="D600" s="849" t="s">
        <v>12148</v>
      </c>
      <c r="E600" s="848" t="s">
        <v>9506</v>
      </c>
      <c r="F600" s="848" t="s">
        <v>12155</v>
      </c>
      <c r="G600" s="850" t="s">
        <v>11624</v>
      </c>
      <c r="H600" s="849" t="s">
        <v>10716</v>
      </c>
      <c r="I600" s="849"/>
      <c r="J600" s="851">
        <v>10.842312</v>
      </c>
      <c r="K600" s="848" t="s">
        <v>6277</v>
      </c>
    </row>
    <row r="601" spans="2:11" ht="25">
      <c r="B601" s="848">
        <v>598</v>
      </c>
      <c r="C601" s="848" t="s">
        <v>12147</v>
      </c>
      <c r="D601" s="849" t="s">
        <v>12148</v>
      </c>
      <c r="E601" s="848" t="s">
        <v>9506</v>
      </c>
      <c r="F601" s="848" t="s">
        <v>12156</v>
      </c>
      <c r="G601" s="850" t="s">
        <v>12157</v>
      </c>
      <c r="H601" s="849" t="s">
        <v>10716</v>
      </c>
      <c r="I601" s="849"/>
      <c r="J601" s="851">
        <v>8.1317339999999998</v>
      </c>
      <c r="K601" s="848" t="s">
        <v>6278</v>
      </c>
    </row>
    <row r="602" spans="2:11" ht="25">
      <c r="B602" s="848">
        <v>599</v>
      </c>
      <c r="C602" s="848" t="s">
        <v>12147</v>
      </c>
      <c r="D602" s="849" t="s">
        <v>12148</v>
      </c>
      <c r="E602" s="848" t="s">
        <v>9506</v>
      </c>
      <c r="F602" s="848" t="s">
        <v>12158</v>
      </c>
      <c r="G602" s="850" t="s">
        <v>12159</v>
      </c>
      <c r="H602" s="849" t="s">
        <v>10716</v>
      </c>
      <c r="I602" s="849"/>
      <c r="J602" s="851">
        <v>5.4211559999999999</v>
      </c>
      <c r="K602" s="848" t="s">
        <v>6279</v>
      </c>
    </row>
    <row r="603" spans="2:11" ht="25">
      <c r="B603" s="848">
        <v>600</v>
      </c>
      <c r="C603" s="848" t="s">
        <v>1365</v>
      </c>
      <c r="D603" s="849" t="s">
        <v>12160</v>
      </c>
      <c r="E603" s="848" t="s">
        <v>3583</v>
      </c>
      <c r="F603" s="848" t="s">
        <v>12161</v>
      </c>
      <c r="G603" s="850" t="s">
        <v>12162</v>
      </c>
      <c r="H603" s="849" t="s">
        <v>10716</v>
      </c>
      <c r="I603" s="849"/>
      <c r="J603" s="851">
        <v>142.62</v>
      </c>
      <c r="K603" s="848" t="s">
        <v>6642</v>
      </c>
    </row>
    <row r="604" spans="2:11" ht="25">
      <c r="B604" s="848">
        <v>601</v>
      </c>
      <c r="C604" s="848" t="s">
        <v>1365</v>
      </c>
      <c r="D604" s="849" t="s">
        <v>12160</v>
      </c>
      <c r="E604" s="848" t="s">
        <v>3583</v>
      </c>
      <c r="F604" s="848" t="s">
        <v>11213</v>
      </c>
      <c r="G604" s="850" t="s">
        <v>12163</v>
      </c>
      <c r="H604" s="849" t="s">
        <v>10716</v>
      </c>
      <c r="I604" s="849"/>
      <c r="J604" s="851">
        <v>95.08</v>
      </c>
      <c r="K604" s="848" t="s">
        <v>6643</v>
      </c>
    </row>
    <row r="605" spans="2:11" ht="25">
      <c r="B605" s="848">
        <v>602</v>
      </c>
      <c r="C605" s="848" t="s">
        <v>12164</v>
      </c>
      <c r="D605" s="849" t="s">
        <v>12165</v>
      </c>
      <c r="E605" s="848" t="s">
        <v>11136</v>
      </c>
      <c r="F605" s="848" t="s">
        <v>11564</v>
      </c>
      <c r="G605" s="850" t="s">
        <v>12166</v>
      </c>
      <c r="H605" s="849" t="s">
        <v>10716</v>
      </c>
      <c r="I605" s="849"/>
      <c r="J605" s="851">
        <v>5.0177879999999995</v>
      </c>
      <c r="K605" s="848" t="s">
        <v>6830</v>
      </c>
    </row>
    <row r="606" spans="2:11" ht="25">
      <c r="B606" s="848">
        <v>603</v>
      </c>
      <c r="C606" s="848" t="s">
        <v>12164</v>
      </c>
      <c r="D606" s="849" t="s">
        <v>12165</v>
      </c>
      <c r="E606" s="848" t="s">
        <v>11136</v>
      </c>
      <c r="F606" s="848" t="s">
        <v>11570</v>
      </c>
      <c r="G606" s="850" t="s">
        <v>12167</v>
      </c>
      <c r="H606" s="849" t="s">
        <v>10716</v>
      </c>
      <c r="I606" s="849"/>
      <c r="J606" s="851">
        <v>3.3451919999999999</v>
      </c>
      <c r="K606" s="848" t="s">
        <v>6831</v>
      </c>
    </row>
    <row r="607" spans="2:11" ht="37.5">
      <c r="B607" s="848">
        <v>604</v>
      </c>
      <c r="C607" s="848" t="s">
        <v>1414</v>
      </c>
      <c r="D607" s="849" t="s">
        <v>1056</v>
      </c>
      <c r="E607" s="848" t="s">
        <v>11571</v>
      </c>
      <c r="F607" s="848" t="s">
        <v>12168</v>
      </c>
      <c r="G607" s="850" t="s">
        <v>12169</v>
      </c>
      <c r="H607" s="849" t="s">
        <v>10716</v>
      </c>
      <c r="I607" s="849"/>
      <c r="J607" s="851">
        <v>286</v>
      </c>
      <c r="K607" s="848" t="s">
        <v>6093</v>
      </c>
    </row>
    <row r="608" spans="2:11" ht="25">
      <c r="B608" s="848">
        <v>605</v>
      </c>
      <c r="C608" s="848" t="s">
        <v>1366</v>
      </c>
      <c r="D608" s="849" t="s">
        <v>1031</v>
      </c>
      <c r="E608" s="848" t="s">
        <v>9429</v>
      </c>
      <c r="F608" s="848" t="s">
        <v>12170</v>
      </c>
      <c r="G608" s="850" t="s">
        <v>11009</v>
      </c>
      <c r="H608" s="849" t="s">
        <v>10716</v>
      </c>
      <c r="I608" s="849"/>
      <c r="J608" s="851">
        <v>1901.6</v>
      </c>
      <c r="K608" s="848" t="s">
        <v>12171</v>
      </c>
    </row>
    <row r="609" spans="2:11" ht="25">
      <c r="B609" s="848">
        <v>606</v>
      </c>
      <c r="C609" s="848" t="s">
        <v>1366</v>
      </c>
      <c r="D609" s="849" t="s">
        <v>1031</v>
      </c>
      <c r="E609" s="848" t="s">
        <v>9429</v>
      </c>
      <c r="F609" s="848" t="s">
        <v>11700</v>
      </c>
      <c r="G609" s="850" t="s">
        <v>11007</v>
      </c>
      <c r="H609" s="849" t="s">
        <v>10716</v>
      </c>
      <c r="I609" s="849"/>
      <c r="J609" s="851">
        <v>685.91</v>
      </c>
      <c r="K609" s="848" t="s">
        <v>12171</v>
      </c>
    </row>
    <row r="610" spans="2:11" ht="25">
      <c r="B610" s="848">
        <v>607</v>
      </c>
      <c r="C610" s="848" t="s">
        <v>12172</v>
      </c>
      <c r="D610" s="849" t="s">
        <v>278</v>
      </c>
      <c r="E610" s="848" t="s">
        <v>12173</v>
      </c>
      <c r="F610" s="848" t="s">
        <v>12174</v>
      </c>
      <c r="G610" s="850" t="s">
        <v>12175</v>
      </c>
      <c r="H610" s="849" t="s">
        <v>10716</v>
      </c>
      <c r="I610" s="849"/>
      <c r="J610" s="851">
        <v>2116</v>
      </c>
      <c r="K610" s="848" t="s">
        <v>6704</v>
      </c>
    </row>
    <row r="611" spans="2:11" ht="25">
      <c r="B611" s="848">
        <v>608</v>
      </c>
      <c r="C611" s="848" t="s">
        <v>12172</v>
      </c>
      <c r="D611" s="849" t="s">
        <v>278</v>
      </c>
      <c r="E611" s="848" t="s">
        <v>12173</v>
      </c>
      <c r="F611" s="848" t="s">
        <v>12176</v>
      </c>
      <c r="G611" s="850" t="s">
        <v>12177</v>
      </c>
      <c r="H611" s="849" t="s">
        <v>10716</v>
      </c>
      <c r="I611" s="849"/>
      <c r="J611" s="851">
        <v>1764</v>
      </c>
      <c r="K611" s="848" t="s">
        <v>6705</v>
      </c>
    </row>
    <row r="612" spans="2:11" ht="25">
      <c r="B612" s="848">
        <v>609</v>
      </c>
      <c r="C612" s="848" t="s">
        <v>12172</v>
      </c>
      <c r="D612" s="849" t="s">
        <v>278</v>
      </c>
      <c r="E612" s="848" t="s">
        <v>12173</v>
      </c>
      <c r="F612" s="848" t="s">
        <v>12178</v>
      </c>
      <c r="G612" s="850" t="s">
        <v>12179</v>
      </c>
      <c r="H612" s="849" t="s">
        <v>10716</v>
      </c>
      <c r="I612" s="849"/>
      <c r="J612" s="851">
        <v>1764</v>
      </c>
      <c r="K612" s="848" t="s">
        <v>6706</v>
      </c>
    </row>
    <row r="613" spans="2:11">
      <c r="B613" s="848">
        <v>610</v>
      </c>
      <c r="C613" s="848" t="s">
        <v>12180</v>
      </c>
      <c r="D613" s="849" t="s">
        <v>5718</v>
      </c>
      <c r="E613" s="848" t="s">
        <v>12181</v>
      </c>
      <c r="F613" s="848" t="s">
        <v>12182</v>
      </c>
      <c r="G613" s="850" t="s">
        <v>12183</v>
      </c>
      <c r="H613" s="849" t="s">
        <v>10716</v>
      </c>
      <c r="I613" s="849"/>
      <c r="J613" s="851">
        <v>4.8899999999999997</v>
      </c>
      <c r="K613" s="848" t="s">
        <v>6228</v>
      </c>
    </row>
    <row r="614" spans="2:11">
      <c r="B614" s="848">
        <v>611</v>
      </c>
      <c r="C614" s="848" t="s">
        <v>1395</v>
      </c>
      <c r="D614" s="849" t="s">
        <v>335</v>
      </c>
      <c r="E614" s="848" t="s">
        <v>9441</v>
      </c>
      <c r="F614" s="848" t="s">
        <v>12184</v>
      </c>
      <c r="G614" s="850" t="s">
        <v>12185</v>
      </c>
      <c r="H614" s="849" t="s">
        <v>10716</v>
      </c>
      <c r="I614" s="849"/>
      <c r="J614" s="851">
        <v>584.41999999999996</v>
      </c>
      <c r="K614" s="848" t="s">
        <v>6846</v>
      </c>
    </row>
    <row r="615" spans="2:11">
      <c r="B615" s="848">
        <v>612</v>
      </c>
      <c r="C615" s="848" t="s">
        <v>12186</v>
      </c>
      <c r="D615" s="849" t="s">
        <v>12187</v>
      </c>
      <c r="E615" s="848" t="s">
        <v>3393</v>
      </c>
      <c r="F615" s="848" t="s">
        <v>12188</v>
      </c>
      <c r="G615" s="850" t="s">
        <v>12189</v>
      </c>
      <c r="H615" s="849" t="s">
        <v>10716</v>
      </c>
      <c r="I615" s="849"/>
      <c r="J615" s="851">
        <v>10.119999999999999</v>
      </c>
      <c r="K615" s="848" t="s">
        <v>6462</v>
      </c>
    </row>
    <row r="616" spans="2:11">
      <c r="B616" s="848">
        <v>613</v>
      </c>
      <c r="C616" s="848" t="s">
        <v>723</v>
      </c>
      <c r="D616" s="849" t="s">
        <v>12190</v>
      </c>
      <c r="E616" s="848" t="s">
        <v>8582</v>
      </c>
      <c r="F616" s="848" t="s">
        <v>12191</v>
      </c>
      <c r="G616" s="850" t="s">
        <v>12192</v>
      </c>
      <c r="H616" s="849" t="s">
        <v>10716</v>
      </c>
      <c r="I616" s="849"/>
      <c r="J616" s="851">
        <v>16869</v>
      </c>
      <c r="K616" s="848" t="s">
        <v>6078</v>
      </c>
    </row>
    <row r="617" spans="2:11">
      <c r="B617" s="848">
        <v>614</v>
      </c>
      <c r="C617" s="848" t="s">
        <v>723</v>
      </c>
      <c r="D617" s="849" t="s">
        <v>12190</v>
      </c>
      <c r="E617" s="848" t="s">
        <v>3393</v>
      </c>
      <c r="F617" s="848" t="s">
        <v>11759</v>
      </c>
      <c r="G617" s="850" t="s">
        <v>12193</v>
      </c>
      <c r="H617" s="849" t="s">
        <v>10716</v>
      </c>
      <c r="I617" s="849"/>
      <c r="J617" s="851">
        <v>8363.1200000000008</v>
      </c>
      <c r="K617" s="848" t="s">
        <v>12194</v>
      </c>
    </row>
    <row r="618" spans="2:11">
      <c r="B618" s="848">
        <v>615</v>
      </c>
      <c r="C618" s="848" t="s">
        <v>723</v>
      </c>
      <c r="D618" s="849" t="s">
        <v>12190</v>
      </c>
      <c r="E618" s="848" t="s">
        <v>3393</v>
      </c>
      <c r="F618" s="848" t="s">
        <v>11230</v>
      </c>
      <c r="G618" s="850" t="s">
        <v>12195</v>
      </c>
      <c r="H618" s="849" t="s">
        <v>10716</v>
      </c>
      <c r="I618" s="849"/>
      <c r="J618" s="851">
        <v>4104</v>
      </c>
      <c r="K618" s="848" t="s">
        <v>12196</v>
      </c>
    </row>
    <row r="619" spans="2:11">
      <c r="B619" s="848">
        <v>616</v>
      </c>
      <c r="C619" s="848" t="s">
        <v>12197</v>
      </c>
      <c r="D619" s="849" t="s">
        <v>12190</v>
      </c>
      <c r="E619" s="848" t="s">
        <v>3393</v>
      </c>
      <c r="F619" s="848" t="s">
        <v>12198</v>
      </c>
      <c r="G619" s="850" t="s">
        <v>10749</v>
      </c>
      <c r="H619" s="849" t="s">
        <v>10716</v>
      </c>
      <c r="I619" s="849"/>
      <c r="J619" s="851">
        <v>3546</v>
      </c>
      <c r="K619" s="848" t="s">
        <v>12199</v>
      </c>
    </row>
    <row r="620" spans="2:11">
      <c r="B620" s="848">
        <v>617</v>
      </c>
      <c r="C620" s="848" t="s">
        <v>12197</v>
      </c>
      <c r="D620" s="849" t="s">
        <v>12190</v>
      </c>
      <c r="E620" s="848" t="s">
        <v>3393</v>
      </c>
      <c r="F620" s="848" t="s">
        <v>12200</v>
      </c>
      <c r="G620" s="850" t="s">
        <v>10749</v>
      </c>
      <c r="H620" s="849" t="s">
        <v>10716</v>
      </c>
      <c r="I620" s="849"/>
      <c r="J620" s="851">
        <v>7649.68</v>
      </c>
      <c r="K620" s="848" t="s">
        <v>12201</v>
      </c>
    </row>
    <row r="621" spans="2:11">
      <c r="B621" s="848">
        <v>618</v>
      </c>
      <c r="C621" s="848" t="s">
        <v>12197</v>
      </c>
      <c r="D621" s="849" t="s">
        <v>12190</v>
      </c>
      <c r="E621" s="848" t="s">
        <v>3393</v>
      </c>
      <c r="F621" s="848" t="s">
        <v>11442</v>
      </c>
      <c r="G621" s="850" t="s">
        <v>10749</v>
      </c>
      <c r="H621" s="849" t="s">
        <v>10716</v>
      </c>
      <c r="I621" s="849"/>
      <c r="J621" s="851">
        <v>5347.95</v>
      </c>
      <c r="K621" s="848" t="s">
        <v>12201</v>
      </c>
    </row>
    <row r="622" spans="2:11">
      <c r="B622" s="848">
        <v>619</v>
      </c>
      <c r="C622" s="848" t="s">
        <v>723</v>
      </c>
      <c r="D622" s="849" t="s">
        <v>12190</v>
      </c>
      <c r="E622" s="848" t="s">
        <v>3393</v>
      </c>
      <c r="F622" s="848" t="s">
        <v>12202</v>
      </c>
      <c r="G622" s="850" t="s">
        <v>12203</v>
      </c>
      <c r="H622" s="849" t="s">
        <v>10716</v>
      </c>
      <c r="I622" s="849"/>
      <c r="J622" s="851">
        <v>12.3</v>
      </c>
      <c r="K622" s="848" t="s">
        <v>6001</v>
      </c>
    </row>
    <row r="623" spans="2:11">
      <c r="B623" s="848">
        <v>620</v>
      </c>
      <c r="C623" s="848" t="s">
        <v>12197</v>
      </c>
      <c r="D623" s="849" t="s">
        <v>12190</v>
      </c>
      <c r="E623" s="848" t="s">
        <v>10926</v>
      </c>
      <c r="F623" s="848" t="s">
        <v>11439</v>
      </c>
      <c r="G623" s="850" t="s">
        <v>10749</v>
      </c>
      <c r="H623" s="849" t="s">
        <v>10716</v>
      </c>
      <c r="I623" s="849"/>
      <c r="J623" s="851">
        <v>2477.62</v>
      </c>
      <c r="K623" s="848" t="s">
        <v>12199</v>
      </c>
    </row>
    <row r="624" spans="2:11">
      <c r="B624" s="848">
        <v>621</v>
      </c>
      <c r="C624" s="848" t="s">
        <v>723</v>
      </c>
      <c r="D624" s="849" t="s">
        <v>12190</v>
      </c>
      <c r="E624" s="848" t="s">
        <v>10926</v>
      </c>
      <c r="F624" s="848" t="s">
        <v>11245</v>
      </c>
      <c r="G624" s="850" t="s">
        <v>12204</v>
      </c>
      <c r="H624" s="849" t="s">
        <v>10716</v>
      </c>
      <c r="I624" s="849"/>
      <c r="J624" s="851">
        <v>18.399999999999999</v>
      </c>
      <c r="K624" s="848" t="s">
        <v>5987</v>
      </c>
    </row>
    <row r="625" spans="2:11">
      <c r="B625" s="848">
        <v>622</v>
      </c>
      <c r="C625" s="848" t="s">
        <v>723</v>
      </c>
      <c r="D625" s="849" t="s">
        <v>12190</v>
      </c>
      <c r="E625" s="848" t="s">
        <v>12205</v>
      </c>
      <c r="F625" s="848" t="s">
        <v>11799</v>
      </c>
      <c r="G625" s="850" t="s">
        <v>12206</v>
      </c>
      <c r="H625" s="849" t="s">
        <v>10716</v>
      </c>
      <c r="I625" s="849"/>
      <c r="J625" s="851">
        <v>8920</v>
      </c>
      <c r="K625" s="848" t="s">
        <v>12207</v>
      </c>
    </row>
    <row r="626" spans="2:11">
      <c r="B626" s="848">
        <v>623</v>
      </c>
      <c r="C626" s="848" t="s">
        <v>723</v>
      </c>
      <c r="D626" s="849" t="s">
        <v>12190</v>
      </c>
      <c r="E626" s="848" t="s">
        <v>12098</v>
      </c>
      <c r="F626" s="848" t="s">
        <v>11139</v>
      </c>
      <c r="G626" s="850" t="s">
        <v>12208</v>
      </c>
      <c r="H626" s="849" t="s">
        <v>10716</v>
      </c>
      <c r="I626" s="849"/>
      <c r="J626" s="851">
        <v>1720</v>
      </c>
      <c r="K626" s="848" t="s">
        <v>12196</v>
      </c>
    </row>
    <row r="627" spans="2:11">
      <c r="B627" s="848">
        <v>624</v>
      </c>
      <c r="C627" s="848" t="s">
        <v>723</v>
      </c>
      <c r="D627" s="849" t="s">
        <v>12190</v>
      </c>
      <c r="E627" s="848" t="s">
        <v>12098</v>
      </c>
      <c r="F627" s="848" t="s">
        <v>11999</v>
      </c>
      <c r="G627" s="850" t="s">
        <v>12209</v>
      </c>
      <c r="H627" s="849" t="s">
        <v>10716</v>
      </c>
      <c r="I627" s="849"/>
      <c r="J627" s="851">
        <v>1719</v>
      </c>
      <c r="K627" s="848" t="s">
        <v>12196</v>
      </c>
    </row>
    <row r="628" spans="2:11">
      <c r="B628" s="848">
        <v>625</v>
      </c>
      <c r="C628" s="848" t="s">
        <v>723</v>
      </c>
      <c r="D628" s="849" t="s">
        <v>12190</v>
      </c>
      <c r="E628" s="848" t="s">
        <v>12098</v>
      </c>
      <c r="F628" s="848" t="s">
        <v>11797</v>
      </c>
      <c r="G628" s="850" t="s">
        <v>12210</v>
      </c>
      <c r="H628" s="849" t="s">
        <v>10716</v>
      </c>
      <c r="I628" s="849"/>
      <c r="J628" s="851">
        <v>811</v>
      </c>
      <c r="K628" s="848" t="s">
        <v>12196</v>
      </c>
    </row>
    <row r="629" spans="2:11">
      <c r="B629" s="848">
        <v>626</v>
      </c>
      <c r="C629" s="848" t="s">
        <v>12211</v>
      </c>
      <c r="D629" s="849" t="s">
        <v>12212</v>
      </c>
      <c r="E629" s="848" t="s">
        <v>12213</v>
      </c>
      <c r="F629" s="848" t="s">
        <v>12214</v>
      </c>
      <c r="G629" s="850" t="s">
        <v>12215</v>
      </c>
      <c r="H629" s="849" t="s">
        <v>10716</v>
      </c>
      <c r="I629" s="849"/>
      <c r="J629" s="851">
        <v>72</v>
      </c>
      <c r="K629" s="848" t="s">
        <v>6145</v>
      </c>
    </row>
    <row r="630" spans="2:11">
      <c r="B630" s="848">
        <v>627</v>
      </c>
      <c r="C630" s="848" t="s">
        <v>1301</v>
      </c>
      <c r="D630" s="849" t="s">
        <v>12216</v>
      </c>
      <c r="E630" s="848" t="s">
        <v>9441</v>
      </c>
      <c r="F630" s="848" t="s">
        <v>12217</v>
      </c>
      <c r="G630" s="850" t="s">
        <v>12218</v>
      </c>
      <c r="H630" s="849" t="s">
        <v>10716</v>
      </c>
      <c r="I630" s="849"/>
      <c r="J630" s="851">
        <v>1562.77</v>
      </c>
      <c r="K630" s="848" t="s">
        <v>12219</v>
      </c>
    </row>
    <row r="631" spans="2:11">
      <c r="B631" s="848">
        <v>628</v>
      </c>
      <c r="C631" s="848" t="s">
        <v>1301</v>
      </c>
      <c r="D631" s="849" t="s">
        <v>12216</v>
      </c>
      <c r="E631" s="848" t="s">
        <v>8582</v>
      </c>
      <c r="F631" s="848" t="s">
        <v>12220</v>
      </c>
      <c r="G631" s="850" t="s">
        <v>12214</v>
      </c>
      <c r="H631" s="849" t="s">
        <v>10716</v>
      </c>
      <c r="I631" s="849"/>
      <c r="J631" s="851">
        <v>429.88</v>
      </c>
      <c r="K631" s="848" t="s">
        <v>12221</v>
      </c>
    </row>
    <row r="632" spans="2:11">
      <c r="B632" s="848">
        <v>629</v>
      </c>
      <c r="C632" s="848" t="s">
        <v>1301</v>
      </c>
      <c r="D632" s="849" t="s">
        <v>12216</v>
      </c>
      <c r="E632" s="848" t="s">
        <v>8582</v>
      </c>
      <c r="F632" s="848" t="s">
        <v>12222</v>
      </c>
      <c r="G632" s="850" t="s">
        <v>11764</v>
      </c>
      <c r="H632" s="849" t="s">
        <v>10716</v>
      </c>
      <c r="I632" s="849"/>
      <c r="J632" s="851">
        <v>1954</v>
      </c>
      <c r="K632" s="848" t="s">
        <v>12223</v>
      </c>
    </row>
    <row r="633" spans="2:11">
      <c r="B633" s="848">
        <v>630</v>
      </c>
      <c r="C633" s="848" t="s">
        <v>1389</v>
      </c>
      <c r="D633" s="849" t="s">
        <v>182</v>
      </c>
      <c r="E633" s="848" t="s">
        <v>8582</v>
      </c>
      <c r="F633" s="848" t="s">
        <v>11185</v>
      </c>
      <c r="G633" s="850" t="s">
        <v>12224</v>
      </c>
      <c r="H633" s="849" t="s">
        <v>10716</v>
      </c>
      <c r="I633" s="849"/>
      <c r="J633" s="851">
        <v>35.56</v>
      </c>
      <c r="K633" s="848" t="s">
        <v>12225</v>
      </c>
    </row>
    <row r="634" spans="2:11">
      <c r="B634" s="848">
        <v>631</v>
      </c>
      <c r="C634" s="848" t="s">
        <v>1389</v>
      </c>
      <c r="D634" s="849" t="s">
        <v>182</v>
      </c>
      <c r="E634" s="848" t="s">
        <v>8582</v>
      </c>
      <c r="F634" s="848" t="s">
        <v>11183</v>
      </c>
      <c r="G634" s="850" t="s">
        <v>12184</v>
      </c>
      <c r="H634" s="849" t="s">
        <v>10716</v>
      </c>
      <c r="I634" s="849"/>
      <c r="J634" s="851">
        <v>497.77</v>
      </c>
      <c r="K634" s="848" t="s">
        <v>12226</v>
      </c>
    </row>
    <row r="635" spans="2:11">
      <c r="B635" s="848">
        <v>632</v>
      </c>
      <c r="C635" s="848" t="s">
        <v>1389</v>
      </c>
      <c r="D635" s="849" t="s">
        <v>182</v>
      </c>
      <c r="E635" s="848" t="s">
        <v>8582</v>
      </c>
      <c r="F635" s="848" t="s">
        <v>12227</v>
      </c>
      <c r="G635" s="850" t="s">
        <v>12228</v>
      </c>
      <c r="H635" s="849" t="s">
        <v>10716</v>
      </c>
      <c r="I635" s="849"/>
      <c r="J635" s="851">
        <v>53.3</v>
      </c>
      <c r="K635" s="848" t="s">
        <v>12229</v>
      </c>
    </row>
    <row r="636" spans="2:11">
      <c r="B636" s="848">
        <v>633</v>
      </c>
      <c r="C636" s="848" t="s">
        <v>1389</v>
      </c>
      <c r="D636" s="849" t="s">
        <v>182</v>
      </c>
      <c r="E636" s="848" t="s">
        <v>8582</v>
      </c>
      <c r="F636" s="848" t="s">
        <v>11181</v>
      </c>
      <c r="G636" s="850" t="s">
        <v>12198</v>
      </c>
      <c r="H636" s="849" t="s">
        <v>10716</v>
      </c>
      <c r="I636" s="849"/>
      <c r="J636" s="851">
        <v>248.89</v>
      </c>
      <c r="K636" s="848" t="s">
        <v>12230</v>
      </c>
    </row>
    <row r="637" spans="2:11">
      <c r="B637" s="848">
        <v>634</v>
      </c>
      <c r="C637" s="848" t="s">
        <v>1389</v>
      </c>
      <c r="D637" s="849" t="s">
        <v>182</v>
      </c>
      <c r="E637" s="848" t="s">
        <v>8582</v>
      </c>
      <c r="F637" s="848" t="s">
        <v>11189</v>
      </c>
      <c r="G637" s="850" t="s">
        <v>12231</v>
      </c>
      <c r="H637" s="849" t="s">
        <v>10716</v>
      </c>
      <c r="I637" s="849"/>
      <c r="J637" s="851">
        <v>106.67</v>
      </c>
      <c r="K637" s="848" t="s">
        <v>12232</v>
      </c>
    </row>
    <row r="638" spans="2:11">
      <c r="B638" s="848">
        <v>635</v>
      </c>
      <c r="C638" s="848" t="s">
        <v>12233</v>
      </c>
      <c r="D638" s="849" t="s">
        <v>12234</v>
      </c>
      <c r="E638" s="848" t="s">
        <v>9468</v>
      </c>
      <c r="F638" s="848" t="s">
        <v>12235</v>
      </c>
      <c r="G638" s="850" t="s">
        <v>12236</v>
      </c>
      <c r="H638" s="849" t="s">
        <v>10716</v>
      </c>
      <c r="I638" s="849"/>
      <c r="J638" s="851">
        <v>15.34</v>
      </c>
      <c r="K638" s="848" t="s">
        <v>12237</v>
      </c>
    </row>
    <row r="639" spans="2:11" ht="25">
      <c r="B639" s="848">
        <v>636</v>
      </c>
      <c r="C639" s="848" t="s">
        <v>12238</v>
      </c>
      <c r="D639" s="849" t="s">
        <v>12239</v>
      </c>
      <c r="E639" s="848" t="s">
        <v>8582</v>
      </c>
      <c r="F639" s="848" t="s">
        <v>11187</v>
      </c>
      <c r="G639" s="850" t="s">
        <v>12240</v>
      </c>
      <c r="H639" s="849" t="s">
        <v>10716</v>
      </c>
      <c r="I639" s="849"/>
      <c r="J639" s="851">
        <v>285.24</v>
      </c>
      <c r="K639" s="848" t="s">
        <v>5869</v>
      </c>
    </row>
    <row r="640" spans="2:11" ht="25">
      <c r="B640" s="848">
        <v>637</v>
      </c>
      <c r="C640" s="848" t="s">
        <v>12241</v>
      </c>
      <c r="D640" s="849" t="s">
        <v>12242</v>
      </c>
      <c r="E640" s="848" t="s">
        <v>9487</v>
      </c>
      <c r="F640" s="848" t="s">
        <v>11764</v>
      </c>
      <c r="G640" s="850" t="s">
        <v>12243</v>
      </c>
      <c r="H640" s="849" t="s">
        <v>10716</v>
      </c>
      <c r="I640" s="849"/>
      <c r="J640" s="851">
        <v>142.62</v>
      </c>
      <c r="K640" s="848" t="s">
        <v>6644</v>
      </c>
    </row>
    <row r="641" spans="2:11" ht="25">
      <c r="B641" s="848">
        <v>638</v>
      </c>
      <c r="C641" s="848" t="s">
        <v>12241</v>
      </c>
      <c r="D641" s="849" t="s">
        <v>12242</v>
      </c>
      <c r="E641" s="848" t="s">
        <v>9487</v>
      </c>
      <c r="F641" s="848" t="s">
        <v>11195</v>
      </c>
      <c r="G641" s="850" t="s">
        <v>12244</v>
      </c>
      <c r="H641" s="849" t="s">
        <v>10716</v>
      </c>
      <c r="I641" s="849"/>
      <c r="J641" s="851">
        <v>71.31</v>
      </c>
      <c r="K641" s="848" t="s">
        <v>6645</v>
      </c>
    </row>
    <row r="642" spans="2:11">
      <c r="B642" s="848">
        <v>639</v>
      </c>
      <c r="C642" s="848" t="s">
        <v>12245</v>
      </c>
      <c r="D642" s="849" t="s">
        <v>12246</v>
      </c>
      <c r="E642" s="848" t="s">
        <v>12247</v>
      </c>
      <c r="F642" s="848" t="s">
        <v>12248</v>
      </c>
      <c r="G642" s="850" t="s">
        <v>11631</v>
      </c>
      <c r="H642" s="849" t="s">
        <v>10716</v>
      </c>
      <c r="I642" s="849"/>
      <c r="J642" s="851">
        <v>1562.4377549999999</v>
      </c>
      <c r="K642" s="848" t="s">
        <v>12249</v>
      </c>
    </row>
    <row r="643" spans="2:11">
      <c r="B643" s="848">
        <v>640</v>
      </c>
      <c r="C643" s="848" t="s">
        <v>12245</v>
      </c>
      <c r="D643" s="849" t="s">
        <v>12246</v>
      </c>
      <c r="E643" s="848" t="s">
        <v>12247</v>
      </c>
      <c r="F643" s="848" t="s">
        <v>12250</v>
      </c>
      <c r="G643" s="850" t="s">
        <v>11633</v>
      </c>
      <c r="H643" s="849" t="s">
        <v>10716</v>
      </c>
      <c r="I643" s="849"/>
      <c r="J643" s="851">
        <v>790.86355500000002</v>
      </c>
      <c r="K643" s="848" t="s">
        <v>12251</v>
      </c>
    </row>
    <row r="644" spans="2:11">
      <c r="B644" s="848">
        <v>641</v>
      </c>
      <c r="C644" s="848" t="s">
        <v>12245</v>
      </c>
      <c r="D644" s="849" t="s">
        <v>12246</v>
      </c>
      <c r="E644" s="848" t="s">
        <v>12247</v>
      </c>
      <c r="F644" s="848" t="s">
        <v>11198</v>
      </c>
      <c r="G644" s="850" t="s">
        <v>11639</v>
      </c>
      <c r="H644" s="849" t="s">
        <v>10716</v>
      </c>
      <c r="I644" s="849"/>
      <c r="J644" s="851">
        <v>974.57</v>
      </c>
      <c r="K644" s="848" t="s">
        <v>12251</v>
      </c>
    </row>
    <row r="645" spans="2:11">
      <c r="B645" s="848">
        <v>642</v>
      </c>
      <c r="C645" s="848" t="s">
        <v>12245</v>
      </c>
      <c r="D645" s="849" t="s">
        <v>12246</v>
      </c>
      <c r="E645" s="848" t="s">
        <v>12247</v>
      </c>
      <c r="F645" s="848" t="s">
        <v>12252</v>
      </c>
      <c r="G645" s="850" t="s">
        <v>11636</v>
      </c>
      <c r="H645" s="849" t="s">
        <v>10716</v>
      </c>
      <c r="I645" s="849"/>
      <c r="J645" s="851">
        <v>398.23782599999998</v>
      </c>
      <c r="K645" s="848" t="s">
        <v>12253</v>
      </c>
    </row>
    <row r="646" spans="2:11">
      <c r="B646" s="848">
        <v>643</v>
      </c>
      <c r="C646" s="848" t="s">
        <v>12245</v>
      </c>
      <c r="D646" s="849" t="s">
        <v>12246</v>
      </c>
      <c r="E646" s="848" t="s">
        <v>3246</v>
      </c>
      <c r="F646" s="848" t="s">
        <v>11768</v>
      </c>
      <c r="G646" s="850" t="s">
        <v>12254</v>
      </c>
      <c r="H646" s="849" t="s">
        <v>10716</v>
      </c>
      <c r="I646" s="849"/>
      <c r="J646" s="851">
        <v>1925.37</v>
      </c>
      <c r="K646" s="848" t="s">
        <v>12249</v>
      </c>
    </row>
    <row r="647" spans="2:11">
      <c r="B647" s="848">
        <v>644</v>
      </c>
      <c r="C647" s="848" t="s">
        <v>12245</v>
      </c>
      <c r="D647" s="849" t="s">
        <v>12246</v>
      </c>
      <c r="E647" s="848" t="s">
        <v>3246</v>
      </c>
      <c r="F647" s="848" t="s">
        <v>11771</v>
      </c>
      <c r="G647" s="850" t="s">
        <v>12255</v>
      </c>
      <c r="H647" s="849" t="s">
        <v>10716</v>
      </c>
      <c r="I647" s="849"/>
      <c r="J647" s="851">
        <v>499.17</v>
      </c>
      <c r="K647" s="848" t="s">
        <v>12253</v>
      </c>
    </row>
    <row r="648" spans="2:11" ht="25">
      <c r="B648" s="848">
        <v>645</v>
      </c>
      <c r="C648" s="848" t="s">
        <v>12256</v>
      </c>
      <c r="D648" s="849" t="s">
        <v>12257</v>
      </c>
      <c r="E648" s="848" t="s">
        <v>3393</v>
      </c>
      <c r="F648" s="848" t="s">
        <v>11201</v>
      </c>
      <c r="G648" s="850" t="s">
        <v>12258</v>
      </c>
      <c r="H648" s="849" t="s">
        <v>10716</v>
      </c>
      <c r="I648" s="849"/>
      <c r="J648" s="851">
        <v>309.01</v>
      </c>
      <c r="K648" s="848" t="s">
        <v>5941</v>
      </c>
    </row>
    <row r="649" spans="2:11">
      <c r="B649" s="848">
        <v>646</v>
      </c>
      <c r="C649" s="848" t="s">
        <v>12259</v>
      </c>
      <c r="D649" s="849" t="s">
        <v>7996</v>
      </c>
      <c r="E649" s="848" t="s">
        <v>10754</v>
      </c>
      <c r="F649" s="848" t="s">
        <v>12260</v>
      </c>
      <c r="G649" s="850" t="s">
        <v>12261</v>
      </c>
      <c r="H649" s="849" t="s">
        <v>10716</v>
      </c>
      <c r="I649" s="849"/>
      <c r="J649" s="851">
        <v>44470.34</v>
      </c>
      <c r="K649" s="848" t="s">
        <v>12262</v>
      </c>
    </row>
    <row r="650" spans="2:11" ht="25">
      <c r="B650" s="848">
        <v>647</v>
      </c>
      <c r="C650" s="848" t="s">
        <v>1369</v>
      </c>
      <c r="D650" s="849" t="s">
        <v>12263</v>
      </c>
      <c r="E650" s="848" t="s">
        <v>9468</v>
      </c>
      <c r="F650" s="848" t="s">
        <v>12264</v>
      </c>
      <c r="G650" s="850" t="s">
        <v>12265</v>
      </c>
      <c r="H650" s="849" t="s">
        <v>10716</v>
      </c>
      <c r="I650" s="849"/>
      <c r="J650" s="851">
        <v>95.08</v>
      </c>
      <c r="K650" s="848" t="s">
        <v>6083</v>
      </c>
    </row>
    <row r="651" spans="2:11" ht="25">
      <c r="B651" s="848">
        <v>648</v>
      </c>
      <c r="C651" s="848" t="s">
        <v>12266</v>
      </c>
      <c r="D651" s="849" t="s">
        <v>12263</v>
      </c>
      <c r="E651" s="848" t="s">
        <v>9468</v>
      </c>
      <c r="F651" s="848" t="s">
        <v>12267</v>
      </c>
      <c r="G651" s="850" t="s">
        <v>12268</v>
      </c>
      <c r="H651" s="849" t="s">
        <v>10716</v>
      </c>
      <c r="I651" s="849"/>
      <c r="J651" s="851">
        <v>7.67</v>
      </c>
      <c r="K651" s="848" t="s">
        <v>12269</v>
      </c>
    </row>
    <row r="652" spans="2:11" ht="25">
      <c r="B652" s="848">
        <v>649</v>
      </c>
      <c r="C652" s="848" t="s">
        <v>12266</v>
      </c>
      <c r="D652" s="849" t="s">
        <v>12263</v>
      </c>
      <c r="E652" s="848" t="s">
        <v>9468</v>
      </c>
      <c r="F652" s="848" t="s">
        <v>10748</v>
      </c>
      <c r="G652" s="850" t="s">
        <v>12270</v>
      </c>
      <c r="H652" s="849" t="s">
        <v>10716</v>
      </c>
      <c r="I652" s="849"/>
      <c r="J652" s="851">
        <v>5.97</v>
      </c>
      <c r="K652" s="848" t="s">
        <v>12269</v>
      </c>
    </row>
    <row r="653" spans="2:11">
      <c r="B653" s="848">
        <v>650</v>
      </c>
      <c r="C653" s="848" t="s">
        <v>12271</v>
      </c>
      <c r="D653" s="849" t="s">
        <v>12272</v>
      </c>
      <c r="E653" s="848" t="s">
        <v>3344</v>
      </c>
      <c r="F653" s="848" t="s">
        <v>12273</v>
      </c>
      <c r="G653" s="850" t="s">
        <v>12274</v>
      </c>
      <c r="H653" s="849" t="s">
        <v>10716</v>
      </c>
      <c r="I653" s="849"/>
      <c r="J653" s="851">
        <v>10350.86</v>
      </c>
      <c r="K653" s="848" t="s">
        <v>6784</v>
      </c>
    </row>
    <row r="654" spans="2:11">
      <c r="B654" s="848">
        <v>651</v>
      </c>
      <c r="C654" s="848" t="s">
        <v>12275</v>
      </c>
      <c r="D654" s="849" t="s">
        <v>12276</v>
      </c>
      <c r="E654" s="848" t="s">
        <v>12277</v>
      </c>
      <c r="F654" s="848" t="s">
        <v>12278</v>
      </c>
      <c r="G654" s="850" t="s">
        <v>12279</v>
      </c>
      <c r="H654" s="849" t="s">
        <v>10716</v>
      </c>
      <c r="I654" s="849"/>
      <c r="J654" s="851">
        <v>2236.9299999999998</v>
      </c>
      <c r="K654" s="848" t="s">
        <v>12280</v>
      </c>
    </row>
    <row r="655" spans="2:11">
      <c r="B655" s="848">
        <v>652</v>
      </c>
      <c r="C655" s="848" t="s">
        <v>12275</v>
      </c>
      <c r="D655" s="849" t="s">
        <v>12276</v>
      </c>
      <c r="E655" s="848" t="s">
        <v>3327</v>
      </c>
      <c r="F655" s="848" t="s">
        <v>12281</v>
      </c>
      <c r="G655" s="850" t="s">
        <v>12282</v>
      </c>
      <c r="H655" s="849" t="s">
        <v>10716</v>
      </c>
      <c r="I655" s="849"/>
      <c r="J655" s="851">
        <v>3514</v>
      </c>
      <c r="K655" s="848" t="s">
        <v>12280</v>
      </c>
    </row>
    <row r="656" spans="2:11">
      <c r="B656" s="848">
        <v>653</v>
      </c>
      <c r="C656" s="848" t="s">
        <v>12283</v>
      </c>
      <c r="D656" s="849" t="s">
        <v>1049</v>
      </c>
      <c r="E656" s="848" t="s">
        <v>11310</v>
      </c>
      <c r="F656" s="848" t="s">
        <v>12228</v>
      </c>
      <c r="G656" s="850" t="s">
        <v>12284</v>
      </c>
      <c r="H656" s="849" t="s">
        <v>10716</v>
      </c>
      <c r="I656" s="849"/>
      <c r="J656" s="851">
        <v>571.48</v>
      </c>
      <c r="K656" s="848" t="s">
        <v>12285</v>
      </c>
    </row>
    <row r="657" spans="2:11">
      <c r="B657" s="848">
        <v>654</v>
      </c>
      <c r="C657" s="848" t="s">
        <v>12286</v>
      </c>
      <c r="D657" s="849" t="s">
        <v>12287</v>
      </c>
      <c r="E657" s="848" t="s">
        <v>9436</v>
      </c>
      <c r="F657" s="848" t="s">
        <v>11360</v>
      </c>
      <c r="G657" s="850" t="s">
        <v>11488</v>
      </c>
      <c r="H657" s="849" t="s">
        <v>10716</v>
      </c>
      <c r="I657" s="849"/>
      <c r="J657" s="851">
        <v>614</v>
      </c>
      <c r="K657" s="848" t="s">
        <v>12288</v>
      </c>
    </row>
    <row r="658" spans="2:11">
      <c r="B658" s="848">
        <v>655</v>
      </c>
      <c r="C658" s="848" t="s">
        <v>12289</v>
      </c>
      <c r="D658" s="849" t="s">
        <v>12287</v>
      </c>
      <c r="E658" s="848" t="s">
        <v>9436</v>
      </c>
      <c r="F658" s="848" t="s">
        <v>11026</v>
      </c>
      <c r="G658" s="850" t="s">
        <v>11491</v>
      </c>
      <c r="H658" s="849" t="s">
        <v>10716</v>
      </c>
      <c r="I658" s="849"/>
      <c r="J658" s="851">
        <v>767</v>
      </c>
      <c r="K658" s="848" t="s">
        <v>12290</v>
      </c>
    </row>
    <row r="659" spans="2:11">
      <c r="B659" s="848">
        <v>656</v>
      </c>
      <c r="C659" s="848" t="s">
        <v>12289</v>
      </c>
      <c r="D659" s="849" t="s">
        <v>12287</v>
      </c>
      <c r="E659" s="848" t="s">
        <v>9436</v>
      </c>
      <c r="F659" s="848" t="s">
        <v>11591</v>
      </c>
      <c r="G659" s="850" t="s">
        <v>11494</v>
      </c>
      <c r="H659" s="849" t="s">
        <v>10716</v>
      </c>
      <c r="I659" s="849"/>
      <c r="J659" s="851">
        <v>307</v>
      </c>
      <c r="K659" s="848" t="s">
        <v>12291</v>
      </c>
    </row>
    <row r="660" spans="2:11">
      <c r="B660" s="848">
        <v>657</v>
      </c>
      <c r="C660" s="848" t="s">
        <v>12292</v>
      </c>
      <c r="D660" s="849" t="s">
        <v>12293</v>
      </c>
      <c r="E660" s="848" t="s">
        <v>9433</v>
      </c>
      <c r="F660" s="848" t="s">
        <v>11204</v>
      </c>
      <c r="G660" s="850" t="s">
        <v>11088</v>
      </c>
      <c r="H660" s="849" t="s">
        <v>10716</v>
      </c>
      <c r="I660" s="849"/>
      <c r="J660" s="851">
        <v>95.08</v>
      </c>
      <c r="K660" s="848" t="s">
        <v>5881</v>
      </c>
    </row>
    <row r="661" spans="2:11">
      <c r="B661" s="848">
        <v>658</v>
      </c>
      <c r="C661" s="848" t="s">
        <v>12292</v>
      </c>
      <c r="D661" s="849" t="s">
        <v>12293</v>
      </c>
      <c r="E661" s="848" t="s">
        <v>9433</v>
      </c>
      <c r="F661" s="848" t="s">
        <v>12231</v>
      </c>
      <c r="G661" s="850" t="s">
        <v>11097</v>
      </c>
      <c r="H661" s="849" t="s">
        <v>10716</v>
      </c>
      <c r="I661" s="849"/>
      <c r="J661" s="851">
        <v>95.08</v>
      </c>
      <c r="K661" s="848" t="s">
        <v>5882</v>
      </c>
    </row>
    <row r="662" spans="2:11">
      <c r="B662" s="848">
        <v>659</v>
      </c>
      <c r="C662" s="848" t="s">
        <v>12292</v>
      </c>
      <c r="D662" s="849" t="s">
        <v>12293</v>
      </c>
      <c r="E662" s="848" t="s">
        <v>9433</v>
      </c>
      <c r="F662" s="848" t="s">
        <v>12294</v>
      </c>
      <c r="G662" s="850" t="s">
        <v>11091</v>
      </c>
      <c r="H662" s="849" t="s">
        <v>10716</v>
      </c>
      <c r="I662" s="849"/>
      <c r="J662" s="851">
        <v>11.48</v>
      </c>
      <c r="K662" s="848" t="s">
        <v>12295</v>
      </c>
    </row>
    <row r="663" spans="2:11">
      <c r="B663" s="848">
        <v>660</v>
      </c>
      <c r="C663" s="848" t="s">
        <v>12292</v>
      </c>
      <c r="D663" s="849" t="s">
        <v>12293</v>
      </c>
      <c r="E663" s="848" t="s">
        <v>9433</v>
      </c>
      <c r="F663" s="848" t="s">
        <v>12296</v>
      </c>
      <c r="G663" s="850" t="s">
        <v>11067</v>
      </c>
      <c r="H663" s="849" t="s">
        <v>10716</v>
      </c>
      <c r="I663" s="849"/>
      <c r="J663" s="851">
        <v>15.34</v>
      </c>
      <c r="K663" s="848" t="s">
        <v>12295</v>
      </c>
    </row>
    <row r="664" spans="2:11">
      <c r="B664" s="848">
        <v>661</v>
      </c>
      <c r="C664" s="848" t="s">
        <v>12292</v>
      </c>
      <c r="D664" s="849" t="s">
        <v>12293</v>
      </c>
      <c r="E664" s="848" t="s">
        <v>9433</v>
      </c>
      <c r="F664" s="848" t="s">
        <v>12297</v>
      </c>
      <c r="G664" s="850" t="s">
        <v>11070</v>
      </c>
      <c r="H664" s="849" t="s">
        <v>10716</v>
      </c>
      <c r="I664" s="849"/>
      <c r="J664" s="851">
        <v>5.74</v>
      </c>
      <c r="K664" s="848" t="s">
        <v>12298</v>
      </c>
    </row>
    <row r="665" spans="2:11">
      <c r="B665" s="848">
        <v>662</v>
      </c>
      <c r="C665" s="848" t="s">
        <v>12292</v>
      </c>
      <c r="D665" s="849" t="s">
        <v>12293</v>
      </c>
      <c r="E665" s="848" t="s">
        <v>9433</v>
      </c>
      <c r="F665" s="848" t="s">
        <v>12299</v>
      </c>
      <c r="G665" s="850" t="s">
        <v>11036</v>
      </c>
      <c r="H665" s="849" t="s">
        <v>10716</v>
      </c>
      <c r="I665" s="849"/>
      <c r="J665" s="851">
        <v>7.67</v>
      </c>
      <c r="K665" s="848" t="s">
        <v>12298</v>
      </c>
    </row>
    <row r="666" spans="2:11">
      <c r="B666" s="848">
        <v>663</v>
      </c>
      <c r="C666" s="848" t="s">
        <v>12300</v>
      </c>
      <c r="D666" s="849" t="s">
        <v>7997</v>
      </c>
      <c r="E666" s="848" t="s">
        <v>9499</v>
      </c>
      <c r="F666" s="848" t="s">
        <v>12301</v>
      </c>
      <c r="G666" s="850" t="s">
        <v>12302</v>
      </c>
      <c r="H666" s="849" t="s">
        <v>10716</v>
      </c>
      <c r="I666" s="849"/>
      <c r="J666" s="851">
        <v>3.168936</v>
      </c>
      <c r="K666" s="848" t="s">
        <v>6030</v>
      </c>
    </row>
    <row r="667" spans="2:11">
      <c r="B667" s="848">
        <v>664</v>
      </c>
      <c r="C667" s="848" t="s">
        <v>12300</v>
      </c>
      <c r="D667" s="849" t="s">
        <v>7997</v>
      </c>
      <c r="E667" s="848" t="s">
        <v>9499</v>
      </c>
      <c r="F667" s="848" t="s">
        <v>12303</v>
      </c>
      <c r="G667" s="850" t="s">
        <v>12304</v>
      </c>
      <c r="H667" s="849" t="s">
        <v>10716</v>
      </c>
      <c r="I667" s="849"/>
      <c r="J667" s="851">
        <v>18.744412500000003</v>
      </c>
      <c r="K667" s="848" t="s">
        <v>6031</v>
      </c>
    </row>
    <row r="668" spans="2:11">
      <c r="B668" s="848">
        <v>665</v>
      </c>
      <c r="C668" s="848" t="s">
        <v>12300</v>
      </c>
      <c r="D668" s="849" t="s">
        <v>7997</v>
      </c>
      <c r="E668" s="848" t="s">
        <v>9499</v>
      </c>
      <c r="F668" s="848" t="s">
        <v>12305</v>
      </c>
      <c r="G668" s="850" t="s">
        <v>12306</v>
      </c>
      <c r="H668" s="849" t="s">
        <v>10716</v>
      </c>
      <c r="I668" s="849"/>
      <c r="J668" s="851">
        <v>5.1121125000000003</v>
      </c>
      <c r="K668" s="848" t="s">
        <v>6564</v>
      </c>
    </row>
    <row r="669" spans="2:11">
      <c r="B669" s="848">
        <v>666</v>
      </c>
      <c r="C669" s="848" t="s">
        <v>12300</v>
      </c>
      <c r="D669" s="849" t="s">
        <v>7997</v>
      </c>
      <c r="E669" s="848" t="s">
        <v>9499</v>
      </c>
      <c r="F669" s="848" t="s">
        <v>12307</v>
      </c>
      <c r="G669" s="850" t="s">
        <v>11011</v>
      </c>
      <c r="H669" s="849" t="s">
        <v>10716</v>
      </c>
      <c r="I669" s="849"/>
      <c r="J669" s="851">
        <v>32.376712500000004</v>
      </c>
      <c r="K669" s="848" t="s">
        <v>6812</v>
      </c>
    </row>
    <row r="670" spans="2:11">
      <c r="B670" s="848">
        <v>667</v>
      </c>
      <c r="C670" s="848" t="s">
        <v>1361</v>
      </c>
      <c r="D670" s="849" t="s">
        <v>342</v>
      </c>
      <c r="E670" s="848" t="s">
        <v>10778</v>
      </c>
      <c r="F670" s="848" t="s">
        <v>12308</v>
      </c>
      <c r="G670" s="850" t="s">
        <v>12174</v>
      </c>
      <c r="H670" s="849" t="s">
        <v>10716</v>
      </c>
      <c r="I670" s="849"/>
      <c r="J670" s="851">
        <v>15.34</v>
      </c>
      <c r="K670" s="848" t="s">
        <v>12309</v>
      </c>
    </row>
    <row r="671" spans="2:11">
      <c r="B671" s="848">
        <v>668</v>
      </c>
      <c r="C671" s="848" t="s">
        <v>1361</v>
      </c>
      <c r="D671" s="849" t="s">
        <v>342</v>
      </c>
      <c r="E671" s="848" t="s">
        <v>10778</v>
      </c>
      <c r="F671" s="848" t="s">
        <v>12310</v>
      </c>
      <c r="G671" s="850" t="s">
        <v>10894</v>
      </c>
      <c r="H671" s="849" t="s">
        <v>10716</v>
      </c>
      <c r="I671" s="849"/>
      <c r="J671" s="851">
        <v>15.34</v>
      </c>
      <c r="K671" s="848" t="s">
        <v>12311</v>
      </c>
    </row>
    <row r="672" spans="2:11">
      <c r="B672" s="848">
        <v>669</v>
      </c>
      <c r="C672" s="848" t="s">
        <v>1361</v>
      </c>
      <c r="D672" s="849" t="s">
        <v>342</v>
      </c>
      <c r="E672" s="848" t="s">
        <v>10778</v>
      </c>
      <c r="F672" s="848" t="s">
        <v>12312</v>
      </c>
      <c r="G672" s="850" t="s">
        <v>11817</v>
      </c>
      <c r="H672" s="849" t="s">
        <v>10716</v>
      </c>
      <c r="I672" s="849"/>
      <c r="J672" s="851">
        <v>11.51</v>
      </c>
      <c r="K672" s="848" t="s">
        <v>12313</v>
      </c>
    </row>
    <row r="673" spans="2:11">
      <c r="B673" s="848">
        <v>670</v>
      </c>
      <c r="C673" s="848" t="s">
        <v>1361</v>
      </c>
      <c r="D673" s="849" t="s">
        <v>342</v>
      </c>
      <c r="E673" s="848" t="s">
        <v>10778</v>
      </c>
      <c r="F673" s="848" t="s">
        <v>12314</v>
      </c>
      <c r="G673" s="850" t="s">
        <v>11335</v>
      </c>
      <c r="H673" s="849" t="s">
        <v>10716</v>
      </c>
      <c r="I673" s="849"/>
      <c r="J673" s="851">
        <v>3.84</v>
      </c>
      <c r="K673" s="848" t="s">
        <v>12315</v>
      </c>
    </row>
    <row r="674" spans="2:11">
      <c r="B674" s="848">
        <v>671</v>
      </c>
      <c r="C674" s="848" t="s">
        <v>1361</v>
      </c>
      <c r="D674" s="849" t="s">
        <v>342</v>
      </c>
      <c r="E674" s="848" t="s">
        <v>10778</v>
      </c>
      <c r="F674" s="848" t="s">
        <v>12316</v>
      </c>
      <c r="G674" s="850" t="s">
        <v>11305</v>
      </c>
      <c r="H674" s="849" t="s">
        <v>10716</v>
      </c>
      <c r="I674" s="849"/>
      <c r="J674" s="851">
        <v>9.83</v>
      </c>
      <c r="K674" s="848" t="s">
        <v>12317</v>
      </c>
    </row>
    <row r="675" spans="2:11">
      <c r="B675" s="848">
        <v>672</v>
      </c>
      <c r="C675" s="848" t="s">
        <v>1361</v>
      </c>
      <c r="D675" s="849" t="s">
        <v>342</v>
      </c>
      <c r="E675" s="848" t="s">
        <v>9506</v>
      </c>
      <c r="F675" s="848" t="s">
        <v>12068</v>
      </c>
      <c r="G675" s="850" t="s">
        <v>12318</v>
      </c>
      <c r="H675" s="849" t="s">
        <v>10716</v>
      </c>
      <c r="I675" s="849"/>
      <c r="J675" s="851">
        <v>9.8758920000000003</v>
      </c>
      <c r="K675" s="848" t="s">
        <v>6526</v>
      </c>
    </row>
    <row r="676" spans="2:11">
      <c r="B676" s="848">
        <v>673</v>
      </c>
      <c r="C676" s="848" t="s">
        <v>1361</v>
      </c>
      <c r="D676" s="849" t="s">
        <v>342</v>
      </c>
      <c r="E676" s="848" t="s">
        <v>9506</v>
      </c>
      <c r="F676" s="848" t="s">
        <v>12065</v>
      </c>
      <c r="G676" s="850" t="s">
        <v>12319</v>
      </c>
      <c r="H676" s="849" t="s">
        <v>10716</v>
      </c>
      <c r="I676" s="849"/>
      <c r="J676" s="851">
        <v>9.8758920000000003</v>
      </c>
      <c r="K676" s="848" t="s">
        <v>6527</v>
      </c>
    </row>
    <row r="677" spans="2:11">
      <c r="B677" s="848">
        <v>674</v>
      </c>
      <c r="C677" s="848" t="s">
        <v>1361</v>
      </c>
      <c r="D677" s="849" t="s">
        <v>342</v>
      </c>
      <c r="E677" s="848" t="s">
        <v>9506</v>
      </c>
      <c r="F677" s="848" t="s">
        <v>12059</v>
      </c>
      <c r="G677" s="850" t="s">
        <v>12320</v>
      </c>
      <c r="H677" s="849" t="s">
        <v>10716</v>
      </c>
      <c r="I677" s="849"/>
      <c r="J677" s="851">
        <v>9.8758920000000003</v>
      </c>
      <c r="K677" s="848" t="s">
        <v>6528</v>
      </c>
    </row>
    <row r="678" spans="2:11">
      <c r="B678" s="848">
        <v>675</v>
      </c>
      <c r="C678" s="848" t="s">
        <v>12321</v>
      </c>
      <c r="D678" s="849" t="s">
        <v>12322</v>
      </c>
      <c r="E678" s="848" t="s">
        <v>3230</v>
      </c>
      <c r="F678" s="848" t="s">
        <v>11210</v>
      </c>
      <c r="G678" s="850" t="s">
        <v>12323</v>
      </c>
      <c r="H678" s="849" t="s">
        <v>10716</v>
      </c>
      <c r="I678" s="849"/>
      <c r="J678" s="851">
        <v>427.86</v>
      </c>
      <c r="K678" s="848" t="s">
        <v>12324</v>
      </c>
    </row>
    <row r="679" spans="2:11">
      <c r="B679" s="848">
        <v>676</v>
      </c>
      <c r="C679" s="848" t="s">
        <v>12321</v>
      </c>
      <c r="D679" s="849" t="s">
        <v>12322</v>
      </c>
      <c r="E679" s="848" t="s">
        <v>3230</v>
      </c>
      <c r="F679" s="848" t="s">
        <v>11761</v>
      </c>
      <c r="G679" s="850" t="s">
        <v>12325</v>
      </c>
      <c r="H679" s="849" t="s">
        <v>10716</v>
      </c>
      <c r="I679" s="849"/>
      <c r="J679" s="851">
        <v>380.32</v>
      </c>
      <c r="K679" s="848" t="s">
        <v>12326</v>
      </c>
    </row>
    <row r="680" spans="2:11" ht="25">
      <c r="B680" s="848">
        <v>677</v>
      </c>
      <c r="C680" s="848" t="s">
        <v>1413</v>
      </c>
      <c r="D680" s="849" t="s">
        <v>12327</v>
      </c>
      <c r="E680" s="848" t="s">
        <v>12328</v>
      </c>
      <c r="F680" s="848" t="s">
        <v>11758</v>
      </c>
      <c r="G680" s="850" t="s">
        <v>12329</v>
      </c>
      <c r="H680" s="849" t="s">
        <v>10716</v>
      </c>
      <c r="I680" s="849"/>
      <c r="J680" s="851">
        <v>118.85</v>
      </c>
      <c r="K680" s="848" t="s">
        <v>5934</v>
      </c>
    </row>
    <row r="681" spans="2:11" ht="25">
      <c r="B681" s="848">
        <v>678</v>
      </c>
      <c r="C681" s="848" t="s">
        <v>1413</v>
      </c>
      <c r="D681" s="849" t="s">
        <v>12327</v>
      </c>
      <c r="E681" s="848" t="s">
        <v>12328</v>
      </c>
      <c r="F681" s="848" t="s">
        <v>11770</v>
      </c>
      <c r="G681" s="850" t="s">
        <v>12330</v>
      </c>
      <c r="H681" s="849" t="s">
        <v>10716</v>
      </c>
      <c r="I681" s="849"/>
      <c r="J681" s="851">
        <v>71.31</v>
      </c>
      <c r="K681" s="848" t="s">
        <v>6470</v>
      </c>
    </row>
    <row r="682" spans="2:11" ht="25">
      <c r="B682" s="848">
        <v>679</v>
      </c>
      <c r="C682" s="848" t="s">
        <v>1413</v>
      </c>
      <c r="D682" s="849" t="s">
        <v>12327</v>
      </c>
      <c r="E682" s="848" t="s">
        <v>12328</v>
      </c>
      <c r="F682" s="848" t="s">
        <v>12224</v>
      </c>
      <c r="G682" s="850" t="s">
        <v>12331</v>
      </c>
      <c r="H682" s="849" t="s">
        <v>10716</v>
      </c>
      <c r="I682" s="849"/>
      <c r="J682" s="851">
        <v>95.08</v>
      </c>
      <c r="K682" s="848" t="s">
        <v>5935</v>
      </c>
    </row>
    <row r="683" spans="2:11" ht="25">
      <c r="B683" s="848">
        <v>680</v>
      </c>
      <c r="C683" s="848" t="s">
        <v>12332</v>
      </c>
      <c r="D683" s="849" t="s">
        <v>125</v>
      </c>
      <c r="E683" s="848" t="s">
        <v>9436</v>
      </c>
      <c r="F683" s="848" t="s">
        <v>11585</v>
      </c>
      <c r="G683" s="850" t="s">
        <v>11512</v>
      </c>
      <c r="H683" s="849" t="s">
        <v>10716</v>
      </c>
      <c r="I683" s="849"/>
      <c r="J683" s="851">
        <v>613.38</v>
      </c>
      <c r="K683" s="848" t="s">
        <v>12333</v>
      </c>
    </row>
    <row r="684" spans="2:11" ht="25">
      <c r="B684" s="848">
        <v>681</v>
      </c>
      <c r="C684" s="848" t="s">
        <v>12332</v>
      </c>
      <c r="D684" s="849" t="s">
        <v>125</v>
      </c>
      <c r="E684" s="848" t="s">
        <v>9436</v>
      </c>
      <c r="F684" s="848" t="s">
        <v>11581</v>
      </c>
      <c r="G684" s="850" t="s">
        <v>11456</v>
      </c>
      <c r="H684" s="849" t="s">
        <v>10716</v>
      </c>
      <c r="I684" s="849"/>
      <c r="J684" s="851">
        <v>153.35</v>
      </c>
      <c r="K684" s="848" t="s">
        <v>12334</v>
      </c>
    </row>
    <row r="685" spans="2:11" ht="25">
      <c r="B685" s="848">
        <v>682</v>
      </c>
      <c r="C685" s="848" t="s">
        <v>12332</v>
      </c>
      <c r="D685" s="849" t="s">
        <v>125</v>
      </c>
      <c r="E685" s="848" t="s">
        <v>9436</v>
      </c>
      <c r="F685" s="848" t="s">
        <v>11576</v>
      </c>
      <c r="G685" s="850" t="s">
        <v>11515</v>
      </c>
      <c r="H685" s="849" t="s">
        <v>10716</v>
      </c>
      <c r="I685" s="849"/>
      <c r="J685" s="851">
        <v>153.35</v>
      </c>
      <c r="K685" s="848" t="s">
        <v>12335</v>
      </c>
    </row>
    <row r="686" spans="2:11" ht="25">
      <c r="B686" s="848">
        <v>683</v>
      </c>
      <c r="C686" s="848" t="s">
        <v>12332</v>
      </c>
      <c r="D686" s="849" t="s">
        <v>125</v>
      </c>
      <c r="E686" s="848" t="s">
        <v>9436</v>
      </c>
      <c r="F686" s="848" t="s">
        <v>12336</v>
      </c>
      <c r="G686" s="850" t="s">
        <v>11524</v>
      </c>
      <c r="H686" s="849" t="s">
        <v>10716</v>
      </c>
      <c r="I686" s="849"/>
      <c r="J686" s="851">
        <v>306.69</v>
      </c>
      <c r="K686" s="848" t="s">
        <v>12337</v>
      </c>
    </row>
    <row r="687" spans="2:11" ht="25">
      <c r="B687" s="848">
        <v>684</v>
      </c>
      <c r="C687" s="848" t="s">
        <v>12332</v>
      </c>
      <c r="D687" s="849" t="s">
        <v>125</v>
      </c>
      <c r="E687" s="848" t="s">
        <v>9436</v>
      </c>
      <c r="F687" s="848" t="s">
        <v>12338</v>
      </c>
      <c r="G687" s="850" t="s">
        <v>11509</v>
      </c>
      <c r="H687" s="849" t="s">
        <v>10716</v>
      </c>
      <c r="I687" s="849"/>
      <c r="J687" s="851">
        <v>460.04</v>
      </c>
      <c r="K687" s="848" t="s">
        <v>12339</v>
      </c>
    </row>
    <row r="688" spans="2:11" ht="25">
      <c r="B688" s="848">
        <v>685</v>
      </c>
      <c r="C688" s="848" t="s">
        <v>12332</v>
      </c>
      <c r="D688" s="849" t="s">
        <v>125</v>
      </c>
      <c r="E688" s="848" t="s">
        <v>9436</v>
      </c>
      <c r="F688" s="848" t="s">
        <v>12340</v>
      </c>
      <c r="G688" s="850" t="s">
        <v>11522</v>
      </c>
      <c r="H688" s="849" t="s">
        <v>10716</v>
      </c>
      <c r="I688" s="849"/>
      <c r="J688" s="851">
        <v>766.73</v>
      </c>
      <c r="K688" s="848" t="s">
        <v>12341</v>
      </c>
    </row>
    <row r="689" spans="2:11" ht="25">
      <c r="B689" s="848">
        <v>686</v>
      </c>
      <c r="C689" s="848" t="s">
        <v>12332</v>
      </c>
      <c r="D689" s="849" t="s">
        <v>125</v>
      </c>
      <c r="E689" s="848" t="s">
        <v>9436</v>
      </c>
      <c r="F689" s="848" t="s">
        <v>12342</v>
      </c>
      <c r="G689" s="850" t="s">
        <v>11519</v>
      </c>
      <c r="H689" s="849" t="s">
        <v>10716</v>
      </c>
      <c r="I689" s="849"/>
      <c r="J689" s="851">
        <v>766.73</v>
      </c>
      <c r="K689" s="848" t="s">
        <v>12343</v>
      </c>
    </row>
    <row r="690" spans="2:11" ht="25">
      <c r="B690" s="848">
        <v>687</v>
      </c>
      <c r="C690" s="848" t="s">
        <v>12332</v>
      </c>
      <c r="D690" s="849" t="s">
        <v>125</v>
      </c>
      <c r="E690" s="848" t="s">
        <v>9436</v>
      </c>
      <c r="F690" s="848" t="s">
        <v>11994</v>
      </c>
      <c r="G690" s="850" t="s">
        <v>11506</v>
      </c>
      <c r="H690" s="849" t="s">
        <v>10716</v>
      </c>
      <c r="I690" s="849"/>
      <c r="J690" s="851">
        <v>613.38</v>
      </c>
      <c r="K690" s="848" t="s">
        <v>12344</v>
      </c>
    </row>
    <row r="691" spans="2:11" ht="25">
      <c r="B691" s="848">
        <v>688</v>
      </c>
      <c r="C691" s="848" t="s">
        <v>12332</v>
      </c>
      <c r="D691" s="849" t="s">
        <v>125</v>
      </c>
      <c r="E691" s="848" t="s">
        <v>9436</v>
      </c>
      <c r="F691" s="848" t="s">
        <v>12345</v>
      </c>
      <c r="G691" s="850" t="s">
        <v>11517</v>
      </c>
      <c r="H691" s="849" t="s">
        <v>10716</v>
      </c>
      <c r="I691" s="849"/>
      <c r="J691" s="851">
        <v>51.52</v>
      </c>
      <c r="K691" s="848" t="s">
        <v>12346</v>
      </c>
    </row>
    <row r="692" spans="2:11" ht="25">
      <c r="B692" s="848">
        <v>689</v>
      </c>
      <c r="C692" s="848" t="s">
        <v>12332</v>
      </c>
      <c r="D692" s="849" t="s">
        <v>125</v>
      </c>
      <c r="E692" s="848" t="s">
        <v>9436</v>
      </c>
      <c r="F692" s="848" t="s">
        <v>12347</v>
      </c>
      <c r="G692" s="850" t="s">
        <v>11462</v>
      </c>
      <c r="H692" s="849" t="s">
        <v>10716</v>
      </c>
      <c r="I692" s="849"/>
      <c r="J692" s="851">
        <v>460.04</v>
      </c>
      <c r="K692" s="848" t="s">
        <v>12346</v>
      </c>
    </row>
    <row r="693" spans="2:11" ht="25">
      <c r="B693" s="848">
        <v>690</v>
      </c>
      <c r="C693" s="848" t="s">
        <v>12332</v>
      </c>
      <c r="D693" s="849" t="s">
        <v>125</v>
      </c>
      <c r="E693" s="848" t="s">
        <v>9436</v>
      </c>
      <c r="F693" s="848" t="s">
        <v>12348</v>
      </c>
      <c r="G693" s="850" t="s">
        <v>11454</v>
      </c>
      <c r="H693" s="849" t="s">
        <v>10716</v>
      </c>
      <c r="I693" s="849"/>
      <c r="J693" s="851">
        <v>331.04</v>
      </c>
      <c r="K693" s="848" t="s">
        <v>12349</v>
      </c>
    </row>
    <row r="694" spans="2:11" ht="25">
      <c r="B694" s="848">
        <v>691</v>
      </c>
      <c r="C694" s="848" t="s">
        <v>12332</v>
      </c>
      <c r="D694" s="849" t="s">
        <v>125</v>
      </c>
      <c r="E694" s="848" t="s">
        <v>9436</v>
      </c>
      <c r="F694" s="848" t="s">
        <v>12350</v>
      </c>
      <c r="G694" s="850" t="s">
        <v>11459</v>
      </c>
      <c r="H694" s="849" t="s">
        <v>10716</v>
      </c>
      <c r="I694" s="849"/>
      <c r="J694" s="851">
        <v>413.8</v>
      </c>
      <c r="K694" s="848" t="s">
        <v>12351</v>
      </c>
    </row>
    <row r="695" spans="2:11">
      <c r="B695" s="848">
        <v>692</v>
      </c>
      <c r="C695" s="848" t="s">
        <v>1299</v>
      </c>
      <c r="D695" s="849" t="s">
        <v>997</v>
      </c>
      <c r="E695" s="848" t="s">
        <v>9509</v>
      </c>
      <c r="F695" s="848" t="s">
        <v>11716</v>
      </c>
      <c r="G695" s="850" t="s">
        <v>12352</v>
      </c>
      <c r="H695" s="849" t="s">
        <v>10716</v>
      </c>
      <c r="I695" s="849"/>
      <c r="J695" s="851">
        <v>53.599724999999999</v>
      </c>
      <c r="K695" s="848" t="s">
        <v>6617</v>
      </c>
    </row>
    <row r="696" spans="2:11">
      <c r="B696" s="848">
        <v>693</v>
      </c>
      <c r="C696" s="848" t="s">
        <v>1299</v>
      </c>
      <c r="D696" s="849" t="s">
        <v>997</v>
      </c>
      <c r="E696" s="848" t="s">
        <v>9509</v>
      </c>
      <c r="F696" s="848" t="s">
        <v>12353</v>
      </c>
      <c r="G696" s="850" t="s">
        <v>12354</v>
      </c>
      <c r="H696" s="849" t="s">
        <v>10716</v>
      </c>
      <c r="I696" s="849"/>
      <c r="J696" s="851">
        <v>17.151911999999999</v>
      </c>
      <c r="K696" s="848" t="s">
        <v>6618</v>
      </c>
    </row>
    <row r="697" spans="2:11">
      <c r="B697" s="848">
        <v>694</v>
      </c>
      <c r="C697" s="848" t="s">
        <v>1299</v>
      </c>
      <c r="D697" s="849" t="s">
        <v>997</v>
      </c>
      <c r="E697" s="848" t="s">
        <v>9509</v>
      </c>
      <c r="F697" s="848" t="s">
        <v>12355</v>
      </c>
      <c r="G697" s="850" t="s">
        <v>11038</v>
      </c>
      <c r="H697" s="849" t="s">
        <v>10716</v>
      </c>
      <c r="I697" s="849"/>
      <c r="J697" s="851">
        <v>13.316966999999998</v>
      </c>
      <c r="K697" s="848" t="s">
        <v>6619</v>
      </c>
    </row>
    <row r="698" spans="2:11">
      <c r="B698" s="848">
        <v>695</v>
      </c>
      <c r="C698" s="848" t="s">
        <v>1299</v>
      </c>
      <c r="D698" s="849" t="s">
        <v>997</v>
      </c>
      <c r="E698" s="848" t="s">
        <v>9509</v>
      </c>
      <c r="F698" s="848" t="s">
        <v>11084</v>
      </c>
      <c r="G698" s="850" t="s">
        <v>12356</v>
      </c>
      <c r="H698" s="849" t="s">
        <v>10716</v>
      </c>
      <c r="I698" s="849"/>
      <c r="J698" s="851">
        <v>51.455736000000002</v>
      </c>
      <c r="K698" s="848" t="s">
        <v>6620</v>
      </c>
    </row>
    <row r="699" spans="2:11">
      <c r="B699" s="848">
        <v>696</v>
      </c>
      <c r="C699" s="848" t="s">
        <v>1299</v>
      </c>
      <c r="D699" s="849" t="s">
        <v>997</v>
      </c>
      <c r="E699" s="848" t="s">
        <v>12357</v>
      </c>
      <c r="F699" s="848" t="s">
        <v>11767</v>
      </c>
      <c r="G699" s="850" t="s">
        <v>12358</v>
      </c>
      <c r="H699" s="849" t="s">
        <v>10716</v>
      </c>
      <c r="I699" s="849"/>
      <c r="J699" s="851">
        <v>566.71</v>
      </c>
      <c r="K699" s="848" t="s">
        <v>6607</v>
      </c>
    </row>
    <row r="700" spans="2:11">
      <c r="B700" s="848">
        <v>697</v>
      </c>
      <c r="C700" s="848" t="s">
        <v>1299</v>
      </c>
      <c r="D700" s="849" t="s">
        <v>997</v>
      </c>
      <c r="E700" s="848" t="s">
        <v>3114</v>
      </c>
      <c r="F700" s="848" t="s">
        <v>11584</v>
      </c>
      <c r="G700" s="850" t="s">
        <v>10749</v>
      </c>
      <c r="H700" s="849" t="s">
        <v>10716</v>
      </c>
      <c r="I700" s="849"/>
      <c r="J700" s="851">
        <v>1738.71</v>
      </c>
      <c r="K700" s="848" t="s">
        <v>6607</v>
      </c>
    </row>
    <row r="701" spans="2:11" ht="25">
      <c r="B701" s="848">
        <v>698</v>
      </c>
      <c r="C701" s="848" t="s">
        <v>12359</v>
      </c>
      <c r="D701" s="849" t="s">
        <v>12360</v>
      </c>
      <c r="E701" s="848" t="s">
        <v>8582</v>
      </c>
      <c r="F701" s="848" t="s">
        <v>12361</v>
      </c>
      <c r="G701" s="850" t="s">
        <v>12362</v>
      </c>
      <c r="H701" s="849" t="s">
        <v>10716</v>
      </c>
      <c r="I701" s="849"/>
      <c r="J701" s="851">
        <v>12</v>
      </c>
      <c r="K701" s="848" t="s">
        <v>12363</v>
      </c>
    </row>
    <row r="702" spans="2:11">
      <c r="B702" s="848">
        <v>699</v>
      </c>
      <c r="C702" s="848" t="s">
        <v>12359</v>
      </c>
      <c r="D702" s="849" t="s">
        <v>12360</v>
      </c>
      <c r="E702" s="848" t="s">
        <v>3393</v>
      </c>
      <c r="F702" s="848" t="s">
        <v>11219</v>
      </c>
      <c r="G702" s="850" t="s">
        <v>12364</v>
      </c>
      <c r="H702" s="849" t="s">
        <v>10716</v>
      </c>
      <c r="I702" s="849"/>
      <c r="J702" s="851">
        <v>286</v>
      </c>
      <c r="K702" s="848" t="s">
        <v>12365</v>
      </c>
    </row>
    <row r="703" spans="2:11">
      <c r="B703" s="848">
        <v>700</v>
      </c>
      <c r="C703" s="848" t="s">
        <v>12359</v>
      </c>
      <c r="D703" s="849" t="s">
        <v>12360</v>
      </c>
      <c r="E703" s="848" t="s">
        <v>3393</v>
      </c>
      <c r="F703" s="848" t="s">
        <v>11763</v>
      </c>
      <c r="G703" s="850" t="s">
        <v>12366</v>
      </c>
      <c r="H703" s="849" t="s">
        <v>10716</v>
      </c>
      <c r="I703" s="849"/>
      <c r="J703" s="851">
        <v>476</v>
      </c>
      <c r="K703" s="848" t="s">
        <v>12367</v>
      </c>
    </row>
    <row r="704" spans="2:11">
      <c r="B704" s="848">
        <v>701</v>
      </c>
      <c r="C704" s="848" t="s">
        <v>12359</v>
      </c>
      <c r="D704" s="849" t="s">
        <v>12360</v>
      </c>
      <c r="E704" s="848" t="s">
        <v>3393</v>
      </c>
      <c r="F704" s="848" t="s">
        <v>11225</v>
      </c>
      <c r="G704" s="850" t="s">
        <v>12368</v>
      </c>
      <c r="H704" s="849" t="s">
        <v>10716</v>
      </c>
      <c r="I704" s="849"/>
      <c r="J704" s="851">
        <v>48</v>
      </c>
      <c r="K704" s="848" t="s">
        <v>12369</v>
      </c>
    </row>
    <row r="705" spans="2:11">
      <c r="B705" s="848">
        <v>702</v>
      </c>
      <c r="C705" s="848" t="s">
        <v>12359</v>
      </c>
      <c r="D705" s="849" t="s">
        <v>12360</v>
      </c>
      <c r="E705" s="848" t="s">
        <v>11085</v>
      </c>
      <c r="F705" s="848" t="s">
        <v>11803</v>
      </c>
      <c r="G705" s="850" t="s">
        <v>12370</v>
      </c>
      <c r="H705" s="849" t="s">
        <v>10716</v>
      </c>
      <c r="I705" s="849"/>
      <c r="J705" s="851">
        <v>114.552384</v>
      </c>
      <c r="K705" s="848" t="s">
        <v>12365</v>
      </c>
    </row>
    <row r="706" spans="2:11">
      <c r="B706" s="848">
        <v>703</v>
      </c>
      <c r="C706" s="848" t="s">
        <v>12359</v>
      </c>
      <c r="D706" s="849" t="s">
        <v>12360</v>
      </c>
      <c r="E706" s="848" t="s">
        <v>11085</v>
      </c>
      <c r="F706" s="848" t="s">
        <v>11806</v>
      </c>
      <c r="G706" s="850" t="s">
        <v>12371</v>
      </c>
      <c r="H706" s="849" t="s">
        <v>10716</v>
      </c>
      <c r="I706" s="849"/>
      <c r="J706" s="851">
        <v>190.92063999999999</v>
      </c>
      <c r="K706" s="848" t="s">
        <v>12367</v>
      </c>
    </row>
    <row r="707" spans="2:11">
      <c r="B707" s="848">
        <v>704</v>
      </c>
      <c r="C707" s="848" t="s">
        <v>12359</v>
      </c>
      <c r="D707" s="849" t="s">
        <v>12360</v>
      </c>
      <c r="E707" s="848" t="s">
        <v>11085</v>
      </c>
      <c r="F707" s="848" t="s">
        <v>11808</v>
      </c>
      <c r="G707" s="850" t="s">
        <v>12372</v>
      </c>
      <c r="H707" s="849" t="s">
        <v>10716</v>
      </c>
      <c r="I707" s="849"/>
      <c r="J707" s="851">
        <v>19.092064000000001</v>
      </c>
      <c r="K707" s="848" t="s">
        <v>12369</v>
      </c>
    </row>
    <row r="708" spans="2:11">
      <c r="B708" s="848">
        <v>705</v>
      </c>
      <c r="C708" s="848" t="s">
        <v>697</v>
      </c>
      <c r="D708" s="849" t="s">
        <v>12373</v>
      </c>
      <c r="E708" s="848" t="s">
        <v>3344</v>
      </c>
      <c r="F708" s="848" t="s">
        <v>12374</v>
      </c>
      <c r="G708" s="850" t="s">
        <v>12375</v>
      </c>
      <c r="H708" s="849" t="s">
        <v>10716</v>
      </c>
      <c r="I708" s="849"/>
      <c r="J708" s="851">
        <v>18401.52</v>
      </c>
      <c r="K708" s="848" t="s">
        <v>10838</v>
      </c>
    </row>
    <row r="709" spans="2:11">
      <c r="B709" s="848">
        <v>706</v>
      </c>
      <c r="C709" s="848" t="s">
        <v>12376</v>
      </c>
      <c r="D709" s="849" t="s">
        <v>8086</v>
      </c>
      <c r="E709" s="848" t="s">
        <v>8582</v>
      </c>
      <c r="F709" s="848" t="s">
        <v>12377</v>
      </c>
      <c r="G709" s="850" t="s">
        <v>11715</v>
      </c>
      <c r="H709" s="849" t="s">
        <v>10716</v>
      </c>
      <c r="I709" s="849"/>
      <c r="J709" s="851">
        <v>118.85</v>
      </c>
      <c r="K709" s="848" t="s">
        <v>6604</v>
      </c>
    </row>
    <row r="710" spans="2:11">
      <c r="B710" s="848">
        <v>707</v>
      </c>
      <c r="C710" s="848" t="s">
        <v>12376</v>
      </c>
      <c r="D710" s="849" t="s">
        <v>12378</v>
      </c>
      <c r="E710" s="848" t="s">
        <v>8582</v>
      </c>
      <c r="F710" s="848" t="s">
        <v>11236</v>
      </c>
      <c r="G710" s="850" t="s">
        <v>11414</v>
      </c>
      <c r="H710" s="849" t="s">
        <v>10716</v>
      </c>
      <c r="I710" s="849"/>
      <c r="J710" s="851">
        <v>142.62</v>
      </c>
      <c r="K710" s="848" t="s">
        <v>6598</v>
      </c>
    </row>
    <row r="711" spans="2:11">
      <c r="B711" s="848">
        <v>708</v>
      </c>
      <c r="C711" s="848" t="s">
        <v>12376</v>
      </c>
      <c r="D711" s="849" t="s">
        <v>12378</v>
      </c>
      <c r="E711" s="848" t="s">
        <v>8582</v>
      </c>
      <c r="F711" s="848" t="s">
        <v>11239</v>
      </c>
      <c r="G711" s="850" t="s">
        <v>11420</v>
      </c>
      <c r="H711" s="849" t="s">
        <v>10716</v>
      </c>
      <c r="I711" s="849"/>
      <c r="J711" s="851">
        <v>118.85</v>
      </c>
      <c r="K711" s="848" t="s">
        <v>6599</v>
      </c>
    </row>
    <row r="712" spans="2:11">
      <c r="B712" s="848">
        <v>709</v>
      </c>
      <c r="C712" s="848" t="s">
        <v>12376</v>
      </c>
      <c r="D712" s="849" t="s">
        <v>12378</v>
      </c>
      <c r="E712" s="848" t="s">
        <v>8582</v>
      </c>
      <c r="F712" s="848" t="s">
        <v>11242</v>
      </c>
      <c r="G712" s="850" t="s">
        <v>11705</v>
      </c>
      <c r="H712" s="849" t="s">
        <v>10716</v>
      </c>
      <c r="I712" s="849"/>
      <c r="J712" s="851">
        <v>95.08</v>
      </c>
      <c r="K712" s="848" t="s">
        <v>6600</v>
      </c>
    </row>
    <row r="713" spans="2:11">
      <c r="B713" s="848">
        <v>710</v>
      </c>
      <c r="C713" s="848" t="s">
        <v>1276</v>
      </c>
      <c r="D713" s="849" t="s">
        <v>7954</v>
      </c>
      <c r="E713" s="848" t="s">
        <v>11816</v>
      </c>
      <c r="F713" s="848" t="s">
        <v>12379</v>
      </c>
      <c r="G713" s="850" t="s">
        <v>12380</v>
      </c>
      <c r="H713" s="849" t="s">
        <v>10716</v>
      </c>
      <c r="I713" s="849"/>
      <c r="J713" s="851">
        <v>3908</v>
      </c>
      <c r="K713" s="848" t="s">
        <v>11784</v>
      </c>
    </row>
    <row r="714" spans="2:11">
      <c r="B714" s="848">
        <v>711</v>
      </c>
      <c r="C714" s="848" t="s">
        <v>1276</v>
      </c>
      <c r="D714" s="849" t="s">
        <v>7954</v>
      </c>
      <c r="E714" s="848" t="s">
        <v>11816</v>
      </c>
      <c r="F714" s="848" t="s">
        <v>11251</v>
      </c>
      <c r="G714" s="850" t="s">
        <v>10749</v>
      </c>
      <c r="H714" s="849" t="s">
        <v>10716</v>
      </c>
      <c r="I714" s="849"/>
      <c r="J714" s="851">
        <v>2637.44</v>
      </c>
      <c r="K714" s="848" t="s">
        <v>11789</v>
      </c>
    </row>
    <row r="715" spans="2:11">
      <c r="B715" s="848">
        <v>712</v>
      </c>
      <c r="C715" s="848" t="s">
        <v>1276</v>
      </c>
      <c r="D715" s="849" t="s">
        <v>7954</v>
      </c>
      <c r="E715" s="848" t="s">
        <v>3101</v>
      </c>
      <c r="F715" s="848" t="s">
        <v>11254</v>
      </c>
      <c r="G715" s="850" t="s">
        <v>11391</v>
      </c>
      <c r="H715" s="849" t="s">
        <v>10716</v>
      </c>
      <c r="I715" s="849"/>
      <c r="J715" s="851">
        <v>4455.12</v>
      </c>
      <c r="K715" s="848" t="s">
        <v>11794</v>
      </c>
    </row>
    <row r="716" spans="2:11">
      <c r="B716" s="848">
        <v>713</v>
      </c>
      <c r="C716" s="848" t="s">
        <v>12381</v>
      </c>
      <c r="D716" s="849" t="s">
        <v>102</v>
      </c>
      <c r="E716" s="848" t="s">
        <v>3393</v>
      </c>
      <c r="F716" s="848" t="s">
        <v>12382</v>
      </c>
      <c r="G716" s="850" t="s">
        <v>12383</v>
      </c>
      <c r="H716" s="849" t="s">
        <v>10716</v>
      </c>
      <c r="I716" s="849"/>
      <c r="J716" s="851">
        <v>7667.3</v>
      </c>
      <c r="K716" s="848" t="s">
        <v>12384</v>
      </c>
    </row>
    <row r="717" spans="2:11">
      <c r="B717" s="848">
        <v>714</v>
      </c>
      <c r="C717" s="848" t="s">
        <v>12385</v>
      </c>
      <c r="D717" s="849" t="s">
        <v>1019</v>
      </c>
      <c r="E717" s="848" t="s">
        <v>11265</v>
      </c>
      <c r="F717" s="848" t="s">
        <v>12136</v>
      </c>
      <c r="G717" s="850" t="s">
        <v>12386</v>
      </c>
      <c r="H717" s="849" t="s">
        <v>10716</v>
      </c>
      <c r="I717" s="849"/>
      <c r="J717" s="851">
        <v>213.93</v>
      </c>
      <c r="K717" s="848" t="s">
        <v>12387</v>
      </c>
    </row>
    <row r="718" spans="2:11">
      <c r="B718" s="848">
        <v>715</v>
      </c>
      <c r="C718" s="848" t="s">
        <v>12385</v>
      </c>
      <c r="D718" s="849" t="s">
        <v>1019</v>
      </c>
      <c r="E718" s="848" t="s">
        <v>11265</v>
      </c>
      <c r="F718" s="848" t="s">
        <v>11601</v>
      </c>
      <c r="G718" s="850" t="s">
        <v>12388</v>
      </c>
      <c r="H718" s="849" t="s">
        <v>10716</v>
      </c>
      <c r="I718" s="849"/>
      <c r="J718" s="851">
        <v>65.459999999999994</v>
      </c>
      <c r="K718" s="848" t="s">
        <v>12387</v>
      </c>
    </row>
    <row r="719" spans="2:11">
      <c r="B719" s="848">
        <v>716</v>
      </c>
      <c r="C719" s="848" t="s">
        <v>12385</v>
      </c>
      <c r="D719" s="849" t="s">
        <v>1019</v>
      </c>
      <c r="E719" s="848" t="s">
        <v>11265</v>
      </c>
      <c r="F719" s="848" t="s">
        <v>10921</v>
      </c>
      <c r="G719" s="850" t="s">
        <v>12389</v>
      </c>
      <c r="H719" s="849" t="s">
        <v>10716</v>
      </c>
      <c r="I719" s="849"/>
      <c r="J719" s="851">
        <v>59.09</v>
      </c>
      <c r="K719" s="848" t="s">
        <v>12390</v>
      </c>
    </row>
    <row r="720" spans="2:11">
      <c r="B720" s="848">
        <v>717</v>
      </c>
      <c r="C720" s="848" t="s">
        <v>12385</v>
      </c>
      <c r="D720" s="849" t="s">
        <v>1019</v>
      </c>
      <c r="E720" s="848" t="s">
        <v>11265</v>
      </c>
      <c r="F720" s="848" t="s">
        <v>12391</v>
      </c>
      <c r="G720" s="850" t="s">
        <v>12392</v>
      </c>
      <c r="H720" s="849" t="s">
        <v>10716</v>
      </c>
      <c r="I720" s="849"/>
      <c r="J720" s="851">
        <v>237.7</v>
      </c>
      <c r="K720" s="848" t="s">
        <v>12390</v>
      </c>
    </row>
    <row r="721" spans="2:11">
      <c r="B721" s="848">
        <v>718</v>
      </c>
      <c r="C721" s="848" t="s">
        <v>12385</v>
      </c>
      <c r="D721" s="849" t="s">
        <v>1019</v>
      </c>
      <c r="E721" s="848" t="s">
        <v>11265</v>
      </c>
      <c r="F721" s="848" t="s">
        <v>12393</v>
      </c>
      <c r="G721" s="850" t="s">
        <v>12394</v>
      </c>
      <c r="H721" s="849" t="s">
        <v>10716</v>
      </c>
      <c r="I721" s="849"/>
      <c r="J721" s="851">
        <v>237.06</v>
      </c>
      <c r="K721" s="848" t="s">
        <v>12390</v>
      </c>
    </row>
    <row r="722" spans="2:11">
      <c r="B722" s="848">
        <v>719</v>
      </c>
      <c r="C722" s="848" t="s">
        <v>1346</v>
      </c>
      <c r="D722" s="849" t="s">
        <v>1019</v>
      </c>
      <c r="E722" s="848" t="s">
        <v>11265</v>
      </c>
      <c r="F722" s="848" t="s">
        <v>12395</v>
      </c>
      <c r="G722" s="850" t="s">
        <v>12396</v>
      </c>
      <c r="H722" s="849" t="s">
        <v>10716</v>
      </c>
      <c r="I722" s="849"/>
      <c r="J722" s="851">
        <v>11.48</v>
      </c>
      <c r="K722" s="848" t="s">
        <v>6497</v>
      </c>
    </row>
    <row r="723" spans="2:11">
      <c r="B723" s="848">
        <v>720</v>
      </c>
      <c r="C723" s="848" t="s">
        <v>1346</v>
      </c>
      <c r="D723" s="849" t="s">
        <v>1019</v>
      </c>
      <c r="E723" s="848" t="s">
        <v>9472</v>
      </c>
      <c r="F723" s="848" t="s">
        <v>11248</v>
      </c>
      <c r="G723" s="850" t="s">
        <v>12397</v>
      </c>
      <c r="H723" s="849" t="s">
        <v>10716</v>
      </c>
      <c r="I723" s="849"/>
      <c r="J723" s="851">
        <v>127.56</v>
      </c>
      <c r="K723" s="848" t="s">
        <v>6721</v>
      </c>
    </row>
    <row r="724" spans="2:11">
      <c r="B724" s="848">
        <v>721</v>
      </c>
      <c r="C724" s="848" t="s">
        <v>1346</v>
      </c>
      <c r="D724" s="849" t="s">
        <v>1019</v>
      </c>
      <c r="E724" s="848" t="s">
        <v>9472</v>
      </c>
      <c r="F724" s="848" t="s">
        <v>11233</v>
      </c>
      <c r="G724" s="850" t="s">
        <v>12398</v>
      </c>
      <c r="H724" s="849" t="s">
        <v>10716</v>
      </c>
      <c r="I724" s="849"/>
      <c r="J724" s="851">
        <v>92.37</v>
      </c>
      <c r="K724" s="848" t="s">
        <v>5954</v>
      </c>
    </row>
    <row r="725" spans="2:11">
      <c r="B725" s="848">
        <v>722</v>
      </c>
      <c r="C725" s="848" t="s">
        <v>1346</v>
      </c>
      <c r="D725" s="849" t="s">
        <v>1019</v>
      </c>
      <c r="E725" s="848" t="s">
        <v>9472</v>
      </c>
      <c r="F725" s="848" t="s">
        <v>11216</v>
      </c>
      <c r="G725" s="850" t="s">
        <v>12399</v>
      </c>
      <c r="H725" s="849" t="s">
        <v>10716</v>
      </c>
      <c r="I725" s="849"/>
      <c r="J725" s="851">
        <v>140.04</v>
      </c>
      <c r="K725" s="848" t="s">
        <v>6722</v>
      </c>
    </row>
    <row r="726" spans="2:11">
      <c r="B726" s="848">
        <v>723</v>
      </c>
      <c r="C726" s="848" t="s">
        <v>1346</v>
      </c>
      <c r="D726" s="849" t="s">
        <v>1019</v>
      </c>
      <c r="E726" s="848" t="s">
        <v>9472</v>
      </c>
      <c r="F726" s="848" t="s">
        <v>12400</v>
      </c>
      <c r="G726" s="850" t="s">
        <v>12401</v>
      </c>
      <c r="H726" s="849" t="s">
        <v>10716</v>
      </c>
      <c r="I726" s="849"/>
      <c r="J726" s="851">
        <v>200.05</v>
      </c>
      <c r="K726" s="848" t="s">
        <v>6605</v>
      </c>
    </row>
    <row r="727" spans="2:11">
      <c r="B727" s="848">
        <v>724</v>
      </c>
      <c r="C727" s="848" t="s">
        <v>1353</v>
      </c>
      <c r="D727" s="849" t="s">
        <v>12402</v>
      </c>
      <c r="E727" s="848" t="s">
        <v>11161</v>
      </c>
      <c r="F727" s="848" t="s">
        <v>12403</v>
      </c>
      <c r="G727" s="850" t="s">
        <v>12404</v>
      </c>
      <c r="H727" s="849" t="s">
        <v>10716</v>
      </c>
      <c r="I727" s="849"/>
      <c r="J727" s="851">
        <v>136.38</v>
      </c>
      <c r="K727" s="848" t="s">
        <v>12405</v>
      </c>
    </row>
    <row r="728" spans="2:11">
      <c r="B728" s="848">
        <v>725</v>
      </c>
      <c r="C728" s="848" t="s">
        <v>1353</v>
      </c>
      <c r="D728" s="849" t="s">
        <v>12402</v>
      </c>
      <c r="E728" s="848" t="s">
        <v>11161</v>
      </c>
      <c r="F728" s="848" t="s">
        <v>12406</v>
      </c>
      <c r="G728" s="850" t="s">
        <v>12407</v>
      </c>
      <c r="H728" s="849" t="s">
        <v>10716</v>
      </c>
      <c r="I728" s="849"/>
      <c r="J728" s="851">
        <v>356.55</v>
      </c>
      <c r="K728" s="848" t="s">
        <v>12405</v>
      </c>
    </row>
    <row r="729" spans="2:11">
      <c r="B729" s="848">
        <v>726</v>
      </c>
      <c r="C729" s="848" t="s">
        <v>12408</v>
      </c>
      <c r="D729" s="849" t="s">
        <v>12409</v>
      </c>
      <c r="E729" s="848" t="s">
        <v>3393</v>
      </c>
      <c r="F729" s="848" t="s">
        <v>12410</v>
      </c>
      <c r="G729" s="850" t="s">
        <v>12411</v>
      </c>
      <c r="H729" s="849" t="s">
        <v>10716</v>
      </c>
      <c r="I729" s="849"/>
      <c r="J729" s="851">
        <v>3.84</v>
      </c>
      <c r="K729" s="848" t="s">
        <v>12412</v>
      </c>
    </row>
    <row r="730" spans="2:11">
      <c r="B730" s="848">
        <v>727</v>
      </c>
      <c r="C730" s="848" t="s">
        <v>12408</v>
      </c>
      <c r="D730" s="849" t="s">
        <v>12409</v>
      </c>
      <c r="E730" s="848" t="s">
        <v>3393</v>
      </c>
      <c r="F730" s="848" t="s">
        <v>12413</v>
      </c>
      <c r="G730" s="850" t="s">
        <v>12414</v>
      </c>
      <c r="H730" s="849" t="s">
        <v>10716</v>
      </c>
      <c r="I730" s="849"/>
      <c r="J730" s="851">
        <v>3.84</v>
      </c>
      <c r="K730" s="848" t="s">
        <v>12415</v>
      </c>
    </row>
    <row r="731" spans="2:11">
      <c r="B731" s="848">
        <v>728</v>
      </c>
      <c r="C731" s="848" t="s">
        <v>12416</v>
      </c>
      <c r="D731" s="849" t="s">
        <v>12417</v>
      </c>
      <c r="E731" s="848" t="s">
        <v>3580</v>
      </c>
      <c r="F731" s="848" t="s">
        <v>12418</v>
      </c>
      <c r="G731" s="850" t="s">
        <v>12419</v>
      </c>
      <c r="H731" s="849" t="s">
        <v>10716</v>
      </c>
      <c r="I731" s="849"/>
      <c r="J731" s="851">
        <v>766.72500000000002</v>
      </c>
      <c r="K731" s="848" t="s">
        <v>12420</v>
      </c>
    </row>
    <row r="732" spans="2:11">
      <c r="B732" s="848">
        <v>729</v>
      </c>
      <c r="C732" s="848" t="s">
        <v>12416</v>
      </c>
      <c r="D732" s="849" t="s">
        <v>12417</v>
      </c>
      <c r="E732" s="848" t="s">
        <v>3580</v>
      </c>
      <c r="F732" s="848" t="s">
        <v>12421</v>
      </c>
      <c r="G732" s="850" t="s">
        <v>12422</v>
      </c>
      <c r="H732" s="849" t="s">
        <v>10716</v>
      </c>
      <c r="I732" s="849"/>
      <c r="J732" s="851">
        <v>766.72500000000002</v>
      </c>
      <c r="K732" s="848" t="s">
        <v>12423</v>
      </c>
    </row>
    <row r="733" spans="2:11">
      <c r="B733" s="848">
        <v>730</v>
      </c>
      <c r="C733" s="848" t="s">
        <v>12416</v>
      </c>
      <c r="D733" s="849" t="s">
        <v>12417</v>
      </c>
      <c r="E733" s="848" t="s">
        <v>3580</v>
      </c>
      <c r="F733" s="848" t="s">
        <v>12424</v>
      </c>
      <c r="G733" s="850" t="s">
        <v>12425</v>
      </c>
      <c r="H733" s="849" t="s">
        <v>10716</v>
      </c>
      <c r="I733" s="849"/>
      <c r="J733" s="851">
        <v>766.72500000000002</v>
      </c>
      <c r="K733" s="848" t="s">
        <v>12426</v>
      </c>
    </row>
    <row r="734" spans="2:11">
      <c r="B734" s="848">
        <v>731</v>
      </c>
      <c r="C734" s="848" t="s">
        <v>12416</v>
      </c>
      <c r="D734" s="849" t="s">
        <v>12417</v>
      </c>
      <c r="E734" s="848" t="s">
        <v>3580</v>
      </c>
      <c r="F734" s="848" t="s">
        <v>12427</v>
      </c>
      <c r="G734" s="850" t="s">
        <v>12428</v>
      </c>
      <c r="H734" s="849" t="s">
        <v>10716</v>
      </c>
      <c r="I734" s="849"/>
      <c r="J734" s="851">
        <v>766.72500000000002</v>
      </c>
      <c r="K734" s="848" t="s">
        <v>12429</v>
      </c>
    </row>
    <row r="735" spans="2:11">
      <c r="B735" s="848">
        <v>732</v>
      </c>
      <c r="C735" s="848" t="s">
        <v>12430</v>
      </c>
      <c r="D735" s="849" t="s">
        <v>12431</v>
      </c>
      <c r="E735" s="848" t="s">
        <v>8582</v>
      </c>
      <c r="F735" s="848" t="s">
        <v>12432</v>
      </c>
      <c r="G735" s="850" t="s">
        <v>11947</v>
      </c>
      <c r="H735" s="849" t="s">
        <v>10716</v>
      </c>
      <c r="I735" s="849"/>
      <c r="J735" s="851">
        <v>143</v>
      </c>
      <c r="K735" s="848" t="s">
        <v>12433</v>
      </c>
    </row>
    <row r="736" spans="2:11">
      <c r="B736" s="848">
        <v>733</v>
      </c>
      <c r="C736" s="848" t="s">
        <v>12434</v>
      </c>
      <c r="D736" s="849" t="s">
        <v>297</v>
      </c>
      <c r="E736" s="848" t="s">
        <v>3393</v>
      </c>
      <c r="F736" s="848" t="s">
        <v>11370</v>
      </c>
      <c r="G736" s="850" t="s">
        <v>12435</v>
      </c>
      <c r="H736" s="849" t="s">
        <v>10716</v>
      </c>
      <c r="I736" s="849"/>
      <c r="J736" s="851">
        <v>475.4</v>
      </c>
      <c r="K736" s="848" t="s">
        <v>6197</v>
      </c>
    </row>
    <row r="737" spans="2:11">
      <c r="B737" s="848">
        <v>734</v>
      </c>
      <c r="C737" s="848" t="s">
        <v>12436</v>
      </c>
      <c r="D737" s="849" t="s">
        <v>1034</v>
      </c>
      <c r="E737" s="848" t="s">
        <v>10754</v>
      </c>
      <c r="F737" s="848" t="s">
        <v>12437</v>
      </c>
      <c r="G737" s="850" t="s">
        <v>10973</v>
      </c>
      <c r="H737" s="849" t="s">
        <v>10716</v>
      </c>
      <c r="I737" s="849"/>
      <c r="J737" s="851">
        <v>3.84</v>
      </c>
      <c r="K737" s="848" t="s">
        <v>12438</v>
      </c>
    </row>
    <row r="738" spans="2:11">
      <c r="B738" s="848">
        <v>735</v>
      </c>
      <c r="C738" s="848" t="s">
        <v>12436</v>
      </c>
      <c r="D738" s="849" t="s">
        <v>1034</v>
      </c>
      <c r="E738" s="848" t="s">
        <v>12439</v>
      </c>
      <c r="F738" s="848" t="s">
        <v>12440</v>
      </c>
      <c r="G738" s="850" t="s">
        <v>12441</v>
      </c>
      <c r="H738" s="849" t="s">
        <v>10716</v>
      </c>
      <c r="I738" s="849"/>
      <c r="J738" s="851">
        <v>1</v>
      </c>
      <c r="K738" s="848" t="s">
        <v>12438</v>
      </c>
    </row>
    <row r="739" spans="2:11">
      <c r="B739" s="848">
        <v>736</v>
      </c>
      <c r="C739" s="848" t="s">
        <v>12442</v>
      </c>
      <c r="D739" s="849" t="s">
        <v>437</v>
      </c>
      <c r="E739" s="848" t="s">
        <v>10754</v>
      </c>
      <c r="F739" s="848" t="s">
        <v>12443</v>
      </c>
      <c r="G739" s="850" t="s">
        <v>10903</v>
      </c>
      <c r="H739" s="849" t="s">
        <v>10716</v>
      </c>
      <c r="I739" s="849"/>
      <c r="J739" s="851">
        <v>460.04</v>
      </c>
      <c r="K739" s="848" t="s">
        <v>12444</v>
      </c>
    </row>
    <row r="740" spans="2:11">
      <c r="B740" s="848">
        <v>737</v>
      </c>
      <c r="C740" s="848" t="s">
        <v>12289</v>
      </c>
      <c r="D740" s="849" t="s">
        <v>1010</v>
      </c>
      <c r="E740" s="848" t="s">
        <v>9441</v>
      </c>
      <c r="F740" s="848" t="s">
        <v>10788</v>
      </c>
      <c r="G740" s="850" t="s">
        <v>12445</v>
      </c>
      <c r="H740" s="849" t="s">
        <v>10716</v>
      </c>
      <c r="I740" s="849"/>
      <c r="J740" s="851">
        <v>517.4</v>
      </c>
      <c r="K740" s="848" t="s">
        <v>12446</v>
      </c>
    </row>
    <row r="741" spans="2:11">
      <c r="B741" s="848">
        <v>738</v>
      </c>
      <c r="C741" s="848" t="s">
        <v>12289</v>
      </c>
      <c r="D741" s="849" t="s">
        <v>1010</v>
      </c>
      <c r="E741" s="848" t="s">
        <v>9441</v>
      </c>
      <c r="F741" s="848" t="s">
        <v>10785</v>
      </c>
      <c r="G741" s="850" t="s">
        <v>12447</v>
      </c>
      <c r="H741" s="849" t="s">
        <v>10716</v>
      </c>
      <c r="I741" s="849"/>
      <c r="J741" s="851">
        <v>2012.1</v>
      </c>
      <c r="K741" s="848" t="s">
        <v>12448</v>
      </c>
    </row>
    <row r="742" spans="2:11">
      <c r="B742" s="848">
        <v>739</v>
      </c>
      <c r="C742" s="848" t="s">
        <v>12289</v>
      </c>
      <c r="D742" s="849" t="s">
        <v>1010</v>
      </c>
      <c r="E742" s="848" t="s">
        <v>8582</v>
      </c>
      <c r="F742" s="848" t="s">
        <v>10780</v>
      </c>
      <c r="G742" s="850" t="s">
        <v>11982</v>
      </c>
      <c r="H742" s="849" t="s">
        <v>10716</v>
      </c>
      <c r="I742" s="849"/>
      <c r="J742" s="851">
        <v>804.84</v>
      </c>
      <c r="K742" s="848" t="s">
        <v>12449</v>
      </c>
    </row>
    <row r="743" spans="2:11">
      <c r="B743" s="848">
        <v>740</v>
      </c>
      <c r="C743" s="848" t="s">
        <v>12289</v>
      </c>
      <c r="D743" s="849" t="s">
        <v>1010</v>
      </c>
      <c r="E743" s="848" t="s">
        <v>3393</v>
      </c>
      <c r="F743" s="848" t="s">
        <v>10783</v>
      </c>
      <c r="G743" s="850" t="s">
        <v>12450</v>
      </c>
      <c r="H743" s="849" t="s">
        <v>10716</v>
      </c>
      <c r="I743" s="849"/>
      <c r="J743" s="851">
        <v>4584.97</v>
      </c>
      <c r="K743" s="848" t="s">
        <v>12451</v>
      </c>
    </row>
    <row r="744" spans="2:11">
      <c r="B744" s="848">
        <v>741</v>
      </c>
      <c r="C744" s="848" t="s">
        <v>12289</v>
      </c>
      <c r="D744" s="849" t="s">
        <v>1010</v>
      </c>
      <c r="E744" s="848" t="s">
        <v>3393</v>
      </c>
      <c r="F744" s="848" t="s">
        <v>10790</v>
      </c>
      <c r="G744" s="850" t="s">
        <v>12452</v>
      </c>
      <c r="H744" s="849" t="s">
        <v>10716</v>
      </c>
      <c r="I744" s="849"/>
      <c r="J744" s="851">
        <v>158.428348</v>
      </c>
      <c r="K744" s="848" t="s">
        <v>12453</v>
      </c>
    </row>
    <row r="745" spans="2:11">
      <c r="B745" s="848">
        <v>742</v>
      </c>
      <c r="C745" s="848" t="s">
        <v>12454</v>
      </c>
      <c r="D745" s="849" t="s">
        <v>1010</v>
      </c>
      <c r="E745" s="848" t="s">
        <v>3393</v>
      </c>
      <c r="F745" s="848" t="s">
        <v>12455</v>
      </c>
      <c r="G745" s="850" t="s">
        <v>12456</v>
      </c>
      <c r="H745" s="849" t="s">
        <v>10716</v>
      </c>
      <c r="I745" s="849"/>
      <c r="J745" s="851">
        <v>59.410630499999996</v>
      </c>
      <c r="K745" s="848" t="s">
        <v>12457</v>
      </c>
    </row>
    <row r="746" spans="2:11" ht="25">
      <c r="B746" s="848">
        <v>743</v>
      </c>
      <c r="C746" s="848" t="s">
        <v>12458</v>
      </c>
      <c r="D746" s="849" t="s">
        <v>364</v>
      </c>
      <c r="E746" s="848" t="s">
        <v>9437</v>
      </c>
      <c r="F746" s="848" t="s">
        <v>11374</v>
      </c>
      <c r="G746" s="850" t="s">
        <v>11747</v>
      </c>
      <c r="H746" s="849" t="s">
        <v>10716</v>
      </c>
      <c r="I746" s="849"/>
      <c r="J746" s="851">
        <v>118.26</v>
      </c>
      <c r="K746" s="848" t="s">
        <v>5976</v>
      </c>
    </row>
    <row r="747" spans="2:11" ht="25">
      <c r="B747" s="848">
        <v>744</v>
      </c>
      <c r="C747" s="848" t="s">
        <v>12458</v>
      </c>
      <c r="D747" s="849" t="s">
        <v>364</v>
      </c>
      <c r="E747" s="848" t="s">
        <v>9437</v>
      </c>
      <c r="F747" s="848" t="s">
        <v>11377</v>
      </c>
      <c r="G747" s="850" t="s">
        <v>11743</v>
      </c>
      <c r="H747" s="849" t="s">
        <v>10716</v>
      </c>
      <c r="I747" s="849"/>
      <c r="J747" s="851">
        <v>303.54000000000002</v>
      </c>
      <c r="K747" s="848" t="s">
        <v>5977</v>
      </c>
    </row>
    <row r="748" spans="2:11" ht="25">
      <c r="B748" s="848">
        <v>745</v>
      </c>
      <c r="C748" s="848" t="s">
        <v>12459</v>
      </c>
      <c r="D748" s="849" t="s">
        <v>12460</v>
      </c>
      <c r="E748" s="848" t="s">
        <v>10778</v>
      </c>
      <c r="F748" s="848" t="s">
        <v>12461</v>
      </c>
      <c r="G748" s="850" t="s">
        <v>12462</v>
      </c>
      <c r="H748" s="849" t="s">
        <v>10716</v>
      </c>
      <c r="I748" s="849"/>
      <c r="J748" s="851">
        <v>153.35</v>
      </c>
      <c r="K748" s="848" t="s">
        <v>12463</v>
      </c>
    </row>
    <row r="749" spans="2:11" ht="25">
      <c r="B749" s="848">
        <v>746</v>
      </c>
      <c r="C749" s="848" t="s">
        <v>12459</v>
      </c>
      <c r="D749" s="849" t="s">
        <v>12460</v>
      </c>
      <c r="E749" s="848" t="s">
        <v>12464</v>
      </c>
      <c r="F749" s="848" t="s">
        <v>11380</v>
      </c>
      <c r="G749" s="850" t="s">
        <v>12465</v>
      </c>
      <c r="H749" s="849" t="s">
        <v>10716</v>
      </c>
      <c r="I749" s="849"/>
      <c r="J749" s="851">
        <v>5214</v>
      </c>
      <c r="K749" s="848" t="s">
        <v>5857</v>
      </c>
    </row>
    <row r="750" spans="2:11">
      <c r="B750" s="848">
        <v>747</v>
      </c>
      <c r="C750" s="848" t="s">
        <v>12466</v>
      </c>
      <c r="D750" s="849" t="s">
        <v>5690</v>
      </c>
      <c r="E750" s="848" t="s">
        <v>12467</v>
      </c>
      <c r="F750" s="848" t="s">
        <v>12468</v>
      </c>
      <c r="G750" s="850" t="s">
        <v>12347</v>
      </c>
      <c r="H750" s="849" t="s">
        <v>10716</v>
      </c>
      <c r="I750" s="849"/>
      <c r="J750" s="851">
        <v>4.0999999999999996</v>
      </c>
      <c r="K750" s="848" t="s">
        <v>6007</v>
      </c>
    </row>
    <row r="751" spans="2:11">
      <c r="B751" s="848">
        <v>748</v>
      </c>
      <c r="C751" s="848" t="s">
        <v>12469</v>
      </c>
      <c r="D751" s="849" t="s">
        <v>12470</v>
      </c>
      <c r="E751" s="848" t="s">
        <v>9468</v>
      </c>
      <c r="F751" s="848" t="s">
        <v>11733</v>
      </c>
      <c r="G751" s="850" t="s">
        <v>12471</v>
      </c>
      <c r="H751" s="849" t="s">
        <v>10716</v>
      </c>
      <c r="I751" s="849"/>
      <c r="J751" s="851">
        <v>153.35</v>
      </c>
      <c r="K751" s="848" t="s">
        <v>12472</v>
      </c>
    </row>
    <row r="752" spans="2:11">
      <c r="B752" s="848">
        <v>749</v>
      </c>
      <c r="C752" s="848" t="s">
        <v>12469</v>
      </c>
      <c r="D752" s="849" t="s">
        <v>12470</v>
      </c>
      <c r="E752" s="848" t="s">
        <v>11540</v>
      </c>
      <c r="F752" s="848" t="s">
        <v>12473</v>
      </c>
      <c r="G752" s="850" t="s">
        <v>12474</v>
      </c>
      <c r="H752" s="849" t="s">
        <v>10716</v>
      </c>
      <c r="I752" s="849"/>
      <c r="J752" s="851">
        <v>4</v>
      </c>
      <c r="K752" s="848" t="s">
        <v>12475</v>
      </c>
    </row>
    <row r="753" spans="2:11">
      <c r="B753" s="848">
        <v>750</v>
      </c>
      <c r="C753" s="848" t="s">
        <v>563</v>
      </c>
      <c r="D753" s="849" t="s">
        <v>12476</v>
      </c>
      <c r="E753" s="848" t="s">
        <v>3393</v>
      </c>
      <c r="F753" s="848" t="s">
        <v>12477</v>
      </c>
      <c r="G753" s="850" t="s">
        <v>12478</v>
      </c>
      <c r="H753" s="849" t="s">
        <v>10716</v>
      </c>
      <c r="I753" s="849"/>
      <c r="J753" s="851">
        <v>71689.259999999995</v>
      </c>
      <c r="K753" s="848" t="s">
        <v>5841</v>
      </c>
    </row>
    <row r="754" spans="2:11">
      <c r="B754" s="848">
        <v>751</v>
      </c>
      <c r="C754" s="848" t="s">
        <v>12479</v>
      </c>
      <c r="D754" s="849" t="s">
        <v>78</v>
      </c>
      <c r="E754" s="848" t="s">
        <v>12480</v>
      </c>
      <c r="F754" s="848" t="s">
        <v>12481</v>
      </c>
      <c r="G754" s="850" t="s">
        <v>12482</v>
      </c>
      <c r="H754" s="849" t="s">
        <v>10716</v>
      </c>
      <c r="I754" s="849"/>
      <c r="J754" s="851">
        <v>20000</v>
      </c>
      <c r="K754" s="848" t="s">
        <v>12067</v>
      </c>
    </row>
    <row r="755" spans="2:11">
      <c r="B755" s="848">
        <v>752</v>
      </c>
      <c r="C755" s="848" t="s">
        <v>12479</v>
      </c>
      <c r="D755" s="849" t="s">
        <v>78</v>
      </c>
      <c r="E755" s="848" t="s">
        <v>3105</v>
      </c>
      <c r="F755" s="848" t="s">
        <v>12483</v>
      </c>
      <c r="G755" s="850" t="s">
        <v>10749</v>
      </c>
      <c r="H755" s="849" t="s">
        <v>10716</v>
      </c>
      <c r="I755" s="849"/>
      <c r="J755" s="851">
        <v>882</v>
      </c>
      <c r="K755" s="848" t="s">
        <v>11203</v>
      </c>
    </row>
    <row r="756" spans="2:11">
      <c r="B756" s="848">
        <v>753</v>
      </c>
      <c r="C756" s="848" t="s">
        <v>12479</v>
      </c>
      <c r="D756" s="849" t="s">
        <v>78</v>
      </c>
      <c r="E756" s="848" t="s">
        <v>3105</v>
      </c>
      <c r="F756" s="848" t="s">
        <v>12484</v>
      </c>
      <c r="G756" s="850" t="s">
        <v>12485</v>
      </c>
      <c r="H756" s="849" t="s">
        <v>10716</v>
      </c>
      <c r="I756" s="849"/>
      <c r="J756" s="851">
        <v>11117.59</v>
      </c>
      <c r="K756" s="848" t="s">
        <v>11224</v>
      </c>
    </row>
    <row r="757" spans="2:11">
      <c r="B757" s="848">
        <v>754</v>
      </c>
      <c r="C757" s="848" t="s">
        <v>12486</v>
      </c>
      <c r="D757" s="849" t="s">
        <v>1042</v>
      </c>
      <c r="E757" s="848" t="s">
        <v>8582</v>
      </c>
      <c r="F757" s="848" t="s">
        <v>11383</v>
      </c>
      <c r="G757" s="850" t="s">
        <v>12069</v>
      </c>
      <c r="H757" s="849" t="s">
        <v>10716</v>
      </c>
      <c r="I757" s="849"/>
      <c r="J757" s="851">
        <v>18.53</v>
      </c>
      <c r="K757" s="848" t="s">
        <v>12487</v>
      </c>
    </row>
    <row r="758" spans="2:11">
      <c r="B758" s="848">
        <v>755</v>
      </c>
      <c r="C758" s="848" t="s">
        <v>571</v>
      </c>
      <c r="D758" s="849" t="s">
        <v>556</v>
      </c>
      <c r="E758" s="848" t="s">
        <v>12488</v>
      </c>
      <c r="F758" s="848" t="s">
        <v>12489</v>
      </c>
      <c r="G758" s="850" t="s">
        <v>10749</v>
      </c>
      <c r="H758" s="849" t="s">
        <v>10716</v>
      </c>
      <c r="I758" s="849"/>
      <c r="J758" s="851">
        <v>15</v>
      </c>
      <c r="K758" s="848" t="s">
        <v>6481</v>
      </c>
    </row>
    <row r="759" spans="2:11">
      <c r="B759" s="848">
        <v>756</v>
      </c>
      <c r="C759" s="848" t="s">
        <v>571</v>
      </c>
      <c r="D759" s="849" t="s">
        <v>556</v>
      </c>
      <c r="E759" s="848" t="s">
        <v>12488</v>
      </c>
      <c r="F759" s="848" t="s">
        <v>10767</v>
      </c>
      <c r="G759" s="850" t="s">
        <v>10749</v>
      </c>
      <c r="H759" s="849" t="s">
        <v>10716</v>
      </c>
      <c r="I759" s="849"/>
      <c r="J759" s="851">
        <v>8</v>
      </c>
      <c r="K759" s="848" t="s">
        <v>6482</v>
      </c>
    </row>
    <row r="760" spans="2:11">
      <c r="B760" s="848">
        <v>757</v>
      </c>
      <c r="C760" s="848" t="s">
        <v>571</v>
      </c>
      <c r="D760" s="849" t="s">
        <v>556</v>
      </c>
      <c r="E760" s="848" t="s">
        <v>8582</v>
      </c>
      <c r="F760" s="848" t="s">
        <v>12490</v>
      </c>
      <c r="G760" s="850" t="s">
        <v>11227</v>
      </c>
      <c r="H760" s="849" t="s">
        <v>10716</v>
      </c>
      <c r="I760" s="849"/>
      <c r="J760" s="851">
        <v>54054.47</v>
      </c>
      <c r="K760" s="848" t="s">
        <v>12491</v>
      </c>
    </row>
    <row r="761" spans="2:11">
      <c r="B761" s="848">
        <v>758</v>
      </c>
      <c r="C761" s="848" t="s">
        <v>571</v>
      </c>
      <c r="D761" s="849" t="s">
        <v>556</v>
      </c>
      <c r="E761" s="848" t="s">
        <v>3393</v>
      </c>
      <c r="F761" s="848" t="s">
        <v>12492</v>
      </c>
      <c r="G761" s="850" t="s">
        <v>12493</v>
      </c>
      <c r="H761" s="849" t="s">
        <v>10716</v>
      </c>
      <c r="I761" s="849"/>
      <c r="J761" s="851">
        <v>2683.5550000000003</v>
      </c>
      <c r="K761" s="848" t="s">
        <v>11699</v>
      </c>
    </row>
    <row r="762" spans="2:11">
      <c r="B762" s="848">
        <v>759</v>
      </c>
      <c r="C762" s="848" t="s">
        <v>571</v>
      </c>
      <c r="D762" s="849" t="s">
        <v>556</v>
      </c>
      <c r="E762" s="848" t="s">
        <v>3393</v>
      </c>
      <c r="F762" s="848" t="s">
        <v>12494</v>
      </c>
      <c r="G762" s="850" t="s">
        <v>12495</v>
      </c>
      <c r="H762" s="849" t="s">
        <v>10716</v>
      </c>
      <c r="I762" s="849"/>
      <c r="J762" s="851">
        <v>38719.864999999998</v>
      </c>
      <c r="K762" s="848" t="s">
        <v>12496</v>
      </c>
    </row>
    <row r="763" spans="2:11">
      <c r="B763" s="848">
        <v>760</v>
      </c>
      <c r="C763" s="848" t="s">
        <v>571</v>
      </c>
      <c r="D763" s="849" t="s">
        <v>556</v>
      </c>
      <c r="E763" s="848" t="s">
        <v>3393</v>
      </c>
      <c r="F763" s="848" t="s">
        <v>12497</v>
      </c>
      <c r="G763" s="850" t="s">
        <v>12498</v>
      </c>
      <c r="H763" s="849" t="s">
        <v>10716</v>
      </c>
      <c r="I763" s="849"/>
      <c r="J763" s="851">
        <v>6900.57</v>
      </c>
      <c r="K763" s="848" t="s">
        <v>10751</v>
      </c>
    </row>
    <row r="764" spans="2:11">
      <c r="B764" s="848">
        <v>761</v>
      </c>
      <c r="C764" s="848" t="s">
        <v>571</v>
      </c>
      <c r="D764" s="849" t="s">
        <v>556</v>
      </c>
      <c r="E764" s="848" t="s">
        <v>3393</v>
      </c>
      <c r="F764" s="848" t="s">
        <v>12499</v>
      </c>
      <c r="G764" s="850" t="s">
        <v>12500</v>
      </c>
      <c r="H764" s="849" t="s">
        <v>10716</v>
      </c>
      <c r="I764" s="849"/>
      <c r="J764" s="851">
        <v>26068.82</v>
      </c>
      <c r="K764" s="848" t="s">
        <v>12501</v>
      </c>
    </row>
    <row r="765" spans="2:11">
      <c r="B765" s="848">
        <v>762</v>
      </c>
      <c r="C765" s="848" t="s">
        <v>571</v>
      </c>
      <c r="D765" s="849" t="s">
        <v>556</v>
      </c>
      <c r="E765" s="848" t="s">
        <v>3393</v>
      </c>
      <c r="F765" s="848" t="s">
        <v>12502</v>
      </c>
      <c r="G765" s="850" t="s">
        <v>12503</v>
      </c>
      <c r="H765" s="849" t="s">
        <v>10716</v>
      </c>
      <c r="I765" s="849"/>
      <c r="J765" s="851">
        <v>8050.665</v>
      </c>
      <c r="K765" s="848" t="s">
        <v>12504</v>
      </c>
    </row>
    <row r="766" spans="2:11">
      <c r="B766" s="848">
        <v>763</v>
      </c>
      <c r="C766" s="848" t="s">
        <v>571</v>
      </c>
      <c r="D766" s="849" t="s">
        <v>556</v>
      </c>
      <c r="E766" s="848" t="s">
        <v>3393</v>
      </c>
      <c r="F766" s="848" t="s">
        <v>12505</v>
      </c>
      <c r="G766" s="850" t="s">
        <v>12506</v>
      </c>
      <c r="H766" s="849" t="s">
        <v>10716</v>
      </c>
      <c r="I766" s="849"/>
      <c r="J766" s="851">
        <v>20318.345000000001</v>
      </c>
      <c r="K766" s="848" t="s">
        <v>12507</v>
      </c>
    </row>
    <row r="767" spans="2:11">
      <c r="B767" s="848">
        <v>764</v>
      </c>
      <c r="C767" s="848" t="s">
        <v>571</v>
      </c>
      <c r="D767" s="849" t="s">
        <v>556</v>
      </c>
      <c r="E767" s="848" t="s">
        <v>3393</v>
      </c>
      <c r="F767" s="848" t="s">
        <v>12508</v>
      </c>
      <c r="G767" s="850" t="s">
        <v>12509</v>
      </c>
      <c r="H767" s="849" t="s">
        <v>10716</v>
      </c>
      <c r="I767" s="849"/>
      <c r="J767" s="851">
        <v>2300.19</v>
      </c>
      <c r="K767" s="848" t="s">
        <v>10783</v>
      </c>
    </row>
    <row r="768" spans="2:11">
      <c r="B768" s="848">
        <v>765</v>
      </c>
      <c r="C768" s="848" t="s">
        <v>571</v>
      </c>
      <c r="D768" s="849" t="s">
        <v>556</v>
      </c>
      <c r="E768" s="848" t="s">
        <v>3393</v>
      </c>
      <c r="F768" s="848" t="s">
        <v>12510</v>
      </c>
      <c r="G768" s="850" t="s">
        <v>12511</v>
      </c>
      <c r="H768" s="849" t="s">
        <v>10716</v>
      </c>
      <c r="I768" s="849"/>
      <c r="J768" s="851">
        <v>2300.19</v>
      </c>
      <c r="K768" s="848" t="s">
        <v>10788</v>
      </c>
    </row>
    <row r="769" spans="2:11">
      <c r="B769" s="848">
        <v>766</v>
      </c>
      <c r="C769" s="848" t="s">
        <v>571</v>
      </c>
      <c r="D769" s="849" t="s">
        <v>556</v>
      </c>
      <c r="E769" s="848" t="s">
        <v>3393</v>
      </c>
      <c r="F769" s="848" t="s">
        <v>12512</v>
      </c>
      <c r="G769" s="850" t="s">
        <v>12513</v>
      </c>
      <c r="H769" s="849" t="s">
        <v>10716</v>
      </c>
      <c r="I769" s="849"/>
      <c r="J769" s="851">
        <v>766.73</v>
      </c>
      <c r="K769" s="848" t="s">
        <v>12514</v>
      </c>
    </row>
    <row r="770" spans="2:11">
      <c r="B770" s="848">
        <v>767</v>
      </c>
      <c r="C770" s="848" t="s">
        <v>571</v>
      </c>
      <c r="D770" s="849" t="s">
        <v>556</v>
      </c>
      <c r="E770" s="848" t="s">
        <v>3393</v>
      </c>
      <c r="F770" s="848" t="s">
        <v>12515</v>
      </c>
      <c r="G770" s="850" t="s">
        <v>12516</v>
      </c>
      <c r="H770" s="849" t="s">
        <v>10716</v>
      </c>
      <c r="I770" s="849"/>
      <c r="J770" s="851">
        <v>1533.46</v>
      </c>
      <c r="K770" s="848" t="s">
        <v>12517</v>
      </c>
    </row>
    <row r="771" spans="2:11">
      <c r="B771" s="848">
        <v>768</v>
      </c>
      <c r="C771" s="848" t="s">
        <v>571</v>
      </c>
      <c r="D771" s="849" t="s">
        <v>556</v>
      </c>
      <c r="E771" s="848" t="s">
        <v>3393</v>
      </c>
      <c r="F771" s="848" t="s">
        <v>12518</v>
      </c>
      <c r="G771" s="850" t="s">
        <v>12519</v>
      </c>
      <c r="H771" s="849" t="s">
        <v>10716</v>
      </c>
      <c r="I771" s="849"/>
      <c r="J771" s="851">
        <v>4983.7449999999999</v>
      </c>
      <c r="K771" s="848" t="s">
        <v>12520</v>
      </c>
    </row>
    <row r="772" spans="2:11">
      <c r="B772" s="848">
        <v>769</v>
      </c>
      <c r="C772" s="848" t="s">
        <v>11968</v>
      </c>
      <c r="D772" s="849" t="s">
        <v>556</v>
      </c>
      <c r="E772" s="848" t="s">
        <v>3393</v>
      </c>
      <c r="F772" s="848" t="s">
        <v>12521</v>
      </c>
      <c r="G772" s="850" t="s">
        <v>12522</v>
      </c>
      <c r="H772" s="849" t="s">
        <v>10716</v>
      </c>
      <c r="I772" s="849"/>
      <c r="J772" s="851">
        <v>383.36500000000001</v>
      </c>
      <c r="K772" s="848" t="s">
        <v>12523</v>
      </c>
    </row>
    <row r="773" spans="2:11">
      <c r="B773" s="848">
        <v>770</v>
      </c>
      <c r="C773" s="848" t="s">
        <v>571</v>
      </c>
      <c r="D773" s="849" t="s">
        <v>556</v>
      </c>
      <c r="E773" s="848" t="s">
        <v>3393</v>
      </c>
      <c r="F773" s="848" t="s">
        <v>12524</v>
      </c>
      <c r="G773" s="850" t="s">
        <v>12525</v>
      </c>
      <c r="H773" s="849" t="s">
        <v>10716</v>
      </c>
      <c r="I773" s="849"/>
      <c r="J773" s="851">
        <v>4983.7449999999999</v>
      </c>
      <c r="K773" s="848" t="s">
        <v>12526</v>
      </c>
    </row>
    <row r="774" spans="2:11">
      <c r="B774" s="848">
        <v>771</v>
      </c>
      <c r="C774" s="848" t="s">
        <v>571</v>
      </c>
      <c r="D774" s="849" t="s">
        <v>556</v>
      </c>
      <c r="E774" s="848" t="s">
        <v>3393</v>
      </c>
      <c r="F774" s="848" t="s">
        <v>12527</v>
      </c>
      <c r="G774" s="850" t="s">
        <v>12528</v>
      </c>
      <c r="H774" s="849" t="s">
        <v>10716</v>
      </c>
      <c r="I774" s="849"/>
      <c r="J774" s="851">
        <v>3833.65</v>
      </c>
      <c r="K774" s="848" t="s">
        <v>12529</v>
      </c>
    </row>
    <row r="775" spans="2:11">
      <c r="B775" s="848">
        <v>772</v>
      </c>
      <c r="C775" s="848" t="s">
        <v>571</v>
      </c>
      <c r="D775" s="849" t="s">
        <v>556</v>
      </c>
      <c r="E775" s="848" t="s">
        <v>3393</v>
      </c>
      <c r="F775" s="848" t="s">
        <v>12530</v>
      </c>
      <c r="G775" s="850" t="s">
        <v>12531</v>
      </c>
      <c r="H775" s="849" t="s">
        <v>10716</v>
      </c>
      <c r="I775" s="849"/>
      <c r="J775" s="851">
        <v>28752.375</v>
      </c>
      <c r="K775" s="848" t="s">
        <v>12532</v>
      </c>
    </row>
    <row r="776" spans="2:11">
      <c r="B776" s="848">
        <v>773</v>
      </c>
      <c r="C776" s="848" t="s">
        <v>571</v>
      </c>
      <c r="D776" s="849" t="s">
        <v>556</v>
      </c>
      <c r="E776" s="848" t="s">
        <v>3393</v>
      </c>
      <c r="F776" s="848" t="s">
        <v>12533</v>
      </c>
      <c r="G776" s="850" t="s">
        <v>12534</v>
      </c>
      <c r="H776" s="849" t="s">
        <v>10716</v>
      </c>
      <c r="I776" s="849"/>
      <c r="J776" s="851">
        <v>126510.45</v>
      </c>
      <c r="K776" s="848" t="s">
        <v>12535</v>
      </c>
    </row>
    <row r="777" spans="2:11">
      <c r="B777" s="848">
        <v>774</v>
      </c>
      <c r="C777" s="848" t="s">
        <v>11968</v>
      </c>
      <c r="D777" s="849" t="s">
        <v>556</v>
      </c>
      <c r="E777" s="848" t="s">
        <v>3393</v>
      </c>
      <c r="F777" s="848" t="s">
        <v>12536</v>
      </c>
      <c r="G777" s="850" t="s">
        <v>12537</v>
      </c>
      <c r="H777" s="849" t="s">
        <v>10716</v>
      </c>
      <c r="I777" s="849"/>
      <c r="J777" s="851">
        <v>50604.18</v>
      </c>
      <c r="K777" s="848" t="s">
        <v>12538</v>
      </c>
    </row>
    <row r="778" spans="2:11">
      <c r="B778" s="848">
        <v>775</v>
      </c>
      <c r="C778" s="848" t="s">
        <v>571</v>
      </c>
      <c r="D778" s="849" t="s">
        <v>556</v>
      </c>
      <c r="E778" s="848" t="s">
        <v>3393</v>
      </c>
      <c r="F778" s="848" t="s">
        <v>12539</v>
      </c>
      <c r="G778" s="850" t="s">
        <v>12540</v>
      </c>
      <c r="H778" s="849" t="s">
        <v>10716</v>
      </c>
      <c r="I778" s="849"/>
      <c r="J778" s="851">
        <v>117693.05500000001</v>
      </c>
      <c r="K778" s="848" t="s">
        <v>11824</v>
      </c>
    </row>
    <row r="779" spans="2:11">
      <c r="B779" s="848">
        <v>776</v>
      </c>
      <c r="C779" s="848" t="s">
        <v>571</v>
      </c>
      <c r="D779" s="849" t="s">
        <v>556</v>
      </c>
      <c r="E779" s="848" t="s">
        <v>3393</v>
      </c>
      <c r="F779" s="848" t="s">
        <v>12541</v>
      </c>
      <c r="G779" s="850" t="s">
        <v>12542</v>
      </c>
      <c r="H779" s="849" t="s">
        <v>10716</v>
      </c>
      <c r="I779" s="849"/>
      <c r="J779" s="851">
        <v>96224.615000000005</v>
      </c>
      <c r="K779" s="848" t="s">
        <v>11822</v>
      </c>
    </row>
    <row r="780" spans="2:11">
      <c r="B780" s="848">
        <v>777</v>
      </c>
      <c r="C780" s="848" t="s">
        <v>571</v>
      </c>
      <c r="D780" s="849" t="s">
        <v>556</v>
      </c>
      <c r="E780" s="848" t="s">
        <v>3393</v>
      </c>
      <c r="F780" s="848" t="s">
        <v>12543</v>
      </c>
      <c r="G780" s="850" t="s">
        <v>12544</v>
      </c>
      <c r="H780" s="849" t="s">
        <v>10716</v>
      </c>
      <c r="I780" s="849"/>
      <c r="J780" s="851">
        <v>3833.65</v>
      </c>
      <c r="K780" s="848" t="s">
        <v>11089</v>
      </c>
    </row>
    <row r="781" spans="2:11">
      <c r="B781" s="848">
        <v>778</v>
      </c>
      <c r="C781" s="848" t="s">
        <v>571</v>
      </c>
      <c r="D781" s="849" t="s">
        <v>556</v>
      </c>
      <c r="E781" s="848" t="s">
        <v>3393</v>
      </c>
      <c r="F781" s="848" t="s">
        <v>12545</v>
      </c>
      <c r="G781" s="850" t="s">
        <v>12546</v>
      </c>
      <c r="H781" s="849" t="s">
        <v>10716</v>
      </c>
      <c r="I781" s="849"/>
      <c r="J781" s="851">
        <v>26452.185000000001</v>
      </c>
      <c r="K781" s="848" t="s">
        <v>12265</v>
      </c>
    </row>
    <row r="782" spans="2:11">
      <c r="B782" s="848">
        <v>779</v>
      </c>
      <c r="C782" s="848" t="s">
        <v>571</v>
      </c>
      <c r="D782" s="849" t="s">
        <v>556</v>
      </c>
      <c r="E782" s="848" t="s">
        <v>3393</v>
      </c>
      <c r="F782" s="848" t="s">
        <v>12547</v>
      </c>
      <c r="G782" s="850" t="s">
        <v>12548</v>
      </c>
      <c r="H782" s="849" t="s">
        <v>10716</v>
      </c>
      <c r="I782" s="849"/>
      <c r="J782" s="851">
        <v>149128.98500000002</v>
      </c>
      <c r="K782" s="848" t="s">
        <v>12549</v>
      </c>
    </row>
    <row r="783" spans="2:11">
      <c r="B783" s="848">
        <v>780</v>
      </c>
      <c r="C783" s="848" t="s">
        <v>571</v>
      </c>
      <c r="D783" s="849" t="s">
        <v>556</v>
      </c>
      <c r="E783" s="848" t="s">
        <v>3393</v>
      </c>
      <c r="F783" s="848" t="s">
        <v>12550</v>
      </c>
      <c r="G783" s="850" t="s">
        <v>12551</v>
      </c>
      <c r="H783" s="849" t="s">
        <v>10716</v>
      </c>
      <c r="I783" s="849"/>
      <c r="J783" s="851">
        <v>142228.41500000001</v>
      </c>
      <c r="K783" s="848" t="s">
        <v>12552</v>
      </c>
    </row>
    <row r="784" spans="2:11">
      <c r="B784" s="848">
        <v>781</v>
      </c>
      <c r="C784" s="848" t="s">
        <v>571</v>
      </c>
      <c r="D784" s="849" t="s">
        <v>556</v>
      </c>
      <c r="E784" s="848" t="s">
        <v>3393</v>
      </c>
      <c r="F784" s="848" t="s">
        <v>11973</v>
      </c>
      <c r="G784" s="850" t="s">
        <v>12553</v>
      </c>
      <c r="H784" s="849" t="s">
        <v>10716</v>
      </c>
      <c r="I784" s="849"/>
      <c r="J784" s="851">
        <v>129960.735</v>
      </c>
      <c r="K784" s="848" t="s">
        <v>12471</v>
      </c>
    </row>
    <row r="785" spans="2:11">
      <c r="B785" s="848">
        <v>782</v>
      </c>
      <c r="C785" s="848" t="s">
        <v>571</v>
      </c>
      <c r="D785" s="849" t="s">
        <v>556</v>
      </c>
      <c r="E785" s="848" t="s">
        <v>3393</v>
      </c>
      <c r="F785" s="848" t="s">
        <v>11970</v>
      </c>
      <c r="G785" s="850" t="s">
        <v>12554</v>
      </c>
      <c r="H785" s="849" t="s">
        <v>10716</v>
      </c>
      <c r="I785" s="849"/>
      <c r="J785" s="851">
        <v>141845.04999999999</v>
      </c>
      <c r="K785" s="848" t="s">
        <v>12236</v>
      </c>
    </row>
    <row r="786" spans="2:11">
      <c r="B786" s="848">
        <v>783</v>
      </c>
      <c r="C786" s="848" t="s">
        <v>571</v>
      </c>
      <c r="D786" s="849" t="s">
        <v>556</v>
      </c>
      <c r="E786" s="848" t="s">
        <v>3393</v>
      </c>
      <c r="F786" s="848" t="s">
        <v>12555</v>
      </c>
      <c r="G786" s="850" t="s">
        <v>12556</v>
      </c>
      <c r="H786" s="849" t="s">
        <v>10716</v>
      </c>
      <c r="I786" s="849"/>
      <c r="J786" s="851">
        <v>143378.51</v>
      </c>
      <c r="K786" s="848" t="s">
        <v>12557</v>
      </c>
    </row>
    <row r="787" spans="2:11">
      <c r="B787" s="848">
        <v>784</v>
      </c>
      <c r="C787" s="848" t="s">
        <v>571</v>
      </c>
      <c r="D787" s="849" t="s">
        <v>556</v>
      </c>
      <c r="E787" s="848" t="s">
        <v>3393</v>
      </c>
      <c r="F787" s="848" t="s">
        <v>12447</v>
      </c>
      <c r="G787" s="850" t="s">
        <v>12558</v>
      </c>
      <c r="H787" s="849" t="s">
        <v>10716</v>
      </c>
      <c r="I787" s="849"/>
      <c r="J787" s="851">
        <v>108875.66</v>
      </c>
      <c r="K787" s="848" t="s">
        <v>10799</v>
      </c>
    </row>
    <row r="788" spans="2:11">
      <c r="B788" s="848">
        <v>785</v>
      </c>
      <c r="C788" s="848" t="s">
        <v>571</v>
      </c>
      <c r="D788" s="849" t="s">
        <v>556</v>
      </c>
      <c r="E788" s="848" t="s">
        <v>3393</v>
      </c>
      <c r="F788" s="848" t="s">
        <v>12445</v>
      </c>
      <c r="G788" s="850" t="s">
        <v>12559</v>
      </c>
      <c r="H788" s="849" t="s">
        <v>10716</v>
      </c>
      <c r="I788" s="849"/>
      <c r="J788" s="851">
        <v>127277.18</v>
      </c>
      <c r="K788" s="848" t="s">
        <v>12560</v>
      </c>
    </row>
    <row r="789" spans="2:11">
      <c r="B789" s="848">
        <v>786</v>
      </c>
      <c r="C789" s="848" t="s">
        <v>571</v>
      </c>
      <c r="D789" s="849" t="s">
        <v>556</v>
      </c>
      <c r="E789" s="848" t="s">
        <v>3393</v>
      </c>
      <c r="F789" s="848" t="s">
        <v>12561</v>
      </c>
      <c r="G789" s="850" t="s">
        <v>12562</v>
      </c>
      <c r="H789" s="849" t="s">
        <v>10716</v>
      </c>
      <c r="I789" s="849"/>
      <c r="J789" s="851">
        <v>146062.065</v>
      </c>
      <c r="K789" s="848" t="s">
        <v>10796</v>
      </c>
    </row>
    <row r="790" spans="2:11">
      <c r="B790" s="848">
        <v>787</v>
      </c>
      <c r="C790" s="848" t="s">
        <v>571</v>
      </c>
      <c r="D790" s="849" t="s">
        <v>556</v>
      </c>
      <c r="E790" s="848" t="s">
        <v>3393</v>
      </c>
      <c r="F790" s="848" t="s">
        <v>12563</v>
      </c>
      <c r="G790" s="850" t="s">
        <v>12564</v>
      </c>
      <c r="H790" s="849" t="s">
        <v>10716</v>
      </c>
      <c r="I790" s="849"/>
      <c r="J790" s="851">
        <v>7667.3</v>
      </c>
      <c r="K790" s="848" t="s">
        <v>12150</v>
      </c>
    </row>
    <row r="791" spans="2:11">
      <c r="B791" s="848">
        <v>788</v>
      </c>
      <c r="C791" s="848" t="s">
        <v>571</v>
      </c>
      <c r="D791" s="849" t="s">
        <v>556</v>
      </c>
      <c r="E791" s="848" t="s">
        <v>3393</v>
      </c>
      <c r="F791" s="848" t="s">
        <v>12565</v>
      </c>
      <c r="G791" s="850" t="s">
        <v>12566</v>
      </c>
      <c r="H791" s="849" t="s">
        <v>10716</v>
      </c>
      <c r="I791" s="849"/>
      <c r="J791" s="851">
        <v>4600.38</v>
      </c>
      <c r="K791" s="848" t="s">
        <v>12567</v>
      </c>
    </row>
    <row r="792" spans="2:11">
      <c r="B792" s="848">
        <v>789</v>
      </c>
      <c r="C792" s="848" t="s">
        <v>571</v>
      </c>
      <c r="D792" s="849" t="s">
        <v>556</v>
      </c>
      <c r="E792" s="848" t="s">
        <v>3393</v>
      </c>
      <c r="F792" s="848" t="s">
        <v>12568</v>
      </c>
      <c r="G792" s="850" t="s">
        <v>12569</v>
      </c>
      <c r="H792" s="849" t="s">
        <v>10716</v>
      </c>
      <c r="I792" s="849"/>
      <c r="J792" s="851">
        <v>28752.375</v>
      </c>
      <c r="K792" s="848" t="s">
        <v>12570</v>
      </c>
    </row>
    <row r="793" spans="2:11">
      <c r="B793" s="848">
        <v>790</v>
      </c>
      <c r="C793" s="848" t="s">
        <v>571</v>
      </c>
      <c r="D793" s="849" t="s">
        <v>556</v>
      </c>
      <c r="E793" s="848" t="s">
        <v>3393</v>
      </c>
      <c r="F793" s="848" t="s">
        <v>12571</v>
      </c>
      <c r="G793" s="850" t="s">
        <v>12572</v>
      </c>
      <c r="H793" s="849" t="s">
        <v>10716</v>
      </c>
      <c r="I793" s="849"/>
      <c r="J793" s="851">
        <v>52137.64</v>
      </c>
      <c r="K793" s="848" t="s">
        <v>12573</v>
      </c>
    </row>
    <row r="794" spans="2:11">
      <c r="B794" s="848">
        <v>791</v>
      </c>
      <c r="C794" s="848" t="s">
        <v>571</v>
      </c>
      <c r="D794" s="849" t="s">
        <v>556</v>
      </c>
      <c r="E794" s="848" t="s">
        <v>3393</v>
      </c>
      <c r="F794" s="848" t="s">
        <v>12574</v>
      </c>
      <c r="G794" s="850" t="s">
        <v>12575</v>
      </c>
      <c r="H794" s="849" t="s">
        <v>10716</v>
      </c>
      <c r="I794" s="849"/>
      <c r="J794" s="851">
        <v>70155.794999999998</v>
      </c>
      <c r="K794" s="848" t="s">
        <v>12576</v>
      </c>
    </row>
    <row r="795" spans="2:11">
      <c r="B795" s="848">
        <v>792</v>
      </c>
      <c r="C795" s="848" t="s">
        <v>571</v>
      </c>
      <c r="D795" s="849" t="s">
        <v>556</v>
      </c>
      <c r="E795" s="848" t="s">
        <v>3393</v>
      </c>
      <c r="F795" s="848" t="s">
        <v>12577</v>
      </c>
      <c r="G795" s="850" t="s">
        <v>12578</v>
      </c>
      <c r="H795" s="849" t="s">
        <v>10716</v>
      </c>
      <c r="I795" s="849"/>
      <c r="J795" s="851">
        <v>25302.09</v>
      </c>
      <c r="K795" s="848" t="s">
        <v>12579</v>
      </c>
    </row>
    <row r="796" spans="2:11">
      <c r="B796" s="848">
        <v>793</v>
      </c>
      <c r="C796" s="848" t="s">
        <v>571</v>
      </c>
      <c r="D796" s="849" t="s">
        <v>556</v>
      </c>
      <c r="E796" s="848" t="s">
        <v>3393</v>
      </c>
      <c r="F796" s="848" t="s">
        <v>12580</v>
      </c>
      <c r="G796" s="850" t="s">
        <v>12581</v>
      </c>
      <c r="H796" s="849" t="s">
        <v>10716</v>
      </c>
      <c r="I796" s="849"/>
      <c r="J796" s="851">
        <v>103508.55</v>
      </c>
      <c r="K796" s="848" t="s">
        <v>12582</v>
      </c>
    </row>
    <row r="797" spans="2:11">
      <c r="B797" s="848">
        <v>794</v>
      </c>
      <c r="C797" s="848" t="s">
        <v>571</v>
      </c>
      <c r="D797" s="849" t="s">
        <v>556</v>
      </c>
      <c r="E797" s="848" t="s">
        <v>3393</v>
      </c>
      <c r="F797" s="848" t="s">
        <v>12583</v>
      </c>
      <c r="G797" s="850" t="s">
        <v>12584</v>
      </c>
      <c r="H797" s="849" t="s">
        <v>10716</v>
      </c>
      <c r="I797" s="849"/>
      <c r="J797" s="851">
        <v>66705.509999999995</v>
      </c>
      <c r="K797" s="848" t="s">
        <v>12585</v>
      </c>
    </row>
    <row r="798" spans="2:11">
      <c r="B798" s="848">
        <v>795</v>
      </c>
      <c r="C798" s="848" t="s">
        <v>571</v>
      </c>
      <c r="D798" s="849" t="s">
        <v>556</v>
      </c>
      <c r="E798" s="848" t="s">
        <v>3393</v>
      </c>
      <c r="F798" s="848" t="s">
        <v>12586</v>
      </c>
      <c r="G798" s="850" t="s">
        <v>12587</v>
      </c>
      <c r="H798" s="849" t="s">
        <v>10716</v>
      </c>
      <c r="I798" s="849"/>
      <c r="J798" s="851">
        <v>3833.65</v>
      </c>
      <c r="K798" s="848" t="s">
        <v>12588</v>
      </c>
    </row>
    <row r="799" spans="2:11">
      <c r="B799" s="848">
        <v>796</v>
      </c>
      <c r="C799" s="848" t="s">
        <v>571</v>
      </c>
      <c r="D799" s="849" t="s">
        <v>556</v>
      </c>
      <c r="E799" s="848" t="s">
        <v>3393</v>
      </c>
      <c r="F799" s="848" t="s">
        <v>12589</v>
      </c>
      <c r="G799" s="850" t="s">
        <v>12590</v>
      </c>
      <c r="H799" s="849" t="s">
        <v>10716</v>
      </c>
      <c r="I799" s="849"/>
      <c r="J799" s="851">
        <v>61721.764999999999</v>
      </c>
      <c r="K799" s="848" t="s">
        <v>12591</v>
      </c>
    </row>
    <row r="800" spans="2:11">
      <c r="B800" s="848">
        <v>797</v>
      </c>
      <c r="C800" s="848" t="s">
        <v>571</v>
      </c>
      <c r="D800" s="849" t="s">
        <v>556</v>
      </c>
      <c r="E800" s="848" t="s">
        <v>3393</v>
      </c>
      <c r="F800" s="848" t="s">
        <v>12592</v>
      </c>
      <c r="G800" s="850" t="s">
        <v>12593</v>
      </c>
      <c r="H800" s="849" t="s">
        <v>10716</v>
      </c>
      <c r="I800" s="849"/>
      <c r="J800" s="851">
        <v>77056.365000000005</v>
      </c>
      <c r="K800" s="848" t="s">
        <v>12594</v>
      </c>
    </row>
    <row r="801" spans="2:11">
      <c r="B801" s="848">
        <v>798</v>
      </c>
      <c r="C801" s="848" t="s">
        <v>571</v>
      </c>
      <c r="D801" s="849" t="s">
        <v>556</v>
      </c>
      <c r="E801" s="848" t="s">
        <v>3393</v>
      </c>
      <c r="F801" s="848" t="s">
        <v>12595</v>
      </c>
      <c r="G801" s="850" t="s">
        <v>12596</v>
      </c>
      <c r="H801" s="849" t="s">
        <v>10716</v>
      </c>
      <c r="I801" s="849"/>
      <c r="J801" s="851">
        <v>46387.165000000001</v>
      </c>
      <c r="K801" s="848" t="s">
        <v>12597</v>
      </c>
    </row>
    <row r="802" spans="2:11">
      <c r="B802" s="848">
        <v>799</v>
      </c>
      <c r="C802" s="848" t="s">
        <v>571</v>
      </c>
      <c r="D802" s="849" t="s">
        <v>556</v>
      </c>
      <c r="E802" s="848" t="s">
        <v>3393</v>
      </c>
      <c r="F802" s="848" t="s">
        <v>12598</v>
      </c>
      <c r="G802" s="850" t="s">
        <v>12599</v>
      </c>
      <c r="H802" s="849" t="s">
        <v>10716</v>
      </c>
      <c r="I802" s="849"/>
      <c r="J802" s="851">
        <v>31435.93</v>
      </c>
      <c r="K802" s="848" t="s">
        <v>12600</v>
      </c>
    </row>
    <row r="803" spans="2:11">
      <c r="B803" s="848">
        <v>800</v>
      </c>
      <c r="C803" s="848" t="s">
        <v>571</v>
      </c>
      <c r="D803" s="849" t="s">
        <v>556</v>
      </c>
      <c r="E803" s="848" t="s">
        <v>3393</v>
      </c>
      <c r="F803" s="848" t="s">
        <v>12601</v>
      </c>
      <c r="G803" s="850" t="s">
        <v>12602</v>
      </c>
      <c r="H803" s="849" t="s">
        <v>10716</v>
      </c>
      <c r="I803" s="849"/>
      <c r="J803" s="851">
        <v>54054.465000000004</v>
      </c>
      <c r="K803" s="848" t="s">
        <v>12485</v>
      </c>
    </row>
    <row r="804" spans="2:11">
      <c r="B804" s="848">
        <v>801</v>
      </c>
      <c r="C804" s="848" t="s">
        <v>11968</v>
      </c>
      <c r="D804" s="849" t="s">
        <v>556</v>
      </c>
      <c r="E804" s="848" t="s">
        <v>3393</v>
      </c>
      <c r="F804" s="848" t="s">
        <v>12218</v>
      </c>
      <c r="G804" s="850" t="s">
        <v>12603</v>
      </c>
      <c r="H804" s="849" t="s">
        <v>10716</v>
      </c>
      <c r="I804" s="849"/>
      <c r="J804" s="851">
        <v>56354.654999999999</v>
      </c>
      <c r="K804" s="848" t="s">
        <v>12604</v>
      </c>
    </row>
    <row r="805" spans="2:11">
      <c r="B805" s="848">
        <v>802</v>
      </c>
      <c r="C805" s="848" t="s">
        <v>571</v>
      </c>
      <c r="D805" s="849" t="s">
        <v>556</v>
      </c>
      <c r="E805" s="848" t="s">
        <v>3393</v>
      </c>
      <c r="F805" s="848" t="s">
        <v>12605</v>
      </c>
      <c r="G805" s="850" t="s">
        <v>12606</v>
      </c>
      <c r="H805" s="849" t="s">
        <v>10716</v>
      </c>
      <c r="I805" s="849"/>
      <c r="J805" s="851">
        <v>41020.055</v>
      </c>
      <c r="K805" s="848" t="s">
        <v>12607</v>
      </c>
    </row>
    <row r="806" spans="2:11">
      <c r="B806" s="848">
        <v>803</v>
      </c>
      <c r="C806" s="848" t="s">
        <v>571</v>
      </c>
      <c r="D806" s="849" t="s">
        <v>556</v>
      </c>
      <c r="E806" s="848" t="s">
        <v>3393</v>
      </c>
      <c r="F806" s="848" t="s">
        <v>12608</v>
      </c>
      <c r="G806" s="850" t="s">
        <v>12609</v>
      </c>
      <c r="H806" s="849" t="s">
        <v>10716</v>
      </c>
      <c r="I806" s="849"/>
      <c r="J806" s="851">
        <v>70155.794999999998</v>
      </c>
      <c r="K806" s="848" t="s">
        <v>12610</v>
      </c>
    </row>
    <row r="807" spans="2:11">
      <c r="B807" s="848">
        <v>804</v>
      </c>
      <c r="C807" s="848" t="s">
        <v>571</v>
      </c>
      <c r="D807" s="849" t="s">
        <v>556</v>
      </c>
      <c r="E807" s="848" t="s">
        <v>3393</v>
      </c>
      <c r="F807" s="848" t="s">
        <v>12611</v>
      </c>
      <c r="G807" s="850" t="s">
        <v>12612</v>
      </c>
      <c r="H807" s="849" t="s">
        <v>10716</v>
      </c>
      <c r="I807" s="849"/>
      <c r="J807" s="851">
        <v>2683.5550000000003</v>
      </c>
      <c r="K807" s="848" t="s">
        <v>10852</v>
      </c>
    </row>
    <row r="808" spans="2:11">
      <c r="B808" s="848">
        <v>805</v>
      </c>
      <c r="C808" s="848" t="s">
        <v>571</v>
      </c>
      <c r="D808" s="849" t="s">
        <v>556</v>
      </c>
      <c r="E808" s="848" t="s">
        <v>3393</v>
      </c>
      <c r="F808" s="848" t="s">
        <v>12613</v>
      </c>
      <c r="G808" s="850" t="s">
        <v>12614</v>
      </c>
      <c r="H808" s="849" t="s">
        <v>10716</v>
      </c>
      <c r="I808" s="849"/>
      <c r="J808" s="851">
        <v>56738.02</v>
      </c>
      <c r="K808" s="848" t="s">
        <v>10854</v>
      </c>
    </row>
    <row r="809" spans="2:11">
      <c r="B809" s="848">
        <v>806</v>
      </c>
      <c r="C809" s="848" t="s">
        <v>571</v>
      </c>
      <c r="D809" s="849" t="s">
        <v>556</v>
      </c>
      <c r="E809" s="848" t="s">
        <v>3393</v>
      </c>
      <c r="F809" s="848" t="s">
        <v>11731</v>
      </c>
      <c r="G809" s="850" t="s">
        <v>12615</v>
      </c>
      <c r="H809" s="849" t="s">
        <v>10716</v>
      </c>
      <c r="I809" s="849"/>
      <c r="J809" s="851">
        <v>766.72500000000002</v>
      </c>
      <c r="K809" s="848" t="s">
        <v>10858</v>
      </c>
    </row>
    <row r="810" spans="2:11">
      <c r="B810" s="848">
        <v>807</v>
      </c>
      <c r="C810" s="848" t="s">
        <v>11968</v>
      </c>
      <c r="D810" s="849" t="s">
        <v>556</v>
      </c>
      <c r="E810" s="848" t="s">
        <v>3393</v>
      </c>
      <c r="F810" s="848" t="s">
        <v>12616</v>
      </c>
      <c r="G810" s="850" t="s">
        <v>12617</v>
      </c>
      <c r="H810" s="849" t="s">
        <v>10716</v>
      </c>
      <c r="I810" s="849"/>
      <c r="J810" s="851">
        <v>8434.0300000000007</v>
      </c>
      <c r="K810" s="848" t="s">
        <v>12618</v>
      </c>
    </row>
    <row r="811" spans="2:11">
      <c r="B811" s="848">
        <v>808</v>
      </c>
      <c r="C811" s="848" t="s">
        <v>571</v>
      </c>
      <c r="D811" s="849" t="s">
        <v>556</v>
      </c>
      <c r="E811" s="848" t="s">
        <v>3393</v>
      </c>
      <c r="F811" s="848" t="s">
        <v>12619</v>
      </c>
      <c r="G811" s="850" t="s">
        <v>12620</v>
      </c>
      <c r="H811" s="849" t="s">
        <v>10716</v>
      </c>
      <c r="I811" s="849"/>
      <c r="J811" s="851">
        <v>4217.0150000000003</v>
      </c>
      <c r="K811" s="848" t="s">
        <v>12621</v>
      </c>
    </row>
    <row r="812" spans="2:11">
      <c r="B812" s="848">
        <v>809</v>
      </c>
      <c r="C812" s="848" t="s">
        <v>571</v>
      </c>
      <c r="D812" s="849" t="s">
        <v>556</v>
      </c>
      <c r="E812" s="848" t="s">
        <v>3393</v>
      </c>
      <c r="F812" s="848" t="s">
        <v>12622</v>
      </c>
      <c r="G812" s="850" t="s">
        <v>12623</v>
      </c>
      <c r="H812" s="849" t="s">
        <v>10716</v>
      </c>
      <c r="I812" s="849"/>
      <c r="J812" s="851">
        <v>60188.305</v>
      </c>
      <c r="K812" s="848" t="s">
        <v>12624</v>
      </c>
    </row>
    <row r="813" spans="2:11">
      <c r="B813" s="848">
        <v>810</v>
      </c>
      <c r="C813" s="848" t="s">
        <v>571</v>
      </c>
      <c r="D813" s="849" t="s">
        <v>556</v>
      </c>
      <c r="E813" s="848" t="s">
        <v>3393</v>
      </c>
      <c r="F813" s="848" t="s">
        <v>12625</v>
      </c>
      <c r="G813" s="850" t="s">
        <v>12626</v>
      </c>
      <c r="H813" s="849" t="s">
        <v>10716</v>
      </c>
      <c r="I813" s="849"/>
      <c r="J813" s="851">
        <v>33736.120000000003</v>
      </c>
      <c r="K813" s="848" t="s">
        <v>12627</v>
      </c>
    </row>
    <row r="814" spans="2:11">
      <c r="B814" s="848">
        <v>811</v>
      </c>
      <c r="C814" s="848" t="s">
        <v>571</v>
      </c>
      <c r="D814" s="849" t="s">
        <v>556</v>
      </c>
      <c r="E814" s="848" t="s">
        <v>3393</v>
      </c>
      <c r="F814" s="848" t="s">
        <v>12628</v>
      </c>
      <c r="G814" s="850" t="s">
        <v>12629</v>
      </c>
      <c r="H814" s="849" t="s">
        <v>10716</v>
      </c>
      <c r="I814" s="849"/>
      <c r="J814" s="851">
        <v>6900.57</v>
      </c>
      <c r="K814" s="848" t="s">
        <v>12630</v>
      </c>
    </row>
    <row r="815" spans="2:11">
      <c r="B815" s="848">
        <v>812</v>
      </c>
      <c r="C815" s="848" t="s">
        <v>12631</v>
      </c>
      <c r="D815" s="849" t="s">
        <v>556</v>
      </c>
      <c r="E815" s="848" t="s">
        <v>3393</v>
      </c>
      <c r="F815" s="848" t="s">
        <v>12090</v>
      </c>
      <c r="G815" s="850" t="s">
        <v>12632</v>
      </c>
      <c r="H815" s="849" t="s">
        <v>10716</v>
      </c>
      <c r="I815" s="849"/>
      <c r="J815" s="851">
        <v>2683.5550000000003</v>
      </c>
      <c r="K815" s="848" t="s">
        <v>12633</v>
      </c>
    </row>
    <row r="816" spans="2:11">
      <c r="B816" s="848">
        <v>813</v>
      </c>
      <c r="C816" s="848" t="s">
        <v>571</v>
      </c>
      <c r="D816" s="849" t="s">
        <v>556</v>
      </c>
      <c r="E816" s="848" t="s">
        <v>3393</v>
      </c>
      <c r="F816" s="848" t="s">
        <v>12634</v>
      </c>
      <c r="G816" s="850" t="s">
        <v>12635</v>
      </c>
      <c r="H816" s="849" t="s">
        <v>10716</v>
      </c>
      <c r="I816" s="849"/>
      <c r="J816" s="851">
        <v>3833.65</v>
      </c>
      <c r="K816" s="848" t="s">
        <v>12636</v>
      </c>
    </row>
    <row r="817" spans="2:11">
      <c r="B817" s="848">
        <v>814</v>
      </c>
      <c r="C817" s="848" t="s">
        <v>571</v>
      </c>
      <c r="D817" s="849" t="s">
        <v>556</v>
      </c>
      <c r="E817" s="848" t="s">
        <v>3393</v>
      </c>
      <c r="F817" s="848" t="s">
        <v>12637</v>
      </c>
      <c r="G817" s="850" t="s">
        <v>12638</v>
      </c>
      <c r="H817" s="849" t="s">
        <v>10716</v>
      </c>
      <c r="I817" s="849"/>
      <c r="J817" s="851">
        <v>28752.375</v>
      </c>
      <c r="K817" s="848" t="s">
        <v>12639</v>
      </c>
    </row>
    <row r="818" spans="2:11">
      <c r="B818" s="848">
        <v>815</v>
      </c>
      <c r="C818" s="848" t="s">
        <v>571</v>
      </c>
      <c r="D818" s="849" t="s">
        <v>556</v>
      </c>
      <c r="E818" s="848" t="s">
        <v>3393</v>
      </c>
      <c r="F818" s="848" t="s">
        <v>12640</v>
      </c>
      <c r="G818" s="850" t="s">
        <v>12641</v>
      </c>
      <c r="H818" s="849" t="s">
        <v>10716</v>
      </c>
      <c r="I818" s="849"/>
      <c r="J818" s="851">
        <v>766.73</v>
      </c>
      <c r="K818" s="848" t="s">
        <v>12642</v>
      </c>
    </row>
    <row r="819" spans="2:11">
      <c r="B819" s="848">
        <v>816</v>
      </c>
      <c r="C819" s="848" t="s">
        <v>11968</v>
      </c>
      <c r="D819" s="849" t="s">
        <v>556</v>
      </c>
      <c r="E819" s="848" t="s">
        <v>3393</v>
      </c>
      <c r="F819" s="848" t="s">
        <v>11071</v>
      </c>
      <c r="G819" s="850" t="s">
        <v>12643</v>
      </c>
      <c r="H819" s="849" t="s">
        <v>10716</v>
      </c>
      <c r="I819" s="849"/>
      <c r="J819" s="851">
        <v>142995.14499999999</v>
      </c>
      <c r="K819" s="848" t="s">
        <v>12644</v>
      </c>
    </row>
    <row r="820" spans="2:11">
      <c r="B820" s="848">
        <v>817</v>
      </c>
      <c r="C820" s="848" t="s">
        <v>571</v>
      </c>
      <c r="D820" s="849" t="s">
        <v>556</v>
      </c>
      <c r="E820" s="848" t="s">
        <v>3393</v>
      </c>
      <c r="F820" s="848" t="s">
        <v>12645</v>
      </c>
      <c r="G820" s="850" t="s">
        <v>12646</v>
      </c>
      <c r="H820" s="849" t="s">
        <v>10716</v>
      </c>
      <c r="I820" s="849"/>
      <c r="J820" s="851">
        <v>43320.245000000003</v>
      </c>
      <c r="K820" s="848" t="s">
        <v>12647</v>
      </c>
    </row>
    <row r="821" spans="2:11">
      <c r="B821" s="848">
        <v>818</v>
      </c>
      <c r="C821" s="848" t="s">
        <v>571</v>
      </c>
      <c r="D821" s="849" t="s">
        <v>556</v>
      </c>
      <c r="E821" s="848" t="s">
        <v>3393</v>
      </c>
      <c r="F821" s="848" t="s">
        <v>12648</v>
      </c>
      <c r="G821" s="850" t="s">
        <v>12649</v>
      </c>
      <c r="H821" s="849" t="s">
        <v>10716</v>
      </c>
      <c r="I821" s="849"/>
      <c r="J821" s="851">
        <v>647.04928749999999</v>
      </c>
      <c r="K821" s="848" t="s">
        <v>12650</v>
      </c>
    </row>
    <row r="822" spans="2:11">
      <c r="B822" s="848">
        <v>819</v>
      </c>
      <c r="C822" s="848" t="s">
        <v>571</v>
      </c>
      <c r="D822" s="849" t="s">
        <v>556</v>
      </c>
      <c r="E822" s="848" t="s">
        <v>3393</v>
      </c>
      <c r="F822" s="848" t="s">
        <v>12651</v>
      </c>
      <c r="G822" s="850" t="s">
        <v>12652</v>
      </c>
      <c r="H822" s="849" t="s">
        <v>10716</v>
      </c>
      <c r="I822" s="849"/>
      <c r="J822" s="851">
        <v>3680.25</v>
      </c>
      <c r="K822" s="848" t="s">
        <v>12653</v>
      </c>
    </row>
    <row r="823" spans="2:11">
      <c r="B823" s="848">
        <v>820</v>
      </c>
      <c r="C823" s="848" t="s">
        <v>571</v>
      </c>
      <c r="D823" s="849" t="s">
        <v>556</v>
      </c>
      <c r="E823" s="848" t="s">
        <v>3393</v>
      </c>
      <c r="F823" s="848" t="s">
        <v>12654</v>
      </c>
      <c r="G823" s="850" t="s">
        <v>12655</v>
      </c>
      <c r="H823" s="849" t="s">
        <v>10716</v>
      </c>
      <c r="I823" s="849"/>
      <c r="J823" s="851">
        <v>4293.625</v>
      </c>
      <c r="K823" s="848" t="s">
        <v>12656</v>
      </c>
    </row>
    <row r="824" spans="2:11">
      <c r="B824" s="848">
        <v>821</v>
      </c>
      <c r="C824" s="848" t="s">
        <v>571</v>
      </c>
      <c r="D824" s="849" t="s">
        <v>556</v>
      </c>
      <c r="E824" s="848" t="s">
        <v>3393</v>
      </c>
      <c r="F824" s="848" t="s">
        <v>12657</v>
      </c>
      <c r="G824" s="850" t="s">
        <v>12658</v>
      </c>
      <c r="H824" s="849" t="s">
        <v>10716</v>
      </c>
      <c r="I824" s="849"/>
      <c r="J824" s="851">
        <v>33122.25</v>
      </c>
      <c r="K824" s="848" t="s">
        <v>12659</v>
      </c>
    </row>
    <row r="825" spans="2:11">
      <c r="B825" s="848">
        <v>822</v>
      </c>
      <c r="C825" s="848" t="s">
        <v>571</v>
      </c>
      <c r="D825" s="849" t="s">
        <v>556</v>
      </c>
      <c r="E825" s="848" t="s">
        <v>3393</v>
      </c>
      <c r="F825" s="848" t="s">
        <v>12660</v>
      </c>
      <c r="G825" s="850" t="s">
        <v>12661</v>
      </c>
      <c r="H825" s="849" t="s">
        <v>10716</v>
      </c>
      <c r="I825" s="849"/>
      <c r="J825" s="851">
        <v>3066.92</v>
      </c>
      <c r="K825" s="848" t="s">
        <v>6379</v>
      </c>
    </row>
    <row r="826" spans="2:11">
      <c r="B826" s="848">
        <v>823</v>
      </c>
      <c r="C826" s="848" t="s">
        <v>571</v>
      </c>
      <c r="D826" s="849" t="s">
        <v>556</v>
      </c>
      <c r="E826" s="848" t="s">
        <v>3393</v>
      </c>
      <c r="F826" s="848" t="s">
        <v>12662</v>
      </c>
      <c r="G826" s="850" t="s">
        <v>12663</v>
      </c>
      <c r="H826" s="849" t="s">
        <v>10716</v>
      </c>
      <c r="I826" s="849"/>
      <c r="J826" s="851">
        <v>1150.095</v>
      </c>
      <c r="K826" s="848" t="s">
        <v>5814</v>
      </c>
    </row>
    <row r="827" spans="2:11">
      <c r="B827" s="848">
        <v>824</v>
      </c>
      <c r="C827" s="848" t="s">
        <v>571</v>
      </c>
      <c r="D827" s="849" t="s">
        <v>556</v>
      </c>
      <c r="E827" s="848" t="s">
        <v>3393</v>
      </c>
      <c r="F827" s="848" t="s">
        <v>11910</v>
      </c>
      <c r="G827" s="850" t="s">
        <v>12664</v>
      </c>
      <c r="H827" s="849" t="s">
        <v>10716</v>
      </c>
      <c r="I827" s="849"/>
      <c r="J827" s="851">
        <v>1150.095</v>
      </c>
      <c r="K827" s="848" t="s">
        <v>5815</v>
      </c>
    </row>
    <row r="828" spans="2:11">
      <c r="B828" s="848">
        <v>825</v>
      </c>
      <c r="C828" s="848" t="s">
        <v>571</v>
      </c>
      <c r="D828" s="849" t="s">
        <v>556</v>
      </c>
      <c r="E828" s="848" t="s">
        <v>3393</v>
      </c>
      <c r="F828" s="848" t="s">
        <v>11912</v>
      </c>
      <c r="G828" s="850" t="s">
        <v>12665</v>
      </c>
      <c r="H828" s="849" t="s">
        <v>10716</v>
      </c>
      <c r="I828" s="849"/>
      <c r="J828" s="851">
        <v>2300.19</v>
      </c>
      <c r="K828" s="848" t="s">
        <v>5816</v>
      </c>
    </row>
    <row r="829" spans="2:11">
      <c r="B829" s="848">
        <v>826</v>
      </c>
      <c r="C829" s="848" t="s">
        <v>571</v>
      </c>
      <c r="D829" s="849" t="s">
        <v>556</v>
      </c>
      <c r="E829" s="848" t="s">
        <v>3393</v>
      </c>
      <c r="F829" s="848" t="s">
        <v>12666</v>
      </c>
      <c r="G829" s="850" t="s">
        <v>12667</v>
      </c>
      <c r="H829" s="849" t="s">
        <v>10716</v>
      </c>
      <c r="I829" s="849"/>
      <c r="J829" s="851">
        <v>7874.3554365</v>
      </c>
      <c r="K829" s="848" t="s">
        <v>12668</v>
      </c>
    </row>
    <row r="830" spans="2:11">
      <c r="B830" s="848">
        <v>827</v>
      </c>
      <c r="C830" s="848" t="s">
        <v>571</v>
      </c>
      <c r="D830" s="849" t="s">
        <v>556</v>
      </c>
      <c r="E830" s="848" t="s">
        <v>3393</v>
      </c>
      <c r="F830" s="848" t="s">
        <v>12669</v>
      </c>
      <c r="G830" s="850" t="s">
        <v>12670</v>
      </c>
      <c r="H830" s="849" t="s">
        <v>10716</v>
      </c>
      <c r="I830" s="849"/>
      <c r="J830" s="851">
        <v>766.73</v>
      </c>
      <c r="K830" s="848" t="s">
        <v>5819</v>
      </c>
    </row>
    <row r="831" spans="2:11">
      <c r="B831" s="848">
        <v>828</v>
      </c>
      <c r="C831" s="848" t="s">
        <v>571</v>
      </c>
      <c r="D831" s="849" t="s">
        <v>556</v>
      </c>
      <c r="E831" s="848" t="s">
        <v>3393</v>
      </c>
      <c r="F831" s="848" t="s">
        <v>12671</v>
      </c>
      <c r="G831" s="850" t="s">
        <v>11090</v>
      </c>
      <c r="H831" s="849" t="s">
        <v>10716</v>
      </c>
      <c r="I831" s="849"/>
      <c r="J831" s="851">
        <v>9967.49</v>
      </c>
      <c r="K831" s="848" t="s">
        <v>12672</v>
      </c>
    </row>
    <row r="832" spans="2:11">
      <c r="B832" s="848">
        <v>829</v>
      </c>
      <c r="C832" s="848" t="s">
        <v>571</v>
      </c>
      <c r="D832" s="849" t="s">
        <v>556</v>
      </c>
      <c r="E832" s="848" t="s">
        <v>3393</v>
      </c>
      <c r="F832" s="848" t="s">
        <v>12673</v>
      </c>
      <c r="G832" s="850" t="s">
        <v>12504</v>
      </c>
      <c r="H832" s="849" t="s">
        <v>10716</v>
      </c>
      <c r="I832" s="849"/>
      <c r="J832" s="851">
        <v>3066.92</v>
      </c>
      <c r="K832" s="848" t="s">
        <v>12674</v>
      </c>
    </row>
    <row r="833" spans="2:11">
      <c r="B833" s="848">
        <v>830</v>
      </c>
      <c r="C833" s="848" t="s">
        <v>627</v>
      </c>
      <c r="D833" s="849" t="s">
        <v>556</v>
      </c>
      <c r="E833" s="848" t="s">
        <v>3393</v>
      </c>
      <c r="F833" s="848" t="s">
        <v>12675</v>
      </c>
      <c r="G833" s="850" t="s">
        <v>12676</v>
      </c>
      <c r="H833" s="849" t="s">
        <v>10716</v>
      </c>
      <c r="I833" s="849"/>
      <c r="J833" s="851">
        <v>766.73</v>
      </c>
      <c r="K833" s="848" t="s">
        <v>12677</v>
      </c>
    </row>
    <row r="834" spans="2:11">
      <c r="B834" s="848">
        <v>831</v>
      </c>
      <c r="C834" s="848" t="s">
        <v>571</v>
      </c>
      <c r="D834" s="849" t="s">
        <v>556</v>
      </c>
      <c r="E834" s="848" t="s">
        <v>3393</v>
      </c>
      <c r="F834" s="848" t="s">
        <v>12678</v>
      </c>
      <c r="G834" s="850" t="s">
        <v>12679</v>
      </c>
      <c r="H834" s="849" t="s">
        <v>10716</v>
      </c>
      <c r="I834" s="849"/>
      <c r="J834" s="851">
        <v>766.73</v>
      </c>
      <c r="K834" s="848" t="s">
        <v>12680</v>
      </c>
    </row>
    <row r="835" spans="2:11">
      <c r="B835" s="848">
        <v>832</v>
      </c>
      <c r="C835" s="848" t="s">
        <v>571</v>
      </c>
      <c r="D835" s="849" t="s">
        <v>556</v>
      </c>
      <c r="E835" s="848" t="s">
        <v>3393</v>
      </c>
      <c r="F835" s="848" t="s">
        <v>11535</v>
      </c>
      <c r="G835" s="850" t="s">
        <v>12681</v>
      </c>
      <c r="H835" s="849" t="s">
        <v>10716</v>
      </c>
      <c r="I835" s="849"/>
      <c r="J835" s="851">
        <v>383.36500000000001</v>
      </c>
      <c r="K835" s="848" t="s">
        <v>12682</v>
      </c>
    </row>
    <row r="836" spans="2:11">
      <c r="B836" s="848">
        <v>833</v>
      </c>
      <c r="C836" s="848" t="s">
        <v>571</v>
      </c>
      <c r="D836" s="849" t="s">
        <v>556</v>
      </c>
      <c r="E836" s="848" t="s">
        <v>3393</v>
      </c>
      <c r="F836" s="848" t="s">
        <v>12683</v>
      </c>
      <c r="G836" s="850" t="s">
        <v>12684</v>
      </c>
      <c r="H836" s="849" t="s">
        <v>10716</v>
      </c>
      <c r="I836" s="849"/>
      <c r="J836" s="851">
        <v>8434.0300000000007</v>
      </c>
      <c r="K836" s="848" t="s">
        <v>12685</v>
      </c>
    </row>
    <row r="837" spans="2:11">
      <c r="B837" s="848">
        <v>834</v>
      </c>
      <c r="C837" s="848" t="s">
        <v>571</v>
      </c>
      <c r="D837" s="849" t="s">
        <v>556</v>
      </c>
      <c r="E837" s="848" t="s">
        <v>3393</v>
      </c>
      <c r="F837" s="848" t="s">
        <v>10895</v>
      </c>
      <c r="G837" s="850" t="s">
        <v>11093</v>
      </c>
      <c r="H837" s="849" t="s">
        <v>10716</v>
      </c>
      <c r="I837" s="849"/>
      <c r="J837" s="851">
        <v>383.36500000000001</v>
      </c>
      <c r="K837" s="848" t="s">
        <v>12686</v>
      </c>
    </row>
    <row r="838" spans="2:11">
      <c r="B838" s="848">
        <v>835</v>
      </c>
      <c r="C838" s="848" t="s">
        <v>571</v>
      </c>
      <c r="D838" s="849" t="s">
        <v>556</v>
      </c>
      <c r="E838" s="848" t="s">
        <v>3393</v>
      </c>
      <c r="F838" s="848" t="s">
        <v>11277</v>
      </c>
      <c r="G838" s="850" t="s">
        <v>11096</v>
      </c>
      <c r="H838" s="849" t="s">
        <v>10716</v>
      </c>
      <c r="I838" s="849"/>
      <c r="J838" s="851">
        <v>23768.63</v>
      </c>
      <c r="K838" s="848" t="s">
        <v>12687</v>
      </c>
    </row>
    <row r="839" spans="2:11">
      <c r="B839" s="848">
        <v>836</v>
      </c>
      <c r="C839" s="848" t="s">
        <v>571</v>
      </c>
      <c r="D839" s="849" t="s">
        <v>556</v>
      </c>
      <c r="E839" s="848" t="s">
        <v>3393</v>
      </c>
      <c r="F839" s="848" t="s">
        <v>12688</v>
      </c>
      <c r="G839" s="850" t="s">
        <v>11099</v>
      </c>
      <c r="H839" s="849" t="s">
        <v>10716</v>
      </c>
      <c r="I839" s="849"/>
      <c r="J839" s="851">
        <v>1840.125</v>
      </c>
      <c r="K839" s="848" t="s">
        <v>5832</v>
      </c>
    </row>
    <row r="840" spans="2:11">
      <c r="B840" s="848">
        <v>837</v>
      </c>
      <c r="C840" s="848" t="s">
        <v>571</v>
      </c>
      <c r="D840" s="849" t="s">
        <v>556</v>
      </c>
      <c r="E840" s="848" t="s">
        <v>3393</v>
      </c>
      <c r="F840" s="848" t="s">
        <v>11730</v>
      </c>
      <c r="G840" s="850" t="s">
        <v>12689</v>
      </c>
      <c r="H840" s="849" t="s">
        <v>10716</v>
      </c>
      <c r="I840" s="849"/>
      <c r="J840" s="851">
        <v>460.03500000000003</v>
      </c>
      <c r="K840" s="848" t="s">
        <v>6390</v>
      </c>
    </row>
    <row r="841" spans="2:11">
      <c r="B841" s="848">
        <v>838</v>
      </c>
      <c r="C841" s="848" t="s">
        <v>571</v>
      </c>
      <c r="D841" s="849" t="s">
        <v>556</v>
      </c>
      <c r="E841" s="848" t="s">
        <v>3393</v>
      </c>
      <c r="F841" s="848" t="s">
        <v>12029</v>
      </c>
      <c r="G841" s="850" t="s">
        <v>12690</v>
      </c>
      <c r="H841" s="849" t="s">
        <v>10716</v>
      </c>
      <c r="I841" s="849"/>
      <c r="J841" s="851">
        <v>460.03500000000003</v>
      </c>
      <c r="K841" s="848" t="s">
        <v>6391</v>
      </c>
    </row>
    <row r="842" spans="2:11">
      <c r="B842" s="848">
        <v>839</v>
      </c>
      <c r="C842" s="848" t="s">
        <v>571</v>
      </c>
      <c r="D842" s="849" t="s">
        <v>556</v>
      </c>
      <c r="E842" s="848" t="s">
        <v>3393</v>
      </c>
      <c r="F842" s="848" t="s">
        <v>12033</v>
      </c>
      <c r="G842" s="850" t="s">
        <v>12691</v>
      </c>
      <c r="H842" s="849" t="s">
        <v>10716</v>
      </c>
      <c r="I842" s="849"/>
      <c r="J842" s="851">
        <v>460.03500000000003</v>
      </c>
      <c r="K842" s="848" t="s">
        <v>6392</v>
      </c>
    </row>
    <row r="843" spans="2:11">
      <c r="B843" s="848">
        <v>840</v>
      </c>
      <c r="C843" s="848" t="s">
        <v>571</v>
      </c>
      <c r="D843" s="849" t="s">
        <v>556</v>
      </c>
      <c r="E843" s="848" t="s">
        <v>3393</v>
      </c>
      <c r="F843" s="848" t="s">
        <v>12692</v>
      </c>
      <c r="G843" s="850" t="s">
        <v>12693</v>
      </c>
      <c r="H843" s="849" t="s">
        <v>10716</v>
      </c>
      <c r="I843" s="849"/>
      <c r="J843" s="851">
        <v>1226.75</v>
      </c>
      <c r="K843" s="848" t="s">
        <v>5845</v>
      </c>
    </row>
    <row r="844" spans="2:11">
      <c r="B844" s="848">
        <v>841</v>
      </c>
      <c r="C844" s="848" t="s">
        <v>571</v>
      </c>
      <c r="D844" s="849" t="s">
        <v>556</v>
      </c>
      <c r="E844" s="848" t="s">
        <v>3393</v>
      </c>
      <c r="F844" s="848" t="s">
        <v>12694</v>
      </c>
      <c r="G844" s="850" t="s">
        <v>12695</v>
      </c>
      <c r="H844" s="849" t="s">
        <v>10716</v>
      </c>
      <c r="I844" s="849"/>
      <c r="J844" s="851">
        <v>1226.75</v>
      </c>
      <c r="K844" s="848" t="s">
        <v>6937</v>
      </c>
    </row>
    <row r="845" spans="2:11">
      <c r="B845" s="848">
        <v>842</v>
      </c>
      <c r="C845" s="848" t="s">
        <v>571</v>
      </c>
      <c r="D845" s="849" t="s">
        <v>556</v>
      </c>
      <c r="E845" s="848" t="s">
        <v>3393</v>
      </c>
      <c r="F845" s="848" t="s">
        <v>11042</v>
      </c>
      <c r="G845" s="850" t="s">
        <v>12696</v>
      </c>
      <c r="H845" s="849" t="s">
        <v>10716</v>
      </c>
      <c r="I845" s="849"/>
      <c r="J845" s="851">
        <v>1150.095</v>
      </c>
      <c r="K845" s="848" t="s">
        <v>5848</v>
      </c>
    </row>
    <row r="846" spans="2:11">
      <c r="B846" s="848">
        <v>843</v>
      </c>
      <c r="C846" s="848" t="s">
        <v>571</v>
      </c>
      <c r="D846" s="849" t="s">
        <v>556</v>
      </c>
      <c r="E846" s="848" t="s">
        <v>3393</v>
      </c>
      <c r="F846" s="848" t="s">
        <v>12697</v>
      </c>
      <c r="G846" s="850" t="s">
        <v>12698</v>
      </c>
      <c r="H846" s="849" t="s">
        <v>10716</v>
      </c>
      <c r="I846" s="849"/>
      <c r="J846" s="851">
        <v>766.73</v>
      </c>
      <c r="K846" s="848" t="s">
        <v>12699</v>
      </c>
    </row>
    <row r="847" spans="2:11">
      <c r="B847" s="848">
        <v>844</v>
      </c>
      <c r="C847" s="848" t="s">
        <v>571</v>
      </c>
      <c r="D847" s="849" t="s">
        <v>556</v>
      </c>
      <c r="E847" s="848" t="s">
        <v>3393</v>
      </c>
      <c r="F847" s="848" t="s">
        <v>12700</v>
      </c>
      <c r="G847" s="850" t="s">
        <v>12701</v>
      </c>
      <c r="H847" s="849" t="s">
        <v>10716</v>
      </c>
      <c r="I847" s="849"/>
      <c r="J847" s="851">
        <v>1533.46</v>
      </c>
      <c r="K847" s="848" t="s">
        <v>12702</v>
      </c>
    </row>
    <row r="848" spans="2:11">
      <c r="B848" s="848">
        <v>845</v>
      </c>
      <c r="C848" s="848" t="s">
        <v>571</v>
      </c>
      <c r="D848" s="849" t="s">
        <v>556</v>
      </c>
      <c r="E848" s="848" t="s">
        <v>3393</v>
      </c>
      <c r="F848" s="848" t="s">
        <v>12703</v>
      </c>
      <c r="G848" s="850" t="s">
        <v>12704</v>
      </c>
      <c r="H848" s="849" t="s">
        <v>10716</v>
      </c>
      <c r="I848" s="849"/>
      <c r="J848" s="851">
        <v>11884.315000000001</v>
      </c>
      <c r="K848" s="848" t="s">
        <v>12705</v>
      </c>
    </row>
    <row r="849" spans="2:11">
      <c r="B849" s="848">
        <v>846</v>
      </c>
      <c r="C849" s="848" t="s">
        <v>571</v>
      </c>
      <c r="D849" s="849" t="s">
        <v>556</v>
      </c>
      <c r="E849" s="848" t="s">
        <v>3393</v>
      </c>
      <c r="F849" s="848" t="s">
        <v>12706</v>
      </c>
      <c r="G849" s="850" t="s">
        <v>12707</v>
      </c>
      <c r="H849" s="849" t="s">
        <v>10716</v>
      </c>
      <c r="I849" s="849"/>
      <c r="J849" s="851">
        <v>9200.76</v>
      </c>
      <c r="K849" s="848" t="s">
        <v>12708</v>
      </c>
    </row>
    <row r="850" spans="2:11">
      <c r="B850" s="848">
        <v>847</v>
      </c>
      <c r="C850" s="848" t="s">
        <v>571</v>
      </c>
      <c r="D850" s="849" t="s">
        <v>556</v>
      </c>
      <c r="E850" s="848" t="s">
        <v>3393</v>
      </c>
      <c r="F850" s="848" t="s">
        <v>12709</v>
      </c>
      <c r="G850" s="850" t="s">
        <v>12710</v>
      </c>
      <c r="H850" s="849" t="s">
        <v>10716</v>
      </c>
      <c r="I850" s="849"/>
      <c r="J850" s="851">
        <v>5750.4750000000004</v>
      </c>
      <c r="K850" s="848" t="s">
        <v>12711</v>
      </c>
    </row>
    <row r="851" spans="2:11">
      <c r="B851" s="848">
        <v>848</v>
      </c>
      <c r="C851" s="848" t="s">
        <v>571</v>
      </c>
      <c r="D851" s="849" t="s">
        <v>556</v>
      </c>
      <c r="E851" s="848" t="s">
        <v>3393</v>
      </c>
      <c r="F851" s="848" t="s">
        <v>12712</v>
      </c>
      <c r="G851" s="850" t="s">
        <v>12507</v>
      </c>
      <c r="H851" s="849" t="s">
        <v>10716</v>
      </c>
      <c r="I851" s="849"/>
      <c r="J851" s="851">
        <v>12651.045</v>
      </c>
      <c r="K851" s="848" t="s">
        <v>5860</v>
      </c>
    </row>
    <row r="852" spans="2:11">
      <c r="B852" s="848">
        <v>849</v>
      </c>
      <c r="C852" s="848" t="s">
        <v>571</v>
      </c>
      <c r="D852" s="849" t="s">
        <v>556</v>
      </c>
      <c r="E852" s="848" t="s">
        <v>3393</v>
      </c>
      <c r="F852" s="848" t="s">
        <v>12713</v>
      </c>
      <c r="G852" s="850" t="s">
        <v>12714</v>
      </c>
      <c r="H852" s="849" t="s">
        <v>10716</v>
      </c>
      <c r="I852" s="849"/>
      <c r="J852" s="851">
        <v>5367.11</v>
      </c>
      <c r="K852" s="848" t="s">
        <v>5863</v>
      </c>
    </row>
    <row r="853" spans="2:11">
      <c r="B853" s="848">
        <v>850</v>
      </c>
      <c r="C853" s="848" t="s">
        <v>571</v>
      </c>
      <c r="D853" s="849" t="s">
        <v>556</v>
      </c>
      <c r="E853" s="848" t="s">
        <v>3393</v>
      </c>
      <c r="F853" s="848" t="s">
        <v>12715</v>
      </c>
      <c r="G853" s="850" t="s">
        <v>12716</v>
      </c>
      <c r="H853" s="849" t="s">
        <v>10716</v>
      </c>
      <c r="I853" s="849"/>
      <c r="J853" s="851">
        <v>1840.125</v>
      </c>
      <c r="K853" s="848" t="s">
        <v>6423</v>
      </c>
    </row>
    <row r="854" spans="2:11">
      <c r="B854" s="848">
        <v>851</v>
      </c>
      <c r="C854" s="848" t="s">
        <v>571</v>
      </c>
      <c r="D854" s="849" t="s">
        <v>556</v>
      </c>
      <c r="E854" s="848" t="s">
        <v>3393</v>
      </c>
      <c r="F854" s="848" t="s">
        <v>12717</v>
      </c>
      <c r="G854" s="850" t="s">
        <v>12718</v>
      </c>
      <c r="H854" s="849" t="s">
        <v>10716</v>
      </c>
      <c r="I854" s="849"/>
      <c r="J854" s="851">
        <v>3.835</v>
      </c>
      <c r="K854" s="848" t="s">
        <v>12719</v>
      </c>
    </row>
    <row r="855" spans="2:11">
      <c r="B855" s="848">
        <v>852</v>
      </c>
      <c r="C855" s="848" t="s">
        <v>571</v>
      </c>
      <c r="D855" s="849" t="s">
        <v>556</v>
      </c>
      <c r="E855" s="848" t="s">
        <v>3393</v>
      </c>
      <c r="F855" s="848" t="s">
        <v>12720</v>
      </c>
      <c r="G855" s="850" t="s">
        <v>12721</v>
      </c>
      <c r="H855" s="849" t="s">
        <v>10716</v>
      </c>
      <c r="I855" s="849"/>
      <c r="J855" s="851">
        <v>69005.7</v>
      </c>
      <c r="K855" s="848" t="s">
        <v>5944</v>
      </c>
    </row>
    <row r="856" spans="2:11">
      <c r="B856" s="848">
        <v>853</v>
      </c>
      <c r="C856" s="848" t="s">
        <v>11968</v>
      </c>
      <c r="D856" s="849" t="s">
        <v>556</v>
      </c>
      <c r="E856" s="848" t="s">
        <v>9468</v>
      </c>
      <c r="F856" s="848" t="s">
        <v>12185</v>
      </c>
      <c r="G856" s="850" t="s">
        <v>12722</v>
      </c>
      <c r="H856" s="849" t="s">
        <v>10716</v>
      </c>
      <c r="I856" s="849"/>
      <c r="J856" s="851">
        <v>36036.31</v>
      </c>
      <c r="K856" s="848" t="s">
        <v>11092</v>
      </c>
    </row>
    <row r="857" spans="2:11">
      <c r="B857" s="848">
        <v>854</v>
      </c>
      <c r="C857" s="848" t="s">
        <v>12723</v>
      </c>
      <c r="D857" s="849" t="s">
        <v>556</v>
      </c>
      <c r="E857" s="848" t="s">
        <v>9468</v>
      </c>
      <c r="F857" s="848" t="s">
        <v>12724</v>
      </c>
      <c r="G857" s="850" t="s">
        <v>12725</v>
      </c>
      <c r="H857" s="849" t="s">
        <v>10716</v>
      </c>
      <c r="I857" s="849"/>
      <c r="J857" s="851">
        <v>21468.44</v>
      </c>
      <c r="K857" s="848" t="s">
        <v>12726</v>
      </c>
    </row>
    <row r="858" spans="2:11">
      <c r="B858" s="848">
        <v>855</v>
      </c>
      <c r="C858" s="848" t="s">
        <v>11968</v>
      </c>
      <c r="D858" s="849" t="s">
        <v>556</v>
      </c>
      <c r="E858" s="848" t="s">
        <v>9468</v>
      </c>
      <c r="F858" s="848" t="s">
        <v>12727</v>
      </c>
      <c r="G858" s="850" t="s">
        <v>12728</v>
      </c>
      <c r="H858" s="849" t="s">
        <v>10716</v>
      </c>
      <c r="I858" s="849"/>
      <c r="J858" s="851">
        <v>44853.71</v>
      </c>
      <c r="K858" s="848" t="s">
        <v>12729</v>
      </c>
    </row>
    <row r="859" spans="2:11">
      <c r="B859" s="848">
        <v>856</v>
      </c>
      <c r="C859" s="848" t="s">
        <v>571</v>
      </c>
      <c r="D859" s="849" t="s">
        <v>556</v>
      </c>
      <c r="E859" s="848" t="s">
        <v>11991</v>
      </c>
      <c r="F859" s="848" t="s">
        <v>12730</v>
      </c>
      <c r="G859" s="850" t="s">
        <v>12731</v>
      </c>
      <c r="H859" s="849" t="s">
        <v>10716</v>
      </c>
      <c r="I859" s="849"/>
      <c r="J859" s="851">
        <v>35269.58</v>
      </c>
      <c r="K859" s="848" t="s">
        <v>12732</v>
      </c>
    </row>
    <row r="860" spans="2:11">
      <c r="B860" s="848">
        <v>857</v>
      </c>
      <c r="C860" s="848" t="s">
        <v>571</v>
      </c>
      <c r="D860" s="849" t="s">
        <v>556</v>
      </c>
      <c r="E860" s="848" t="s">
        <v>3758</v>
      </c>
      <c r="F860" s="848" t="s">
        <v>11972</v>
      </c>
      <c r="G860" s="850" t="s">
        <v>12733</v>
      </c>
      <c r="H860" s="849" t="s">
        <v>10716</v>
      </c>
      <c r="I860" s="849"/>
      <c r="J860" s="851">
        <v>1533.46</v>
      </c>
      <c r="K860" s="848" t="s">
        <v>12734</v>
      </c>
    </row>
    <row r="861" spans="2:11">
      <c r="B861" s="848">
        <v>858</v>
      </c>
      <c r="C861" s="848" t="s">
        <v>571</v>
      </c>
      <c r="D861" s="849" t="s">
        <v>556</v>
      </c>
      <c r="E861" s="848" t="s">
        <v>3758</v>
      </c>
      <c r="F861" s="848" t="s">
        <v>12735</v>
      </c>
      <c r="G861" s="850" t="s">
        <v>12736</v>
      </c>
      <c r="H861" s="849" t="s">
        <v>10716</v>
      </c>
      <c r="I861" s="849"/>
      <c r="J861" s="851">
        <v>1150.0999999999999</v>
      </c>
      <c r="K861" s="848" t="s">
        <v>12737</v>
      </c>
    </row>
    <row r="862" spans="2:11">
      <c r="B862" s="848">
        <v>859</v>
      </c>
      <c r="C862" s="848" t="s">
        <v>571</v>
      </c>
      <c r="D862" s="849" t="s">
        <v>556</v>
      </c>
      <c r="E862" s="848" t="s">
        <v>3758</v>
      </c>
      <c r="F862" s="848" t="s">
        <v>11272</v>
      </c>
      <c r="G862" s="850" t="s">
        <v>12738</v>
      </c>
      <c r="H862" s="849" t="s">
        <v>10716</v>
      </c>
      <c r="I862" s="849"/>
      <c r="J862" s="851">
        <v>1150.0999999999999</v>
      </c>
      <c r="K862" s="848" t="s">
        <v>12739</v>
      </c>
    </row>
    <row r="863" spans="2:11">
      <c r="B863" s="848">
        <v>860</v>
      </c>
      <c r="C863" s="848" t="s">
        <v>571</v>
      </c>
      <c r="D863" s="849" t="s">
        <v>556</v>
      </c>
      <c r="E863" s="848" t="s">
        <v>3222</v>
      </c>
      <c r="F863" s="848" t="s">
        <v>12740</v>
      </c>
      <c r="G863" s="850" t="s">
        <v>12741</v>
      </c>
      <c r="H863" s="849" t="s">
        <v>10716</v>
      </c>
      <c r="I863" s="849"/>
      <c r="J863" s="851">
        <v>9584.1299999999992</v>
      </c>
      <c r="K863" s="848" t="s">
        <v>12455</v>
      </c>
    </row>
    <row r="864" spans="2:11">
      <c r="B864" s="848">
        <v>861</v>
      </c>
      <c r="C864" s="848" t="s">
        <v>571</v>
      </c>
      <c r="D864" s="849" t="s">
        <v>556</v>
      </c>
      <c r="E864" s="848" t="s">
        <v>3222</v>
      </c>
      <c r="F864" s="848" t="s">
        <v>12742</v>
      </c>
      <c r="G864" s="850" t="s">
        <v>12743</v>
      </c>
      <c r="H864" s="849" t="s">
        <v>10716</v>
      </c>
      <c r="I864" s="849"/>
      <c r="J864" s="851">
        <v>2300.19</v>
      </c>
      <c r="K864" s="848" t="s">
        <v>12744</v>
      </c>
    </row>
    <row r="865" spans="2:11">
      <c r="B865" s="848">
        <v>862</v>
      </c>
      <c r="C865" s="848" t="s">
        <v>571</v>
      </c>
      <c r="D865" s="849" t="s">
        <v>556</v>
      </c>
      <c r="E865" s="848" t="s">
        <v>3222</v>
      </c>
      <c r="F865" s="848" t="s">
        <v>12745</v>
      </c>
      <c r="G865" s="850" t="s">
        <v>12746</v>
      </c>
      <c r="H865" s="849" t="s">
        <v>10716</v>
      </c>
      <c r="I865" s="849"/>
      <c r="J865" s="851">
        <v>6133.84</v>
      </c>
      <c r="K865" s="848" t="s">
        <v>12747</v>
      </c>
    </row>
    <row r="866" spans="2:11">
      <c r="B866" s="848">
        <v>863</v>
      </c>
      <c r="C866" s="848" t="s">
        <v>571</v>
      </c>
      <c r="D866" s="849" t="s">
        <v>556</v>
      </c>
      <c r="E866" s="848" t="s">
        <v>3233</v>
      </c>
      <c r="F866" s="848" t="s">
        <v>12748</v>
      </c>
      <c r="G866" s="850" t="s">
        <v>12749</v>
      </c>
      <c r="H866" s="849" t="s">
        <v>10716</v>
      </c>
      <c r="I866" s="849"/>
      <c r="J866" s="851">
        <v>26835.55</v>
      </c>
      <c r="K866" s="848" t="s">
        <v>12750</v>
      </c>
    </row>
    <row r="867" spans="2:11">
      <c r="B867" s="848">
        <v>864</v>
      </c>
      <c r="C867" s="848" t="s">
        <v>571</v>
      </c>
      <c r="D867" s="849" t="s">
        <v>556</v>
      </c>
      <c r="E867" s="848" t="s">
        <v>3233</v>
      </c>
      <c r="F867" s="848" t="s">
        <v>11271</v>
      </c>
      <c r="G867" s="850" t="s">
        <v>12751</v>
      </c>
      <c r="H867" s="849" t="s">
        <v>10716</v>
      </c>
      <c r="I867" s="849"/>
      <c r="J867" s="851">
        <v>17376.02</v>
      </c>
      <c r="K867" s="848" t="s">
        <v>12750</v>
      </c>
    </row>
    <row r="868" spans="2:11">
      <c r="B868" s="848">
        <v>865</v>
      </c>
      <c r="C868" s="848" t="s">
        <v>571</v>
      </c>
      <c r="D868" s="849" t="s">
        <v>556</v>
      </c>
      <c r="E868" s="848" t="s">
        <v>11536</v>
      </c>
      <c r="F868" s="848" t="s">
        <v>12752</v>
      </c>
      <c r="G868" s="850" t="s">
        <v>12753</v>
      </c>
      <c r="H868" s="849" t="s">
        <v>10716</v>
      </c>
      <c r="I868" s="849"/>
      <c r="J868" s="851">
        <v>884.24</v>
      </c>
      <c r="K868" s="848" t="s">
        <v>12754</v>
      </c>
    </row>
    <row r="869" spans="2:11">
      <c r="B869" s="848">
        <v>866</v>
      </c>
      <c r="C869" s="848" t="s">
        <v>571</v>
      </c>
      <c r="D869" s="849" t="s">
        <v>556</v>
      </c>
      <c r="E869" s="848" t="s">
        <v>12755</v>
      </c>
      <c r="F869" s="848" t="s">
        <v>12756</v>
      </c>
      <c r="G869" s="850" t="s">
        <v>12757</v>
      </c>
      <c r="H869" s="849" t="s">
        <v>10716</v>
      </c>
      <c r="I869" s="849"/>
      <c r="J869" s="851">
        <v>2301</v>
      </c>
      <c r="K869" s="848" t="s">
        <v>12758</v>
      </c>
    </row>
    <row r="870" spans="2:11">
      <c r="B870" s="848">
        <v>867</v>
      </c>
      <c r="C870" s="848" t="s">
        <v>571</v>
      </c>
      <c r="D870" s="849" t="s">
        <v>556</v>
      </c>
      <c r="E870" s="848" t="s">
        <v>11526</v>
      </c>
      <c r="F870" s="848" t="s">
        <v>10878</v>
      </c>
      <c r="G870" s="850" t="s">
        <v>12759</v>
      </c>
      <c r="H870" s="849" t="s">
        <v>10716</v>
      </c>
      <c r="I870" s="849"/>
      <c r="J870" s="851">
        <v>2072.1261615000003</v>
      </c>
      <c r="K870" s="848" t="s">
        <v>12760</v>
      </c>
    </row>
    <row r="871" spans="2:11">
      <c r="B871" s="848">
        <v>868</v>
      </c>
      <c r="C871" s="848" t="s">
        <v>571</v>
      </c>
      <c r="D871" s="849" t="s">
        <v>556</v>
      </c>
      <c r="E871" s="848" t="s">
        <v>11526</v>
      </c>
      <c r="F871" s="848" t="s">
        <v>12761</v>
      </c>
      <c r="G871" s="850" t="s">
        <v>10775</v>
      </c>
      <c r="H871" s="849" t="s">
        <v>10716</v>
      </c>
      <c r="I871" s="849"/>
      <c r="J871" s="851">
        <v>30285.834999999999</v>
      </c>
      <c r="K871" s="848" t="s">
        <v>12760</v>
      </c>
    </row>
    <row r="872" spans="2:11">
      <c r="B872" s="848">
        <v>869</v>
      </c>
      <c r="C872" s="848" t="s">
        <v>571</v>
      </c>
      <c r="D872" s="849" t="s">
        <v>556</v>
      </c>
      <c r="E872" s="848" t="s">
        <v>11526</v>
      </c>
      <c r="F872" s="848" t="s">
        <v>12762</v>
      </c>
      <c r="G872" s="850" t="s">
        <v>12763</v>
      </c>
      <c r="H872" s="849" t="s">
        <v>10716</v>
      </c>
      <c r="I872" s="849"/>
      <c r="J872" s="851">
        <v>6133.84</v>
      </c>
      <c r="K872" s="848" t="s">
        <v>12684</v>
      </c>
    </row>
    <row r="873" spans="2:11">
      <c r="B873" s="848">
        <v>870</v>
      </c>
      <c r="C873" s="848" t="s">
        <v>571</v>
      </c>
      <c r="D873" s="849" t="s">
        <v>556</v>
      </c>
      <c r="E873" s="848" t="s">
        <v>11526</v>
      </c>
      <c r="F873" s="848" t="s">
        <v>10927</v>
      </c>
      <c r="G873" s="850" t="s">
        <v>12764</v>
      </c>
      <c r="H873" s="849" t="s">
        <v>10716</v>
      </c>
      <c r="I873" s="849"/>
      <c r="J873" s="851">
        <v>1792.9214320000001</v>
      </c>
      <c r="K873" s="848" t="s">
        <v>12684</v>
      </c>
    </row>
    <row r="874" spans="2:11">
      <c r="B874" s="848">
        <v>871</v>
      </c>
      <c r="C874" s="848" t="s">
        <v>571</v>
      </c>
      <c r="D874" s="849" t="s">
        <v>556</v>
      </c>
      <c r="E874" s="848" t="s">
        <v>11526</v>
      </c>
      <c r="F874" s="848" t="s">
        <v>12765</v>
      </c>
      <c r="G874" s="850" t="s">
        <v>12766</v>
      </c>
      <c r="H874" s="849" t="s">
        <v>10716</v>
      </c>
      <c r="I874" s="849"/>
      <c r="J874" s="851">
        <v>9200.76</v>
      </c>
      <c r="K874" s="848" t="s">
        <v>12767</v>
      </c>
    </row>
    <row r="875" spans="2:11">
      <c r="B875" s="848">
        <v>872</v>
      </c>
      <c r="C875" s="848" t="s">
        <v>571</v>
      </c>
      <c r="D875" s="849" t="s">
        <v>556</v>
      </c>
      <c r="E875" s="848" t="s">
        <v>11526</v>
      </c>
      <c r="F875" s="848" t="s">
        <v>10924</v>
      </c>
      <c r="G875" s="850" t="s">
        <v>12768</v>
      </c>
      <c r="H875" s="849" t="s">
        <v>10716</v>
      </c>
      <c r="I875" s="849"/>
      <c r="J875" s="851">
        <v>804.14642400000002</v>
      </c>
      <c r="K875" s="848" t="s">
        <v>12767</v>
      </c>
    </row>
    <row r="876" spans="2:11">
      <c r="B876" s="848">
        <v>873</v>
      </c>
      <c r="C876" s="848" t="s">
        <v>571</v>
      </c>
      <c r="D876" s="849" t="s">
        <v>556</v>
      </c>
      <c r="E876" s="848" t="s">
        <v>11526</v>
      </c>
      <c r="F876" s="848" t="s">
        <v>10964</v>
      </c>
      <c r="G876" s="850" t="s">
        <v>12769</v>
      </c>
      <c r="H876" s="849" t="s">
        <v>10716</v>
      </c>
      <c r="I876" s="849"/>
      <c r="J876" s="851">
        <v>46.923569999999998</v>
      </c>
      <c r="K876" s="848" t="s">
        <v>12770</v>
      </c>
    </row>
    <row r="877" spans="2:11">
      <c r="B877" s="848">
        <v>874</v>
      </c>
      <c r="C877" s="848" t="s">
        <v>571</v>
      </c>
      <c r="D877" s="849" t="s">
        <v>556</v>
      </c>
      <c r="E877" s="848" t="s">
        <v>11526</v>
      </c>
      <c r="F877" s="848" t="s">
        <v>12771</v>
      </c>
      <c r="G877" s="850" t="s">
        <v>12772</v>
      </c>
      <c r="H877" s="849" t="s">
        <v>10716</v>
      </c>
      <c r="I877" s="849"/>
      <c r="J877" s="851">
        <v>613.38</v>
      </c>
      <c r="K877" s="848" t="s">
        <v>12770</v>
      </c>
    </row>
    <row r="878" spans="2:11">
      <c r="B878" s="848">
        <v>875</v>
      </c>
      <c r="C878" s="848" t="s">
        <v>571</v>
      </c>
      <c r="D878" s="849" t="s">
        <v>556</v>
      </c>
      <c r="E878" s="848" t="s">
        <v>11526</v>
      </c>
      <c r="F878" s="848" t="s">
        <v>12773</v>
      </c>
      <c r="G878" s="850" t="s">
        <v>12774</v>
      </c>
      <c r="H878" s="849" t="s">
        <v>10716</v>
      </c>
      <c r="I878" s="849"/>
      <c r="J878" s="851">
        <v>46.923569999999998</v>
      </c>
      <c r="K878" s="848" t="s">
        <v>12775</v>
      </c>
    </row>
    <row r="879" spans="2:11">
      <c r="B879" s="848">
        <v>876</v>
      </c>
      <c r="C879" s="848" t="s">
        <v>571</v>
      </c>
      <c r="D879" s="849" t="s">
        <v>556</v>
      </c>
      <c r="E879" s="848" t="s">
        <v>11526</v>
      </c>
      <c r="F879" s="848" t="s">
        <v>11132</v>
      </c>
      <c r="G879" s="850" t="s">
        <v>12125</v>
      </c>
      <c r="H879" s="849" t="s">
        <v>10716</v>
      </c>
      <c r="I879" s="849"/>
      <c r="J879" s="851">
        <v>613.38</v>
      </c>
      <c r="K879" s="848" t="s">
        <v>12775</v>
      </c>
    </row>
    <row r="880" spans="2:11">
      <c r="B880" s="848">
        <v>877</v>
      </c>
      <c r="C880" s="848" t="s">
        <v>571</v>
      </c>
      <c r="D880" s="849" t="s">
        <v>556</v>
      </c>
      <c r="E880" s="848" t="s">
        <v>11526</v>
      </c>
      <c r="F880" s="848" t="s">
        <v>12776</v>
      </c>
      <c r="G880" s="850" t="s">
        <v>12122</v>
      </c>
      <c r="H880" s="849" t="s">
        <v>10716</v>
      </c>
      <c r="I880" s="849"/>
      <c r="J880" s="851">
        <v>306.69</v>
      </c>
      <c r="K880" s="848" t="s">
        <v>6481</v>
      </c>
    </row>
    <row r="881" spans="2:11">
      <c r="B881" s="848">
        <v>878</v>
      </c>
      <c r="C881" s="848" t="s">
        <v>571</v>
      </c>
      <c r="D881" s="849" t="s">
        <v>556</v>
      </c>
      <c r="E881" s="848" t="s">
        <v>11526</v>
      </c>
      <c r="F881" s="848" t="s">
        <v>12777</v>
      </c>
      <c r="G881" s="850" t="s">
        <v>11703</v>
      </c>
      <c r="H881" s="849" t="s">
        <v>10716</v>
      </c>
      <c r="I881" s="849"/>
      <c r="J881" s="851">
        <v>153.345</v>
      </c>
      <c r="K881" s="848" t="s">
        <v>6482</v>
      </c>
    </row>
    <row r="882" spans="2:11">
      <c r="B882" s="848">
        <v>879</v>
      </c>
      <c r="C882" s="848" t="s">
        <v>571</v>
      </c>
      <c r="D882" s="849" t="s">
        <v>556</v>
      </c>
      <c r="E882" s="848" t="s">
        <v>12778</v>
      </c>
      <c r="F882" s="848" t="s">
        <v>10960</v>
      </c>
      <c r="G882" s="850" t="s">
        <v>12779</v>
      </c>
      <c r="H882" s="849" t="s">
        <v>10716</v>
      </c>
      <c r="I882" s="849"/>
      <c r="J882" s="851">
        <v>530</v>
      </c>
      <c r="K882" s="848" t="s">
        <v>6509</v>
      </c>
    </row>
    <row r="883" spans="2:11">
      <c r="B883" s="848">
        <v>880</v>
      </c>
      <c r="C883" s="848" t="s">
        <v>12780</v>
      </c>
      <c r="D883" s="849" t="s">
        <v>1014</v>
      </c>
      <c r="E883" s="848" t="s">
        <v>12781</v>
      </c>
      <c r="F883" s="848" t="s">
        <v>12782</v>
      </c>
      <c r="G883" s="850" t="s">
        <v>12783</v>
      </c>
      <c r="H883" s="849" t="s">
        <v>10716</v>
      </c>
      <c r="I883" s="849"/>
      <c r="J883" s="851">
        <v>3833.65</v>
      </c>
      <c r="K883" s="848" t="s">
        <v>11912</v>
      </c>
    </row>
    <row r="884" spans="2:11">
      <c r="B884" s="848">
        <v>881</v>
      </c>
      <c r="C884" s="848" t="s">
        <v>12780</v>
      </c>
      <c r="D884" s="849" t="s">
        <v>1014</v>
      </c>
      <c r="E884" s="848" t="s">
        <v>12781</v>
      </c>
      <c r="F884" s="848" t="s">
        <v>10935</v>
      </c>
      <c r="G884" s="850" t="s">
        <v>12784</v>
      </c>
      <c r="H884" s="849" t="s">
        <v>10716</v>
      </c>
      <c r="I884" s="849"/>
      <c r="J884" s="851">
        <v>556.96804799999995</v>
      </c>
      <c r="K884" s="848" t="s">
        <v>12040</v>
      </c>
    </row>
    <row r="885" spans="2:11">
      <c r="B885" s="848">
        <v>882</v>
      </c>
      <c r="C885" s="848" t="s">
        <v>12780</v>
      </c>
      <c r="D885" s="849" t="s">
        <v>1014</v>
      </c>
      <c r="E885" s="848" t="s">
        <v>12781</v>
      </c>
      <c r="F885" s="848" t="s">
        <v>12514</v>
      </c>
      <c r="G885" s="850" t="s">
        <v>12785</v>
      </c>
      <c r="H885" s="849" t="s">
        <v>10716</v>
      </c>
      <c r="I885" s="849"/>
      <c r="J885" s="851">
        <v>705.38</v>
      </c>
      <c r="K885" s="848" t="s">
        <v>12040</v>
      </c>
    </row>
    <row r="886" spans="2:11">
      <c r="B886" s="848">
        <v>883</v>
      </c>
      <c r="C886" s="848" t="s">
        <v>12780</v>
      </c>
      <c r="D886" s="849" t="s">
        <v>1014</v>
      </c>
      <c r="E886" s="848" t="s">
        <v>12781</v>
      </c>
      <c r="F886" s="848" t="s">
        <v>12786</v>
      </c>
      <c r="G886" s="850" t="s">
        <v>12787</v>
      </c>
      <c r="H886" s="849" t="s">
        <v>10716</v>
      </c>
      <c r="I886" s="849"/>
      <c r="J886" s="851">
        <v>383.36500000000001</v>
      </c>
      <c r="K886" s="848" t="s">
        <v>12299</v>
      </c>
    </row>
    <row r="887" spans="2:11">
      <c r="B887" s="848">
        <v>884</v>
      </c>
      <c r="C887" s="848" t="s">
        <v>12780</v>
      </c>
      <c r="D887" s="849" t="s">
        <v>1014</v>
      </c>
      <c r="E887" s="848" t="s">
        <v>12781</v>
      </c>
      <c r="F887" s="848" t="s">
        <v>12517</v>
      </c>
      <c r="G887" s="850" t="s">
        <v>12788</v>
      </c>
      <c r="H887" s="849" t="s">
        <v>10716</v>
      </c>
      <c r="I887" s="849"/>
      <c r="J887" s="851">
        <v>176.345</v>
      </c>
      <c r="K887" s="848" t="s">
        <v>12312</v>
      </c>
    </row>
    <row r="888" spans="2:11">
      <c r="B888" s="848">
        <v>885</v>
      </c>
      <c r="C888" s="848" t="s">
        <v>12780</v>
      </c>
      <c r="D888" s="849" t="s">
        <v>1014</v>
      </c>
      <c r="E888" s="848" t="s">
        <v>12781</v>
      </c>
      <c r="F888" s="848" t="s">
        <v>10937</v>
      </c>
      <c r="G888" s="850" t="s">
        <v>12789</v>
      </c>
      <c r="H888" s="849" t="s">
        <v>10716</v>
      </c>
      <c r="I888" s="849"/>
      <c r="J888" s="851">
        <v>144.0562305</v>
      </c>
      <c r="K888" s="848" t="s">
        <v>12312</v>
      </c>
    </row>
    <row r="889" spans="2:11">
      <c r="B889" s="848">
        <v>886</v>
      </c>
      <c r="C889" s="848" t="s">
        <v>12780</v>
      </c>
      <c r="D889" s="849" t="s">
        <v>1014</v>
      </c>
      <c r="E889" s="848" t="s">
        <v>12781</v>
      </c>
      <c r="F889" s="848" t="s">
        <v>12790</v>
      </c>
      <c r="G889" s="850" t="s">
        <v>12791</v>
      </c>
      <c r="H889" s="849" t="s">
        <v>10716</v>
      </c>
      <c r="I889" s="849"/>
      <c r="J889" s="851">
        <v>4217.0150000000003</v>
      </c>
      <c r="K889" s="848" t="s">
        <v>12792</v>
      </c>
    </row>
    <row r="890" spans="2:11">
      <c r="B890" s="848">
        <v>887</v>
      </c>
      <c r="C890" s="848" t="s">
        <v>12780</v>
      </c>
      <c r="D890" s="849" t="s">
        <v>1014</v>
      </c>
      <c r="E890" s="848" t="s">
        <v>12781</v>
      </c>
      <c r="F890" s="848" t="s">
        <v>12520</v>
      </c>
      <c r="G890" s="850" t="s">
        <v>12793</v>
      </c>
      <c r="H890" s="849" t="s">
        <v>10716</v>
      </c>
      <c r="I890" s="849"/>
      <c r="J890" s="851">
        <v>263.79448550000001</v>
      </c>
      <c r="K890" s="848" t="s">
        <v>12794</v>
      </c>
    </row>
    <row r="891" spans="2:11">
      <c r="B891" s="848">
        <v>888</v>
      </c>
      <c r="C891" s="848" t="s">
        <v>12795</v>
      </c>
      <c r="D891" s="849" t="s">
        <v>12796</v>
      </c>
      <c r="E891" s="848" t="s">
        <v>11161</v>
      </c>
      <c r="F891" s="848" t="s">
        <v>11385</v>
      </c>
      <c r="G891" s="850" t="s">
        <v>12797</v>
      </c>
      <c r="H891" s="849" t="s">
        <v>10716</v>
      </c>
      <c r="I891" s="849"/>
      <c r="J891" s="851">
        <v>23.77</v>
      </c>
      <c r="K891" s="848" t="s">
        <v>5914</v>
      </c>
    </row>
    <row r="892" spans="2:11">
      <c r="B892" s="848">
        <v>889</v>
      </c>
      <c r="C892" s="848" t="s">
        <v>12795</v>
      </c>
      <c r="D892" s="849" t="s">
        <v>12796</v>
      </c>
      <c r="E892" s="848" t="s">
        <v>11161</v>
      </c>
      <c r="F892" s="848" t="s">
        <v>11387</v>
      </c>
      <c r="G892" s="850" t="s">
        <v>11919</v>
      </c>
      <c r="H892" s="849" t="s">
        <v>10716</v>
      </c>
      <c r="I892" s="849"/>
      <c r="J892" s="851">
        <v>23.77</v>
      </c>
      <c r="K892" s="848" t="s">
        <v>6601</v>
      </c>
    </row>
    <row r="893" spans="2:11">
      <c r="B893" s="848">
        <v>890</v>
      </c>
      <c r="C893" s="848" t="s">
        <v>12795</v>
      </c>
      <c r="D893" s="849" t="s">
        <v>12796</v>
      </c>
      <c r="E893" s="848" t="s">
        <v>11161</v>
      </c>
      <c r="F893" s="848" t="s">
        <v>11390</v>
      </c>
      <c r="G893" s="850" t="s">
        <v>12798</v>
      </c>
      <c r="H893" s="849" t="s">
        <v>10716</v>
      </c>
      <c r="I893" s="849"/>
      <c r="J893" s="851">
        <v>23.77</v>
      </c>
      <c r="K893" s="848" t="s">
        <v>5915</v>
      </c>
    </row>
    <row r="894" spans="2:11" ht="25">
      <c r="B894" s="848">
        <v>891</v>
      </c>
      <c r="C894" s="848" t="s">
        <v>12799</v>
      </c>
      <c r="D894" s="849" t="s">
        <v>8084</v>
      </c>
      <c r="E894" s="848" t="s">
        <v>3340</v>
      </c>
      <c r="F894" s="848" t="s">
        <v>11393</v>
      </c>
      <c r="G894" s="850" t="s">
        <v>12443</v>
      </c>
      <c r="H894" s="849" t="s">
        <v>10716</v>
      </c>
      <c r="I894" s="849"/>
      <c r="J894" s="851">
        <v>66.56</v>
      </c>
      <c r="K894" s="848" t="s">
        <v>6154</v>
      </c>
    </row>
    <row r="895" spans="2:11" ht="25">
      <c r="B895" s="848">
        <v>892</v>
      </c>
      <c r="C895" s="848" t="s">
        <v>12799</v>
      </c>
      <c r="D895" s="849" t="s">
        <v>8084</v>
      </c>
      <c r="E895" s="848" t="s">
        <v>3340</v>
      </c>
      <c r="F895" s="848" t="s">
        <v>11396</v>
      </c>
      <c r="G895" s="850" t="s">
        <v>12427</v>
      </c>
      <c r="H895" s="849" t="s">
        <v>10716</v>
      </c>
      <c r="I895" s="849"/>
      <c r="J895" s="851">
        <v>84.92</v>
      </c>
      <c r="K895" s="848" t="s">
        <v>6163</v>
      </c>
    </row>
    <row r="896" spans="2:11" ht="25">
      <c r="B896" s="848">
        <v>893</v>
      </c>
      <c r="C896" s="848" t="s">
        <v>12799</v>
      </c>
      <c r="D896" s="849" t="s">
        <v>8084</v>
      </c>
      <c r="E896" s="848" t="s">
        <v>9420</v>
      </c>
      <c r="F896" s="848" t="s">
        <v>11399</v>
      </c>
      <c r="G896" s="850" t="s">
        <v>12800</v>
      </c>
      <c r="H896" s="849" t="s">
        <v>10716</v>
      </c>
      <c r="I896" s="849"/>
      <c r="J896" s="851">
        <v>126.23</v>
      </c>
      <c r="K896" s="848" t="s">
        <v>6164</v>
      </c>
    </row>
    <row r="897" spans="2:11">
      <c r="B897" s="848">
        <v>894</v>
      </c>
      <c r="C897" s="848" t="s">
        <v>12801</v>
      </c>
      <c r="D897" s="849" t="s">
        <v>12802</v>
      </c>
      <c r="E897" s="848" t="s">
        <v>3340</v>
      </c>
      <c r="F897" s="848" t="s">
        <v>12803</v>
      </c>
      <c r="G897" s="850" t="s">
        <v>12418</v>
      </c>
      <c r="H897" s="849" t="s">
        <v>10716</v>
      </c>
      <c r="I897" s="849"/>
      <c r="J897" s="851">
        <v>15.34</v>
      </c>
      <c r="K897" s="848" t="s">
        <v>12804</v>
      </c>
    </row>
    <row r="898" spans="2:11">
      <c r="B898" s="848">
        <v>895</v>
      </c>
      <c r="C898" s="848" t="s">
        <v>12801</v>
      </c>
      <c r="D898" s="849" t="s">
        <v>12802</v>
      </c>
      <c r="E898" s="848" t="s">
        <v>3340</v>
      </c>
      <c r="F898" s="848" t="s">
        <v>12805</v>
      </c>
      <c r="G898" s="850" t="s">
        <v>12421</v>
      </c>
      <c r="H898" s="849" t="s">
        <v>10716</v>
      </c>
      <c r="I898" s="849"/>
      <c r="J898" s="851">
        <v>15.34</v>
      </c>
      <c r="K898" s="848" t="s">
        <v>12806</v>
      </c>
    </row>
    <row r="899" spans="2:11">
      <c r="B899" s="848">
        <v>896</v>
      </c>
      <c r="C899" s="848" t="s">
        <v>12801</v>
      </c>
      <c r="D899" s="849" t="s">
        <v>12802</v>
      </c>
      <c r="E899" s="848" t="s">
        <v>3340</v>
      </c>
      <c r="F899" s="848" t="s">
        <v>12807</v>
      </c>
      <c r="G899" s="850" t="s">
        <v>12424</v>
      </c>
      <c r="H899" s="849" t="s">
        <v>10716</v>
      </c>
      <c r="I899" s="849"/>
      <c r="J899" s="851">
        <v>7.67</v>
      </c>
      <c r="K899" s="848" t="s">
        <v>12808</v>
      </c>
    </row>
    <row r="900" spans="2:11">
      <c r="B900" s="848">
        <v>897</v>
      </c>
      <c r="C900" s="848" t="s">
        <v>12809</v>
      </c>
      <c r="D900" s="849" t="s">
        <v>12810</v>
      </c>
      <c r="E900" s="848" t="s">
        <v>3393</v>
      </c>
      <c r="F900" s="848" t="s">
        <v>11409</v>
      </c>
      <c r="G900" s="850" t="s">
        <v>12811</v>
      </c>
      <c r="H900" s="849" t="s">
        <v>10716</v>
      </c>
      <c r="I900" s="849"/>
      <c r="J900" s="851">
        <v>41.42</v>
      </c>
      <c r="K900" s="848" t="s">
        <v>12812</v>
      </c>
    </row>
    <row r="901" spans="2:11">
      <c r="B901" s="848">
        <v>898</v>
      </c>
      <c r="C901" s="848" t="s">
        <v>12809</v>
      </c>
      <c r="D901" s="849" t="s">
        <v>12810</v>
      </c>
      <c r="E901" s="848" t="s">
        <v>3393</v>
      </c>
      <c r="F901" s="848" t="s">
        <v>11415</v>
      </c>
      <c r="G901" s="850" t="s">
        <v>12813</v>
      </c>
      <c r="H901" s="849" t="s">
        <v>10716</v>
      </c>
      <c r="I901" s="849"/>
      <c r="J901" s="851">
        <v>118.85</v>
      </c>
      <c r="K901" s="848" t="s">
        <v>6646</v>
      </c>
    </row>
    <row r="902" spans="2:11">
      <c r="B902" s="848">
        <v>899</v>
      </c>
      <c r="C902" s="848" t="s">
        <v>12809</v>
      </c>
      <c r="D902" s="849" t="s">
        <v>12810</v>
      </c>
      <c r="E902" s="848" t="s">
        <v>9468</v>
      </c>
      <c r="F902" s="848" t="s">
        <v>11402</v>
      </c>
      <c r="G902" s="850" t="s">
        <v>12814</v>
      </c>
      <c r="H902" s="849" t="s">
        <v>10716</v>
      </c>
      <c r="I902" s="849"/>
      <c r="J902" s="851">
        <v>42</v>
      </c>
      <c r="K902" s="848" t="s">
        <v>12815</v>
      </c>
    </row>
    <row r="903" spans="2:11">
      <c r="B903" s="848">
        <v>900</v>
      </c>
      <c r="C903" s="848" t="s">
        <v>12809</v>
      </c>
      <c r="D903" s="849" t="s">
        <v>12810</v>
      </c>
      <c r="E903" s="848" t="s">
        <v>9468</v>
      </c>
      <c r="F903" s="848" t="s">
        <v>11406</v>
      </c>
      <c r="G903" s="850" t="s">
        <v>12567</v>
      </c>
      <c r="H903" s="849" t="s">
        <v>10716</v>
      </c>
      <c r="I903" s="849"/>
      <c r="J903" s="851">
        <v>42</v>
      </c>
      <c r="K903" s="848" t="s">
        <v>12816</v>
      </c>
    </row>
    <row r="904" spans="2:11" ht="25">
      <c r="B904" s="848">
        <v>901</v>
      </c>
      <c r="C904" s="848" t="s">
        <v>7175</v>
      </c>
      <c r="D904" s="849" t="s">
        <v>12817</v>
      </c>
      <c r="E904" s="848" t="s">
        <v>9496</v>
      </c>
      <c r="F904" s="848" t="s">
        <v>12818</v>
      </c>
      <c r="G904" s="850" t="s">
        <v>12819</v>
      </c>
      <c r="H904" s="849" t="s">
        <v>10716</v>
      </c>
      <c r="I904" s="849"/>
      <c r="J904" s="851">
        <v>14</v>
      </c>
      <c r="K904" s="848" t="s">
        <v>6660</v>
      </c>
    </row>
    <row r="905" spans="2:11" ht="25">
      <c r="B905" s="848">
        <v>902</v>
      </c>
      <c r="C905" s="848" t="s">
        <v>7175</v>
      </c>
      <c r="D905" s="849" t="s">
        <v>12817</v>
      </c>
      <c r="E905" s="848" t="s">
        <v>9496</v>
      </c>
      <c r="F905" s="848" t="s">
        <v>11381</v>
      </c>
      <c r="G905" s="850" t="s">
        <v>12820</v>
      </c>
      <c r="H905" s="849" t="s">
        <v>10716</v>
      </c>
      <c r="I905" s="849"/>
      <c r="J905" s="851">
        <v>12</v>
      </c>
      <c r="K905" s="848" t="s">
        <v>6661</v>
      </c>
    </row>
    <row r="906" spans="2:11" ht="25">
      <c r="B906" s="848">
        <v>903</v>
      </c>
      <c r="C906" s="848" t="s">
        <v>7175</v>
      </c>
      <c r="D906" s="849" t="s">
        <v>12817</v>
      </c>
      <c r="E906" s="848" t="s">
        <v>9496</v>
      </c>
      <c r="F906" s="848" t="s">
        <v>12821</v>
      </c>
      <c r="G906" s="850" t="s">
        <v>12822</v>
      </c>
      <c r="H906" s="849" t="s">
        <v>10716</v>
      </c>
      <c r="I906" s="849"/>
      <c r="J906" s="851">
        <v>5</v>
      </c>
      <c r="K906" s="848" t="s">
        <v>6662</v>
      </c>
    </row>
    <row r="907" spans="2:11" ht="25">
      <c r="B907" s="848">
        <v>904</v>
      </c>
      <c r="C907" s="848" t="s">
        <v>7175</v>
      </c>
      <c r="D907" s="849" t="s">
        <v>12817</v>
      </c>
      <c r="E907" s="848" t="s">
        <v>9496</v>
      </c>
      <c r="F907" s="848" t="s">
        <v>12823</v>
      </c>
      <c r="G907" s="850" t="s">
        <v>12824</v>
      </c>
      <c r="H907" s="849" t="s">
        <v>10716</v>
      </c>
      <c r="I907" s="849"/>
      <c r="J907" s="851">
        <v>38</v>
      </c>
      <c r="K907" s="848" t="s">
        <v>6663</v>
      </c>
    </row>
    <row r="908" spans="2:11" ht="25">
      <c r="B908" s="848">
        <v>905</v>
      </c>
      <c r="C908" s="848" t="s">
        <v>7175</v>
      </c>
      <c r="D908" s="849" t="s">
        <v>12817</v>
      </c>
      <c r="E908" s="848" t="s">
        <v>9496</v>
      </c>
      <c r="F908" s="848" t="s">
        <v>12825</v>
      </c>
      <c r="G908" s="850" t="s">
        <v>12826</v>
      </c>
      <c r="H908" s="849" t="s">
        <v>10716</v>
      </c>
      <c r="I908" s="849"/>
      <c r="J908" s="851">
        <v>12</v>
      </c>
      <c r="K908" s="848" t="s">
        <v>6664</v>
      </c>
    </row>
    <row r="909" spans="2:11" ht="25">
      <c r="B909" s="848">
        <v>906</v>
      </c>
      <c r="C909" s="848" t="s">
        <v>7175</v>
      </c>
      <c r="D909" s="849" t="s">
        <v>12817</v>
      </c>
      <c r="E909" s="848" t="s">
        <v>9496</v>
      </c>
      <c r="F909" s="848" t="s">
        <v>12827</v>
      </c>
      <c r="G909" s="850" t="s">
        <v>12828</v>
      </c>
      <c r="H909" s="849" t="s">
        <v>10716</v>
      </c>
      <c r="I909" s="849"/>
      <c r="J909" s="851">
        <v>4</v>
      </c>
      <c r="K909" s="848" t="s">
        <v>6665</v>
      </c>
    </row>
    <row r="910" spans="2:11">
      <c r="B910" s="848">
        <v>907</v>
      </c>
      <c r="C910" s="848" t="s">
        <v>12829</v>
      </c>
      <c r="D910" s="849" t="s">
        <v>7062</v>
      </c>
      <c r="E910" s="848" t="s">
        <v>9418</v>
      </c>
      <c r="F910" s="848" t="s">
        <v>12830</v>
      </c>
      <c r="G910" s="850" t="s">
        <v>11591</v>
      </c>
      <c r="H910" s="849" t="s">
        <v>10716</v>
      </c>
      <c r="I910" s="849"/>
      <c r="J910" s="851">
        <v>69.7</v>
      </c>
      <c r="K910" s="848" t="s">
        <v>6534</v>
      </c>
    </row>
    <row r="911" spans="2:11">
      <c r="B911" s="848">
        <v>908</v>
      </c>
      <c r="C911" s="848" t="s">
        <v>12829</v>
      </c>
      <c r="D911" s="849" t="s">
        <v>7062</v>
      </c>
      <c r="E911" s="848" t="s">
        <v>8582</v>
      </c>
      <c r="F911" s="848" t="s">
        <v>11418</v>
      </c>
      <c r="G911" s="850" t="s">
        <v>12831</v>
      </c>
      <c r="H911" s="849" t="s">
        <v>10716</v>
      </c>
      <c r="I911" s="849"/>
      <c r="J911" s="851">
        <v>63.19</v>
      </c>
      <c r="K911" s="848" t="s">
        <v>5958</v>
      </c>
    </row>
    <row r="912" spans="2:11">
      <c r="B912" s="848">
        <v>909</v>
      </c>
      <c r="C912" s="848" t="s">
        <v>12829</v>
      </c>
      <c r="D912" s="849" t="s">
        <v>7062</v>
      </c>
      <c r="E912" s="848" t="s">
        <v>8582</v>
      </c>
      <c r="F912" s="848" t="s">
        <v>11421</v>
      </c>
      <c r="G912" s="850" t="s">
        <v>12832</v>
      </c>
      <c r="H912" s="849" t="s">
        <v>10716</v>
      </c>
      <c r="I912" s="849"/>
      <c r="J912" s="851">
        <v>273.83</v>
      </c>
      <c r="K912" s="848" t="s">
        <v>6499</v>
      </c>
    </row>
    <row r="913" spans="2:11">
      <c r="B913" s="848">
        <v>910</v>
      </c>
      <c r="C913" s="848" t="s">
        <v>12829</v>
      </c>
      <c r="D913" s="849" t="s">
        <v>7062</v>
      </c>
      <c r="E913" s="848" t="s">
        <v>8582</v>
      </c>
      <c r="F913" s="848" t="s">
        <v>12833</v>
      </c>
      <c r="G913" s="850" t="s">
        <v>12834</v>
      </c>
      <c r="H913" s="849" t="s">
        <v>10716</v>
      </c>
      <c r="I913" s="849"/>
      <c r="J913" s="851">
        <v>337.03</v>
      </c>
      <c r="K913" s="848" t="s">
        <v>5959</v>
      </c>
    </row>
    <row r="914" spans="2:11">
      <c r="B914" s="848">
        <v>911</v>
      </c>
      <c r="C914" s="848" t="s">
        <v>12829</v>
      </c>
      <c r="D914" s="849" t="s">
        <v>7062</v>
      </c>
      <c r="E914" s="848" t="s">
        <v>8582</v>
      </c>
      <c r="F914" s="848" t="s">
        <v>12835</v>
      </c>
      <c r="G914" s="850" t="s">
        <v>12836</v>
      </c>
      <c r="H914" s="849" t="s">
        <v>10716</v>
      </c>
      <c r="I914" s="849"/>
      <c r="J914" s="851">
        <v>990.02</v>
      </c>
      <c r="K914" s="848" t="s">
        <v>6098</v>
      </c>
    </row>
    <row r="915" spans="2:11">
      <c r="B915" s="848">
        <v>912</v>
      </c>
      <c r="C915" s="848" t="s">
        <v>12829</v>
      </c>
      <c r="D915" s="849" t="s">
        <v>7062</v>
      </c>
      <c r="E915" s="848" t="s">
        <v>8582</v>
      </c>
      <c r="F915" s="848" t="s">
        <v>12837</v>
      </c>
      <c r="G915" s="850" t="s">
        <v>12838</v>
      </c>
      <c r="H915" s="849" t="s">
        <v>10716</v>
      </c>
      <c r="I915" s="849"/>
      <c r="J915" s="851">
        <v>167.57</v>
      </c>
      <c r="K915" s="848" t="s">
        <v>6502</v>
      </c>
    </row>
    <row r="916" spans="2:11">
      <c r="B916" s="848">
        <v>913</v>
      </c>
      <c r="C916" s="848" t="s">
        <v>12829</v>
      </c>
      <c r="D916" s="849" t="s">
        <v>7062</v>
      </c>
      <c r="E916" s="848" t="s">
        <v>8582</v>
      </c>
      <c r="F916" s="848" t="s">
        <v>12839</v>
      </c>
      <c r="G916" s="850" t="s">
        <v>12840</v>
      </c>
      <c r="H916" s="849" t="s">
        <v>10716</v>
      </c>
      <c r="I916" s="849"/>
      <c r="J916" s="851">
        <v>18.36</v>
      </c>
      <c r="K916" s="848" t="s">
        <v>6522</v>
      </c>
    </row>
    <row r="917" spans="2:11">
      <c r="B917" s="848">
        <v>914</v>
      </c>
      <c r="C917" s="848" t="s">
        <v>12829</v>
      </c>
      <c r="D917" s="849" t="s">
        <v>7062</v>
      </c>
      <c r="E917" s="848" t="s">
        <v>8582</v>
      </c>
      <c r="F917" s="848" t="s">
        <v>10741</v>
      </c>
      <c r="G917" s="850" t="s">
        <v>12841</v>
      </c>
      <c r="H917" s="849" t="s">
        <v>10716</v>
      </c>
      <c r="I917" s="849"/>
      <c r="J917" s="851">
        <v>11.48</v>
      </c>
      <c r="K917" s="848" t="s">
        <v>6795</v>
      </c>
    </row>
    <row r="918" spans="2:11">
      <c r="B918" s="848">
        <v>915</v>
      </c>
      <c r="C918" s="848" t="s">
        <v>12829</v>
      </c>
      <c r="D918" s="849" t="s">
        <v>7062</v>
      </c>
      <c r="E918" s="848" t="s">
        <v>10736</v>
      </c>
      <c r="F918" s="848" t="s">
        <v>12842</v>
      </c>
      <c r="G918" s="850" t="s">
        <v>12843</v>
      </c>
      <c r="H918" s="849" t="s">
        <v>10716</v>
      </c>
      <c r="I918" s="849"/>
      <c r="J918" s="851">
        <v>102.09</v>
      </c>
      <c r="K918" s="848" t="s">
        <v>6108</v>
      </c>
    </row>
    <row r="919" spans="2:11">
      <c r="B919" s="848">
        <v>916</v>
      </c>
      <c r="C919" s="848" t="s">
        <v>12829</v>
      </c>
      <c r="D919" s="849" t="s">
        <v>7062</v>
      </c>
      <c r="E919" s="848" t="s">
        <v>10824</v>
      </c>
      <c r="F919" s="848" t="s">
        <v>12428</v>
      </c>
      <c r="G919" s="850" t="s">
        <v>12844</v>
      </c>
      <c r="H919" s="849" t="s">
        <v>10716</v>
      </c>
      <c r="I919" s="849"/>
      <c r="J919" s="851">
        <v>16.190000000000001</v>
      </c>
      <c r="K919" s="848" t="s">
        <v>6114</v>
      </c>
    </row>
    <row r="920" spans="2:11" ht="25">
      <c r="B920" s="848">
        <v>917</v>
      </c>
      <c r="C920" s="848" t="s">
        <v>12845</v>
      </c>
      <c r="D920" s="849" t="s">
        <v>12846</v>
      </c>
      <c r="E920" s="848" t="s">
        <v>10778</v>
      </c>
      <c r="F920" s="848" t="s">
        <v>12847</v>
      </c>
      <c r="G920" s="850" t="s">
        <v>12848</v>
      </c>
      <c r="H920" s="849" t="s">
        <v>10716</v>
      </c>
      <c r="I920" s="849"/>
      <c r="J920" s="851">
        <v>2683.56</v>
      </c>
      <c r="K920" s="848" t="s">
        <v>12849</v>
      </c>
    </row>
    <row r="921" spans="2:11">
      <c r="B921" s="848">
        <v>918</v>
      </c>
      <c r="C921" s="848" t="s">
        <v>12479</v>
      </c>
      <c r="D921" s="849" t="s">
        <v>1000</v>
      </c>
      <c r="E921" s="848" t="s">
        <v>9449</v>
      </c>
      <c r="F921" s="848" t="s">
        <v>12850</v>
      </c>
      <c r="G921" s="850" t="s">
        <v>12683</v>
      </c>
      <c r="H921" s="849" t="s">
        <v>10716</v>
      </c>
      <c r="I921" s="849"/>
      <c r="J921" s="851">
        <v>44853.71</v>
      </c>
      <c r="K921" s="848" t="s">
        <v>11333</v>
      </c>
    </row>
    <row r="922" spans="2:11">
      <c r="B922" s="848">
        <v>919</v>
      </c>
      <c r="C922" s="848" t="s">
        <v>12479</v>
      </c>
      <c r="D922" s="849" t="s">
        <v>1000</v>
      </c>
      <c r="E922" s="848" t="s">
        <v>3344</v>
      </c>
      <c r="F922" s="848" t="s">
        <v>12851</v>
      </c>
      <c r="G922" s="850" t="s">
        <v>12852</v>
      </c>
      <c r="H922" s="849" t="s">
        <v>10716</v>
      </c>
      <c r="I922" s="849"/>
      <c r="J922" s="851">
        <v>5750.48</v>
      </c>
      <c r="K922" s="848" t="s">
        <v>11982</v>
      </c>
    </row>
    <row r="923" spans="2:11">
      <c r="B923" s="848">
        <v>920</v>
      </c>
      <c r="C923" s="848" t="s">
        <v>12479</v>
      </c>
      <c r="D923" s="849" t="s">
        <v>1000</v>
      </c>
      <c r="E923" s="848" t="s">
        <v>3344</v>
      </c>
      <c r="F923" s="848" t="s">
        <v>12853</v>
      </c>
      <c r="G923" s="850" t="s">
        <v>12854</v>
      </c>
      <c r="H923" s="849" t="s">
        <v>10716</v>
      </c>
      <c r="I923" s="849"/>
      <c r="J923" s="851">
        <v>4217.0200000000004</v>
      </c>
      <c r="K923" s="848" t="s">
        <v>11984</v>
      </c>
    </row>
    <row r="924" spans="2:11">
      <c r="B924" s="848">
        <v>921</v>
      </c>
      <c r="C924" s="848" t="s">
        <v>12479</v>
      </c>
      <c r="D924" s="849" t="s">
        <v>1000</v>
      </c>
      <c r="E924" s="848" t="s">
        <v>3344</v>
      </c>
      <c r="F924" s="848" t="s">
        <v>12855</v>
      </c>
      <c r="G924" s="850" t="s">
        <v>12856</v>
      </c>
      <c r="H924" s="849" t="s">
        <v>10716</v>
      </c>
      <c r="I924" s="849"/>
      <c r="J924" s="851">
        <v>6900.57</v>
      </c>
      <c r="K924" s="848" t="s">
        <v>12002</v>
      </c>
    </row>
    <row r="925" spans="2:11">
      <c r="B925" s="848">
        <v>922</v>
      </c>
      <c r="C925" s="848" t="s">
        <v>12857</v>
      </c>
      <c r="D925" s="849" t="s">
        <v>1000</v>
      </c>
      <c r="E925" s="848" t="s">
        <v>3344</v>
      </c>
      <c r="F925" s="848" t="s">
        <v>12858</v>
      </c>
      <c r="G925" s="850" t="s">
        <v>12859</v>
      </c>
      <c r="H925" s="849" t="s">
        <v>10716</v>
      </c>
      <c r="I925" s="849"/>
      <c r="J925" s="851">
        <v>6517.21</v>
      </c>
      <c r="K925" s="848" t="s">
        <v>6381</v>
      </c>
    </row>
    <row r="926" spans="2:11">
      <c r="B926" s="848">
        <v>923</v>
      </c>
      <c r="C926" s="848" t="s">
        <v>12479</v>
      </c>
      <c r="D926" s="849" t="s">
        <v>1000</v>
      </c>
      <c r="E926" s="848" t="s">
        <v>10754</v>
      </c>
      <c r="F926" s="848" t="s">
        <v>12860</v>
      </c>
      <c r="G926" s="850" t="s">
        <v>11083</v>
      </c>
      <c r="H926" s="849" t="s">
        <v>10716</v>
      </c>
      <c r="I926" s="849"/>
      <c r="J926" s="851">
        <v>6133.84</v>
      </c>
      <c r="K926" s="848" t="s">
        <v>12001</v>
      </c>
    </row>
    <row r="927" spans="2:11">
      <c r="B927" s="848">
        <v>924</v>
      </c>
      <c r="C927" s="848" t="s">
        <v>12861</v>
      </c>
      <c r="D927" s="849" t="s">
        <v>12862</v>
      </c>
      <c r="E927" s="848" t="s">
        <v>9291</v>
      </c>
      <c r="F927" s="848" t="s">
        <v>12863</v>
      </c>
      <c r="G927" s="850" t="s">
        <v>10749</v>
      </c>
      <c r="H927" s="849" t="s">
        <v>10716</v>
      </c>
      <c r="I927" s="849"/>
      <c r="J927" s="851">
        <v>4</v>
      </c>
      <c r="K927" s="848" t="s">
        <v>6259</v>
      </c>
    </row>
    <row r="928" spans="2:11">
      <c r="B928" s="848">
        <v>925</v>
      </c>
      <c r="C928" s="848" t="s">
        <v>12861</v>
      </c>
      <c r="D928" s="849" t="s">
        <v>12862</v>
      </c>
      <c r="E928" s="848" t="s">
        <v>3233</v>
      </c>
      <c r="F928" s="848" t="s">
        <v>12864</v>
      </c>
      <c r="G928" s="850" t="s">
        <v>12361</v>
      </c>
      <c r="H928" s="849" t="s">
        <v>10716</v>
      </c>
      <c r="I928" s="849"/>
      <c r="J928" s="851">
        <v>60</v>
      </c>
      <c r="K928" s="848" t="s">
        <v>6258</v>
      </c>
    </row>
    <row r="929" spans="2:11">
      <c r="B929" s="848">
        <v>926</v>
      </c>
      <c r="C929" s="848" t="s">
        <v>12861</v>
      </c>
      <c r="D929" s="849" t="s">
        <v>12862</v>
      </c>
      <c r="E929" s="848" t="s">
        <v>3233</v>
      </c>
      <c r="F929" s="848" t="s">
        <v>12465</v>
      </c>
      <c r="G929" s="850" t="s">
        <v>12312</v>
      </c>
      <c r="H929" s="849" t="s">
        <v>10716</v>
      </c>
      <c r="I929" s="849"/>
      <c r="J929" s="851">
        <v>21</v>
      </c>
      <c r="K929" s="848" t="s">
        <v>6259</v>
      </c>
    </row>
    <row r="930" spans="2:11">
      <c r="B930" s="848">
        <v>927</v>
      </c>
      <c r="C930" s="848" t="s">
        <v>12865</v>
      </c>
      <c r="D930" s="849" t="s">
        <v>105</v>
      </c>
      <c r="E930" s="848" t="s">
        <v>3758</v>
      </c>
      <c r="F930" s="848" t="s">
        <v>12866</v>
      </c>
      <c r="G930" s="850" t="s">
        <v>12867</v>
      </c>
      <c r="H930" s="849" t="s">
        <v>10716</v>
      </c>
      <c r="I930" s="849"/>
      <c r="J930" s="851">
        <v>141461.69</v>
      </c>
      <c r="K930" s="848" t="s">
        <v>12868</v>
      </c>
    </row>
    <row r="931" spans="2:11">
      <c r="B931" s="848">
        <v>928</v>
      </c>
      <c r="C931" s="848" t="s">
        <v>12865</v>
      </c>
      <c r="D931" s="849" t="s">
        <v>105</v>
      </c>
      <c r="E931" s="848" t="s">
        <v>10926</v>
      </c>
      <c r="F931" s="848" t="s">
        <v>12869</v>
      </c>
      <c r="G931" s="850" t="s">
        <v>12870</v>
      </c>
      <c r="H931" s="849" t="s">
        <v>10716</v>
      </c>
      <c r="I931" s="849"/>
      <c r="J931" s="851">
        <v>81656.75</v>
      </c>
      <c r="K931" s="848" t="s">
        <v>12871</v>
      </c>
    </row>
    <row r="932" spans="2:11">
      <c r="B932" s="848">
        <v>929</v>
      </c>
      <c r="C932" s="848" t="s">
        <v>12872</v>
      </c>
      <c r="D932" s="849" t="s">
        <v>8085</v>
      </c>
      <c r="E932" s="848" t="s">
        <v>12357</v>
      </c>
      <c r="F932" s="848" t="s">
        <v>12873</v>
      </c>
      <c r="G932" s="850" t="s">
        <v>12874</v>
      </c>
      <c r="H932" s="849" t="s">
        <v>10716</v>
      </c>
      <c r="I932" s="849"/>
      <c r="J932" s="851">
        <v>147.79</v>
      </c>
      <c r="K932" s="848" t="s">
        <v>5957</v>
      </c>
    </row>
    <row r="933" spans="2:11" ht="25">
      <c r="B933" s="848">
        <v>930</v>
      </c>
      <c r="C933" s="848" t="s">
        <v>12875</v>
      </c>
      <c r="D933" s="849" t="s">
        <v>200</v>
      </c>
      <c r="E933" s="848" t="s">
        <v>9469</v>
      </c>
      <c r="F933" s="848" t="s">
        <v>12876</v>
      </c>
      <c r="G933" s="850" t="s">
        <v>12877</v>
      </c>
      <c r="H933" s="849" t="s">
        <v>10716</v>
      </c>
      <c r="I933" s="849"/>
      <c r="J933" s="851">
        <v>827.37</v>
      </c>
      <c r="K933" s="848" t="s">
        <v>12878</v>
      </c>
    </row>
    <row r="934" spans="2:11" ht="25">
      <c r="B934" s="848">
        <v>931</v>
      </c>
      <c r="C934" s="848" t="s">
        <v>12875</v>
      </c>
      <c r="D934" s="849" t="s">
        <v>200</v>
      </c>
      <c r="E934" s="848" t="s">
        <v>9469</v>
      </c>
      <c r="F934" s="848" t="s">
        <v>12879</v>
      </c>
      <c r="G934" s="850" t="s">
        <v>12880</v>
      </c>
      <c r="H934" s="849" t="s">
        <v>10716</v>
      </c>
      <c r="I934" s="849"/>
      <c r="J934" s="851">
        <v>1616.36</v>
      </c>
      <c r="K934" s="848" t="s">
        <v>6641</v>
      </c>
    </row>
    <row r="935" spans="2:11" ht="25">
      <c r="B935" s="848">
        <v>932</v>
      </c>
      <c r="C935" s="848" t="s">
        <v>12875</v>
      </c>
      <c r="D935" s="849" t="s">
        <v>200</v>
      </c>
      <c r="E935" s="848" t="s">
        <v>9469</v>
      </c>
      <c r="F935" s="848" t="s">
        <v>12881</v>
      </c>
      <c r="G935" s="850" t="s">
        <v>12882</v>
      </c>
      <c r="H935" s="849" t="s">
        <v>10716</v>
      </c>
      <c r="I935" s="849"/>
      <c r="J935" s="851">
        <v>152.04</v>
      </c>
      <c r="K935" s="848" t="s">
        <v>6647</v>
      </c>
    </row>
    <row r="936" spans="2:11" ht="25">
      <c r="B936" s="848">
        <v>933</v>
      </c>
      <c r="C936" s="848" t="s">
        <v>12883</v>
      </c>
      <c r="D936" s="849" t="s">
        <v>12884</v>
      </c>
      <c r="E936" s="848" t="s">
        <v>10845</v>
      </c>
      <c r="F936" s="848" t="s">
        <v>12885</v>
      </c>
      <c r="G936" s="850" t="s">
        <v>12886</v>
      </c>
      <c r="H936" s="849" t="s">
        <v>10716</v>
      </c>
      <c r="I936" s="849"/>
      <c r="J936" s="851">
        <v>237.7</v>
      </c>
      <c r="K936" s="848" t="s">
        <v>12887</v>
      </c>
    </row>
    <row r="937" spans="2:11" ht="25">
      <c r="B937" s="848">
        <v>934</v>
      </c>
      <c r="C937" s="848" t="s">
        <v>12883</v>
      </c>
      <c r="D937" s="849" t="s">
        <v>12884</v>
      </c>
      <c r="E937" s="848" t="s">
        <v>12121</v>
      </c>
      <c r="F937" s="848" t="s">
        <v>11769</v>
      </c>
      <c r="G937" s="850" t="s">
        <v>12888</v>
      </c>
      <c r="H937" s="849" t="s">
        <v>10716</v>
      </c>
      <c r="I937" s="849"/>
      <c r="J937" s="851">
        <v>237.7</v>
      </c>
      <c r="K937" s="848" t="s">
        <v>12889</v>
      </c>
    </row>
    <row r="938" spans="2:11">
      <c r="B938" s="848">
        <v>935</v>
      </c>
      <c r="C938" s="848" t="s">
        <v>12890</v>
      </c>
      <c r="D938" s="849" t="s">
        <v>275</v>
      </c>
      <c r="E938" s="848" t="s">
        <v>3393</v>
      </c>
      <c r="F938" s="848" t="s">
        <v>10817</v>
      </c>
      <c r="G938" s="850" t="s">
        <v>12891</v>
      </c>
      <c r="H938" s="849" t="s">
        <v>10716</v>
      </c>
      <c r="I938" s="849"/>
      <c r="J938" s="851">
        <v>594.25</v>
      </c>
      <c r="K938" s="848" t="s">
        <v>6467</v>
      </c>
    </row>
    <row r="939" spans="2:11">
      <c r="B939" s="848">
        <v>936</v>
      </c>
      <c r="C939" s="848" t="s">
        <v>12890</v>
      </c>
      <c r="D939" s="849" t="s">
        <v>275</v>
      </c>
      <c r="E939" s="848" t="s">
        <v>9468</v>
      </c>
      <c r="F939" s="848" t="s">
        <v>12892</v>
      </c>
      <c r="G939" s="850" t="s">
        <v>12893</v>
      </c>
      <c r="H939" s="849" t="s">
        <v>10716</v>
      </c>
      <c r="I939" s="849"/>
      <c r="J939" s="851">
        <v>594.25</v>
      </c>
      <c r="K939" s="848" t="s">
        <v>6185</v>
      </c>
    </row>
    <row r="940" spans="2:11" ht="25">
      <c r="B940" s="848">
        <v>937</v>
      </c>
      <c r="C940" s="848" t="s">
        <v>12894</v>
      </c>
      <c r="D940" s="849" t="s">
        <v>424</v>
      </c>
      <c r="E940" s="848" t="s">
        <v>11161</v>
      </c>
      <c r="F940" s="848" t="s">
        <v>12523</v>
      </c>
      <c r="G940" s="850" t="s">
        <v>12895</v>
      </c>
      <c r="H940" s="849" t="s">
        <v>10716</v>
      </c>
      <c r="I940" s="849"/>
      <c r="J940" s="851">
        <v>6348.42</v>
      </c>
      <c r="K940" s="848" t="s">
        <v>12896</v>
      </c>
    </row>
    <row r="941" spans="2:11" ht="25">
      <c r="B941" s="848">
        <v>938</v>
      </c>
      <c r="C941" s="848" t="s">
        <v>735</v>
      </c>
      <c r="D941" s="849" t="s">
        <v>12897</v>
      </c>
      <c r="E941" s="848" t="s">
        <v>12898</v>
      </c>
      <c r="F941" s="848" t="s">
        <v>12899</v>
      </c>
      <c r="G941" s="850" t="s">
        <v>11989</v>
      </c>
      <c r="H941" s="849" t="s">
        <v>10716</v>
      </c>
      <c r="I941" s="849"/>
      <c r="J941" s="851">
        <v>705.38</v>
      </c>
      <c r="K941" s="848" t="s">
        <v>12900</v>
      </c>
    </row>
    <row r="942" spans="2:11" ht="25">
      <c r="B942" s="848">
        <v>939</v>
      </c>
      <c r="C942" s="848" t="s">
        <v>735</v>
      </c>
      <c r="D942" s="849" t="s">
        <v>12897</v>
      </c>
      <c r="E942" s="848" t="s">
        <v>12898</v>
      </c>
      <c r="F942" s="848" t="s">
        <v>12901</v>
      </c>
      <c r="G942" s="850" t="s">
        <v>11987</v>
      </c>
      <c r="H942" s="849" t="s">
        <v>10716</v>
      </c>
      <c r="I942" s="849"/>
      <c r="J942" s="851">
        <v>3833.65</v>
      </c>
      <c r="K942" s="848" t="s">
        <v>6393</v>
      </c>
    </row>
    <row r="943" spans="2:11">
      <c r="B943" s="848">
        <v>940</v>
      </c>
      <c r="C943" s="848" t="s">
        <v>12902</v>
      </c>
      <c r="D943" s="849" t="s">
        <v>12903</v>
      </c>
      <c r="E943" s="848" t="s">
        <v>9382</v>
      </c>
      <c r="F943" s="848" t="s">
        <v>12419</v>
      </c>
      <c r="G943" s="850" t="s">
        <v>10749</v>
      </c>
      <c r="H943" s="849" t="s">
        <v>10716</v>
      </c>
      <c r="I943" s="849"/>
      <c r="J943" s="851">
        <v>0.69</v>
      </c>
      <c r="K943" s="848" t="s">
        <v>6611</v>
      </c>
    </row>
    <row r="944" spans="2:11">
      <c r="B944" s="848">
        <v>941</v>
      </c>
      <c r="C944" s="848" t="s">
        <v>12902</v>
      </c>
      <c r="D944" s="849" t="s">
        <v>12903</v>
      </c>
      <c r="E944" s="848" t="s">
        <v>9382</v>
      </c>
      <c r="F944" s="848" t="s">
        <v>12422</v>
      </c>
      <c r="G944" s="850" t="s">
        <v>10749</v>
      </c>
      <c r="H944" s="849" t="s">
        <v>10716</v>
      </c>
      <c r="I944" s="849"/>
      <c r="J944" s="851">
        <v>1.1499999999999999</v>
      </c>
      <c r="K944" s="848" t="s">
        <v>6796</v>
      </c>
    </row>
    <row r="945" spans="2:11">
      <c r="B945" s="848">
        <v>942</v>
      </c>
      <c r="C945" s="848" t="s">
        <v>12902</v>
      </c>
      <c r="D945" s="849" t="s">
        <v>12903</v>
      </c>
      <c r="E945" s="848" t="s">
        <v>10754</v>
      </c>
      <c r="F945" s="848" t="s">
        <v>10823</v>
      </c>
      <c r="G945" s="850" t="s">
        <v>10872</v>
      </c>
      <c r="H945" s="849" t="s">
        <v>10716</v>
      </c>
      <c r="I945" s="849"/>
      <c r="J945" s="851">
        <v>142.62</v>
      </c>
      <c r="K945" s="848" t="s">
        <v>5876</v>
      </c>
    </row>
    <row r="946" spans="2:11">
      <c r="B946" s="848">
        <v>943</v>
      </c>
      <c r="C946" s="848" t="s">
        <v>12902</v>
      </c>
      <c r="D946" s="849" t="s">
        <v>12903</v>
      </c>
      <c r="E946" s="848" t="s">
        <v>10754</v>
      </c>
      <c r="F946" s="848" t="s">
        <v>12904</v>
      </c>
      <c r="G946" s="850" t="s">
        <v>10860</v>
      </c>
      <c r="H946" s="849" t="s">
        <v>10716</v>
      </c>
      <c r="I946" s="849"/>
      <c r="J946" s="851">
        <v>237.7</v>
      </c>
      <c r="K946" s="848" t="s">
        <v>6410</v>
      </c>
    </row>
    <row r="947" spans="2:11">
      <c r="B947" s="848">
        <v>944</v>
      </c>
      <c r="C947" s="848" t="s">
        <v>12902</v>
      </c>
      <c r="D947" s="849" t="s">
        <v>12903</v>
      </c>
      <c r="E947" s="848" t="s">
        <v>10754</v>
      </c>
      <c r="F947" s="848" t="s">
        <v>12905</v>
      </c>
      <c r="G947" s="850" t="s">
        <v>10830</v>
      </c>
      <c r="H947" s="849" t="s">
        <v>10716</v>
      </c>
      <c r="I947" s="849"/>
      <c r="J947" s="851">
        <v>47.54</v>
      </c>
      <c r="K947" s="848" t="s">
        <v>5877</v>
      </c>
    </row>
    <row r="948" spans="2:11">
      <c r="B948" s="848">
        <v>945</v>
      </c>
      <c r="C948" s="848" t="s">
        <v>12902</v>
      </c>
      <c r="D948" s="849" t="s">
        <v>12903</v>
      </c>
      <c r="E948" s="848" t="s">
        <v>10754</v>
      </c>
      <c r="F948" s="848" t="s">
        <v>12906</v>
      </c>
      <c r="G948" s="850" t="s">
        <v>10866</v>
      </c>
      <c r="H948" s="849" t="s">
        <v>10716</v>
      </c>
      <c r="I948" s="849"/>
      <c r="J948" s="851">
        <v>451.63</v>
      </c>
      <c r="K948" s="848" t="s">
        <v>6411</v>
      </c>
    </row>
    <row r="949" spans="2:11">
      <c r="B949" s="848">
        <v>946</v>
      </c>
      <c r="C949" s="848" t="s">
        <v>12902</v>
      </c>
      <c r="D949" s="849" t="s">
        <v>12903</v>
      </c>
      <c r="E949" s="848" t="s">
        <v>10754</v>
      </c>
      <c r="F949" s="848" t="s">
        <v>12907</v>
      </c>
      <c r="G949" s="850" t="s">
        <v>10862</v>
      </c>
      <c r="H949" s="849" t="s">
        <v>10716</v>
      </c>
      <c r="I949" s="849"/>
      <c r="J949" s="851">
        <v>190.16</v>
      </c>
      <c r="K949" s="848" t="s">
        <v>6412</v>
      </c>
    </row>
    <row r="950" spans="2:11">
      <c r="B950" s="848">
        <v>947</v>
      </c>
      <c r="C950" s="848" t="s">
        <v>12902</v>
      </c>
      <c r="D950" s="849" t="s">
        <v>12903</v>
      </c>
      <c r="E950" s="848" t="s">
        <v>10754</v>
      </c>
      <c r="F950" s="848" t="s">
        <v>12908</v>
      </c>
      <c r="G950" s="850" t="s">
        <v>10870</v>
      </c>
      <c r="H950" s="849" t="s">
        <v>10716</v>
      </c>
      <c r="I950" s="849"/>
      <c r="J950" s="851">
        <v>3.84</v>
      </c>
      <c r="K950" s="848" t="s">
        <v>12909</v>
      </c>
    </row>
    <row r="951" spans="2:11">
      <c r="B951" s="848">
        <v>948</v>
      </c>
      <c r="C951" s="848" t="s">
        <v>12902</v>
      </c>
      <c r="D951" s="849" t="s">
        <v>12903</v>
      </c>
      <c r="E951" s="848" t="s">
        <v>10754</v>
      </c>
      <c r="F951" s="848" t="s">
        <v>10819</v>
      </c>
      <c r="G951" s="850" t="s">
        <v>10889</v>
      </c>
      <c r="H951" s="849" t="s">
        <v>10716</v>
      </c>
      <c r="I951" s="849"/>
      <c r="J951" s="851">
        <v>9.18</v>
      </c>
      <c r="K951" s="848" t="s">
        <v>6848</v>
      </c>
    </row>
    <row r="952" spans="2:11">
      <c r="B952" s="848">
        <v>949</v>
      </c>
      <c r="C952" s="848" t="s">
        <v>12902</v>
      </c>
      <c r="D952" s="849" t="s">
        <v>12903</v>
      </c>
      <c r="E952" s="848" t="s">
        <v>10754</v>
      </c>
      <c r="F952" s="848" t="s">
        <v>11765</v>
      </c>
      <c r="G952" s="850" t="s">
        <v>10864</v>
      </c>
      <c r="H952" s="849" t="s">
        <v>10716</v>
      </c>
      <c r="I952" s="849"/>
      <c r="J952" s="851">
        <v>68.849999999999994</v>
      </c>
      <c r="K952" s="848" t="s">
        <v>6849</v>
      </c>
    </row>
    <row r="953" spans="2:11">
      <c r="B953" s="848">
        <v>950</v>
      </c>
      <c r="C953" s="848" t="s">
        <v>12902</v>
      </c>
      <c r="D953" s="849" t="s">
        <v>12903</v>
      </c>
      <c r="E953" s="848" t="s">
        <v>10754</v>
      </c>
      <c r="F953" s="848" t="s">
        <v>12910</v>
      </c>
      <c r="G953" s="850" t="s">
        <v>10875</v>
      </c>
      <c r="H953" s="849" t="s">
        <v>10716</v>
      </c>
      <c r="I953" s="849"/>
      <c r="J953" s="851">
        <v>80.33</v>
      </c>
      <c r="K953" s="848" t="s">
        <v>6850</v>
      </c>
    </row>
    <row r="954" spans="2:11">
      <c r="B954" s="848">
        <v>951</v>
      </c>
      <c r="C954" s="848" t="s">
        <v>12902</v>
      </c>
      <c r="D954" s="849" t="s">
        <v>12903</v>
      </c>
      <c r="E954" s="848" t="s">
        <v>10754</v>
      </c>
      <c r="F954" s="848" t="s">
        <v>12911</v>
      </c>
      <c r="G954" s="850" t="s">
        <v>10883</v>
      </c>
      <c r="H954" s="849" t="s">
        <v>10716</v>
      </c>
      <c r="I954" s="849"/>
      <c r="J954" s="851">
        <v>38.72</v>
      </c>
      <c r="K954" s="848" t="s">
        <v>6851</v>
      </c>
    </row>
    <row r="955" spans="2:11">
      <c r="B955" s="848">
        <v>952</v>
      </c>
      <c r="C955" s="848" t="s">
        <v>12902</v>
      </c>
      <c r="D955" s="849" t="s">
        <v>12903</v>
      </c>
      <c r="E955" s="848" t="s">
        <v>12009</v>
      </c>
      <c r="F955" s="848" t="s">
        <v>12255</v>
      </c>
      <c r="G955" s="850" t="s">
        <v>12912</v>
      </c>
      <c r="H955" s="849" t="s">
        <v>10716</v>
      </c>
      <c r="I955" s="849"/>
      <c r="J955" s="851">
        <v>6.89</v>
      </c>
      <c r="K955" s="848" t="s">
        <v>6611</v>
      </c>
    </row>
    <row r="956" spans="2:11">
      <c r="B956" s="848">
        <v>953</v>
      </c>
      <c r="C956" s="848" t="s">
        <v>12902</v>
      </c>
      <c r="D956" s="849" t="s">
        <v>12903</v>
      </c>
      <c r="E956" s="848" t="s">
        <v>12009</v>
      </c>
      <c r="F956" s="848" t="s">
        <v>12913</v>
      </c>
      <c r="G956" s="850" t="s">
        <v>12914</v>
      </c>
      <c r="H956" s="849" t="s">
        <v>10716</v>
      </c>
      <c r="I956" s="849"/>
      <c r="J956" s="851">
        <v>11.48</v>
      </c>
      <c r="K956" s="848" t="s">
        <v>6796</v>
      </c>
    </row>
    <row r="957" spans="2:11">
      <c r="B957" s="848">
        <v>954</v>
      </c>
      <c r="C957" s="848" t="s">
        <v>12902</v>
      </c>
      <c r="D957" s="849" t="s">
        <v>12903</v>
      </c>
      <c r="E957" s="848" t="s">
        <v>12009</v>
      </c>
      <c r="F957" s="848" t="s">
        <v>12915</v>
      </c>
      <c r="G957" s="850" t="s">
        <v>12916</v>
      </c>
      <c r="H957" s="849" t="s">
        <v>10716</v>
      </c>
      <c r="I957" s="849"/>
      <c r="J957" s="851">
        <v>122.1</v>
      </c>
      <c r="K957" s="848" t="s">
        <v>6741</v>
      </c>
    </row>
    <row r="958" spans="2:11">
      <c r="B958" s="848">
        <v>955</v>
      </c>
      <c r="C958" s="848" t="s">
        <v>12902</v>
      </c>
      <c r="D958" s="849" t="s">
        <v>12903</v>
      </c>
      <c r="E958" s="848" t="s">
        <v>9499</v>
      </c>
      <c r="F958" s="848" t="s">
        <v>12917</v>
      </c>
      <c r="G958" s="850" t="s">
        <v>12918</v>
      </c>
      <c r="H958" s="849" t="s">
        <v>10716</v>
      </c>
      <c r="I958" s="849"/>
      <c r="J958" s="851">
        <v>16.73</v>
      </c>
      <c r="K958" s="848" t="s">
        <v>6010</v>
      </c>
    </row>
    <row r="959" spans="2:11">
      <c r="B959" s="848">
        <v>956</v>
      </c>
      <c r="C959" s="848" t="s">
        <v>1276</v>
      </c>
      <c r="D959" s="849" t="s">
        <v>8003</v>
      </c>
      <c r="E959" s="848" t="s">
        <v>3344</v>
      </c>
      <c r="F959" s="848" t="s">
        <v>12919</v>
      </c>
      <c r="G959" s="850" t="s">
        <v>12697</v>
      </c>
      <c r="H959" s="849" t="s">
        <v>10716</v>
      </c>
      <c r="I959" s="849"/>
      <c r="J959" s="851">
        <v>3283</v>
      </c>
      <c r="K959" s="848" t="s">
        <v>11837</v>
      </c>
    </row>
    <row r="960" spans="2:11">
      <c r="B960" s="848">
        <v>957</v>
      </c>
      <c r="C960" s="848" t="s">
        <v>12920</v>
      </c>
      <c r="D960" s="849" t="s">
        <v>12921</v>
      </c>
      <c r="E960" s="848" t="s">
        <v>8582</v>
      </c>
      <c r="F960" s="848" t="s">
        <v>12922</v>
      </c>
      <c r="G960" s="850" t="s">
        <v>12923</v>
      </c>
      <c r="H960" s="849" t="s">
        <v>10716</v>
      </c>
      <c r="I960" s="849"/>
      <c r="J960" s="851">
        <v>513.91999999999996</v>
      </c>
      <c r="K960" s="848" t="s">
        <v>12924</v>
      </c>
    </row>
    <row r="961" spans="2:11">
      <c r="B961" s="848">
        <v>958</v>
      </c>
      <c r="C961" s="848" t="s">
        <v>12920</v>
      </c>
      <c r="D961" s="849" t="s">
        <v>12921</v>
      </c>
      <c r="E961" s="848" t="s">
        <v>8582</v>
      </c>
      <c r="F961" s="848" t="s">
        <v>12925</v>
      </c>
      <c r="G961" s="850" t="s">
        <v>12395</v>
      </c>
      <c r="H961" s="849" t="s">
        <v>10716</v>
      </c>
      <c r="I961" s="849"/>
      <c r="J961" s="851">
        <v>321.2</v>
      </c>
      <c r="K961" s="848" t="s">
        <v>12926</v>
      </c>
    </row>
    <row r="962" spans="2:11">
      <c r="B962" s="848">
        <v>959</v>
      </c>
      <c r="C962" s="848" t="s">
        <v>12920</v>
      </c>
      <c r="D962" s="849" t="s">
        <v>12921</v>
      </c>
      <c r="E962" s="848" t="s">
        <v>8582</v>
      </c>
      <c r="F962" s="848" t="s">
        <v>12927</v>
      </c>
      <c r="G962" s="850" t="s">
        <v>12432</v>
      </c>
      <c r="H962" s="849" t="s">
        <v>10716</v>
      </c>
      <c r="I962" s="849"/>
      <c r="J962" s="851">
        <v>513.91999999999996</v>
      </c>
      <c r="K962" s="848" t="s">
        <v>12928</v>
      </c>
    </row>
    <row r="963" spans="2:11">
      <c r="B963" s="848">
        <v>960</v>
      </c>
      <c r="C963" s="848" t="s">
        <v>12920</v>
      </c>
      <c r="D963" s="849" t="s">
        <v>12921</v>
      </c>
      <c r="E963" s="848" t="s">
        <v>8582</v>
      </c>
      <c r="F963" s="848" t="s">
        <v>12929</v>
      </c>
      <c r="G963" s="850" t="s">
        <v>12876</v>
      </c>
      <c r="H963" s="849" t="s">
        <v>10716</v>
      </c>
      <c r="I963" s="849"/>
      <c r="J963" s="851">
        <v>578.16</v>
      </c>
      <c r="K963" s="848" t="s">
        <v>12930</v>
      </c>
    </row>
    <row r="964" spans="2:11">
      <c r="B964" s="848">
        <v>961</v>
      </c>
      <c r="C964" s="848" t="s">
        <v>12920</v>
      </c>
      <c r="D964" s="849" t="s">
        <v>12921</v>
      </c>
      <c r="E964" s="848" t="s">
        <v>8582</v>
      </c>
      <c r="F964" s="848" t="s">
        <v>12931</v>
      </c>
      <c r="G964" s="850" t="s">
        <v>12400</v>
      </c>
      <c r="H964" s="849" t="s">
        <v>10716</v>
      </c>
      <c r="I964" s="849"/>
      <c r="J964" s="851">
        <v>578.16</v>
      </c>
      <c r="K964" s="848" t="s">
        <v>12932</v>
      </c>
    </row>
    <row r="965" spans="2:11">
      <c r="B965" s="848">
        <v>962</v>
      </c>
      <c r="C965" s="848" t="s">
        <v>12920</v>
      </c>
      <c r="D965" s="849" t="s">
        <v>12921</v>
      </c>
      <c r="E965" s="848" t="s">
        <v>8582</v>
      </c>
      <c r="F965" s="848" t="s">
        <v>12933</v>
      </c>
      <c r="G965" s="850" t="s">
        <v>12892</v>
      </c>
      <c r="H965" s="849" t="s">
        <v>10716</v>
      </c>
      <c r="I965" s="849"/>
      <c r="J965" s="851">
        <v>578.16</v>
      </c>
      <c r="K965" s="848" t="s">
        <v>12934</v>
      </c>
    </row>
    <row r="966" spans="2:11">
      <c r="B966" s="848">
        <v>963</v>
      </c>
      <c r="C966" s="848" t="s">
        <v>12920</v>
      </c>
      <c r="D966" s="849" t="s">
        <v>12921</v>
      </c>
      <c r="E966" s="848" t="s">
        <v>8582</v>
      </c>
      <c r="F966" s="848" t="s">
        <v>12935</v>
      </c>
      <c r="G966" s="850" t="s">
        <v>12936</v>
      </c>
      <c r="H966" s="849" t="s">
        <v>10716</v>
      </c>
      <c r="I966" s="849"/>
      <c r="J966" s="851">
        <v>1927.2</v>
      </c>
      <c r="K966" s="848" t="s">
        <v>12937</v>
      </c>
    </row>
    <row r="967" spans="2:11">
      <c r="B967" s="848">
        <v>964</v>
      </c>
      <c r="C967" s="848" t="s">
        <v>12920</v>
      </c>
      <c r="D967" s="849" t="s">
        <v>12921</v>
      </c>
      <c r="E967" s="848" t="s">
        <v>8582</v>
      </c>
      <c r="F967" s="848" t="s">
        <v>12938</v>
      </c>
      <c r="G967" s="850" t="s">
        <v>12885</v>
      </c>
      <c r="H967" s="849" t="s">
        <v>10716</v>
      </c>
      <c r="I967" s="849"/>
      <c r="J967" s="851">
        <v>770.88</v>
      </c>
      <c r="K967" s="848" t="s">
        <v>12939</v>
      </c>
    </row>
    <row r="968" spans="2:11" ht="25">
      <c r="B968" s="848">
        <v>965</v>
      </c>
      <c r="C968" s="848" t="s">
        <v>12940</v>
      </c>
      <c r="D968" s="849" t="s">
        <v>1025</v>
      </c>
      <c r="E968" s="848" t="s">
        <v>3344</v>
      </c>
      <c r="F968" s="848" t="s">
        <v>12941</v>
      </c>
      <c r="G968" s="850" t="s">
        <v>12700</v>
      </c>
      <c r="H968" s="849" t="s">
        <v>10716</v>
      </c>
      <c r="I968" s="849"/>
      <c r="J968" s="851">
        <v>150.03</v>
      </c>
      <c r="K968" s="848" t="s">
        <v>12942</v>
      </c>
    </row>
    <row r="969" spans="2:11">
      <c r="B969" s="848">
        <v>966</v>
      </c>
      <c r="C969" s="848" t="s">
        <v>12943</v>
      </c>
      <c r="D969" s="849" t="s">
        <v>12944</v>
      </c>
      <c r="E969" s="848" t="s">
        <v>3233</v>
      </c>
      <c r="F969" s="848" t="s">
        <v>12945</v>
      </c>
      <c r="G969" s="850" t="s">
        <v>12104</v>
      </c>
      <c r="H969" s="849" t="s">
        <v>10716</v>
      </c>
      <c r="I969" s="849"/>
      <c r="J969" s="851">
        <v>1069.6500000000001</v>
      </c>
      <c r="K969" s="848" t="s">
        <v>6840</v>
      </c>
    </row>
    <row r="970" spans="2:11">
      <c r="B970" s="848">
        <v>967</v>
      </c>
      <c r="C970" s="848" t="s">
        <v>12943</v>
      </c>
      <c r="D970" s="849" t="s">
        <v>12944</v>
      </c>
      <c r="E970" s="848" t="s">
        <v>3233</v>
      </c>
      <c r="F970" s="848" t="s">
        <v>10910</v>
      </c>
      <c r="G970" s="850" t="s">
        <v>12064</v>
      </c>
      <c r="H970" s="849" t="s">
        <v>10716</v>
      </c>
      <c r="I970" s="849"/>
      <c r="J970" s="851">
        <v>1545.05</v>
      </c>
      <c r="K970" s="848" t="s">
        <v>6650</v>
      </c>
    </row>
    <row r="971" spans="2:11">
      <c r="B971" s="848">
        <v>968</v>
      </c>
      <c r="C971" s="848" t="s">
        <v>12943</v>
      </c>
      <c r="D971" s="849" t="s">
        <v>12944</v>
      </c>
      <c r="E971" s="848" t="s">
        <v>3233</v>
      </c>
      <c r="F971" s="848" t="s">
        <v>10904</v>
      </c>
      <c r="G971" s="850" t="s">
        <v>12061</v>
      </c>
      <c r="H971" s="849" t="s">
        <v>10716</v>
      </c>
      <c r="I971" s="849"/>
      <c r="J971" s="851">
        <v>522.94000000000005</v>
      </c>
      <c r="K971" s="848" t="s">
        <v>6651</v>
      </c>
    </row>
    <row r="972" spans="2:11">
      <c r="B972" s="848">
        <v>969</v>
      </c>
      <c r="C972" s="848" t="s">
        <v>12943</v>
      </c>
      <c r="D972" s="849" t="s">
        <v>12944</v>
      </c>
      <c r="E972" s="848" t="s">
        <v>3233</v>
      </c>
      <c r="F972" s="848" t="s">
        <v>12946</v>
      </c>
      <c r="G972" s="850" t="s">
        <v>12052</v>
      </c>
      <c r="H972" s="849" t="s">
        <v>10716</v>
      </c>
      <c r="I972" s="849"/>
      <c r="J972" s="851">
        <v>1200.3259499999999</v>
      </c>
      <c r="K972" s="848" t="s">
        <v>6652</v>
      </c>
    </row>
    <row r="973" spans="2:11">
      <c r="B973" s="848">
        <v>970</v>
      </c>
      <c r="C973" s="848" t="s">
        <v>12947</v>
      </c>
      <c r="D973" s="849" t="s">
        <v>7010</v>
      </c>
      <c r="E973" s="848" t="s">
        <v>12948</v>
      </c>
      <c r="F973" s="848" t="s">
        <v>12949</v>
      </c>
      <c r="G973" s="850" t="s">
        <v>11473</v>
      </c>
      <c r="H973" s="849" t="s">
        <v>10716</v>
      </c>
      <c r="I973" s="849"/>
      <c r="J973" s="851">
        <v>4302.37</v>
      </c>
      <c r="K973" s="848" t="s">
        <v>12950</v>
      </c>
    </row>
    <row r="974" spans="2:11">
      <c r="B974" s="848">
        <v>971</v>
      </c>
      <c r="C974" s="848" t="s">
        <v>12943</v>
      </c>
      <c r="D974" s="849" t="s">
        <v>7010</v>
      </c>
      <c r="E974" s="848" t="s">
        <v>3233</v>
      </c>
      <c r="F974" s="848" t="s">
        <v>10908</v>
      </c>
      <c r="G974" s="850" t="s">
        <v>12951</v>
      </c>
      <c r="H974" s="849" t="s">
        <v>10716</v>
      </c>
      <c r="I974" s="849"/>
      <c r="J974" s="851">
        <v>974.57</v>
      </c>
      <c r="K974" s="848" t="s">
        <v>12952</v>
      </c>
    </row>
    <row r="975" spans="2:11">
      <c r="B975" s="848">
        <v>972</v>
      </c>
      <c r="C975" s="848" t="s">
        <v>12947</v>
      </c>
      <c r="D975" s="849" t="s">
        <v>7010</v>
      </c>
      <c r="E975" s="848" t="s">
        <v>3233</v>
      </c>
      <c r="F975" s="848" t="s">
        <v>12953</v>
      </c>
      <c r="G975" s="850" t="s">
        <v>12954</v>
      </c>
      <c r="H975" s="849" t="s">
        <v>10716</v>
      </c>
      <c r="I975" s="849"/>
      <c r="J975" s="851">
        <v>451.63</v>
      </c>
      <c r="K975" s="848" t="s">
        <v>6714</v>
      </c>
    </row>
    <row r="976" spans="2:11">
      <c r="B976" s="848">
        <v>973</v>
      </c>
      <c r="C976" s="848" t="s">
        <v>12947</v>
      </c>
      <c r="D976" s="849" t="s">
        <v>7010</v>
      </c>
      <c r="E976" s="848" t="s">
        <v>3233</v>
      </c>
      <c r="F976" s="848" t="s">
        <v>12955</v>
      </c>
      <c r="G976" s="850" t="s">
        <v>12413</v>
      </c>
      <c r="H976" s="849" t="s">
        <v>10716</v>
      </c>
      <c r="I976" s="849"/>
      <c r="J976" s="851">
        <v>2995.02</v>
      </c>
      <c r="K976" s="848" t="s">
        <v>6715</v>
      </c>
    </row>
    <row r="977" spans="2:11">
      <c r="B977" s="848">
        <v>974</v>
      </c>
      <c r="C977" s="848" t="s">
        <v>12947</v>
      </c>
      <c r="D977" s="849" t="s">
        <v>7010</v>
      </c>
      <c r="E977" s="848" t="s">
        <v>3233</v>
      </c>
      <c r="F977" s="848" t="s">
        <v>10906</v>
      </c>
      <c r="G977" s="850" t="s">
        <v>12410</v>
      </c>
      <c r="H977" s="849" t="s">
        <v>10716</v>
      </c>
      <c r="I977" s="849"/>
      <c r="J977" s="851">
        <v>1782.75</v>
      </c>
      <c r="K977" s="848" t="s">
        <v>12956</v>
      </c>
    </row>
    <row r="978" spans="2:11">
      <c r="B978" s="848">
        <v>975</v>
      </c>
      <c r="C978" s="848" t="s">
        <v>12943</v>
      </c>
      <c r="D978" s="849" t="s">
        <v>7010</v>
      </c>
      <c r="E978" s="848" t="s">
        <v>3233</v>
      </c>
      <c r="F978" s="848" t="s">
        <v>11773</v>
      </c>
      <c r="G978" s="850" t="s">
        <v>12908</v>
      </c>
      <c r="H978" s="849" t="s">
        <v>10716</v>
      </c>
      <c r="I978" s="849"/>
      <c r="J978" s="851">
        <v>3061.3459200000002</v>
      </c>
      <c r="K978" s="848" t="s">
        <v>6716</v>
      </c>
    </row>
    <row r="979" spans="2:11">
      <c r="B979" s="848">
        <v>976</v>
      </c>
      <c r="C979" s="848" t="s">
        <v>12947</v>
      </c>
      <c r="D979" s="849" t="s">
        <v>7010</v>
      </c>
      <c r="E979" s="848" t="s">
        <v>3233</v>
      </c>
      <c r="F979" s="848" t="s">
        <v>12957</v>
      </c>
      <c r="G979" s="850" t="s">
        <v>12807</v>
      </c>
      <c r="H979" s="849" t="s">
        <v>10716</v>
      </c>
      <c r="I979" s="849"/>
      <c r="J979" s="851">
        <v>3803.2</v>
      </c>
      <c r="K979" s="848" t="s">
        <v>12958</v>
      </c>
    </row>
    <row r="980" spans="2:11">
      <c r="B980" s="848">
        <v>977</v>
      </c>
      <c r="C980" s="848" t="s">
        <v>12947</v>
      </c>
      <c r="D980" s="849" t="s">
        <v>7010</v>
      </c>
      <c r="E980" s="848" t="s">
        <v>3233</v>
      </c>
      <c r="F980" s="848" t="s">
        <v>10744</v>
      </c>
      <c r="G980" s="850" t="s">
        <v>12959</v>
      </c>
      <c r="H980" s="849" t="s">
        <v>10716</v>
      </c>
      <c r="I980" s="849"/>
      <c r="J980" s="851">
        <v>5894.96</v>
      </c>
      <c r="K980" s="848" t="s">
        <v>12960</v>
      </c>
    </row>
    <row r="981" spans="2:11">
      <c r="B981" s="848">
        <v>978</v>
      </c>
      <c r="C981" s="848" t="s">
        <v>12947</v>
      </c>
      <c r="D981" s="849" t="s">
        <v>7010</v>
      </c>
      <c r="E981" s="848" t="s">
        <v>3233</v>
      </c>
      <c r="F981" s="848" t="s">
        <v>11723</v>
      </c>
      <c r="G981" s="850" t="s">
        <v>12805</v>
      </c>
      <c r="H981" s="849" t="s">
        <v>10716</v>
      </c>
      <c r="I981" s="849"/>
      <c r="J981" s="851">
        <v>2186.84</v>
      </c>
      <c r="K981" s="848" t="s">
        <v>12961</v>
      </c>
    </row>
    <row r="982" spans="2:11">
      <c r="B982" s="848">
        <v>979</v>
      </c>
      <c r="C982" s="848" t="s">
        <v>12947</v>
      </c>
      <c r="D982" s="849" t="s">
        <v>7010</v>
      </c>
      <c r="E982" s="848" t="s">
        <v>3233</v>
      </c>
      <c r="F982" s="848" t="s">
        <v>11719</v>
      </c>
      <c r="G982" s="850" t="s">
        <v>12803</v>
      </c>
      <c r="H982" s="849" t="s">
        <v>10716</v>
      </c>
      <c r="I982" s="849"/>
      <c r="J982" s="851">
        <v>380.32</v>
      </c>
      <c r="K982" s="848" t="s">
        <v>12962</v>
      </c>
    </row>
    <row r="983" spans="2:11">
      <c r="B983" s="848">
        <v>980</v>
      </c>
      <c r="C983" s="848" t="s">
        <v>12947</v>
      </c>
      <c r="D983" s="849" t="s">
        <v>7010</v>
      </c>
      <c r="E983" s="848" t="s">
        <v>3233</v>
      </c>
      <c r="F983" s="848" t="s">
        <v>12963</v>
      </c>
      <c r="G983" s="850" t="s">
        <v>12717</v>
      </c>
      <c r="H983" s="849" t="s">
        <v>10716</v>
      </c>
      <c r="I983" s="849"/>
      <c r="J983" s="851">
        <v>760.64</v>
      </c>
      <c r="K983" s="848" t="s">
        <v>6717</v>
      </c>
    </row>
    <row r="984" spans="2:11">
      <c r="B984" s="848">
        <v>981</v>
      </c>
      <c r="C984" s="848" t="s">
        <v>12947</v>
      </c>
      <c r="D984" s="849" t="s">
        <v>7010</v>
      </c>
      <c r="E984" s="848" t="s">
        <v>3233</v>
      </c>
      <c r="F984" s="848" t="s">
        <v>12964</v>
      </c>
      <c r="G984" s="850" t="s">
        <v>12437</v>
      </c>
      <c r="H984" s="849" t="s">
        <v>10716</v>
      </c>
      <c r="I984" s="849"/>
      <c r="J984" s="851">
        <v>1949.14</v>
      </c>
      <c r="K984" s="848" t="s">
        <v>12965</v>
      </c>
    </row>
    <row r="985" spans="2:11">
      <c r="B985" s="848">
        <v>982</v>
      </c>
      <c r="C985" s="848" t="s">
        <v>12947</v>
      </c>
      <c r="D985" s="849" t="s">
        <v>7010</v>
      </c>
      <c r="E985" s="848" t="s">
        <v>3233</v>
      </c>
      <c r="F985" s="848" t="s">
        <v>12966</v>
      </c>
      <c r="G985" s="850" t="s">
        <v>12473</v>
      </c>
      <c r="H985" s="849" t="s">
        <v>10716</v>
      </c>
      <c r="I985" s="849"/>
      <c r="J985" s="851">
        <v>4682.6899999999996</v>
      </c>
      <c r="K985" s="848" t="s">
        <v>12967</v>
      </c>
    </row>
    <row r="986" spans="2:11">
      <c r="B986" s="848">
        <v>983</v>
      </c>
      <c r="C986" s="848" t="s">
        <v>12947</v>
      </c>
      <c r="D986" s="849" t="s">
        <v>7010</v>
      </c>
      <c r="E986" s="848" t="s">
        <v>3233</v>
      </c>
      <c r="F986" s="848" t="s">
        <v>12968</v>
      </c>
      <c r="G986" s="850" t="s">
        <v>12310</v>
      </c>
      <c r="H986" s="849" t="s">
        <v>10716</v>
      </c>
      <c r="I986" s="849"/>
      <c r="J986" s="851">
        <v>261.47000000000003</v>
      </c>
      <c r="K986" s="848" t="s">
        <v>6718</v>
      </c>
    </row>
    <row r="987" spans="2:11">
      <c r="B987" s="848">
        <v>984</v>
      </c>
      <c r="C987" s="848" t="s">
        <v>12947</v>
      </c>
      <c r="D987" s="849" t="s">
        <v>7010</v>
      </c>
      <c r="E987" s="848" t="s">
        <v>3233</v>
      </c>
      <c r="F987" s="848" t="s">
        <v>12969</v>
      </c>
      <c r="G987" s="850" t="s">
        <v>12308</v>
      </c>
      <c r="H987" s="849" t="s">
        <v>10716</v>
      </c>
      <c r="I987" s="849"/>
      <c r="J987" s="851">
        <v>1022.11</v>
      </c>
      <c r="K987" s="848" t="s">
        <v>6719</v>
      </c>
    </row>
    <row r="988" spans="2:11">
      <c r="B988" s="848">
        <v>985</v>
      </c>
      <c r="C988" s="848" t="s">
        <v>12943</v>
      </c>
      <c r="D988" s="849" t="s">
        <v>7010</v>
      </c>
      <c r="E988" s="848" t="s">
        <v>3233</v>
      </c>
      <c r="F988" s="848" t="s">
        <v>12970</v>
      </c>
      <c r="G988" s="850" t="s">
        <v>12299</v>
      </c>
      <c r="H988" s="849" t="s">
        <v>10716</v>
      </c>
      <c r="I988" s="849"/>
      <c r="J988" s="851">
        <v>2391.6765000000005</v>
      </c>
      <c r="K988" s="848" t="s">
        <v>6842</v>
      </c>
    </row>
    <row r="989" spans="2:11">
      <c r="B989" s="848">
        <v>986</v>
      </c>
      <c r="C989" s="848" t="s">
        <v>12943</v>
      </c>
      <c r="D989" s="849" t="s">
        <v>7010</v>
      </c>
      <c r="E989" s="848" t="s">
        <v>3233</v>
      </c>
      <c r="F989" s="848" t="s">
        <v>12971</v>
      </c>
      <c r="G989" s="850" t="s">
        <v>12296</v>
      </c>
      <c r="H989" s="849" t="s">
        <v>10716</v>
      </c>
      <c r="I989" s="849"/>
      <c r="J989" s="851">
        <v>2248.1759099999999</v>
      </c>
      <c r="K989" s="848" t="s">
        <v>6843</v>
      </c>
    </row>
    <row r="990" spans="2:11">
      <c r="B990" s="848">
        <v>987</v>
      </c>
      <c r="C990" s="848" t="s">
        <v>12947</v>
      </c>
      <c r="D990" s="849" t="s">
        <v>7010</v>
      </c>
      <c r="E990" s="848" t="s">
        <v>3233</v>
      </c>
      <c r="F990" s="848" t="s">
        <v>12972</v>
      </c>
      <c r="G990" s="850" t="s">
        <v>12267</v>
      </c>
      <c r="H990" s="849" t="s">
        <v>10716</v>
      </c>
      <c r="I990" s="849"/>
      <c r="J990" s="851">
        <v>238.68</v>
      </c>
      <c r="K990" s="848" t="s">
        <v>12973</v>
      </c>
    </row>
    <row r="991" spans="2:11">
      <c r="B991" s="848">
        <v>988</v>
      </c>
      <c r="C991" s="848" t="s">
        <v>12947</v>
      </c>
      <c r="D991" s="849" t="s">
        <v>7010</v>
      </c>
      <c r="E991" s="848" t="s">
        <v>3233</v>
      </c>
      <c r="F991" s="848" t="s">
        <v>12974</v>
      </c>
      <c r="G991" s="850" t="s">
        <v>12235</v>
      </c>
      <c r="H991" s="849" t="s">
        <v>10716</v>
      </c>
      <c r="I991" s="849"/>
      <c r="J991" s="851">
        <v>135.405</v>
      </c>
      <c r="K991" s="848" t="s">
        <v>12975</v>
      </c>
    </row>
    <row r="992" spans="2:11">
      <c r="B992" s="848">
        <v>989</v>
      </c>
      <c r="C992" s="848" t="s">
        <v>12976</v>
      </c>
      <c r="D992" s="849" t="s">
        <v>281</v>
      </c>
      <c r="E992" s="848" t="s">
        <v>3233</v>
      </c>
      <c r="F992" s="848" t="s">
        <v>12192</v>
      </c>
      <c r="G992" s="850" t="s">
        <v>12977</v>
      </c>
      <c r="H992" s="849" t="s">
        <v>10716</v>
      </c>
      <c r="I992" s="849"/>
      <c r="J992" s="851">
        <v>254.16454999999999</v>
      </c>
      <c r="K992" s="848" t="s">
        <v>6092</v>
      </c>
    </row>
    <row r="993" spans="2:11">
      <c r="B993" s="848">
        <v>990</v>
      </c>
      <c r="C993" s="848" t="s">
        <v>12978</v>
      </c>
      <c r="D993" s="849" t="s">
        <v>5702</v>
      </c>
      <c r="E993" s="848" t="s">
        <v>11562</v>
      </c>
      <c r="F993" s="848" t="s">
        <v>12979</v>
      </c>
      <c r="G993" s="850" t="s">
        <v>12980</v>
      </c>
      <c r="H993" s="849" t="s">
        <v>10716</v>
      </c>
      <c r="I993" s="849"/>
      <c r="J993" s="851">
        <v>15.769404</v>
      </c>
      <c r="K993" s="848" t="s">
        <v>6045</v>
      </c>
    </row>
    <row r="994" spans="2:11">
      <c r="B994" s="848">
        <v>991</v>
      </c>
      <c r="C994" s="848" t="s">
        <v>12978</v>
      </c>
      <c r="D994" s="849" t="s">
        <v>5702</v>
      </c>
      <c r="E994" s="848" t="s">
        <v>11562</v>
      </c>
      <c r="F994" s="848" t="s">
        <v>12981</v>
      </c>
      <c r="G994" s="850" t="s">
        <v>12982</v>
      </c>
      <c r="H994" s="849" t="s">
        <v>10716</v>
      </c>
      <c r="I994" s="849"/>
      <c r="J994" s="851">
        <v>26</v>
      </c>
      <c r="K994" s="848" t="s">
        <v>6111</v>
      </c>
    </row>
    <row r="995" spans="2:11">
      <c r="B995" s="848">
        <v>992</v>
      </c>
      <c r="C995" s="848" t="s">
        <v>12978</v>
      </c>
      <c r="D995" s="849" t="s">
        <v>5702</v>
      </c>
      <c r="E995" s="848" t="s">
        <v>11562</v>
      </c>
      <c r="F995" s="848" t="s">
        <v>12983</v>
      </c>
      <c r="G995" s="850" t="s">
        <v>12984</v>
      </c>
      <c r="H995" s="849" t="s">
        <v>10716</v>
      </c>
      <c r="I995" s="849"/>
      <c r="J995" s="851">
        <v>53</v>
      </c>
      <c r="K995" s="848" t="s">
        <v>6115</v>
      </c>
    </row>
    <row r="996" spans="2:11">
      <c r="B996" s="848">
        <v>993</v>
      </c>
      <c r="C996" s="848" t="s">
        <v>12978</v>
      </c>
      <c r="D996" s="849" t="s">
        <v>5702</v>
      </c>
      <c r="E996" s="848" t="s">
        <v>11562</v>
      </c>
      <c r="F996" s="848" t="s">
        <v>12985</v>
      </c>
      <c r="G996" s="850" t="s">
        <v>12986</v>
      </c>
      <c r="H996" s="849" t="s">
        <v>10716</v>
      </c>
      <c r="I996" s="849"/>
      <c r="J996" s="851">
        <v>13.141169999999999</v>
      </c>
      <c r="K996" s="848" t="s">
        <v>6049</v>
      </c>
    </row>
    <row r="997" spans="2:11">
      <c r="B997" s="848">
        <v>994</v>
      </c>
      <c r="C997" s="848" t="s">
        <v>12987</v>
      </c>
      <c r="D997" s="849" t="s">
        <v>12988</v>
      </c>
      <c r="E997" s="848" t="s">
        <v>10778</v>
      </c>
      <c r="F997" s="848" t="s">
        <v>12113</v>
      </c>
      <c r="G997" s="850" t="s">
        <v>12217</v>
      </c>
      <c r="H997" s="849" t="s">
        <v>10716</v>
      </c>
      <c r="I997" s="849"/>
      <c r="J997" s="851">
        <v>71.31</v>
      </c>
      <c r="K997" s="848" t="s">
        <v>5870</v>
      </c>
    </row>
    <row r="998" spans="2:11">
      <c r="B998" s="848">
        <v>995</v>
      </c>
      <c r="C998" s="848" t="s">
        <v>12987</v>
      </c>
      <c r="D998" s="849" t="s">
        <v>12988</v>
      </c>
      <c r="E998" s="848" t="s">
        <v>10778</v>
      </c>
      <c r="F998" s="848" t="s">
        <v>12834</v>
      </c>
      <c r="G998" s="850" t="s">
        <v>12178</v>
      </c>
      <c r="H998" s="849" t="s">
        <v>10716</v>
      </c>
      <c r="I998" s="849"/>
      <c r="J998" s="851">
        <v>142.62</v>
      </c>
      <c r="K998" s="848" t="s">
        <v>5871</v>
      </c>
    </row>
    <row r="999" spans="2:11">
      <c r="B999" s="848">
        <v>996</v>
      </c>
      <c r="C999" s="848" t="s">
        <v>12987</v>
      </c>
      <c r="D999" s="849" t="s">
        <v>12988</v>
      </c>
      <c r="E999" s="848" t="s">
        <v>10778</v>
      </c>
      <c r="F999" s="848" t="s">
        <v>11890</v>
      </c>
      <c r="G999" s="850" t="s">
        <v>12176</v>
      </c>
      <c r="H999" s="849" t="s">
        <v>10716</v>
      </c>
      <c r="I999" s="849"/>
      <c r="J999" s="851">
        <v>15.34</v>
      </c>
      <c r="K999" s="848" t="s">
        <v>12989</v>
      </c>
    </row>
    <row r="1000" spans="2:11">
      <c r="B1000" s="848">
        <v>997</v>
      </c>
      <c r="C1000" s="848" t="s">
        <v>12990</v>
      </c>
      <c r="D1000" s="849" t="s">
        <v>12991</v>
      </c>
      <c r="E1000" s="848" t="s">
        <v>8582</v>
      </c>
      <c r="F1000" s="848" t="s">
        <v>12992</v>
      </c>
      <c r="G1000" s="850" t="s">
        <v>12002</v>
      </c>
      <c r="H1000" s="849" t="s">
        <v>10716</v>
      </c>
      <c r="I1000" s="849"/>
      <c r="J1000" s="851">
        <v>55.46</v>
      </c>
      <c r="K1000" s="848" t="s">
        <v>12993</v>
      </c>
    </row>
    <row r="1001" spans="2:11">
      <c r="B1001" s="848">
        <v>998</v>
      </c>
      <c r="C1001" s="848" t="s">
        <v>12990</v>
      </c>
      <c r="D1001" s="849" t="s">
        <v>12991</v>
      </c>
      <c r="E1001" s="848" t="s">
        <v>8582</v>
      </c>
      <c r="F1001" s="848" t="s">
        <v>12832</v>
      </c>
      <c r="G1001" s="850" t="s">
        <v>12100</v>
      </c>
      <c r="H1001" s="849" t="s">
        <v>10716</v>
      </c>
      <c r="I1001" s="849"/>
      <c r="J1001" s="851">
        <v>166.39</v>
      </c>
      <c r="K1001" s="848" t="s">
        <v>12993</v>
      </c>
    </row>
    <row r="1002" spans="2:11">
      <c r="B1002" s="848">
        <v>999</v>
      </c>
      <c r="C1002" s="848" t="s">
        <v>12990</v>
      </c>
      <c r="D1002" s="849" t="s">
        <v>12991</v>
      </c>
      <c r="E1002" s="848" t="s">
        <v>8582</v>
      </c>
      <c r="F1002" s="848" t="s">
        <v>12838</v>
      </c>
      <c r="G1002" s="850" t="s">
        <v>12001</v>
      </c>
      <c r="H1002" s="849" t="s">
        <v>10716</v>
      </c>
      <c r="I1002" s="849"/>
      <c r="J1002" s="851">
        <v>998.34</v>
      </c>
      <c r="K1002" s="848" t="s">
        <v>12994</v>
      </c>
    </row>
    <row r="1003" spans="2:11">
      <c r="B1003" s="848">
        <v>1000</v>
      </c>
      <c r="C1003" s="848" t="s">
        <v>12990</v>
      </c>
      <c r="D1003" s="849" t="s">
        <v>12991</v>
      </c>
      <c r="E1003" s="848" t="s">
        <v>8582</v>
      </c>
      <c r="F1003" s="848" t="s">
        <v>12995</v>
      </c>
      <c r="G1003" s="850" t="s">
        <v>12142</v>
      </c>
      <c r="H1003" s="849" t="s">
        <v>10716</v>
      </c>
      <c r="I1003" s="849"/>
      <c r="J1003" s="851">
        <v>332.75</v>
      </c>
      <c r="K1003" s="848" t="s">
        <v>12994</v>
      </c>
    </row>
    <row r="1004" spans="2:11">
      <c r="B1004" s="848">
        <v>1001</v>
      </c>
      <c r="C1004" s="848" t="s">
        <v>12990</v>
      </c>
      <c r="D1004" s="849" t="s">
        <v>12991</v>
      </c>
      <c r="E1004" s="848" t="s">
        <v>8582</v>
      </c>
      <c r="F1004" s="848" t="s">
        <v>12841</v>
      </c>
      <c r="G1004" s="850" t="s">
        <v>12076</v>
      </c>
      <c r="H1004" s="849" t="s">
        <v>10716</v>
      </c>
      <c r="I1004" s="849"/>
      <c r="J1004" s="851">
        <v>1758.98</v>
      </c>
      <c r="K1004" s="848" t="s">
        <v>12996</v>
      </c>
    </row>
    <row r="1005" spans="2:11">
      <c r="B1005" s="848">
        <v>1002</v>
      </c>
      <c r="C1005" s="848" t="s">
        <v>12990</v>
      </c>
      <c r="D1005" s="849" t="s">
        <v>12991</v>
      </c>
      <c r="E1005" s="848" t="s">
        <v>8582</v>
      </c>
      <c r="F1005" s="848" t="s">
        <v>12997</v>
      </c>
      <c r="G1005" s="850" t="s">
        <v>11712</v>
      </c>
      <c r="H1005" s="849" t="s">
        <v>10716</v>
      </c>
      <c r="I1005" s="849"/>
      <c r="J1005" s="851">
        <v>1433.98</v>
      </c>
      <c r="K1005" s="848" t="s">
        <v>12998</v>
      </c>
    </row>
    <row r="1006" spans="2:11">
      <c r="B1006" s="848">
        <v>1003</v>
      </c>
      <c r="C1006" s="848" t="s">
        <v>12990</v>
      </c>
      <c r="D1006" s="849" t="s">
        <v>12991</v>
      </c>
      <c r="E1006" s="848" t="s">
        <v>8582</v>
      </c>
      <c r="F1006" s="848" t="s">
        <v>12840</v>
      </c>
      <c r="G1006" s="850" t="s">
        <v>12406</v>
      </c>
      <c r="H1006" s="849" t="s">
        <v>10716</v>
      </c>
      <c r="I1006" s="849"/>
      <c r="J1006" s="851">
        <v>4302.37</v>
      </c>
      <c r="K1006" s="848" t="s">
        <v>12998</v>
      </c>
    </row>
    <row r="1007" spans="2:11">
      <c r="B1007" s="848">
        <v>1004</v>
      </c>
      <c r="C1007" s="848" t="s">
        <v>12990</v>
      </c>
      <c r="D1007" s="849" t="s">
        <v>12991</v>
      </c>
      <c r="E1007" s="848" t="s">
        <v>8582</v>
      </c>
      <c r="F1007" s="848" t="s">
        <v>12831</v>
      </c>
      <c r="G1007" s="850" t="s">
        <v>12007</v>
      </c>
      <c r="H1007" s="849" t="s">
        <v>10716</v>
      </c>
      <c r="I1007" s="849"/>
      <c r="J1007" s="851">
        <v>110.71</v>
      </c>
      <c r="K1007" s="848" t="s">
        <v>12999</v>
      </c>
    </row>
    <row r="1008" spans="2:11">
      <c r="B1008" s="848">
        <v>1005</v>
      </c>
      <c r="C1008" s="848" t="s">
        <v>13000</v>
      </c>
      <c r="D1008" s="849" t="s">
        <v>12991</v>
      </c>
      <c r="E1008" s="848" t="s">
        <v>8582</v>
      </c>
      <c r="F1008" s="848" t="s">
        <v>12836</v>
      </c>
      <c r="G1008" s="850" t="s">
        <v>12095</v>
      </c>
      <c r="H1008" s="849" t="s">
        <v>10716</v>
      </c>
      <c r="I1008" s="849"/>
      <c r="J1008" s="851">
        <v>4.59</v>
      </c>
      <c r="K1008" s="848" t="s">
        <v>6737</v>
      </c>
    </row>
    <row r="1009" spans="2:11">
      <c r="B1009" s="848">
        <v>1006</v>
      </c>
      <c r="C1009" s="848" t="s">
        <v>12990</v>
      </c>
      <c r="D1009" s="849" t="s">
        <v>12991</v>
      </c>
      <c r="E1009" s="848" t="s">
        <v>12205</v>
      </c>
      <c r="F1009" s="848" t="s">
        <v>13001</v>
      </c>
      <c r="G1009" s="850" t="s">
        <v>13002</v>
      </c>
      <c r="H1009" s="849" t="s">
        <v>10716</v>
      </c>
      <c r="I1009" s="849"/>
      <c r="J1009" s="851">
        <v>586.27</v>
      </c>
      <c r="K1009" s="848" t="s">
        <v>12996</v>
      </c>
    </row>
    <row r="1010" spans="2:11">
      <c r="B1010" s="848">
        <v>1007</v>
      </c>
      <c r="C1010" s="848" t="s">
        <v>13000</v>
      </c>
      <c r="D1010" s="849" t="s">
        <v>12991</v>
      </c>
      <c r="E1010" s="848" t="s">
        <v>10736</v>
      </c>
      <c r="F1010" s="848" t="s">
        <v>12110</v>
      </c>
      <c r="G1010" s="850" t="s">
        <v>13003</v>
      </c>
      <c r="H1010" s="849" t="s">
        <v>10716</v>
      </c>
      <c r="I1010" s="849"/>
      <c r="J1010" s="851">
        <v>11.6</v>
      </c>
      <c r="K1010" s="848" t="s">
        <v>6821</v>
      </c>
    </row>
    <row r="1011" spans="2:11" ht="25">
      <c r="B1011" s="848">
        <v>1008</v>
      </c>
      <c r="C1011" s="848" t="s">
        <v>1402</v>
      </c>
      <c r="D1011" s="849" t="s">
        <v>13004</v>
      </c>
      <c r="E1011" s="848" t="s">
        <v>8582</v>
      </c>
      <c r="F1011" s="848" t="s">
        <v>11303</v>
      </c>
      <c r="G1011" s="850" t="s">
        <v>12946</v>
      </c>
      <c r="H1011" s="849" t="s">
        <v>10716</v>
      </c>
      <c r="I1011" s="849"/>
      <c r="J1011" s="851">
        <v>88.82</v>
      </c>
      <c r="K1011" s="848" t="s">
        <v>10856</v>
      </c>
    </row>
    <row r="1012" spans="2:11" ht="25">
      <c r="B1012" s="848">
        <v>1009</v>
      </c>
      <c r="C1012" s="848" t="s">
        <v>1402</v>
      </c>
      <c r="D1012" s="849" t="s">
        <v>13004</v>
      </c>
      <c r="E1012" s="848" t="s">
        <v>3393</v>
      </c>
      <c r="F1012" s="848" t="s">
        <v>12043</v>
      </c>
      <c r="G1012" s="850" t="s">
        <v>13005</v>
      </c>
      <c r="H1012" s="849" t="s">
        <v>10716</v>
      </c>
      <c r="I1012" s="849"/>
      <c r="J1012" s="851">
        <v>613.38</v>
      </c>
      <c r="K1012" s="848" t="s">
        <v>10856</v>
      </c>
    </row>
    <row r="1013" spans="2:11">
      <c r="B1013" s="848">
        <v>1010</v>
      </c>
      <c r="C1013" s="848" t="s">
        <v>13006</v>
      </c>
      <c r="D1013" s="849" t="s">
        <v>329</v>
      </c>
      <c r="E1013" s="848" t="s">
        <v>13007</v>
      </c>
      <c r="F1013" s="848" t="s">
        <v>12240</v>
      </c>
      <c r="G1013" s="850" t="s">
        <v>13008</v>
      </c>
      <c r="H1013" s="849" t="s">
        <v>10716</v>
      </c>
      <c r="I1013" s="849"/>
      <c r="J1013" s="851">
        <v>56</v>
      </c>
      <c r="K1013" s="848" t="s">
        <v>6504</v>
      </c>
    </row>
    <row r="1014" spans="2:11">
      <c r="B1014" s="848">
        <v>1011</v>
      </c>
      <c r="C1014" s="848" t="s">
        <v>13006</v>
      </c>
      <c r="D1014" s="849" t="s">
        <v>329</v>
      </c>
      <c r="E1014" s="848" t="s">
        <v>13007</v>
      </c>
      <c r="F1014" s="848" t="s">
        <v>11893</v>
      </c>
      <c r="G1014" s="850" t="s">
        <v>13009</v>
      </c>
      <c r="H1014" s="849" t="s">
        <v>10716</v>
      </c>
      <c r="I1014" s="849"/>
      <c r="J1014" s="851">
        <v>7</v>
      </c>
      <c r="K1014" s="848" t="s">
        <v>13010</v>
      </c>
    </row>
    <row r="1015" spans="2:11">
      <c r="B1015" s="848">
        <v>1012</v>
      </c>
      <c r="C1015" s="848" t="s">
        <v>13011</v>
      </c>
      <c r="D1015" s="849" t="s">
        <v>13012</v>
      </c>
      <c r="E1015" s="848" t="s">
        <v>8582</v>
      </c>
      <c r="F1015" s="848" t="s">
        <v>13013</v>
      </c>
      <c r="G1015" s="850" t="s">
        <v>11951</v>
      </c>
      <c r="H1015" s="849" t="s">
        <v>10716</v>
      </c>
      <c r="I1015" s="849"/>
      <c r="J1015" s="851">
        <v>265.7</v>
      </c>
      <c r="K1015" s="848" t="s">
        <v>13014</v>
      </c>
    </row>
    <row r="1016" spans="2:11">
      <c r="B1016" s="848">
        <v>1013</v>
      </c>
      <c r="C1016" s="848" t="s">
        <v>13015</v>
      </c>
      <c r="D1016" s="849" t="s">
        <v>13016</v>
      </c>
      <c r="E1016" s="848" t="s">
        <v>10926</v>
      </c>
      <c r="F1016" s="848" t="s">
        <v>13017</v>
      </c>
      <c r="G1016" s="850" t="s">
        <v>13018</v>
      </c>
      <c r="H1016" s="849" t="s">
        <v>10716</v>
      </c>
      <c r="I1016" s="849"/>
      <c r="J1016" s="851">
        <v>343.49</v>
      </c>
      <c r="K1016" s="848" t="s">
        <v>6510</v>
      </c>
    </row>
    <row r="1017" spans="2:11" ht="25">
      <c r="B1017" s="848">
        <v>1014</v>
      </c>
      <c r="C1017" s="848" t="s">
        <v>13019</v>
      </c>
      <c r="D1017" s="849" t="s">
        <v>13020</v>
      </c>
      <c r="E1017" s="848" t="s">
        <v>13021</v>
      </c>
      <c r="F1017" s="848" t="s">
        <v>13022</v>
      </c>
      <c r="G1017" s="850" t="s">
        <v>12576</v>
      </c>
      <c r="H1017" s="849" t="s">
        <v>10716</v>
      </c>
      <c r="I1017" s="849"/>
      <c r="J1017" s="851">
        <v>27.54</v>
      </c>
      <c r="K1017" s="848" t="s">
        <v>6256</v>
      </c>
    </row>
    <row r="1018" spans="2:11" ht="25">
      <c r="B1018" s="848">
        <v>1015</v>
      </c>
      <c r="C1018" s="848" t="s">
        <v>13019</v>
      </c>
      <c r="D1018" s="849" t="s">
        <v>13020</v>
      </c>
      <c r="E1018" s="848" t="s">
        <v>13021</v>
      </c>
      <c r="F1018" s="848" t="s">
        <v>13023</v>
      </c>
      <c r="G1018" s="850" t="s">
        <v>10749</v>
      </c>
      <c r="H1018" s="849" t="s">
        <v>10716</v>
      </c>
      <c r="I1018" s="849"/>
      <c r="J1018" s="851">
        <v>18.36</v>
      </c>
      <c r="K1018" s="848" t="s">
        <v>6257</v>
      </c>
    </row>
    <row r="1019" spans="2:11">
      <c r="B1019" s="848">
        <v>1016</v>
      </c>
      <c r="C1019" s="848" t="s">
        <v>13024</v>
      </c>
      <c r="D1019" s="849" t="s">
        <v>13025</v>
      </c>
      <c r="E1019" s="848" t="s">
        <v>9437</v>
      </c>
      <c r="F1019" s="848" t="s">
        <v>13026</v>
      </c>
      <c r="G1019" s="850" t="s">
        <v>11814</v>
      </c>
      <c r="H1019" s="849" t="s">
        <v>10716</v>
      </c>
      <c r="I1019" s="849"/>
      <c r="J1019" s="851">
        <v>121</v>
      </c>
      <c r="K1019" s="848" t="s">
        <v>6794</v>
      </c>
    </row>
    <row r="1020" spans="2:11">
      <c r="B1020" s="848">
        <v>1017</v>
      </c>
      <c r="C1020" s="848" t="s">
        <v>13027</v>
      </c>
      <c r="D1020" s="849" t="s">
        <v>13028</v>
      </c>
      <c r="E1020" s="848" t="s">
        <v>9441</v>
      </c>
      <c r="F1020" s="848" t="s">
        <v>11785</v>
      </c>
      <c r="G1020" s="850" t="s">
        <v>12550</v>
      </c>
      <c r="H1020" s="849" t="s">
        <v>10716</v>
      </c>
      <c r="I1020" s="849"/>
      <c r="J1020" s="851">
        <v>118.85</v>
      </c>
      <c r="K1020" s="848" t="s">
        <v>5937</v>
      </c>
    </row>
    <row r="1021" spans="2:11" ht="25">
      <c r="B1021" s="848">
        <v>1018</v>
      </c>
      <c r="C1021" s="848" t="s">
        <v>13029</v>
      </c>
      <c r="D1021" s="849" t="s">
        <v>13030</v>
      </c>
      <c r="E1021" s="848" t="s">
        <v>9469</v>
      </c>
      <c r="F1021" s="848" t="s">
        <v>11783</v>
      </c>
      <c r="G1021" s="850" t="s">
        <v>13031</v>
      </c>
      <c r="H1021" s="849" t="s">
        <v>10716</v>
      </c>
      <c r="I1021" s="849"/>
      <c r="J1021" s="851">
        <v>237.7</v>
      </c>
      <c r="K1021" s="848" t="s">
        <v>13032</v>
      </c>
    </row>
    <row r="1022" spans="2:11">
      <c r="B1022" s="848">
        <v>1019</v>
      </c>
      <c r="C1022" s="848" t="s">
        <v>13033</v>
      </c>
      <c r="D1022" s="849" t="s">
        <v>13034</v>
      </c>
      <c r="E1022" s="848" t="s">
        <v>8582</v>
      </c>
      <c r="F1022" s="848" t="s">
        <v>11810</v>
      </c>
      <c r="G1022" s="850" t="s">
        <v>11713</v>
      </c>
      <c r="H1022" s="849" t="s">
        <v>10716</v>
      </c>
      <c r="I1022" s="849"/>
      <c r="J1022" s="851">
        <v>501</v>
      </c>
      <c r="K1022" s="848" t="s">
        <v>13035</v>
      </c>
    </row>
    <row r="1023" spans="2:11">
      <c r="B1023" s="848">
        <v>1020</v>
      </c>
      <c r="C1023" s="848" t="s">
        <v>13033</v>
      </c>
      <c r="D1023" s="849" t="s">
        <v>13034</v>
      </c>
      <c r="E1023" s="848" t="s">
        <v>8582</v>
      </c>
      <c r="F1023" s="848" t="s">
        <v>11787</v>
      </c>
      <c r="G1023" s="850" t="s">
        <v>11926</v>
      </c>
      <c r="H1023" s="849" t="s">
        <v>10716</v>
      </c>
      <c r="I1023" s="849"/>
      <c r="J1023" s="851">
        <v>761</v>
      </c>
      <c r="K1023" s="848" t="s">
        <v>13036</v>
      </c>
    </row>
    <row r="1024" spans="2:11">
      <c r="B1024" s="848">
        <v>1021</v>
      </c>
      <c r="C1024" s="848" t="s">
        <v>13033</v>
      </c>
      <c r="D1024" s="849" t="s">
        <v>13034</v>
      </c>
      <c r="E1024" s="848" t="s">
        <v>8582</v>
      </c>
      <c r="F1024" s="848" t="s">
        <v>11903</v>
      </c>
      <c r="G1024" s="850" t="s">
        <v>11546</v>
      </c>
      <c r="H1024" s="849" t="s">
        <v>10716</v>
      </c>
      <c r="I1024" s="849"/>
      <c r="J1024" s="851">
        <v>300</v>
      </c>
      <c r="K1024" s="848" t="s">
        <v>13036</v>
      </c>
    </row>
    <row r="1025" spans="2:11">
      <c r="B1025" s="848">
        <v>1022</v>
      </c>
      <c r="C1025" s="848" t="s">
        <v>13033</v>
      </c>
      <c r="D1025" s="849" t="s">
        <v>13034</v>
      </c>
      <c r="E1025" s="848" t="s">
        <v>8582</v>
      </c>
      <c r="F1025" s="848" t="s">
        <v>11922</v>
      </c>
      <c r="G1025" s="850" t="s">
        <v>11706</v>
      </c>
      <c r="H1025" s="849" t="s">
        <v>10716</v>
      </c>
      <c r="I1025" s="849"/>
      <c r="J1025" s="851">
        <v>228</v>
      </c>
      <c r="K1025" s="848" t="s">
        <v>13037</v>
      </c>
    </row>
    <row r="1026" spans="2:11">
      <c r="B1026" s="848">
        <v>1023</v>
      </c>
      <c r="C1026" s="848" t="s">
        <v>13033</v>
      </c>
      <c r="D1026" s="849" t="s">
        <v>13034</v>
      </c>
      <c r="E1026" s="848" t="s">
        <v>8582</v>
      </c>
      <c r="F1026" s="848" t="s">
        <v>12414</v>
      </c>
      <c r="G1026" s="850" t="s">
        <v>11329</v>
      </c>
      <c r="H1026" s="849" t="s">
        <v>10716</v>
      </c>
      <c r="I1026" s="849"/>
      <c r="J1026" s="851">
        <v>595</v>
      </c>
      <c r="K1026" s="848" t="s">
        <v>13037</v>
      </c>
    </row>
    <row r="1027" spans="2:11">
      <c r="B1027" s="848">
        <v>1024</v>
      </c>
      <c r="C1027" s="848" t="s">
        <v>13033</v>
      </c>
      <c r="D1027" s="849" t="s">
        <v>13034</v>
      </c>
      <c r="E1027" s="848" t="s">
        <v>8582</v>
      </c>
      <c r="F1027" s="848" t="s">
        <v>12258</v>
      </c>
      <c r="G1027" s="850" t="s">
        <v>11928</v>
      </c>
      <c r="H1027" s="849" t="s">
        <v>10716</v>
      </c>
      <c r="I1027" s="849"/>
      <c r="J1027" s="851">
        <v>904</v>
      </c>
      <c r="K1027" s="848" t="s">
        <v>13038</v>
      </c>
    </row>
    <row r="1028" spans="2:11">
      <c r="B1028" s="848">
        <v>1025</v>
      </c>
      <c r="C1028" s="848" t="s">
        <v>13033</v>
      </c>
      <c r="D1028" s="849" t="s">
        <v>13034</v>
      </c>
      <c r="E1028" s="848" t="s">
        <v>8582</v>
      </c>
      <c r="F1028" s="848" t="s">
        <v>11997</v>
      </c>
      <c r="G1028" s="850" t="s">
        <v>11408</v>
      </c>
      <c r="H1028" s="849" t="s">
        <v>10716</v>
      </c>
      <c r="I1028" s="849"/>
      <c r="J1028" s="851">
        <v>346</v>
      </c>
      <c r="K1028" s="848" t="s">
        <v>13038</v>
      </c>
    </row>
    <row r="1029" spans="2:11">
      <c r="B1029" s="848">
        <v>1026</v>
      </c>
      <c r="C1029" s="848" t="s">
        <v>13033</v>
      </c>
      <c r="D1029" s="849" t="s">
        <v>13034</v>
      </c>
      <c r="E1029" s="848" t="s">
        <v>8582</v>
      </c>
      <c r="F1029" s="848" t="s">
        <v>13039</v>
      </c>
      <c r="G1029" s="850" t="s">
        <v>11349</v>
      </c>
      <c r="H1029" s="849" t="s">
        <v>10716</v>
      </c>
      <c r="I1029" s="849"/>
      <c r="J1029" s="851">
        <v>476</v>
      </c>
      <c r="K1029" s="848" t="s">
        <v>13040</v>
      </c>
    </row>
    <row r="1030" spans="2:11">
      <c r="B1030" s="848">
        <v>1027</v>
      </c>
      <c r="C1030" s="848" t="s">
        <v>13033</v>
      </c>
      <c r="D1030" s="849" t="s">
        <v>13034</v>
      </c>
      <c r="E1030" s="848" t="s">
        <v>8582</v>
      </c>
      <c r="F1030" s="848" t="s">
        <v>11999</v>
      </c>
      <c r="G1030" s="850" t="s">
        <v>11544</v>
      </c>
      <c r="H1030" s="849" t="s">
        <v>10716</v>
      </c>
      <c r="I1030" s="849"/>
      <c r="J1030" s="851">
        <v>142</v>
      </c>
      <c r="K1030" s="848" t="s">
        <v>13040</v>
      </c>
    </row>
    <row r="1031" spans="2:11">
      <c r="B1031" s="848">
        <v>1028</v>
      </c>
      <c r="C1031" s="848" t="s">
        <v>13033</v>
      </c>
      <c r="D1031" s="849" t="s">
        <v>13034</v>
      </c>
      <c r="E1031" s="848" t="s">
        <v>8582</v>
      </c>
      <c r="F1031" s="848" t="s">
        <v>12411</v>
      </c>
      <c r="G1031" s="850" t="s">
        <v>11339</v>
      </c>
      <c r="H1031" s="849" t="s">
        <v>10716</v>
      </c>
      <c r="I1031" s="849"/>
      <c r="J1031" s="851">
        <v>286</v>
      </c>
      <c r="K1031" s="848" t="s">
        <v>13041</v>
      </c>
    </row>
    <row r="1032" spans="2:11">
      <c r="B1032" s="848">
        <v>1029</v>
      </c>
      <c r="C1032" s="848" t="s">
        <v>13033</v>
      </c>
      <c r="D1032" s="849" t="s">
        <v>13034</v>
      </c>
      <c r="E1032" s="848" t="s">
        <v>8582</v>
      </c>
      <c r="F1032" s="848" t="s">
        <v>11367</v>
      </c>
      <c r="G1032" s="850" t="s">
        <v>11417</v>
      </c>
      <c r="H1032" s="849" t="s">
        <v>10716</v>
      </c>
      <c r="I1032" s="849"/>
      <c r="J1032" s="851">
        <v>88</v>
      </c>
      <c r="K1032" s="848" t="s">
        <v>13041</v>
      </c>
    </row>
    <row r="1033" spans="2:11">
      <c r="B1033" s="848">
        <v>1030</v>
      </c>
      <c r="C1033" s="848" t="s">
        <v>13033</v>
      </c>
      <c r="D1033" s="849" t="s">
        <v>13034</v>
      </c>
      <c r="E1033" s="848" t="s">
        <v>8582</v>
      </c>
      <c r="F1033" s="848" t="s">
        <v>12951</v>
      </c>
      <c r="G1033" s="850" t="s">
        <v>11936</v>
      </c>
      <c r="H1033" s="849" t="s">
        <v>10716</v>
      </c>
      <c r="I1033" s="849"/>
      <c r="J1033" s="851">
        <v>16</v>
      </c>
      <c r="K1033" s="848" t="s">
        <v>13042</v>
      </c>
    </row>
    <row r="1034" spans="2:11">
      <c r="B1034" s="848">
        <v>1031</v>
      </c>
      <c r="C1034" s="848" t="s">
        <v>13033</v>
      </c>
      <c r="D1034" s="849" t="s">
        <v>13034</v>
      </c>
      <c r="E1034" s="848" t="s">
        <v>8582</v>
      </c>
      <c r="F1034" s="848" t="s">
        <v>11306</v>
      </c>
      <c r="G1034" s="850" t="s">
        <v>11931</v>
      </c>
      <c r="H1034" s="849" t="s">
        <v>10716</v>
      </c>
      <c r="I1034" s="849"/>
      <c r="J1034" s="851">
        <v>16</v>
      </c>
      <c r="K1034" s="848" t="s">
        <v>13043</v>
      </c>
    </row>
    <row r="1035" spans="2:11">
      <c r="B1035" s="848">
        <v>1032</v>
      </c>
      <c r="C1035" s="848" t="s">
        <v>13033</v>
      </c>
      <c r="D1035" s="849" t="s">
        <v>13034</v>
      </c>
      <c r="E1035" s="848" t="s">
        <v>8582</v>
      </c>
      <c r="F1035" s="848" t="s">
        <v>12954</v>
      </c>
      <c r="G1035" s="850" t="s">
        <v>11933</v>
      </c>
      <c r="H1035" s="849" t="s">
        <v>10716</v>
      </c>
      <c r="I1035" s="849"/>
      <c r="J1035" s="851">
        <v>13</v>
      </c>
      <c r="K1035" s="848" t="s">
        <v>13044</v>
      </c>
    </row>
    <row r="1036" spans="2:11">
      <c r="B1036" s="848">
        <v>1033</v>
      </c>
      <c r="C1036" s="848" t="s">
        <v>13033</v>
      </c>
      <c r="D1036" s="849" t="s">
        <v>13034</v>
      </c>
      <c r="E1036" s="848" t="s">
        <v>8582</v>
      </c>
      <c r="F1036" s="848" t="s">
        <v>12749</v>
      </c>
      <c r="G1036" s="850" t="s">
        <v>11938</v>
      </c>
      <c r="H1036" s="849" t="s">
        <v>10716</v>
      </c>
      <c r="I1036" s="849"/>
      <c r="J1036" s="851">
        <v>16</v>
      </c>
      <c r="K1036" s="848" t="s">
        <v>13045</v>
      </c>
    </row>
    <row r="1037" spans="2:11">
      <c r="B1037" s="848">
        <v>1034</v>
      </c>
      <c r="C1037" s="848" t="s">
        <v>13033</v>
      </c>
      <c r="D1037" s="849" t="s">
        <v>13034</v>
      </c>
      <c r="E1037" s="848" t="s">
        <v>8582</v>
      </c>
      <c r="F1037" s="848" t="s">
        <v>12751</v>
      </c>
      <c r="G1037" s="850" t="s">
        <v>11405</v>
      </c>
      <c r="H1037" s="849" t="s">
        <v>10716</v>
      </c>
      <c r="I1037" s="849"/>
      <c r="J1037" s="851">
        <v>16</v>
      </c>
      <c r="K1037" s="848" t="s">
        <v>13046</v>
      </c>
    </row>
    <row r="1038" spans="2:11">
      <c r="B1038" s="848">
        <v>1035</v>
      </c>
      <c r="C1038" s="848" t="s">
        <v>13033</v>
      </c>
      <c r="D1038" s="849" t="s">
        <v>13034</v>
      </c>
      <c r="E1038" s="848" t="s">
        <v>8582</v>
      </c>
      <c r="F1038" s="848" t="s">
        <v>11363</v>
      </c>
      <c r="G1038" s="850" t="s">
        <v>11411</v>
      </c>
      <c r="H1038" s="849" t="s">
        <v>10716</v>
      </c>
      <c r="I1038" s="849"/>
      <c r="J1038" s="851">
        <v>25</v>
      </c>
      <c r="K1038" s="848" t="s">
        <v>13047</v>
      </c>
    </row>
    <row r="1039" spans="2:11">
      <c r="B1039" s="848">
        <v>1036</v>
      </c>
      <c r="C1039" s="848" t="s">
        <v>13033</v>
      </c>
      <c r="D1039" s="849" t="s">
        <v>13034</v>
      </c>
      <c r="E1039" s="848" t="s">
        <v>8582</v>
      </c>
      <c r="F1039" s="848" t="s">
        <v>13048</v>
      </c>
      <c r="G1039" s="850" t="s">
        <v>11331</v>
      </c>
      <c r="H1039" s="849" t="s">
        <v>10716</v>
      </c>
      <c r="I1039" s="849"/>
      <c r="J1039" s="851">
        <v>72</v>
      </c>
      <c r="K1039" s="848" t="s">
        <v>13047</v>
      </c>
    </row>
    <row r="1040" spans="2:11">
      <c r="B1040" s="848">
        <v>1037</v>
      </c>
      <c r="C1040" s="848" t="s">
        <v>13033</v>
      </c>
      <c r="D1040" s="849" t="s">
        <v>13034</v>
      </c>
      <c r="E1040" s="848" t="s">
        <v>8582</v>
      </c>
      <c r="F1040" s="848" t="s">
        <v>11360</v>
      </c>
      <c r="G1040" s="850" t="s">
        <v>11320</v>
      </c>
      <c r="H1040" s="849" t="s">
        <v>10716</v>
      </c>
      <c r="I1040" s="849"/>
      <c r="J1040" s="851">
        <v>33</v>
      </c>
      <c r="K1040" s="848" t="s">
        <v>13049</v>
      </c>
    </row>
    <row r="1041" spans="2:11">
      <c r="B1041" s="848">
        <v>1038</v>
      </c>
      <c r="C1041" s="848" t="s">
        <v>13033</v>
      </c>
      <c r="D1041" s="849" t="s">
        <v>13034</v>
      </c>
      <c r="E1041" s="848" t="s">
        <v>8582</v>
      </c>
      <c r="F1041" s="848" t="s">
        <v>13050</v>
      </c>
      <c r="G1041" s="850" t="s">
        <v>11325</v>
      </c>
      <c r="H1041" s="849" t="s">
        <v>10716</v>
      </c>
      <c r="I1041" s="849"/>
      <c r="J1041" s="851">
        <v>96</v>
      </c>
      <c r="K1041" s="848" t="s">
        <v>13049</v>
      </c>
    </row>
    <row r="1042" spans="2:11">
      <c r="B1042" s="848">
        <v>1039</v>
      </c>
      <c r="C1042" s="848" t="s">
        <v>13033</v>
      </c>
      <c r="D1042" s="849" t="s">
        <v>13034</v>
      </c>
      <c r="E1042" s="848" t="s">
        <v>8582</v>
      </c>
      <c r="F1042" s="848" t="s">
        <v>11026</v>
      </c>
      <c r="G1042" s="850" t="s">
        <v>11317</v>
      </c>
      <c r="H1042" s="849" t="s">
        <v>10716</v>
      </c>
      <c r="I1042" s="849"/>
      <c r="J1042" s="851">
        <v>72</v>
      </c>
      <c r="K1042" s="848" t="s">
        <v>13051</v>
      </c>
    </row>
    <row r="1043" spans="2:11">
      <c r="B1043" s="848">
        <v>1040</v>
      </c>
      <c r="C1043" s="848" t="s">
        <v>13033</v>
      </c>
      <c r="D1043" s="849" t="s">
        <v>13034</v>
      </c>
      <c r="E1043" s="848" t="s">
        <v>8582</v>
      </c>
      <c r="F1043" s="848" t="s">
        <v>13052</v>
      </c>
      <c r="G1043" s="850" t="s">
        <v>11337</v>
      </c>
      <c r="H1043" s="849" t="s">
        <v>10716</v>
      </c>
      <c r="I1043" s="849"/>
      <c r="J1043" s="851">
        <v>214</v>
      </c>
      <c r="K1043" s="848" t="s">
        <v>13051</v>
      </c>
    </row>
    <row r="1044" spans="2:11" ht="25">
      <c r="B1044" s="848">
        <v>1041</v>
      </c>
      <c r="C1044" s="848" t="s">
        <v>13053</v>
      </c>
      <c r="D1044" s="849" t="s">
        <v>13054</v>
      </c>
      <c r="E1044" s="848" t="s">
        <v>8582</v>
      </c>
      <c r="F1044" s="848" t="s">
        <v>13055</v>
      </c>
      <c r="G1044" s="850" t="s">
        <v>11311</v>
      </c>
      <c r="H1044" s="849" t="s">
        <v>10716</v>
      </c>
      <c r="I1044" s="849"/>
      <c r="J1044" s="851">
        <v>15.34</v>
      </c>
      <c r="K1044" s="848" t="s">
        <v>13056</v>
      </c>
    </row>
    <row r="1045" spans="2:11" ht="25">
      <c r="B1045" s="848">
        <v>1042</v>
      </c>
      <c r="C1045" s="848" t="s">
        <v>13053</v>
      </c>
      <c r="D1045" s="849" t="s">
        <v>13054</v>
      </c>
      <c r="E1045" s="848" t="s">
        <v>8582</v>
      </c>
      <c r="F1045" s="848" t="s">
        <v>13057</v>
      </c>
      <c r="G1045" s="850" t="s">
        <v>11250</v>
      </c>
      <c r="H1045" s="849" t="s">
        <v>10716</v>
      </c>
      <c r="I1045" s="849"/>
      <c r="J1045" s="851">
        <v>16</v>
      </c>
      <c r="K1045" s="848" t="s">
        <v>13058</v>
      </c>
    </row>
    <row r="1046" spans="2:11" ht="25">
      <c r="B1046" s="848">
        <v>1043</v>
      </c>
      <c r="C1046" s="848" t="s">
        <v>13053</v>
      </c>
      <c r="D1046" s="849" t="s">
        <v>13054</v>
      </c>
      <c r="E1046" s="848" t="s">
        <v>8582</v>
      </c>
      <c r="F1046" s="848" t="s">
        <v>13059</v>
      </c>
      <c r="G1046" s="850" t="s">
        <v>11247</v>
      </c>
      <c r="H1046" s="849" t="s">
        <v>10716</v>
      </c>
      <c r="I1046" s="849"/>
      <c r="J1046" s="851">
        <v>15.34</v>
      </c>
      <c r="K1046" s="848" t="s">
        <v>13060</v>
      </c>
    </row>
    <row r="1047" spans="2:11">
      <c r="B1047" s="848">
        <v>1044</v>
      </c>
      <c r="C1047" s="848" t="s">
        <v>11304</v>
      </c>
      <c r="D1047" s="849" t="s">
        <v>13061</v>
      </c>
      <c r="E1047" s="848" t="s">
        <v>10754</v>
      </c>
      <c r="F1047" s="848" t="s">
        <v>11601</v>
      </c>
      <c r="G1047" s="850" t="s">
        <v>11238</v>
      </c>
      <c r="H1047" s="849" t="s">
        <v>10716</v>
      </c>
      <c r="I1047" s="849"/>
      <c r="J1047" s="851">
        <v>614</v>
      </c>
      <c r="K1047" s="848" t="s">
        <v>13062</v>
      </c>
    </row>
    <row r="1048" spans="2:11">
      <c r="B1048" s="848">
        <v>1045</v>
      </c>
      <c r="C1048" s="848" t="s">
        <v>11304</v>
      </c>
      <c r="D1048" s="849" t="s">
        <v>13061</v>
      </c>
      <c r="E1048" s="848" t="s">
        <v>10754</v>
      </c>
      <c r="F1048" s="848" t="s">
        <v>10782</v>
      </c>
      <c r="G1048" s="850" t="s">
        <v>11241</v>
      </c>
      <c r="H1048" s="849" t="s">
        <v>10716</v>
      </c>
      <c r="I1048" s="849"/>
      <c r="J1048" s="851">
        <v>614</v>
      </c>
      <c r="K1048" s="848" t="s">
        <v>13063</v>
      </c>
    </row>
    <row r="1049" spans="2:11">
      <c r="B1049" s="848">
        <v>1046</v>
      </c>
      <c r="C1049" s="848" t="s">
        <v>11304</v>
      </c>
      <c r="D1049" s="849" t="s">
        <v>13061</v>
      </c>
      <c r="E1049" s="848" t="s">
        <v>10754</v>
      </c>
      <c r="F1049" s="848" t="s">
        <v>12800</v>
      </c>
      <c r="G1049" s="850" t="s">
        <v>11235</v>
      </c>
      <c r="H1049" s="849" t="s">
        <v>10716</v>
      </c>
      <c r="I1049" s="849"/>
      <c r="J1049" s="851">
        <v>614</v>
      </c>
      <c r="K1049" s="848" t="s">
        <v>13064</v>
      </c>
    </row>
    <row r="1050" spans="2:11">
      <c r="B1050" s="848">
        <v>1047</v>
      </c>
      <c r="C1050" s="848" t="s">
        <v>11304</v>
      </c>
      <c r="D1050" s="849" t="s">
        <v>13061</v>
      </c>
      <c r="E1050" s="848" t="s">
        <v>8582</v>
      </c>
      <c r="F1050" s="848" t="s">
        <v>13065</v>
      </c>
      <c r="G1050" s="850" t="s">
        <v>11722</v>
      </c>
      <c r="H1050" s="849" t="s">
        <v>10716</v>
      </c>
      <c r="I1050" s="849"/>
      <c r="J1050" s="851">
        <v>614</v>
      </c>
      <c r="K1050" s="848" t="s">
        <v>13066</v>
      </c>
    </row>
    <row r="1051" spans="2:11">
      <c r="B1051" s="848">
        <v>1048</v>
      </c>
      <c r="C1051" s="848" t="s">
        <v>13067</v>
      </c>
      <c r="D1051" s="849" t="s">
        <v>13061</v>
      </c>
      <c r="E1051" s="848" t="s">
        <v>8582</v>
      </c>
      <c r="F1051" s="848" t="s">
        <v>13068</v>
      </c>
      <c r="G1051" s="850" t="s">
        <v>11401</v>
      </c>
      <c r="H1051" s="849" t="s">
        <v>10716</v>
      </c>
      <c r="I1051" s="849"/>
      <c r="J1051" s="851">
        <v>17</v>
      </c>
      <c r="K1051" s="848" t="s">
        <v>6525</v>
      </c>
    </row>
    <row r="1052" spans="2:11">
      <c r="B1052" s="848">
        <v>1049</v>
      </c>
      <c r="C1052" s="848" t="s">
        <v>13067</v>
      </c>
      <c r="D1052" s="849" t="s">
        <v>13061</v>
      </c>
      <c r="E1052" s="848" t="s">
        <v>3233</v>
      </c>
      <c r="F1052" s="848" t="s">
        <v>11629</v>
      </c>
      <c r="G1052" s="850" t="s">
        <v>12314</v>
      </c>
      <c r="H1052" s="849" t="s">
        <v>10716</v>
      </c>
      <c r="I1052" s="849"/>
      <c r="J1052" s="851">
        <v>41</v>
      </c>
      <c r="K1052" s="848" t="s">
        <v>6615</v>
      </c>
    </row>
    <row r="1053" spans="2:11">
      <c r="B1053" s="848">
        <v>1050</v>
      </c>
      <c r="C1053" s="848" t="s">
        <v>13067</v>
      </c>
      <c r="D1053" s="849" t="s">
        <v>13061</v>
      </c>
      <c r="E1053" s="848" t="s">
        <v>3233</v>
      </c>
      <c r="F1053" s="848" t="s">
        <v>11634</v>
      </c>
      <c r="G1053" s="850" t="s">
        <v>13069</v>
      </c>
      <c r="H1053" s="849" t="s">
        <v>10716</v>
      </c>
      <c r="I1053" s="849"/>
      <c r="J1053" s="851">
        <v>65.599999999999994</v>
      </c>
      <c r="K1053" s="848" t="s">
        <v>6616</v>
      </c>
    </row>
    <row r="1054" spans="2:11">
      <c r="B1054" s="848">
        <v>1051</v>
      </c>
      <c r="C1054" s="848" t="s">
        <v>13067</v>
      </c>
      <c r="D1054" s="849" t="s">
        <v>13061</v>
      </c>
      <c r="E1054" s="848" t="s">
        <v>10845</v>
      </c>
      <c r="F1054" s="848" t="s">
        <v>13070</v>
      </c>
      <c r="G1054" s="850" t="s">
        <v>13071</v>
      </c>
      <c r="H1054" s="849" t="s">
        <v>10716</v>
      </c>
      <c r="I1054" s="849"/>
      <c r="J1054" s="851">
        <v>6.78</v>
      </c>
      <c r="K1054" s="848" t="s">
        <v>6576</v>
      </c>
    </row>
    <row r="1055" spans="2:11">
      <c r="B1055" s="848">
        <v>1052</v>
      </c>
      <c r="C1055" s="848" t="s">
        <v>13072</v>
      </c>
      <c r="D1055" s="849" t="s">
        <v>5740</v>
      </c>
      <c r="E1055" s="848" t="s">
        <v>10733</v>
      </c>
      <c r="F1055" s="848" t="s">
        <v>13073</v>
      </c>
      <c r="G1055" s="850" t="s">
        <v>13074</v>
      </c>
      <c r="H1055" s="849" t="s">
        <v>10716</v>
      </c>
      <c r="I1055" s="849"/>
      <c r="J1055" s="851">
        <v>20.999249999999996</v>
      </c>
      <c r="K1055" s="848" t="s">
        <v>6822</v>
      </c>
    </row>
    <row r="1056" spans="2:11">
      <c r="B1056" s="848">
        <v>1053</v>
      </c>
      <c r="C1056" s="848" t="s">
        <v>13072</v>
      </c>
      <c r="D1056" s="849" t="s">
        <v>5740</v>
      </c>
      <c r="E1056" s="848" t="s">
        <v>10733</v>
      </c>
      <c r="F1056" s="848" t="s">
        <v>13075</v>
      </c>
      <c r="G1056" s="850" t="s">
        <v>10846</v>
      </c>
      <c r="H1056" s="849" t="s">
        <v>10716</v>
      </c>
      <c r="I1056" s="849"/>
      <c r="J1056" s="851">
        <v>24</v>
      </c>
      <c r="K1056" s="848" t="s">
        <v>6825</v>
      </c>
    </row>
    <row r="1057" spans="2:11">
      <c r="B1057" s="848">
        <v>1054</v>
      </c>
      <c r="C1057" s="848" t="s">
        <v>13076</v>
      </c>
      <c r="D1057" s="849" t="s">
        <v>168</v>
      </c>
      <c r="E1057" s="848" t="s">
        <v>10754</v>
      </c>
      <c r="F1057" s="848" t="s">
        <v>12383</v>
      </c>
      <c r="G1057" s="850" t="s">
        <v>11229</v>
      </c>
      <c r="H1057" s="849" t="s">
        <v>10716</v>
      </c>
      <c r="I1057" s="849"/>
      <c r="J1057" s="851">
        <v>594.25</v>
      </c>
      <c r="K1057" s="848" t="s">
        <v>13077</v>
      </c>
    </row>
    <row r="1058" spans="2:11">
      <c r="B1058" s="848">
        <v>1055</v>
      </c>
      <c r="C1058" s="848" t="s">
        <v>13076</v>
      </c>
      <c r="D1058" s="849" t="s">
        <v>168</v>
      </c>
      <c r="E1058" s="848" t="s">
        <v>10754</v>
      </c>
      <c r="F1058" s="848" t="s">
        <v>11568</v>
      </c>
      <c r="G1058" s="850" t="s">
        <v>11232</v>
      </c>
      <c r="H1058" s="849" t="s">
        <v>10716</v>
      </c>
      <c r="I1058" s="849"/>
      <c r="J1058" s="851">
        <v>44.36</v>
      </c>
      <c r="K1058" s="848" t="s">
        <v>13077</v>
      </c>
    </row>
    <row r="1059" spans="2:11">
      <c r="B1059" s="848">
        <v>1056</v>
      </c>
      <c r="C1059" s="848" t="s">
        <v>13078</v>
      </c>
      <c r="D1059" s="849" t="s">
        <v>13079</v>
      </c>
      <c r="E1059" s="848" t="s">
        <v>3393</v>
      </c>
      <c r="F1059" s="848" t="s">
        <v>13080</v>
      </c>
      <c r="G1059" s="850" t="s">
        <v>13081</v>
      </c>
      <c r="H1059" s="849" t="s">
        <v>10716</v>
      </c>
      <c r="I1059" s="849"/>
      <c r="J1059" s="851">
        <v>15.34</v>
      </c>
      <c r="K1059" s="848" t="s">
        <v>13082</v>
      </c>
    </row>
    <row r="1060" spans="2:11">
      <c r="B1060" s="848">
        <v>1057</v>
      </c>
      <c r="C1060" s="848" t="s">
        <v>13078</v>
      </c>
      <c r="D1060" s="849" t="s">
        <v>13079</v>
      </c>
      <c r="E1060" s="848" t="s">
        <v>3393</v>
      </c>
      <c r="F1060" s="848" t="s">
        <v>13083</v>
      </c>
      <c r="G1060" s="850" t="s">
        <v>13084</v>
      </c>
      <c r="H1060" s="849" t="s">
        <v>10716</v>
      </c>
      <c r="I1060" s="849"/>
      <c r="J1060" s="851">
        <v>19.18</v>
      </c>
      <c r="K1060" s="848" t="s">
        <v>13085</v>
      </c>
    </row>
    <row r="1061" spans="2:11">
      <c r="B1061" s="848">
        <v>1058</v>
      </c>
      <c r="C1061" s="848" t="s">
        <v>13078</v>
      </c>
      <c r="D1061" s="849" t="s">
        <v>13079</v>
      </c>
      <c r="E1061" s="848" t="s">
        <v>3393</v>
      </c>
      <c r="F1061" s="848" t="s">
        <v>11476</v>
      </c>
      <c r="G1061" s="850" t="s">
        <v>13086</v>
      </c>
      <c r="H1061" s="849" t="s">
        <v>10716</v>
      </c>
      <c r="I1061" s="849"/>
      <c r="J1061" s="851">
        <v>19.18</v>
      </c>
      <c r="K1061" s="848" t="s">
        <v>13087</v>
      </c>
    </row>
    <row r="1062" spans="2:11">
      <c r="B1062" s="848">
        <v>1059</v>
      </c>
      <c r="C1062" s="848" t="s">
        <v>13078</v>
      </c>
      <c r="D1062" s="849" t="s">
        <v>13079</v>
      </c>
      <c r="E1062" s="848" t="s">
        <v>3393</v>
      </c>
      <c r="F1062" s="848" t="s">
        <v>12154</v>
      </c>
      <c r="G1062" s="850" t="s">
        <v>13088</v>
      </c>
      <c r="H1062" s="849" t="s">
        <v>10716</v>
      </c>
      <c r="I1062" s="849"/>
      <c r="J1062" s="851">
        <v>19.18</v>
      </c>
      <c r="K1062" s="848" t="s">
        <v>13089</v>
      </c>
    </row>
    <row r="1063" spans="2:11">
      <c r="B1063" s="848">
        <v>1060</v>
      </c>
      <c r="C1063" s="848" t="s">
        <v>13078</v>
      </c>
      <c r="D1063" s="849" t="s">
        <v>13079</v>
      </c>
      <c r="E1063" s="848" t="s">
        <v>3393</v>
      </c>
      <c r="F1063" s="848" t="s">
        <v>10842</v>
      </c>
      <c r="G1063" s="850" t="s">
        <v>13090</v>
      </c>
      <c r="H1063" s="849" t="s">
        <v>10716</v>
      </c>
      <c r="I1063" s="849"/>
      <c r="J1063" s="851">
        <v>19.18</v>
      </c>
      <c r="K1063" s="848" t="s">
        <v>13091</v>
      </c>
    </row>
    <row r="1064" spans="2:11">
      <c r="B1064" s="848">
        <v>1061</v>
      </c>
      <c r="C1064" s="848" t="s">
        <v>13078</v>
      </c>
      <c r="D1064" s="849" t="s">
        <v>13079</v>
      </c>
      <c r="E1064" s="848" t="s">
        <v>3393</v>
      </c>
      <c r="F1064" s="848" t="s">
        <v>12139</v>
      </c>
      <c r="G1064" s="850" t="s">
        <v>13092</v>
      </c>
      <c r="H1064" s="849" t="s">
        <v>10716</v>
      </c>
      <c r="I1064" s="849"/>
      <c r="J1064" s="851">
        <v>19.18</v>
      </c>
      <c r="K1064" s="848" t="s">
        <v>13093</v>
      </c>
    </row>
    <row r="1065" spans="2:11">
      <c r="B1065" s="848">
        <v>1062</v>
      </c>
      <c r="C1065" s="848" t="s">
        <v>13078</v>
      </c>
      <c r="D1065" s="849" t="s">
        <v>13079</v>
      </c>
      <c r="E1065" s="848" t="s">
        <v>3393</v>
      </c>
      <c r="F1065" s="848" t="s">
        <v>13069</v>
      </c>
      <c r="G1065" s="850" t="s">
        <v>13094</v>
      </c>
      <c r="H1065" s="849" t="s">
        <v>10716</v>
      </c>
      <c r="I1065" s="849"/>
      <c r="J1065" s="851">
        <v>19.18</v>
      </c>
      <c r="K1065" s="848" t="s">
        <v>13095</v>
      </c>
    </row>
    <row r="1066" spans="2:11">
      <c r="B1066" s="848">
        <v>1063</v>
      </c>
      <c r="C1066" s="848" t="s">
        <v>13078</v>
      </c>
      <c r="D1066" s="849" t="s">
        <v>13079</v>
      </c>
      <c r="E1066" s="848" t="s">
        <v>3393</v>
      </c>
      <c r="F1066" s="848" t="s">
        <v>13096</v>
      </c>
      <c r="G1066" s="850" t="s">
        <v>13097</v>
      </c>
      <c r="H1066" s="849" t="s">
        <v>10716</v>
      </c>
      <c r="I1066" s="849"/>
      <c r="J1066" s="851">
        <v>19.18</v>
      </c>
      <c r="K1066" s="848" t="s">
        <v>13098</v>
      </c>
    </row>
    <row r="1067" spans="2:11">
      <c r="B1067" s="848">
        <v>1064</v>
      </c>
      <c r="C1067" s="848" t="s">
        <v>13078</v>
      </c>
      <c r="D1067" s="849" t="s">
        <v>13079</v>
      </c>
      <c r="E1067" s="848" t="s">
        <v>3393</v>
      </c>
      <c r="F1067" s="848" t="s">
        <v>13099</v>
      </c>
      <c r="G1067" s="850" t="s">
        <v>13100</v>
      </c>
      <c r="H1067" s="849" t="s">
        <v>10716</v>
      </c>
      <c r="I1067" s="849"/>
      <c r="J1067" s="851">
        <v>19.18</v>
      </c>
      <c r="K1067" s="848" t="s">
        <v>13101</v>
      </c>
    </row>
    <row r="1068" spans="2:11">
      <c r="B1068" s="848">
        <v>1065</v>
      </c>
      <c r="C1068" s="848" t="s">
        <v>13102</v>
      </c>
      <c r="D1068" s="849" t="s">
        <v>1021</v>
      </c>
      <c r="E1068" s="848" t="s">
        <v>11310</v>
      </c>
      <c r="F1068" s="848" t="s">
        <v>13103</v>
      </c>
      <c r="G1068" s="850" t="s">
        <v>13104</v>
      </c>
      <c r="H1068" s="849" t="s">
        <v>10716</v>
      </c>
      <c r="I1068" s="849"/>
      <c r="J1068" s="851">
        <v>380.32</v>
      </c>
      <c r="K1068" s="848" t="s">
        <v>13105</v>
      </c>
    </row>
    <row r="1069" spans="2:11">
      <c r="B1069" s="848">
        <v>1066</v>
      </c>
      <c r="C1069" s="848" t="s">
        <v>13102</v>
      </c>
      <c r="D1069" s="849" t="s">
        <v>1021</v>
      </c>
      <c r="E1069" s="848" t="s">
        <v>11310</v>
      </c>
      <c r="F1069" s="848" t="s">
        <v>11605</v>
      </c>
      <c r="G1069" s="850" t="s">
        <v>13106</v>
      </c>
      <c r="H1069" s="849" t="s">
        <v>10716</v>
      </c>
      <c r="I1069" s="849"/>
      <c r="J1069" s="851">
        <v>56.1</v>
      </c>
      <c r="K1069" s="848" t="s">
        <v>13105</v>
      </c>
    </row>
    <row r="1070" spans="2:11">
      <c r="B1070" s="848">
        <v>1067</v>
      </c>
      <c r="C1070" s="848" t="s">
        <v>13107</v>
      </c>
      <c r="D1070" s="849" t="s">
        <v>242</v>
      </c>
      <c r="E1070" s="848" t="s">
        <v>12118</v>
      </c>
      <c r="F1070" s="848" t="s">
        <v>13108</v>
      </c>
      <c r="G1070" s="850" t="s">
        <v>13109</v>
      </c>
      <c r="H1070" s="849" t="s">
        <v>10716</v>
      </c>
      <c r="I1070" s="849"/>
      <c r="J1070" s="851">
        <v>1188.5</v>
      </c>
      <c r="K1070" s="848" t="s">
        <v>6432</v>
      </c>
    </row>
    <row r="1071" spans="2:11">
      <c r="B1071" s="848">
        <v>1068</v>
      </c>
      <c r="C1071" s="848" t="s">
        <v>1276</v>
      </c>
      <c r="D1071" s="849" t="s">
        <v>8004</v>
      </c>
      <c r="E1071" s="848" t="s">
        <v>10926</v>
      </c>
      <c r="F1071" s="848" t="s">
        <v>13110</v>
      </c>
      <c r="G1071" s="850" t="s">
        <v>13111</v>
      </c>
      <c r="H1071" s="849" t="s">
        <v>10716</v>
      </c>
      <c r="I1071" s="849"/>
      <c r="J1071" s="851">
        <v>4025.24</v>
      </c>
      <c r="K1071" s="848" t="s">
        <v>11898</v>
      </c>
    </row>
    <row r="1072" spans="2:11">
      <c r="B1072" s="848">
        <v>1069</v>
      </c>
      <c r="C1072" s="848" t="s">
        <v>1276</v>
      </c>
      <c r="D1072" s="849" t="s">
        <v>8004</v>
      </c>
      <c r="E1072" s="848" t="s">
        <v>10926</v>
      </c>
      <c r="F1072" s="848" t="s">
        <v>13112</v>
      </c>
      <c r="G1072" s="850" t="s">
        <v>10749</v>
      </c>
      <c r="H1072" s="849" t="s">
        <v>10716</v>
      </c>
      <c r="I1072" s="849"/>
      <c r="J1072" s="851">
        <v>3184.56</v>
      </c>
      <c r="K1072" s="848" t="s">
        <v>11691</v>
      </c>
    </row>
    <row r="1073" spans="2:11">
      <c r="B1073" s="848">
        <v>1070</v>
      </c>
      <c r="C1073" s="848" t="s">
        <v>1276</v>
      </c>
      <c r="D1073" s="849" t="s">
        <v>8004</v>
      </c>
      <c r="E1073" s="848" t="s">
        <v>10926</v>
      </c>
      <c r="F1073" s="848" t="s">
        <v>13113</v>
      </c>
      <c r="G1073" s="850" t="s">
        <v>13114</v>
      </c>
      <c r="H1073" s="849" t="s">
        <v>10716</v>
      </c>
      <c r="I1073" s="849"/>
      <c r="J1073" s="851">
        <v>3829.84</v>
      </c>
      <c r="K1073" s="848" t="s">
        <v>11901</v>
      </c>
    </row>
    <row r="1074" spans="2:11" ht="25">
      <c r="B1074" s="848">
        <v>1071</v>
      </c>
      <c r="C1074" s="848" t="s">
        <v>715</v>
      </c>
      <c r="D1074" s="849" t="s">
        <v>149</v>
      </c>
      <c r="E1074" s="848" t="s">
        <v>8582</v>
      </c>
      <c r="F1074" s="848" t="s">
        <v>13115</v>
      </c>
      <c r="G1074" s="850" t="s">
        <v>12955</v>
      </c>
      <c r="H1074" s="849" t="s">
        <v>10716</v>
      </c>
      <c r="I1074" s="849"/>
      <c r="J1074" s="851">
        <v>73606.080000000002</v>
      </c>
      <c r="K1074" s="848" t="s">
        <v>6766</v>
      </c>
    </row>
    <row r="1075" spans="2:11" ht="25">
      <c r="B1075" s="848">
        <v>1072</v>
      </c>
      <c r="C1075" s="848" t="s">
        <v>715</v>
      </c>
      <c r="D1075" s="849" t="s">
        <v>149</v>
      </c>
      <c r="E1075" s="848" t="s">
        <v>8582</v>
      </c>
      <c r="F1075" s="848" t="s">
        <v>13116</v>
      </c>
      <c r="G1075" s="850" t="s">
        <v>12957</v>
      </c>
      <c r="H1075" s="849" t="s">
        <v>10716</v>
      </c>
      <c r="I1075" s="849"/>
      <c r="J1075" s="851">
        <v>57888.12</v>
      </c>
      <c r="K1075" s="848" t="s">
        <v>6075</v>
      </c>
    </row>
    <row r="1076" spans="2:11" ht="25">
      <c r="B1076" s="848">
        <v>1073</v>
      </c>
      <c r="C1076" s="848" t="s">
        <v>715</v>
      </c>
      <c r="D1076" s="849" t="s">
        <v>150</v>
      </c>
      <c r="E1076" s="848" t="s">
        <v>8582</v>
      </c>
      <c r="F1076" s="848" t="s">
        <v>13117</v>
      </c>
      <c r="G1076" s="850" t="s">
        <v>12953</v>
      </c>
      <c r="H1076" s="849" t="s">
        <v>10716</v>
      </c>
      <c r="I1076" s="849"/>
      <c r="J1076" s="851">
        <v>69005.7</v>
      </c>
      <c r="K1076" s="848" t="s">
        <v>6768</v>
      </c>
    </row>
    <row r="1077" spans="2:11">
      <c r="B1077" s="848">
        <v>1074</v>
      </c>
      <c r="C1077" s="848" t="s">
        <v>13118</v>
      </c>
      <c r="D1077" s="849" t="s">
        <v>13119</v>
      </c>
      <c r="E1077" s="848" t="s">
        <v>10736</v>
      </c>
      <c r="F1077" s="848" t="s">
        <v>13120</v>
      </c>
      <c r="G1077" s="850" t="s">
        <v>13121</v>
      </c>
      <c r="H1077" s="849" t="s">
        <v>10716</v>
      </c>
      <c r="I1077" s="849"/>
      <c r="J1077" s="851">
        <v>641.79</v>
      </c>
      <c r="K1077" s="848" t="s">
        <v>6838</v>
      </c>
    </row>
    <row r="1078" spans="2:11">
      <c r="B1078" s="848">
        <v>1075</v>
      </c>
      <c r="C1078" s="848" t="s">
        <v>13122</v>
      </c>
      <c r="D1078" s="849" t="s">
        <v>13123</v>
      </c>
      <c r="E1078" s="848" t="s">
        <v>12181</v>
      </c>
      <c r="F1078" s="848" t="s">
        <v>13124</v>
      </c>
      <c r="G1078" s="850" t="s">
        <v>10749</v>
      </c>
      <c r="H1078" s="849" t="s">
        <v>10716</v>
      </c>
      <c r="I1078" s="849"/>
      <c r="J1078" s="851">
        <v>166.48</v>
      </c>
      <c r="K1078" s="848" t="s">
        <v>13125</v>
      </c>
    </row>
    <row r="1079" spans="2:11">
      <c r="B1079" s="848">
        <v>1076</v>
      </c>
      <c r="C1079" s="848" t="s">
        <v>13126</v>
      </c>
      <c r="D1079" s="849" t="s">
        <v>13127</v>
      </c>
      <c r="E1079" s="848" t="s">
        <v>11816</v>
      </c>
      <c r="F1079" s="848" t="s">
        <v>11700</v>
      </c>
      <c r="G1079" s="850" t="s">
        <v>13128</v>
      </c>
      <c r="H1079" s="849" t="s">
        <v>10716</v>
      </c>
      <c r="I1079" s="849"/>
      <c r="J1079" s="851">
        <v>767</v>
      </c>
      <c r="K1079" s="848" t="s">
        <v>13129</v>
      </c>
    </row>
    <row r="1080" spans="2:11">
      <c r="B1080" s="848">
        <v>1077</v>
      </c>
      <c r="C1080" s="848" t="s">
        <v>13126</v>
      </c>
      <c r="D1080" s="849" t="s">
        <v>13127</v>
      </c>
      <c r="E1080" s="848" t="s">
        <v>11816</v>
      </c>
      <c r="F1080" s="848" t="s">
        <v>13130</v>
      </c>
      <c r="G1080" s="850" t="s">
        <v>13131</v>
      </c>
      <c r="H1080" s="849" t="s">
        <v>10716</v>
      </c>
      <c r="I1080" s="849"/>
      <c r="J1080" s="851">
        <v>767</v>
      </c>
      <c r="K1080" s="848" t="s">
        <v>13132</v>
      </c>
    </row>
    <row r="1081" spans="2:11">
      <c r="B1081" s="848">
        <v>1078</v>
      </c>
      <c r="C1081" s="848" t="s">
        <v>13133</v>
      </c>
      <c r="D1081" s="849" t="s">
        <v>8006</v>
      </c>
      <c r="E1081" s="848" t="s">
        <v>9346</v>
      </c>
      <c r="F1081" s="848" t="s">
        <v>11357</v>
      </c>
      <c r="G1081" s="850" t="s">
        <v>10749</v>
      </c>
      <c r="H1081" s="849" t="s">
        <v>10716</v>
      </c>
      <c r="I1081" s="849"/>
      <c r="J1081" s="851">
        <v>14.8</v>
      </c>
      <c r="K1081" s="848" t="s">
        <v>6440</v>
      </c>
    </row>
    <row r="1082" spans="2:11">
      <c r="B1082" s="848">
        <v>1079</v>
      </c>
      <c r="C1082" s="848" t="s">
        <v>13133</v>
      </c>
      <c r="D1082" s="849" t="s">
        <v>8006</v>
      </c>
      <c r="E1082" s="848" t="s">
        <v>8582</v>
      </c>
      <c r="F1082" s="848" t="s">
        <v>13134</v>
      </c>
      <c r="G1082" s="850" t="s">
        <v>12881</v>
      </c>
      <c r="H1082" s="849" t="s">
        <v>10716</v>
      </c>
      <c r="I1082" s="849"/>
      <c r="J1082" s="851">
        <v>237.7</v>
      </c>
      <c r="K1082" s="848" t="s">
        <v>6439</v>
      </c>
    </row>
    <row r="1083" spans="2:11">
      <c r="B1083" s="848">
        <v>1080</v>
      </c>
      <c r="C1083" s="848" t="s">
        <v>13133</v>
      </c>
      <c r="D1083" s="849" t="s">
        <v>8006</v>
      </c>
      <c r="E1083" s="848" t="s">
        <v>8582</v>
      </c>
      <c r="F1083" s="848" t="s">
        <v>13135</v>
      </c>
      <c r="G1083" s="850" t="s">
        <v>12161</v>
      </c>
      <c r="H1083" s="849" t="s">
        <v>10716</v>
      </c>
      <c r="I1083" s="849"/>
      <c r="J1083" s="851">
        <v>118.85</v>
      </c>
      <c r="K1083" s="848" t="s">
        <v>6086</v>
      </c>
    </row>
    <row r="1084" spans="2:11">
      <c r="B1084" s="848">
        <v>1081</v>
      </c>
      <c r="C1084" s="848" t="s">
        <v>13133</v>
      </c>
      <c r="D1084" s="849" t="s">
        <v>8006</v>
      </c>
      <c r="E1084" s="848" t="s">
        <v>8582</v>
      </c>
      <c r="F1084" s="848" t="s">
        <v>12193</v>
      </c>
      <c r="G1084" s="850" t="s">
        <v>11978</v>
      </c>
      <c r="H1084" s="849" t="s">
        <v>10716</v>
      </c>
      <c r="I1084" s="849"/>
      <c r="J1084" s="851">
        <v>118.85</v>
      </c>
      <c r="K1084" s="848" t="s">
        <v>6087</v>
      </c>
    </row>
    <row r="1085" spans="2:11">
      <c r="B1085" s="848">
        <v>1082</v>
      </c>
      <c r="C1085" s="848" t="s">
        <v>13133</v>
      </c>
      <c r="D1085" s="849" t="s">
        <v>8006</v>
      </c>
      <c r="E1085" s="848" t="s">
        <v>8582</v>
      </c>
      <c r="F1085" s="848" t="s">
        <v>13136</v>
      </c>
      <c r="G1085" s="850" t="s">
        <v>11976</v>
      </c>
      <c r="H1085" s="849" t="s">
        <v>10716</v>
      </c>
      <c r="I1085" s="849"/>
      <c r="J1085" s="851">
        <v>190.16</v>
      </c>
      <c r="K1085" s="848" t="s">
        <v>6452</v>
      </c>
    </row>
    <row r="1086" spans="2:11">
      <c r="B1086" s="848">
        <v>1083</v>
      </c>
      <c r="C1086" s="848" t="s">
        <v>13133</v>
      </c>
      <c r="D1086" s="849" t="s">
        <v>8006</v>
      </c>
      <c r="E1086" s="848" t="s">
        <v>8582</v>
      </c>
      <c r="F1086" s="848" t="s">
        <v>12195</v>
      </c>
      <c r="G1086" s="850" t="s">
        <v>11759</v>
      </c>
      <c r="H1086" s="849" t="s">
        <v>10716</v>
      </c>
      <c r="I1086" s="849"/>
      <c r="J1086" s="851">
        <v>95.08</v>
      </c>
      <c r="K1086" s="848" t="s">
        <v>6461</v>
      </c>
    </row>
    <row r="1087" spans="2:11">
      <c r="B1087" s="848">
        <v>1084</v>
      </c>
      <c r="C1087" s="848" t="s">
        <v>13133</v>
      </c>
      <c r="D1087" s="849" t="s">
        <v>8006</v>
      </c>
      <c r="E1087" s="848" t="s">
        <v>8582</v>
      </c>
      <c r="F1087" s="848" t="s">
        <v>11779</v>
      </c>
      <c r="G1087" s="850" t="s">
        <v>12170</v>
      </c>
      <c r="H1087" s="849" t="s">
        <v>10716</v>
      </c>
      <c r="I1087" s="849"/>
      <c r="J1087" s="851">
        <v>237.7</v>
      </c>
      <c r="K1087" s="848" t="s">
        <v>6788</v>
      </c>
    </row>
    <row r="1088" spans="2:11">
      <c r="B1088" s="848">
        <v>1085</v>
      </c>
      <c r="C1088" s="848" t="s">
        <v>13133</v>
      </c>
      <c r="D1088" s="849" t="s">
        <v>8006</v>
      </c>
      <c r="E1088" s="848" t="s">
        <v>8582</v>
      </c>
      <c r="F1088" s="848" t="s">
        <v>12189</v>
      </c>
      <c r="G1088" s="850" t="s">
        <v>11984</v>
      </c>
      <c r="H1088" s="849" t="s">
        <v>10716</v>
      </c>
      <c r="I1088" s="849"/>
      <c r="J1088" s="851">
        <v>237.7</v>
      </c>
      <c r="K1088" s="848" t="s">
        <v>6670</v>
      </c>
    </row>
    <row r="1089" spans="2:11">
      <c r="B1089" s="848">
        <v>1086</v>
      </c>
      <c r="C1089" s="848" t="s">
        <v>13133</v>
      </c>
      <c r="D1089" s="849" t="s">
        <v>8006</v>
      </c>
      <c r="E1089" s="848" t="s">
        <v>3233</v>
      </c>
      <c r="F1089" s="848" t="s">
        <v>13137</v>
      </c>
      <c r="G1089" s="850" t="s">
        <v>11476</v>
      </c>
      <c r="H1089" s="849" t="s">
        <v>10716</v>
      </c>
      <c r="I1089" s="849"/>
      <c r="J1089" s="851">
        <v>9.77</v>
      </c>
      <c r="K1089" s="848" t="s">
        <v>6016</v>
      </c>
    </row>
    <row r="1090" spans="2:11">
      <c r="B1090" s="848">
        <v>1087</v>
      </c>
      <c r="C1090" s="848" t="s">
        <v>13133</v>
      </c>
      <c r="D1090" s="849" t="s">
        <v>8006</v>
      </c>
      <c r="E1090" s="848" t="s">
        <v>3233</v>
      </c>
      <c r="F1090" s="848" t="s">
        <v>12319</v>
      </c>
      <c r="G1090" s="850" t="s">
        <v>13083</v>
      </c>
      <c r="H1090" s="849" t="s">
        <v>10716</v>
      </c>
      <c r="I1090" s="849"/>
      <c r="J1090" s="851">
        <v>46.3</v>
      </c>
      <c r="K1090" s="848" t="s">
        <v>6811</v>
      </c>
    </row>
    <row r="1091" spans="2:11">
      <c r="B1091" s="848">
        <v>1088</v>
      </c>
      <c r="C1091" s="848" t="s">
        <v>13133</v>
      </c>
      <c r="D1091" s="849" t="s">
        <v>8006</v>
      </c>
      <c r="E1091" s="848" t="s">
        <v>3233</v>
      </c>
      <c r="F1091" s="848" t="s">
        <v>10732</v>
      </c>
      <c r="G1091" s="850" t="s">
        <v>13080</v>
      </c>
      <c r="H1091" s="849" t="s">
        <v>10716</v>
      </c>
      <c r="I1091" s="849"/>
      <c r="J1091" s="851">
        <v>15.84</v>
      </c>
      <c r="K1091" s="848" t="s">
        <v>6107</v>
      </c>
    </row>
    <row r="1092" spans="2:11">
      <c r="B1092" s="848">
        <v>1089</v>
      </c>
      <c r="C1092" s="848" t="s">
        <v>13133</v>
      </c>
      <c r="D1092" s="849" t="s">
        <v>8006</v>
      </c>
      <c r="E1092" s="848" t="s">
        <v>3233</v>
      </c>
      <c r="F1092" s="848" t="s">
        <v>13138</v>
      </c>
      <c r="G1092" s="850" t="s">
        <v>13059</v>
      </c>
      <c r="H1092" s="849" t="s">
        <v>10716</v>
      </c>
      <c r="I1092" s="849"/>
      <c r="J1092" s="851">
        <v>13.03</v>
      </c>
      <c r="K1092" s="848" t="s">
        <v>6023</v>
      </c>
    </row>
    <row r="1093" spans="2:11">
      <c r="B1093" s="848">
        <v>1090</v>
      </c>
      <c r="C1093" s="848" t="s">
        <v>13133</v>
      </c>
      <c r="D1093" s="849" t="s">
        <v>8006</v>
      </c>
      <c r="E1093" s="848" t="s">
        <v>9499</v>
      </c>
      <c r="F1093" s="848" t="s">
        <v>13139</v>
      </c>
      <c r="G1093" s="850" t="s">
        <v>13140</v>
      </c>
      <c r="H1093" s="849" t="s">
        <v>10716</v>
      </c>
      <c r="I1093" s="849"/>
      <c r="J1093" s="851">
        <v>15.34</v>
      </c>
      <c r="K1093" s="848" t="s">
        <v>6440</v>
      </c>
    </row>
    <row r="1094" spans="2:11">
      <c r="B1094" s="848">
        <v>1091</v>
      </c>
      <c r="C1094" s="848" t="s">
        <v>13133</v>
      </c>
      <c r="D1094" s="849" t="s">
        <v>8006</v>
      </c>
      <c r="E1094" s="848" t="s">
        <v>9499</v>
      </c>
      <c r="F1094" s="848" t="s">
        <v>11036</v>
      </c>
      <c r="G1094" s="850" t="s">
        <v>13141</v>
      </c>
      <c r="H1094" s="849" t="s">
        <v>10716</v>
      </c>
      <c r="I1094" s="849"/>
      <c r="J1094" s="851">
        <v>6.7480660000000006</v>
      </c>
      <c r="K1094" s="848" t="s">
        <v>6440</v>
      </c>
    </row>
    <row r="1095" spans="2:11">
      <c r="B1095" s="848">
        <v>1092</v>
      </c>
      <c r="C1095" s="848" t="s">
        <v>13133</v>
      </c>
      <c r="D1095" s="849" t="s">
        <v>8006</v>
      </c>
      <c r="E1095" s="848" t="s">
        <v>13142</v>
      </c>
      <c r="F1095" s="848" t="s">
        <v>10933</v>
      </c>
      <c r="G1095" s="850" t="s">
        <v>13143</v>
      </c>
      <c r="H1095" s="849" t="s">
        <v>10716</v>
      </c>
      <c r="I1095" s="849"/>
      <c r="J1095" s="851">
        <v>262.16000000000003</v>
      </c>
      <c r="K1095" s="848" t="s">
        <v>6440</v>
      </c>
    </row>
    <row r="1096" spans="2:11">
      <c r="B1096" s="848">
        <v>1093</v>
      </c>
      <c r="C1096" s="848" t="s">
        <v>13144</v>
      </c>
      <c r="D1096" s="849" t="s">
        <v>8007</v>
      </c>
      <c r="E1096" s="848" t="s">
        <v>9312</v>
      </c>
      <c r="F1096" s="848" t="s">
        <v>13145</v>
      </c>
      <c r="G1096" s="850" t="s">
        <v>10749</v>
      </c>
      <c r="H1096" s="849" t="s">
        <v>10716</v>
      </c>
      <c r="I1096" s="849"/>
      <c r="J1096" s="851">
        <v>0.22</v>
      </c>
      <c r="K1096" s="848" t="s">
        <v>13146</v>
      </c>
    </row>
    <row r="1097" spans="2:11">
      <c r="B1097" s="848">
        <v>1094</v>
      </c>
      <c r="C1097" s="848" t="s">
        <v>13144</v>
      </c>
      <c r="D1097" s="849" t="s">
        <v>8007</v>
      </c>
      <c r="E1097" s="848" t="s">
        <v>3344</v>
      </c>
      <c r="F1097" s="848" t="s">
        <v>13147</v>
      </c>
      <c r="G1097" s="850" t="s">
        <v>13148</v>
      </c>
      <c r="H1097" s="849" t="s">
        <v>10716</v>
      </c>
      <c r="I1097" s="849"/>
      <c r="J1097" s="851">
        <v>10734.22</v>
      </c>
      <c r="K1097" s="848" t="s">
        <v>11506</v>
      </c>
    </row>
    <row r="1098" spans="2:11">
      <c r="B1098" s="848">
        <v>1095</v>
      </c>
      <c r="C1098" s="848" t="s">
        <v>13144</v>
      </c>
      <c r="D1098" s="849" t="s">
        <v>8007</v>
      </c>
      <c r="E1098" s="848" t="s">
        <v>3344</v>
      </c>
      <c r="F1098" s="848" t="s">
        <v>13149</v>
      </c>
      <c r="G1098" s="850" t="s">
        <v>13150</v>
      </c>
      <c r="H1098" s="849" t="s">
        <v>10716</v>
      </c>
      <c r="I1098" s="849"/>
      <c r="J1098" s="851">
        <v>383.37</v>
      </c>
      <c r="K1098" s="848" t="s">
        <v>11509</v>
      </c>
    </row>
    <row r="1099" spans="2:11">
      <c r="B1099" s="848">
        <v>1096</v>
      </c>
      <c r="C1099" s="848" t="s">
        <v>13144</v>
      </c>
      <c r="D1099" s="849" t="s">
        <v>8007</v>
      </c>
      <c r="E1099" s="848" t="s">
        <v>3344</v>
      </c>
      <c r="F1099" s="848" t="s">
        <v>13151</v>
      </c>
      <c r="G1099" s="850" t="s">
        <v>13152</v>
      </c>
      <c r="H1099" s="849" t="s">
        <v>10716</v>
      </c>
      <c r="I1099" s="849"/>
      <c r="J1099" s="851">
        <v>14567.87</v>
      </c>
      <c r="K1099" s="848" t="s">
        <v>13153</v>
      </c>
    </row>
    <row r="1100" spans="2:11">
      <c r="B1100" s="848">
        <v>1097</v>
      </c>
      <c r="C1100" s="848" t="s">
        <v>13144</v>
      </c>
      <c r="D1100" s="849" t="s">
        <v>8007</v>
      </c>
      <c r="E1100" s="848" t="s">
        <v>3344</v>
      </c>
      <c r="F1100" s="848" t="s">
        <v>13154</v>
      </c>
      <c r="G1100" s="850" t="s">
        <v>13155</v>
      </c>
      <c r="H1100" s="849" t="s">
        <v>10716</v>
      </c>
      <c r="I1100" s="849"/>
      <c r="J1100" s="851">
        <v>451.6</v>
      </c>
      <c r="K1100" s="848" t="s">
        <v>13156</v>
      </c>
    </row>
    <row r="1101" spans="2:11">
      <c r="B1101" s="848">
        <v>1098</v>
      </c>
      <c r="C1101" s="848" t="s">
        <v>13144</v>
      </c>
      <c r="D1101" s="849" t="s">
        <v>8007</v>
      </c>
      <c r="E1101" s="848" t="s">
        <v>3344</v>
      </c>
      <c r="F1101" s="848" t="s">
        <v>12403</v>
      </c>
      <c r="G1101" s="850" t="s">
        <v>13157</v>
      </c>
      <c r="H1101" s="849" t="s">
        <v>10716</v>
      </c>
      <c r="I1101" s="849"/>
      <c r="J1101" s="851">
        <v>451.6</v>
      </c>
      <c r="K1101" s="848" t="s">
        <v>13158</v>
      </c>
    </row>
    <row r="1102" spans="2:11">
      <c r="B1102" s="848">
        <v>1099</v>
      </c>
      <c r="C1102" s="848" t="s">
        <v>13144</v>
      </c>
      <c r="D1102" s="849" t="s">
        <v>8007</v>
      </c>
      <c r="E1102" s="848" t="s">
        <v>3344</v>
      </c>
      <c r="F1102" s="848" t="s">
        <v>13159</v>
      </c>
      <c r="G1102" s="850" t="s">
        <v>13160</v>
      </c>
      <c r="H1102" s="849" t="s">
        <v>10716</v>
      </c>
      <c r="I1102" s="849"/>
      <c r="J1102" s="851">
        <v>613.38</v>
      </c>
      <c r="K1102" s="848" t="s">
        <v>13161</v>
      </c>
    </row>
    <row r="1103" spans="2:11">
      <c r="B1103" s="848">
        <v>1100</v>
      </c>
      <c r="C1103" s="848" t="s">
        <v>13144</v>
      </c>
      <c r="D1103" s="849" t="s">
        <v>8007</v>
      </c>
      <c r="E1103" s="848" t="s">
        <v>3344</v>
      </c>
      <c r="F1103" s="848" t="s">
        <v>11080</v>
      </c>
      <c r="G1103" s="850" t="s">
        <v>13162</v>
      </c>
      <c r="H1103" s="849" t="s">
        <v>10716</v>
      </c>
      <c r="I1103" s="849"/>
      <c r="J1103" s="851">
        <v>7.67</v>
      </c>
      <c r="K1103" s="848" t="s">
        <v>13163</v>
      </c>
    </row>
    <row r="1104" spans="2:11">
      <c r="B1104" s="848">
        <v>1101</v>
      </c>
      <c r="C1104" s="848" t="s">
        <v>13144</v>
      </c>
      <c r="D1104" s="849" t="s">
        <v>8007</v>
      </c>
      <c r="E1104" s="848" t="s">
        <v>3344</v>
      </c>
      <c r="F1104" s="848" t="s">
        <v>11699</v>
      </c>
      <c r="G1104" s="850" t="s">
        <v>13164</v>
      </c>
      <c r="H1104" s="849" t="s">
        <v>10716</v>
      </c>
      <c r="I1104" s="849"/>
      <c r="J1104" s="851">
        <v>7.25</v>
      </c>
      <c r="K1104" s="848" t="s">
        <v>13163</v>
      </c>
    </row>
    <row r="1105" spans="2:11">
      <c r="B1105" s="848">
        <v>1102</v>
      </c>
      <c r="C1105" s="848" t="s">
        <v>13144</v>
      </c>
      <c r="D1105" s="849" t="s">
        <v>8007</v>
      </c>
      <c r="E1105" s="848" t="s">
        <v>3344</v>
      </c>
      <c r="F1105" s="848" t="s">
        <v>11078</v>
      </c>
      <c r="G1105" s="850" t="s">
        <v>12760</v>
      </c>
      <c r="H1105" s="849" t="s">
        <v>10716</v>
      </c>
      <c r="I1105" s="849"/>
      <c r="J1105" s="851">
        <v>15.34</v>
      </c>
      <c r="K1105" s="848" t="s">
        <v>13165</v>
      </c>
    </row>
    <row r="1106" spans="2:11">
      <c r="B1106" s="848">
        <v>1103</v>
      </c>
      <c r="C1106" s="848" t="s">
        <v>13144</v>
      </c>
      <c r="D1106" s="849" t="s">
        <v>8007</v>
      </c>
      <c r="E1106" s="848" t="s">
        <v>3344</v>
      </c>
      <c r="F1106" s="848" t="s">
        <v>10751</v>
      </c>
      <c r="G1106" s="850" t="s">
        <v>12866</v>
      </c>
      <c r="H1106" s="849" t="s">
        <v>10716</v>
      </c>
      <c r="I1106" s="849"/>
      <c r="J1106" s="851">
        <v>4.74</v>
      </c>
      <c r="K1106" s="848" t="s">
        <v>13166</v>
      </c>
    </row>
    <row r="1107" spans="2:11">
      <c r="B1107" s="848">
        <v>1104</v>
      </c>
      <c r="C1107" s="848" t="s">
        <v>13144</v>
      </c>
      <c r="D1107" s="849" t="s">
        <v>8007</v>
      </c>
      <c r="E1107" s="848" t="s">
        <v>3344</v>
      </c>
      <c r="F1107" s="848" t="s">
        <v>11074</v>
      </c>
      <c r="G1107" s="850" t="s">
        <v>13167</v>
      </c>
      <c r="H1107" s="849" t="s">
        <v>10716</v>
      </c>
      <c r="I1107" s="849"/>
      <c r="J1107" s="851">
        <v>7.67</v>
      </c>
      <c r="K1107" s="848" t="s">
        <v>13166</v>
      </c>
    </row>
    <row r="1108" spans="2:11">
      <c r="B1108" s="848">
        <v>1105</v>
      </c>
      <c r="C1108" s="848" t="s">
        <v>13144</v>
      </c>
      <c r="D1108" s="849" t="s">
        <v>8007</v>
      </c>
      <c r="E1108" s="848" t="s">
        <v>3344</v>
      </c>
      <c r="F1108" s="848" t="s">
        <v>12496</v>
      </c>
      <c r="G1108" s="850" t="s">
        <v>13149</v>
      </c>
      <c r="H1108" s="849" t="s">
        <v>10716</v>
      </c>
      <c r="I1108" s="849"/>
      <c r="J1108" s="851">
        <v>4.74</v>
      </c>
      <c r="K1108" s="848" t="s">
        <v>13168</v>
      </c>
    </row>
    <row r="1109" spans="2:11">
      <c r="B1109" s="848">
        <v>1106</v>
      </c>
      <c r="C1109" s="848" t="s">
        <v>13144</v>
      </c>
      <c r="D1109" s="849" t="s">
        <v>8007</v>
      </c>
      <c r="E1109" s="848" t="s">
        <v>3344</v>
      </c>
      <c r="F1109" s="848" t="s">
        <v>12977</v>
      </c>
      <c r="G1109" s="850" t="s">
        <v>12855</v>
      </c>
      <c r="H1109" s="849" t="s">
        <v>10716</v>
      </c>
      <c r="I1109" s="849"/>
      <c r="J1109" s="851">
        <v>15.34</v>
      </c>
      <c r="K1109" s="848" t="s">
        <v>13168</v>
      </c>
    </row>
    <row r="1110" spans="2:11">
      <c r="B1110" s="848">
        <v>1107</v>
      </c>
      <c r="C1110" s="848" t="s">
        <v>13144</v>
      </c>
      <c r="D1110" s="849" t="s">
        <v>8007</v>
      </c>
      <c r="E1110" s="848" t="s">
        <v>3344</v>
      </c>
      <c r="F1110" s="848" t="s">
        <v>13169</v>
      </c>
      <c r="G1110" s="850" t="s">
        <v>12869</v>
      </c>
      <c r="H1110" s="849" t="s">
        <v>10716</v>
      </c>
      <c r="I1110" s="849"/>
      <c r="J1110" s="851">
        <v>3.84</v>
      </c>
      <c r="K1110" s="848" t="s">
        <v>13170</v>
      </c>
    </row>
    <row r="1111" spans="2:11">
      <c r="B1111" s="848">
        <v>1108</v>
      </c>
      <c r="C1111" s="848" t="s">
        <v>13144</v>
      </c>
      <c r="D1111" s="849" t="s">
        <v>8007</v>
      </c>
      <c r="E1111" s="848" t="s">
        <v>3344</v>
      </c>
      <c r="F1111" s="848" t="s">
        <v>13171</v>
      </c>
      <c r="G1111" s="850" t="s">
        <v>13151</v>
      </c>
      <c r="H1111" s="849" t="s">
        <v>10716</v>
      </c>
      <c r="I1111" s="849"/>
      <c r="J1111" s="851">
        <v>15.34</v>
      </c>
      <c r="K1111" s="848" t="s">
        <v>13172</v>
      </c>
    </row>
    <row r="1112" spans="2:11">
      <c r="B1112" s="848">
        <v>1109</v>
      </c>
      <c r="C1112" s="848" t="s">
        <v>13144</v>
      </c>
      <c r="D1112" s="849" t="s">
        <v>8007</v>
      </c>
      <c r="E1112" s="848" t="s">
        <v>3344</v>
      </c>
      <c r="F1112" s="848" t="s">
        <v>12435</v>
      </c>
      <c r="G1112" s="850" t="s">
        <v>13117</v>
      </c>
      <c r="H1112" s="849" t="s">
        <v>10716</v>
      </c>
      <c r="I1112" s="849"/>
      <c r="J1112" s="851">
        <v>6.89</v>
      </c>
      <c r="K1112" s="848" t="s">
        <v>13173</v>
      </c>
    </row>
    <row r="1113" spans="2:11">
      <c r="B1113" s="848">
        <v>1110</v>
      </c>
      <c r="C1113" s="848" t="s">
        <v>13144</v>
      </c>
      <c r="D1113" s="849" t="s">
        <v>8007</v>
      </c>
      <c r="E1113" s="848" t="s">
        <v>3344</v>
      </c>
      <c r="F1113" s="848" t="s">
        <v>10840</v>
      </c>
      <c r="G1113" s="850" t="s">
        <v>12901</v>
      </c>
      <c r="H1113" s="849" t="s">
        <v>10716</v>
      </c>
      <c r="I1113" s="849"/>
      <c r="J1113" s="851">
        <v>13.77</v>
      </c>
      <c r="K1113" s="848" t="s">
        <v>13174</v>
      </c>
    </row>
    <row r="1114" spans="2:11">
      <c r="B1114" s="848">
        <v>1111</v>
      </c>
      <c r="C1114" s="848" t="s">
        <v>13144</v>
      </c>
      <c r="D1114" s="849" t="s">
        <v>8007</v>
      </c>
      <c r="E1114" s="848" t="s">
        <v>3344</v>
      </c>
      <c r="F1114" s="848" t="s">
        <v>13175</v>
      </c>
      <c r="G1114" s="850" t="s">
        <v>12858</v>
      </c>
      <c r="H1114" s="849" t="s">
        <v>10716</v>
      </c>
      <c r="I1114" s="849"/>
      <c r="J1114" s="851">
        <v>95.02</v>
      </c>
      <c r="K1114" s="848" t="s">
        <v>13176</v>
      </c>
    </row>
    <row r="1115" spans="2:11">
      <c r="B1115" s="848">
        <v>1112</v>
      </c>
      <c r="C1115" s="848" t="s">
        <v>13144</v>
      </c>
      <c r="D1115" s="849" t="s">
        <v>8007</v>
      </c>
      <c r="E1115" s="848" t="s">
        <v>3344</v>
      </c>
      <c r="F1115" s="848" t="s">
        <v>13005</v>
      </c>
      <c r="G1115" s="850" t="s">
        <v>13115</v>
      </c>
      <c r="H1115" s="849" t="s">
        <v>10716</v>
      </c>
      <c r="I1115" s="849"/>
      <c r="J1115" s="851">
        <v>165.24</v>
      </c>
      <c r="K1115" s="848" t="s">
        <v>13177</v>
      </c>
    </row>
    <row r="1116" spans="2:11">
      <c r="B1116" s="848">
        <v>1113</v>
      </c>
      <c r="C1116" s="848" t="s">
        <v>13144</v>
      </c>
      <c r="D1116" s="849" t="s">
        <v>8007</v>
      </c>
      <c r="E1116" s="848" t="s">
        <v>3344</v>
      </c>
      <c r="F1116" s="848" t="s">
        <v>13178</v>
      </c>
      <c r="G1116" s="850" t="s">
        <v>13116</v>
      </c>
      <c r="H1116" s="849" t="s">
        <v>10716</v>
      </c>
      <c r="I1116" s="849"/>
      <c r="J1116" s="851">
        <v>560.1</v>
      </c>
      <c r="K1116" s="848" t="s">
        <v>13179</v>
      </c>
    </row>
    <row r="1117" spans="2:11">
      <c r="B1117" s="848">
        <v>1114</v>
      </c>
      <c r="C1117" s="848" t="s">
        <v>13144</v>
      </c>
      <c r="D1117" s="849" t="s">
        <v>8007</v>
      </c>
      <c r="E1117" s="848" t="s">
        <v>3344</v>
      </c>
      <c r="F1117" s="848" t="s">
        <v>13180</v>
      </c>
      <c r="G1117" s="850" t="s">
        <v>13147</v>
      </c>
      <c r="H1117" s="849" t="s">
        <v>10716</v>
      </c>
      <c r="I1117" s="849"/>
      <c r="J1117" s="851">
        <v>7.67</v>
      </c>
      <c r="K1117" s="848" t="s">
        <v>13181</v>
      </c>
    </row>
    <row r="1118" spans="2:11">
      <c r="B1118" s="848">
        <v>1115</v>
      </c>
      <c r="C1118" s="848" t="s">
        <v>13144</v>
      </c>
      <c r="D1118" s="849" t="s">
        <v>8007</v>
      </c>
      <c r="E1118" s="848" t="s">
        <v>13182</v>
      </c>
      <c r="F1118" s="848" t="s">
        <v>12774</v>
      </c>
      <c r="G1118" s="850" t="s">
        <v>13183</v>
      </c>
      <c r="H1118" s="849" t="s">
        <v>10716</v>
      </c>
      <c r="I1118" s="849"/>
      <c r="J1118" s="851">
        <v>3.84</v>
      </c>
      <c r="K1118" s="848" t="s">
        <v>13146</v>
      </c>
    </row>
    <row r="1119" spans="2:11">
      <c r="B1119" s="848">
        <v>1116</v>
      </c>
      <c r="C1119" s="848" t="s">
        <v>13184</v>
      </c>
      <c r="D1119" s="849" t="s">
        <v>13185</v>
      </c>
      <c r="E1119" s="848" t="s">
        <v>11136</v>
      </c>
      <c r="F1119" s="848" t="s">
        <v>11290</v>
      </c>
      <c r="G1119" s="850" t="s">
        <v>10749</v>
      </c>
      <c r="H1119" s="849" t="s">
        <v>10716</v>
      </c>
      <c r="I1119" s="849"/>
      <c r="J1119" s="851">
        <v>28.09</v>
      </c>
      <c r="K1119" s="848" t="s">
        <v>13186</v>
      </c>
    </row>
    <row r="1120" spans="2:11">
      <c r="B1120" s="848">
        <v>1117</v>
      </c>
      <c r="C1120" s="848" t="s">
        <v>13184</v>
      </c>
      <c r="D1120" s="849" t="s">
        <v>13185</v>
      </c>
      <c r="E1120" s="848" t="s">
        <v>11136</v>
      </c>
      <c r="F1120" s="848" t="s">
        <v>11126</v>
      </c>
      <c r="G1120" s="850" t="s">
        <v>10749</v>
      </c>
      <c r="H1120" s="849" t="s">
        <v>10716</v>
      </c>
      <c r="I1120" s="849"/>
      <c r="J1120" s="851">
        <v>3574.94</v>
      </c>
      <c r="K1120" s="848" t="s">
        <v>13187</v>
      </c>
    </row>
    <row r="1121" spans="2:11">
      <c r="B1121" s="848">
        <v>1118</v>
      </c>
      <c r="C1121" s="848" t="s">
        <v>13184</v>
      </c>
      <c r="D1121" s="849" t="s">
        <v>13185</v>
      </c>
      <c r="E1121" s="848" t="s">
        <v>11136</v>
      </c>
      <c r="F1121" s="848" t="s">
        <v>11293</v>
      </c>
      <c r="G1121" s="850" t="s">
        <v>10749</v>
      </c>
      <c r="H1121" s="849" t="s">
        <v>10716</v>
      </c>
      <c r="I1121" s="849"/>
      <c r="J1121" s="851">
        <v>32.770000000000003</v>
      </c>
      <c r="K1121" s="848" t="s">
        <v>13188</v>
      </c>
    </row>
    <row r="1122" spans="2:11">
      <c r="B1122" s="848">
        <v>1119</v>
      </c>
      <c r="C1122" s="848" t="s">
        <v>13184</v>
      </c>
      <c r="D1122" s="849" t="s">
        <v>13185</v>
      </c>
      <c r="E1122" s="848" t="s">
        <v>11136</v>
      </c>
      <c r="F1122" s="848" t="s">
        <v>10935</v>
      </c>
      <c r="G1122" s="850" t="s">
        <v>13189</v>
      </c>
      <c r="H1122" s="849" t="s">
        <v>10716</v>
      </c>
      <c r="I1122" s="849"/>
      <c r="J1122" s="851">
        <v>474.12</v>
      </c>
      <c r="K1122" s="848" t="s">
        <v>13190</v>
      </c>
    </row>
    <row r="1123" spans="2:11">
      <c r="B1123" s="848">
        <v>1120</v>
      </c>
      <c r="C1123" s="848" t="s">
        <v>13184</v>
      </c>
      <c r="D1123" s="849" t="s">
        <v>13185</v>
      </c>
      <c r="E1123" s="848" t="s">
        <v>11136</v>
      </c>
      <c r="F1123" s="848" t="s">
        <v>10918</v>
      </c>
      <c r="G1123" s="850" t="s">
        <v>13191</v>
      </c>
      <c r="H1123" s="849" t="s">
        <v>10716</v>
      </c>
      <c r="I1123" s="849"/>
      <c r="J1123" s="851">
        <v>355.59</v>
      </c>
      <c r="K1123" s="848" t="s">
        <v>13192</v>
      </c>
    </row>
    <row r="1124" spans="2:11">
      <c r="B1124" s="848">
        <v>1121</v>
      </c>
      <c r="C1124" s="848" t="s">
        <v>13184</v>
      </c>
      <c r="D1124" s="849" t="s">
        <v>13185</v>
      </c>
      <c r="E1124" s="848" t="s">
        <v>11136</v>
      </c>
      <c r="F1124" s="848" t="s">
        <v>10937</v>
      </c>
      <c r="G1124" s="850" t="s">
        <v>13193</v>
      </c>
      <c r="H1124" s="849" t="s">
        <v>10716</v>
      </c>
      <c r="I1124" s="849"/>
      <c r="J1124" s="851">
        <v>592.65</v>
      </c>
      <c r="K1124" s="848" t="s">
        <v>13194</v>
      </c>
    </row>
    <row r="1125" spans="2:11" ht="25">
      <c r="B1125" s="848">
        <v>1122</v>
      </c>
      <c r="C1125" s="848" t="s">
        <v>13195</v>
      </c>
      <c r="D1125" s="849" t="s">
        <v>13196</v>
      </c>
      <c r="E1125" s="848" t="s">
        <v>10778</v>
      </c>
      <c r="F1125" s="848" t="s">
        <v>11482</v>
      </c>
      <c r="G1125" s="850" t="s">
        <v>13197</v>
      </c>
      <c r="H1125" s="849" t="s">
        <v>10716</v>
      </c>
      <c r="I1125" s="849"/>
      <c r="J1125" s="851">
        <v>19.18</v>
      </c>
      <c r="K1125" s="848" t="s">
        <v>13198</v>
      </c>
    </row>
    <row r="1126" spans="2:11" ht="25">
      <c r="B1126" s="848">
        <v>1123</v>
      </c>
      <c r="C1126" s="848" t="s">
        <v>13195</v>
      </c>
      <c r="D1126" s="849" t="s">
        <v>13196</v>
      </c>
      <c r="E1126" s="848" t="s">
        <v>10778</v>
      </c>
      <c r="F1126" s="848" t="s">
        <v>13199</v>
      </c>
      <c r="G1126" s="850" t="s">
        <v>13200</v>
      </c>
      <c r="H1126" s="849" t="s">
        <v>10716</v>
      </c>
      <c r="I1126" s="849"/>
      <c r="J1126" s="851">
        <v>19.18</v>
      </c>
      <c r="K1126" s="848" t="s">
        <v>13201</v>
      </c>
    </row>
    <row r="1127" spans="2:11">
      <c r="B1127" s="848">
        <v>1124</v>
      </c>
      <c r="C1127" s="848" t="s">
        <v>13202</v>
      </c>
      <c r="D1127" s="849" t="s">
        <v>316</v>
      </c>
      <c r="E1127" s="848" t="s">
        <v>13203</v>
      </c>
      <c r="F1127" s="848" t="s">
        <v>13204</v>
      </c>
      <c r="G1127" s="850" t="s">
        <v>12610</v>
      </c>
      <c r="H1127" s="849" t="s">
        <v>10716</v>
      </c>
      <c r="I1127" s="849"/>
      <c r="J1127" s="851">
        <v>18.47</v>
      </c>
      <c r="K1127" s="848" t="s">
        <v>6755</v>
      </c>
    </row>
    <row r="1128" spans="2:11" ht="25">
      <c r="B1128" s="848">
        <v>1125</v>
      </c>
      <c r="C1128" s="848" t="s">
        <v>13205</v>
      </c>
      <c r="D1128" s="849" t="s">
        <v>996</v>
      </c>
      <c r="E1128" s="848" t="s">
        <v>10778</v>
      </c>
      <c r="F1128" s="848" t="s">
        <v>11451</v>
      </c>
      <c r="G1128" s="850" t="s">
        <v>12657</v>
      </c>
      <c r="H1128" s="849" t="s">
        <v>10716</v>
      </c>
      <c r="I1128" s="849"/>
      <c r="J1128" s="851">
        <v>763.73</v>
      </c>
      <c r="K1128" s="848" t="s">
        <v>13206</v>
      </c>
    </row>
    <row r="1129" spans="2:11" ht="25">
      <c r="B1129" s="848">
        <v>1126</v>
      </c>
      <c r="C1129" s="848" t="s">
        <v>13205</v>
      </c>
      <c r="D1129" s="849" t="s">
        <v>996</v>
      </c>
      <c r="E1129" s="848" t="s">
        <v>10778</v>
      </c>
      <c r="F1129" s="848" t="s">
        <v>11158</v>
      </c>
      <c r="G1129" s="850" t="s">
        <v>10792</v>
      </c>
      <c r="H1129" s="849" t="s">
        <v>10716</v>
      </c>
      <c r="I1129" s="849"/>
      <c r="J1129" s="851">
        <v>998.34</v>
      </c>
      <c r="K1129" s="848" t="s">
        <v>13206</v>
      </c>
    </row>
    <row r="1130" spans="2:11" ht="25">
      <c r="B1130" s="848">
        <v>1127</v>
      </c>
      <c r="C1130" s="848" t="s">
        <v>13205</v>
      </c>
      <c r="D1130" s="849" t="s">
        <v>996</v>
      </c>
      <c r="E1130" s="848" t="s">
        <v>10778</v>
      </c>
      <c r="F1130" s="848" t="s">
        <v>13207</v>
      </c>
      <c r="G1130" s="850" t="s">
        <v>13208</v>
      </c>
      <c r="H1130" s="849" t="s">
        <v>10716</v>
      </c>
      <c r="I1130" s="849"/>
      <c r="J1130" s="851">
        <v>427.86</v>
      </c>
      <c r="K1130" s="848" t="s">
        <v>13209</v>
      </c>
    </row>
    <row r="1131" spans="2:11" ht="25">
      <c r="B1131" s="848">
        <v>1128</v>
      </c>
      <c r="C1131" s="848" t="s">
        <v>13205</v>
      </c>
      <c r="D1131" s="849" t="s">
        <v>996</v>
      </c>
      <c r="E1131" s="848" t="s">
        <v>10778</v>
      </c>
      <c r="F1131" s="848" t="s">
        <v>11558</v>
      </c>
      <c r="G1131" s="850" t="s">
        <v>10779</v>
      </c>
      <c r="H1131" s="849" t="s">
        <v>10716</v>
      </c>
      <c r="I1131" s="849"/>
      <c r="J1131" s="851">
        <v>327.31</v>
      </c>
      <c r="K1131" s="848" t="s">
        <v>13209</v>
      </c>
    </row>
    <row r="1132" spans="2:11" ht="25">
      <c r="B1132" s="848">
        <v>1129</v>
      </c>
      <c r="C1132" s="848" t="s">
        <v>13205</v>
      </c>
      <c r="D1132" s="849" t="s">
        <v>996</v>
      </c>
      <c r="E1132" s="848" t="s">
        <v>10778</v>
      </c>
      <c r="F1132" s="848" t="s">
        <v>11560</v>
      </c>
      <c r="G1132" s="850" t="s">
        <v>10784</v>
      </c>
      <c r="H1132" s="849" t="s">
        <v>10716</v>
      </c>
      <c r="I1132" s="849"/>
      <c r="J1132" s="851">
        <v>454.6</v>
      </c>
      <c r="K1132" s="848" t="s">
        <v>13210</v>
      </c>
    </row>
    <row r="1133" spans="2:11" ht="25">
      <c r="B1133" s="848">
        <v>1130</v>
      </c>
      <c r="C1133" s="848" t="s">
        <v>13205</v>
      </c>
      <c r="D1133" s="849" t="s">
        <v>996</v>
      </c>
      <c r="E1133" s="848" t="s">
        <v>10778</v>
      </c>
      <c r="F1133" s="848" t="s">
        <v>13211</v>
      </c>
      <c r="G1133" s="850" t="s">
        <v>12715</v>
      </c>
      <c r="H1133" s="849" t="s">
        <v>10716</v>
      </c>
      <c r="I1133" s="849"/>
      <c r="J1133" s="851">
        <v>594.25</v>
      </c>
      <c r="K1133" s="848" t="s">
        <v>13210</v>
      </c>
    </row>
    <row r="1134" spans="2:11" ht="25">
      <c r="B1134" s="848">
        <v>1131</v>
      </c>
      <c r="C1134" s="848" t="s">
        <v>13205</v>
      </c>
      <c r="D1134" s="849" t="s">
        <v>996</v>
      </c>
      <c r="E1134" s="848" t="s">
        <v>10778</v>
      </c>
      <c r="F1134" s="848" t="s">
        <v>11551</v>
      </c>
      <c r="G1134" s="850" t="s">
        <v>10798</v>
      </c>
      <c r="H1134" s="849" t="s">
        <v>10716</v>
      </c>
      <c r="I1134" s="849"/>
      <c r="J1134" s="851">
        <v>654.63</v>
      </c>
      <c r="K1134" s="848" t="s">
        <v>13212</v>
      </c>
    </row>
    <row r="1135" spans="2:11" ht="25">
      <c r="B1135" s="848">
        <v>1132</v>
      </c>
      <c r="C1135" s="848" t="s">
        <v>13205</v>
      </c>
      <c r="D1135" s="849" t="s">
        <v>996</v>
      </c>
      <c r="E1135" s="848" t="s">
        <v>10778</v>
      </c>
      <c r="F1135" s="848" t="s">
        <v>13213</v>
      </c>
      <c r="G1135" s="850" t="s">
        <v>10795</v>
      </c>
      <c r="H1135" s="849" t="s">
        <v>10716</v>
      </c>
      <c r="I1135" s="849"/>
      <c r="J1135" s="851">
        <v>855.72</v>
      </c>
      <c r="K1135" s="848" t="s">
        <v>13212</v>
      </c>
    </row>
    <row r="1136" spans="2:11" ht="25">
      <c r="B1136" s="848">
        <v>1133</v>
      </c>
      <c r="C1136" s="848" t="s">
        <v>13205</v>
      </c>
      <c r="D1136" s="849" t="s">
        <v>996</v>
      </c>
      <c r="E1136" s="848" t="s">
        <v>10778</v>
      </c>
      <c r="F1136" s="848" t="s">
        <v>11606</v>
      </c>
      <c r="G1136" s="850" t="s">
        <v>13214</v>
      </c>
      <c r="H1136" s="849" t="s">
        <v>10716</v>
      </c>
      <c r="I1136" s="849"/>
      <c r="J1136" s="851">
        <v>418.23</v>
      </c>
      <c r="K1136" s="848" t="s">
        <v>13215</v>
      </c>
    </row>
    <row r="1137" spans="2:11" ht="25">
      <c r="B1137" s="848">
        <v>1134</v>
      </c>
      <c r="C1137" s="848" t="s">
        <v>13205</v>
      </c>
      <c r="D1137" s="849" t="s">
        <v>996</v>
      </c>
      <c r="E1137" s="848" t="s">
        <v>10778</v>
      </c>
      <c r="F1137" s="848" t="s">
        <v>12203</v>
      </c>
      <c r="G1137" s="850" t="s">
        <v>10761</v>
      </c>
      <c r="H1137" s="849" t="s">
        <v>10716</v>
      </c>
      <c r="I1137" s="849"/>
      <c r="J1137" s="851">
        <v>546.71</v>
      </c>
      <c r="K1137" s="848" t="s">
        <v>13215</v>
      </c>
    </row>
    <row r="1138" spans="2:11" ht="25">
      <c r="B1138" s="848">
        <v>1135</v>
      </c>
      <c r="C1138" s="848" t="s">
        <v>13205</v>
      </c>
      <c r="D1138" s="849" t="s">
        <v>996</v>
      </c>
      <c r="E1138" s="848" t="s">
        <v>10778</v>
      </c>
      <c r="F1138" s="848" t="s">
        <v>11608</v>
      </c>
      <c r="G1138" s="850" t="s">
        <v>10758</v>
      </c>
      <c r="H1138" s="849" t="s">
        <v>10716</v>
      </c>
      <c r="I1138" s="849"/>
      <c r="J1138" s="851">
        <v>345.5</v>
      </c>
      <c r="K1138" s="848" t="s">
        <v>13216</v>
      </c>
    </row>
    <row r="1139" spans="2:11" ht="25">
      <c r="B1139" s="848">
        <v>1136</v>
      </c>
      <c r="C1139" s="848" t="s">
        <v>13205</v>
      </c>
      <c r="D1139" s="849" t="s">
        <v>996</v>
      </c>
      <c r="E1139" s="848" t="s">
        <v>10778</v>
      </c>
      <c r="F1139" s="848" t="s">
        <v>13217</v>
      </c>
      <c r="G1139" s="850" t="s">
        <v>10789</v>
      </c>
      <c r="H1139" s="849" t="s">
        <v>10716</v>
      </c>
      <c r="I1139" s="849"/>
      <c r="J1139" s="851">
        <v>451.63</v>
      </c>
      <c r="K1139" s="848" t="s">
        <v>13216</v>
      </c>
    </row>
    <row r="1140" spans="2:11" ht="25">
      <c r="B1140" s="848">
        <v>1137</v>
      </c>
      <c r="C1140" s="848" t="s">
        <v>13205</v>
      </c>
      <c r="D1140" s="849" t="s">
        <v>996</v>
      </c>
      <c r="E1140" s="848" t="s">
        <v>10778</v>
      </c>
      <c r="F1140" s="848" t="s">
        <v>11776</v>
      </c>
      <c r="G1140" s="850" t="s">
        <v>13218</v>
      </c>
      <c r="H1140" s="849" t="s">
        <v>10716</v>
      </c>
      <c r="I1140" s="849"/>
      <c r="J1140" s="851">
        <v>451.63</v>
      </c>
      <c r="K1140" s="848" t="s">
        <v>13219</v>
      </c>
    </row>
    <row r="1141" spans="2:11" ht="25">
      <c r="B1141" s="848">
        <v>1138</v>
      </c>
      <c r="C1141" s="848" t="s">
        <v>13205</v>
      </c>
      <c r="D1141" s="849" t="s">
        <v>996</v>
      </c>
      <c r="E1141" s="848" t="s">
        <v>10778</v>
      </c>
      <c r="F1141" s="848" t="s">
        <v>11611</v>
      </c>
      <c r="G1141" s="850" t="s">
        <v>12694</v>
      </c>
      <c r="H1141" s="849" t="s">
        <v>10716</v>
      </c>
      <c r="I1141" s="849"/>
      <c r="J1141" s="851">
        <v>345.5</v>
      </c>
      <c r="K1141" s="848" t="s">
        <v>13219</v>
      </c>
    </row>
    <row r="1142" spans="2:11" ht="25">
      <c r="B1142" s="848">
        <v>1139</v>
      </c>
      <c r="C1142" s="848" t="s">
        <v>13205</v>
      </c>
      <c r="D1142" s="849" t="s">
        <v>996</v>
      </c>
      <c r="E1142" s="848" t="s">
        <v>10778</v>
      </c>
      <c r="F1142" s="848" t="s">
        <v>11614</v>
      </c>
      <c r="G1142" s="850" t="s">
        <v>12654</v>
      </c>
      <c r="H1142" s="849" t="s">
        <v>10716</v>
      </c>
      <c r="I1142" s="849"/>
      <c r="J1142" s="851">
        <v>600.07000000000005</v>
      </c>
      <c r="K1142" s="848" t="s">
        <v>13220</v>
      </c>
    </row>
    <row r="1143" spans="2:11" ht="25">
      <c r="B1143" s="848">
        <v>1140</v>
      </c>
      <c r="C1143" s="848" t="s">
        <v>13205</v>
      </c>
      <c r="D1143" s="849" t="s">
        <v>996</v>
      </c>
      <c r="E1143" s="848" t="s">
        <v>10778</v>
      </c>
      <c r="F1143" s="848" t="s">
        <v>11915</v>
      </c>
      <c r="G1143" s="850" t="s">
        <v>12692</v>
      </c>
      <c r="H1143" s="849" t="s">
        <v>10716</v>
      </c>
      <c r="I1143" s="849"/>
      <c r="J1143" s="851">
        <v>784.41</v>
      </c>
      <c r="K1143" s="848" t="s">
        <v>13220</v>
      </c>
    </row>
    <row r="1144" spans="2:11" ht="25">
      <c r="B1144" s="848">
        <v>1141</v>
      </c>
      <c r="C1144" s="848" t="s">
        <v>13205</v>
      </c>
      <c r="D1144" s="849" t="s">
        <v>996</v>
      </c>
      <c r="E1144" s="848" t="s">
        <v>10778</v>
      </c>
      <c r="F1144" s="848" t="s">
        <v>11918</v>
      </c>
      <c r="G1144" s="850" t="s">
        <v>13221</v>
      </c>
      <c r="H1144" s="849" t="s">
        <v>10716</v>
      </c>
      <c r="I1144" s="849"/>
      <c r="J1144" s="851">
        <v>427.86</v>
      </c>
      <c r="K1144" s="848" t="s">
        <v>13222</v>
      </c>
    </row>
    <row r="1145" spans="2:11" ht="25">
      <c r="B1145" s="848">
        <v>1142</v>
      </c>
      <c r="C1145" s="848" t="s">
        <v>13205</v>
      </c>
      <c r="D1145" s="849" t="s">
        <v>996</v>
      </c>
      <c r="E1145" s="848" t="s">
        <v>10778</v>
      </c>
      <c r="F1145" s="848" t="s">
        <v>11650</v>
      </c>
      <c r="G1145" s="850" t="s">
        <v>10755</v>
      </c>
      <c r="H1145" s="849" t="s">
        <v>10716</v>
      </c>
      <c r="I1145" s="849"/>
      <c r="J1145" s="851">
        <v>327.31</v>
      </c>
      <c r="K1145" s="848" t="s">
        <v>13222</v>
      </c>
    </row>
    <row r="1146" spans="2:11" ht="25">
      <c r="B1146" s="848">
        <v>1143</v>
      </c>
      <c r="C1146" s="848" t="s">
        <v>13205</v>
      </c>
      <c r="D1146" s="849" t="s">
        <v>996</v>
      </c>
      <c r="E1146" s="848" t="s">
        <v>10778</v>
      </c>
      <c r="F1146" s="848" t="s">
        <v>11653</v>
      </c>
      <c r="G1146" s="850" t="s">
        <v>10714</v>
      </c>
      <c r="H1146" s="849" t="s">
        <v>10716</v>
      </c>
      <c r="I1146" s="849"/>
      <c r="J1146" s="851">
        <v>600.07000000000005</v>
      </c>
      <c r="K1146" s="848" t="s">
        <v>13223</v>
      </c>
    </row>
    <row r="1147" spans="2:11" ht="25">
      <c r="B1147" s="848">
        <v>1144</v>
      </c>
      <c r="C1147" s="848" t="s">
        <v>13205</v>
      </c>
      <c r="D1147" s="849" t="s">
        <v>996</v>
      </c>
      <c r="E1147" s="848" t="s">
        <v>10778</v>
      </c>
      <c r="F1147" s="848" t="s">
        <v>12679</v>
      </c>
      <c r="G1147" s="850" t="s">
        <v>10800</v>
      </c>
      <c r="H1147" s="849" t="s">
        <v>10716</v>
      </c>
      <c r="I1147" s="849"/>
      <c r="J1147" s="851">
        <v>784.41</v>
      </c>
      <c r="K1147" s="848" t="s">
        <v>13223</v>
      </c>
    </row>
    <row r="1148" spans="2:11" ht="25">
      <c r="B1148" s="848">
        <v>1145</v>
      </c>
      <c r="C1148" s="848" t="s">
        <v>13205</v>
      </c>
      <c r="D1148" s="849" t="s">
        <v>996</v>
      </c>
      <c r="E1148" s="848" t="s">
        <v>10778</v>
      </c>
      <c r="F1148" s="848" t="s">
        <v>13224</v>
      </c>
      <c r="G1148" s="850" t="s">
        <v>12688</v>
      </c>
      <c r="H1148" s="849" t="s">
        <v>10716</v>
      </c>
      <c r="I1148" s="849"/>
      <c r="J1148" s="851">
        <v>831.95</v>
      </c>
      <c r="K1148" s="848" t="s">
        <v>13225</v>
      </c>
    </row>
    <row r="1149" spans="2:11" ht="25">
      <c r="B1149" s="848">
        <v>1146</v>
      </c>
      <c r="C1149" s="848" t="s">
        <v>13205</v>
      </c>
      <c r="D1149" s="849" t="s">
        <v>996</v>
      </c>
      <c r="E1149" s="848" t="s">
        <v>10778</v>
      </c>
      <c r="F1149" s="848" t="s">
        <v>11656</v>
      </c>
      <c r="G1149" s="850" t="s">
        <v>13226</v>
      </c>
      <c r="H1149" s="849" t="s">
        <v>10716</v>
      </c>
      <c r="I1149" s="849"/>
      <c r="J1149" s="851">
        <v>636.44000000000005</v>
      </c>
      <c r="K1149" s="848" t="s">
        <v>13225</v>
      </c>
    </row>
    <row r="1150" spans="2:11" ht="25">
      <c r="B1150" s="848">
        <v>1147</v>
      </c>
      <c r="C1150" s="848" t="s">
        <v>13205</v>
      </c>
      <c r="D1150" s="849" t="s">
        <v>996</v>
      </c>
      <c r="E1150" s="848" t="s">
        <v>10733</v>
      </c>
      <c r="F1150" s="848" t="s">
        <v>13227</v>
      </c>
      <c r="G1150" s="850" t="s">
        <v>13070</v>
      </c>
      <c r="H1150" s="849" t="s">
        <v>10716</v>
      </c>
      <c r="I1150" s="849"/>
      <c r="J1150" s="851">
        <v>2514</v>
      </c>
      <c r="K1150" s="848" t="s">
        <v>13212</v>
      </c>
    </row>
    <row r="1151" spans="2:11">
      <c r="B1151" s="848">
        <v>1148</v>
      </c>
      <c r="C1151" s="848" t="s">
        <v>12479</v>
      </c>
      <c r="D1151" s="849" t="s">
        <v>983</v>
      </c>
      <c r="E1151" s="848" t="s">
        <v>9441</v>
      </c>
      <c r="F1151" s="848" t="s">
        <v>13228</v>
      </c>
      <c r="G1151" s="850" t="s">
        <v>12574</v>
      </c>
      <c r="H1151" s="849" t="s">
        <v>10716</v>
      </c>
      <c r="I1151" s="849"/>
      <c r="J1151" s="851">
        <v>1426.2</v>
      </c>
      <c r="K1151" s="848" t="s">
        <v>6453</v>
      </c>
    </row>
    <row r="1152" spans="2:11">
      <c r="B1152" s="848">
        <v>1149</v>
      </c>
      <c r="C1152" s="848" t="s">
        <v>12479</v>
      </c>
      <c r="D1152" s="849" t="s">
        <v>983</v>
      </c>
      <c r="E1152" s="848" t="s">
        <v>9441</v>
      </c>
      <c r="F1152" s="848" t="s">
        <v>13229</v>
      </c>
      <c r="G1152" s="850" t="s">
        <v>12577</v>
      </c>
      <c r="H1152" s="849" t="s">
        <v>10716</v>
      </c>
      <c r="I1152" s="849"/>
      <c r="J1152" s="851">
        <v>3304.03</v>
      </c>
      <c r="K1152" s="848" t="s">
        <v>6454</v>
      </c>
    </row>
    <row r="1153" spans="2:11">
      <c r="B1153" s="848">
        <v>1150</v>
      </c>
      <c r="C1153" s="848" t="s">
        <v>12479</v>
      </c>
      <c r="D1153" s="849" t="s">
        <v>983</v>
      </c>
      <c r="E1153" s="848" t="s">
        <v>9441</v>
      </c>
      <c r="F1153" s="848" t="s">
        <v>13230</v>
      </c>
      <c r="G1153" s="850" t="s">
        <v>12571</v>
      </c>
      <c r="H1153" s="849" t="s">
        <v>10716</v>
      </c>
      <c r="I1153" s="849"/>
      <c r="J1153" s="851">
        <v>7915.41</v>
      </c>
      <c r="K1153" s="848" t="s">
        <v>6455</v>
      </c>
    </row>
    <row r="1154" spans="2:11">
      <c r="B1154" s="848">
        <v>1151</v>
      </c>
      <c r="C1154" s="848" t="s">
        <v>12479</v>
      </c>
      <c r="D1154" s="849" t="s">
        <v>983</v>
      </c>
      <c r="E1154" s="848" t="s">
        <v>9441</v>
      </c>
      <c r="F1154" s="848" t="s">
        <v>13231</v>
      </c>
      <c r="G1154" s="850" t="s">
        <v>12561</v>
      </c>
      <c r="H1154" s="849" t="s">
        <v>10716</v>
      </c>
      <c r="I1154" s="849"/>
      <c r="J1154" s="851">
        <v>6394.13</v>
      </c>
      <c r="K1154" s="848" t="s">
        <v>6456</v>
      </c>
    </row>
    <row r="1155" spans="2:11">
      <c r="B1155" s="848">
        <v>1152</v>
      </c>
      <c r="C1155" s="848" t="s">
        <v>12479</v>
      </c>
      <c r="D1155" s="849" t="s">
        <v>983</v>
      </c>
      <c r="E1155" s="848" t="s">
        <v>9441</v>
      </c>
      <c r="F1155" s="848" t="s">
        <v>13232</v>
      </c>
      <c r="G1155" s="850" t="s">
        <v>12563</v>
      </c>
      <c r="H1155" s="849" t="s">
        <v>10716</v>
      </c>
      <c r="I1155" s="849"/>
      <c r="J1155" s="851">
        <v>8105.57</v>
      </c>
      <c r="K1155" s="848" t="s">
        <v>6457</v>
      </c>
    </row>
    <row r="1156" spans="2:11">
      <c r="B1156" s="848">
        <v>1153</v>
      </c>
      <c r="C1156" s="848" t="s">
        <v>12479</v>
      </c>
      <c r="D1156" s="849" t="s">
        <v>983</v>
      </c>
      <c r="E1156" s="848" t="s">
        <v>9441</v>
      </c>
      <c r="F1156" s="848" t="s">
        <v>13124</v>
      </c>
      <c r="G1156" s="850" t="s">
        <v>12580</v>
      </c>
      <c r="H1156" s="849" t="s">
        <v>10716</v>
      </c>
      <c r="I1156" s="849"/>
      <c r="J1156" s="851">
        <v>5871.19</v>
      </c>
      <c r="K1156" s="848" t="s">
        <v>6458</v>
      </c>
    </row>
    <row r="1157" spans="2:11">
      <c r="B1157" s="848">
        <v>1154</v>
      </c>
      <c r="C1157" s="848" t="s">
        <v>12479</v>
      </c>
      <c r="D1157" s="849" t="s">
        <v>983</v>
      </c>
      <c r="E1157" s="848" t="s">
        <v>9441</v>
      </c>
      <c r="F1157" s="848" t="s">
        <v>13233</v>
      </c>
      <c r="G1157" s="850" t="s">
        <v>12565</v>
      </c>
      <c r="H1157" s="849" t="s">
        <v>10716</v>
      </c>
      <c r="I1157" s="849"/>
      <c r="J1157" s="851">
        <v>4706.46</v>
      </c>
      <c r="K1157" s="848" t="s">
        <v>6459</v>
      </c>
    </row>
    <row r="1158" spans="2:11">
      <c r="B1158" s="848">
        <v>1155</v>
      </c>
      <c r="C1158" s="848" t="s">
        <v>12479</v>
      </c>
      <c r="D1158" s="849" t="s">
        <v>983</v>
      </c>
      <c r="E1158" s="848" t="s">
        <v>9441</v>
      </c>
      <c r="F1158" s="848" t="s">
        <v>13234</v>
      </c>
      <c r="G1158" s="850" t="s">
        <v>12568</v>
      </c>
      <c r="H1158" s="849" t="s">
        <v>10716</v>
      </c>
      <c r="I1158" s="849"/>
      <c r="J1158" s="851">
        <v>10149.790000000001</v>
      </c>
      <c r="K1158" s="848" t="s">
        <v>6460</v>
      </c>
    </row>
    <row r="1159" spans="2:11">
      <c r="B1159" s="848">
        <v>1156</v>
      </c>
      <c r="C1159" s="848" t="s">
        <v>7128</v>
      </c>
      <c r="D1159" s="849" t="s">
        <v>1039</v>
      </c>
      <c r="E1159" s="848" t="s">
        <v>10778</v>
      </c>
      <c r="F1159" s="848" t="s">
        <v>10787</v>
      </c>
      <c r="G1159" s="850" t="s">
        <v>13235</v>
      </c>
      <c r="H1159" s="849" t="s">
        <v>10716</v>
      </c>
      <c r="I1159" s="849"/>
      <c r="J1159" s="851">
        <v>306.69</v>
      </c>
      <c r="K1159" s="848" t="s">
        <v>13236</v>
      </c>
    </row>
    <row r="1160" spans="2:11">
      <c r="B1160" s="848">
        <v>1157</v>
      </c>
      <c r="C1160" s="848" t="s">
        <v>13237</v>
      </c>
      <c r="D1160" s="849" t="s">
        <v>446</v>
      </c>
      <c r="E1160" s="848" t="s">
        <v>9477</v>
      </c>
      <c r="F1160" s="848" t="s">
        <v>13238</v>
      </c>
      <c r="G1160" s="850" t="s">
        <v>10749</v>
      </c>
      <c r="H1160" s="849" t="s">
        <v>10716</v>
      </c>
      <c r="I1160" s="849"/>
      <c r="J1160" s="851">
        <v>51240.74</v>
      </c>
      <c r="K1160" s="848" t="s">
        <v>13239</v>
      </c>
    </row>
    <row r="1161" spans="2:11">
      <c r="B1161" s="848">
        <v>1158</v>
      </c>
      <c r="C1161" s="848" t="s">
        <v>13237</v>
      </c>
      <c r="D1161" s="849" t="s">
        <v>446</v>
      </c>
      <c r="E1161" s="848" t="s">
        <v>9477</v>
      </c>
      <c r="F1161" s="848" t="s">
        <v>13240</v>
      </c>
      <c r="G1161" s="850" t="s">
        <v>10749</v>
      </c>
      <c r="H1161" s="849" t="s">
        <v>10716</v>
      </c>
      <c r="I1161" s="849"/>
      <c r="J1161" s="851">
        <v>51102.39</v>
      </c>
      <c r="K1161" s="848" t="s">
        <v>13239</v>
      </c>
    </row>
    <row r="1162" spans="2:11">
      <c r="B1162" s="848">
        <v>1159</v>
      </c>
      <c r="C1162" s="848" t="s">
        <v>13237</v>
      </c>
      <c r="D1162" s="849" t="s">
        <v>446</v>
      </c>
      <c r="E1162" s="848" t="s">
        <v>9477</v>
      </c>
      <c r="F1162" s="848" t="s">
        <v>13241</v>
      </c>
      <c r="G1162" s="850" t="s">
        <v>10749</v>
      </c>
      <c r="H1162" s="849" t="s">
        <v>10716</v>
      </c>
      <c r="I1162" s="849"/>
      <c r="J1162" s="851">
        <v>39897.21</v>
      </c>
      <c r="K1162" s="848" t="s">
        <v>13242</v>
      </c>
    </row>
    <row r="1163" spans="2:11">
      <c r="B1163" s="848">
        <v>1160</v>
      </c>
      <c r="C1163" s="848" t="s">
        <v>13237</v>
      </c>
      <c r="D1163" s="849" t="s">
        <v>446</v>
      </c>
      <c r="E1163" s="848" t="s">
        <v>9477</v>
      </c>
      <c r="F1163" s="848" t="s">
        <v>13227</v>
      </c>
      <c r="G1163" s="850" t="s">
        <v>10749</v>
      </c>
      <c r="H1163" s="849" t="s">
        <v>10716</v>
      </c>
      <c r="I1163" s="849"/>
      <c r="J1163" s="851">
        <v>40005.230000000003</v>
      </c>
      <c r="K1163" s="848" t="s">
        <v>13242</v>
      </c>
    </row>
    <row r="1164" spans="2:11">
      <c r="B1164" s="848">
        <v>1161</v>
      </c>
      <c r="C1164" s="848" t="s">
        <v>13237</v>
      </c>
      <c r="D1164" s="849" t="s">
        <v>446</v>
      </c>
      <c r="E1164" s="848" t="s">
        <v>3350</v>
      </c>
      <c r="F1164" s="848" t="s">
        <v>12759</v>
      </c>
      <c r="G1164" s="850" t="s">
        <v>13243</v>
      </c>
      <c r="H1164" s="849" t="s">
        <v>10716</v>
      </c>
      <c r="I1164" s="849"/>
      <c r="J1164" s="851">
        <v>53079.845000000001</v>
      </c>
      <c r="K1164" s="848" t="s">
        <v>13239</v>
      </c>
    </row>
    <row r="1165" spans="2:11">
      <c r="B1165" s="848">
        <v>1162</v>
      </c>
      <c r="C1165" s="848" t="s">
        <v>13237</v>
      </c>
      <c r="D1165" s="849" t="s">
        <v>446</v>
      </c>
      <c r="E1165" s="848" t="s">
        <v>3350</v>
      </c>
      <c r="F1165" s="848" t="s">
        <v>12753</v>
      </c>
      <c r="G1165" s="850" t="s">
        <v>13244</v>
      </c>
      <c r="H1165" s="849" t="s">
        <v>10716</v>
      </c>
      <c r="I1165" s="849"/>
      <c r="J1165" s="851">
        <v>41441.074999999997</v>
      </c>
      <c r="K1165" s="848" t="s">
        <v>13242</v>
      </c>
    </row>
    <row r="1166" spans="2:11">
      <c r="B1166" s="848">
        <v>1163</v>
      </c>
      <c r="C1166" s="848" t="s">
        <v>13245</v>
      </c>
      <c r="D1166" s="849" t="s">
        <v>7187</v>
      </c>
      <c r="E1166" s="848" t="s">
        <v>9487</v>
      </c>
      <c r="F1166" s="848" t="s">
        <v>13246</v>
      </c>
      <c r="G1166" s="850" t="s">
        <v>13247</v>
      </c>
      <c r="H1166" s="849" t="s">
        <v>10716</v>
      </c>
      <c r="I1166" s="849"/>
      <c r="J1166" s="851">
        <v>12.94</v>
      </c>
      <c r="K1166" s="848" t="s">
        <v>6793</v>
      </c>
    </row>
    <row r="1167" spans="2:11">
      <c r="B1167" s="848">
        <v>1164</v>
      </c>
      <c r="C1167" s="848" t="s">
        <v>13248</v>
      </c>
      <c r="D1167" s="849" t="s">
        <v>7061</v>
      </c>
      <c r="E1167" s="848" t="s">
        <v>3344</v>
      </c>
      <c r="F1167" s="848" t="s">
        <v>12274</v>
      </c>
      <c r="G1167" s="850" t="s">
        <v>13249</v>
      </c>
      <c r="H1167" s="849" t="s">
        <v>10716</v>
      </c>
      <c r="I1167" s="849"/>
      <c r="J1167" s="851">
        <v>13801.14</v>
      </c>
      <c r="K1167" s="848" t="s">
        <v>10982</v>
      </c>
    </row>
    <row r="1168" spans="2:11">
      <c r="B1168" s="848">
        <v>1165</v>
      </c>
      <c r="C1168" s="848" t="s">
        <v>13250</v>
      </c>
      <c r="D1168" s="849" t="s">
        <v>7107</v>
      </c>
      <c r="E1168" s="848" t="s">
        <v>3246</v>
      </c>
      <c r="F1168" s="848" t="s">
        <v>13251</v>
      </c>
      <c r="G1168" s="850" t="s">
        <v>11641</v>
      </c>
      <c r="H1168" s="849" t="s">
        <v>10716</v>
      </c>
      <c r="I1168" s="849"/>
      <c r="J1168" s="851">
        <v>1473.74</v>
      </c>
      <c r="K1168" s="848" t="s">
        <v>13252</v>
      </c>
    </row>
    <row r="1169" spans="2:11">
      <c r="B1169" s="848">
        <v>1166</v>
      </c>
      <c r="C1169" s="848" t="s">
        <v>1420</v>
      </c>
      <c r="D1169" s="849" t="s">
        <v>8087</v>
      </c>
      <c r="E1169" s="848" t="s">
        <v>10778</v>
      </c>
      <c r="F1169" s="848" t="s">
        <v>13253</v>
      </c>
      <c r="G1169" s="850" t="s">
        <v>12526</v>
      </c>
      <c r="H1169" s="849" t="s">
        <v>10716</v>
      </c>
      <c r="I1169" s="849"/>
      <c r="J1169" s="851">
        <v>95.08</v>
      </c>
      <c r="K1169" s="848" t="s">
        <v>5927</v>
      </c>
    </row>
    <row r="1170" spans="2:11">
      <c r="B1170" s="848">
        <v>1167</v>
      </c>
      <c r="C1170" s="848" t="s">
        <v>1420</v>
      </c>
      <c r="D1170" s="849" t="s">
        <v>8087</v>
      </c>
      <c r="E1170" s="848" t="s">
        <v>10778</v>
      </c>
      <c r="F1170" s="848" t="s">
        <v>12959</v>
      </c>
      <c r="G1170" s="850" t="s">
        <v>11860</v>
      </c>
      <c r="H1170" s="849" t="s">
        <v>10716</v>
      </c>
      <c r="I1170" s="849"/>
      <c r="J1170" s="851">
        <v>11.51</v>
      </c>
      <c r="K1170" s="848" t="s">
        <v>13254</v>
      </c>
    </row>
    <row r="1171" spans="2:11">
      <c r="B1171" s="848">
        <v>1168</v>
      </c>
      <c r="C1171" s="848" t="s">
        <v>13255</v>
      </c>
      <c r="D1171" s="849" t="s">
        <v>122</v>
      </c>
      <c r="E1171" s="848" t="s">
        <v>3344</v>
      </c>
      <c r="F1171" s="848" t="s">
        <v>12304</v>
      </c>
      <c r="G1171" s="850" t="s">
        <v>13256</v>
      </c>
      <c r="H1171" s="849" t="s">
        <v>10716</v>
      </c>
      <c r="I1171" s="849"/>
      <c r="J1171" s="851">
        <v>54490.61</v>
      </c>
      <c r="K1171" s="848" t="s">
        <v>13257</v>
      </c>
    </row>
    <row r="1172" spans="2:11">
      <c r="B1172" s="848">
        <v>1169</v>
      </c>
      <c r="C1172" s="848" t="s">
        <v>13255</v>
      </c>
      <c r="D1172" s="849" t="s">
        <v>122</v>
      </c>
      <c r="E1172" s="848" t="s">
        <v>3344</v>
      </c>
      <c r="F1172" s="848" t="s">
        <v>12302</v>
      </c>
      <c r="G1172" s="850" t="s">
        <v>13258</v>
      </c>
      <c r="H1172" s="849" t="s">
        <v>10716</v>
      </c>
      <c r="I1172" s="849"/>
      <c r="J1172" s="851">
        <v>70538</v>
      </c>
      <c r="K1172" s="848" t="s">
        <v>13259</v>
      </c>
    </row>
    <row r="1173" spans="2:11">
      <c r="B1173" s="848">
        <v>1170</v>
      </c>
      <c r="C1173" s="848" t="s">
        <v>13255</v>
      </c>
      <c r="D1173" s="849" t="s">
        <v>122</v>
      </c>
      <c r="E1173" s="848" t="s">
        <v>11161</v>
      </c>
      <c r="F1173" s="848" t="s">
        <v>12306</v>
      </c>
      <c r="G1173" s="850" t="s">
        <v>13260</v>
      </c>
      <c r="H1173" s="849" t="s">
        <v>10716</v>
      </c>
      <c r="I1173" s="849"/>
      <c r="J1173" s="851">
        <v>38795.9</v>
      </c>
      <c r="K1173" s="848" t="s">
        <v>13261</v>
      </c>
    </row>
    <row r="1174" spans="2:11">
      <c r="B1174" s="848">
        <v>1171</v>
      </c>
      <c r="C1174" s="848" t="s">
        <v>13262</v>
      </c>
      <c r="D1174" s="849" t="s">
        <v>13263</v>
      </c>
      <c r="E1174" s="848" t="s">
        <v>10736</v>
      </c>
      <c r="F1174" s="848" t="s">
        <v>12474</v>
      </c>
      <c r="G1174" s="850" t="s">
        <v>13264</v>
      </c>
      <c r="H1174" s="849" t="s">
        <v>10716</v>
      </c>
      <c r="I1174" s="849"/>
      <c r="J1174" s="851">
        <v>2.3199999999999998</v>
      </c>
      <c r="K1174" s="848" t="s">
        <v>6230</v>
      </c>
    </row>
    <row r="1175" spans="2:11">
      <c r="B1175" s="848">
        <v>1172</v>
      </c>
      <c r="C1175" s="848" t="s">
        <v>13265</v>
      </c>
      <c r="D1175" s="849" t="s">
        <v>13266</v>
      </c>
      <c r="E1175" s="848" t="s">
        <v>9429</v>
      </c>
      <c r="F1175" s="848" t="s">
        <v>13267</v>
      </c>
      <c r="G1175" s="850" t="s">
        <v>13268</v>
      </c>
      <c r="H1175" s="849" t="s">
        <v>10716</v>
      </c>
      <c r="I1175" s="849"/>
      <c r="J1175" s="851">
        <v>13.78</v>
      </c>
      <c r="K1175" s="848" t="s">
        <v>13269</v>
      </c>
    </row>
    <row r="1176" spans="2:11">
      <c r="B1176" s="848">
        <v>1173</v>
      </c>
      <c r="C1176" s="848" t="s">
        <v>13265</v>
      </c>
      <c r="D1176" s="849" t="s">
        <v>13266</v>
      </c>
      <c r="E1176" s="848" t="s">
        <v>9429</v>
      </c>
      <c r="F1176" s="848" t="s">
        <v>13270</v>
      </c>
      <c r="G1176" s="850" t="s">
        <v>10924</v>
      </c>
      <c r="H1176" s="849" t="s">
        <v>10716</v>
      </c>
      <c r="I1176" s="849"/>
      <c r="J1176" s="851">
        <v>6.39</v>
      </c>
      <c r="K1176" s="848" t="s">
        <v>13271</v>
      </c>
    </row>
    <row r="1177" spans="2:11">
      <c r="B1177" s="848">
        <v>1174</v>
      </c>
      <c r="C1177" s="848" t="s">
        <v>13265</v>
      </c>
      <c r="D1177" s="849" t="s">
        <v>13266</v>
      </c>
      <c r="E1177" s="848" t="s">
        <v>11702</v>
      </c>
      <c r="F1177" s="848" t="s">
        <v>13272</v>
      </c>
      <c r="G1177" s="850" t="s">
        <v>13273</v>
      </c>
      <c r="H1177" s="849" t="s">
        <v>10716</v>
      </c>
      <c r="I1177" s="849"/>
      <c r="J1177" s="851">
        <v>35</v>
      </c>
      <c r="K1177" s="848" t="s">
        <v>13269</v>
      </c>
    </row>
    <row r="1178" spans="2:11">
      <c r="B1178" s="848">
        <v>1175</v>
      </c>
      <c r="C1178" s="848" t="s">
        <v>13265</v>
      </c>
      <c r="D1178" s="849" t="s">
        <v>13266</v>
      </c>
      <c r="E1178" s="848" t="s">
        <v>11702</v>
      </c>
      <c r="F1178" s="848" t="s">
        <v>13274</v>
      </c>
      <c r="G1178" s="850" t="s">
        <v>13275</v>
      </c>
      <c r="H1178" s="849" t="s">
        <v>10716</v>
      </c>
      <c r="I1178" s="849"/>
      <c r="J1178" s="851">
        <v>23</v>
      </c>
      <c r="K1178" s="848" t="s">
        <v>13271</v>
      </c>
    </row>
    <row r="1179" spans="2:11">
      <c r="B1179" s="848">
        <v>1176</v>
      </c>
      <c r="C1179" s="848" t="s">
        <v>13276</v>
      </c>
      <c r="D1179" s="849" t="s">
        <v>338</v>
      </c>
      <c r="E1179" s="848" t="s">
        <v>13277</v>
      </c>
      <c r="F1179" s="848" t="s">
        <v>13278</v>
      </c>
      <c r="G1179" s="850" t="s">
        <v>13279</v>
      </c>
      <c r="H1179" s="849" t="s">
        <v>10716</v>
      </c>
      <c r="I1179" s="849"/>
      <c r="J1179" s="851">
        <v>4.59</v>
      </c>
      <c r="K1179" s="848" t="s">
        <v>6724</v>
      </c>
    </row>
    <row r="1180" spans="2:11">
      <c r="B1180" s="848">
        <v>1177</v>
      </c>
      <c r="C1180" s="848" t="s">
        <v>13280</v>
      </c>
      <c r="D1180" s="849" t="s">
        <v>7085</v>
      </c>
      <c r="E1180" s="848" t="s">
        <v>12009</v>
      </c>
      <c r="F1180" s="848" t="s">
        <v>12157</v>
      </c>
      <c r="G1180" s="850" t="s">
        <v>13281</v>
      </c>
      <c r="H1180" s="849" t="s">
        <v>10716</v>
      </c>
      <c r="I1180" s="849"/>
      <c r="J1180" s="851">
        <v>8.551169999999999</v>
      </c>
      <c r="K1180" s="848" t="s">
        <v>6028</v>
      </c>
    </row>
    <row r="1181" spans="2:11">
      <c r="B1181" s="848">
        <v>1178</v>
      </c>
      <c r="C1181" s="848" t="s">
        <v>13280</v>
      </c>
      <c r="D1181" s="849" t="s">
        <v>7085</v>
      </c>
      <c r="E1181" s="848" t="s">
        <v>12009</v>
      </c>
      <c r="F1181" s="848" t="s">
        <v>10719</v>
      </c>
      <c r="G1181" s="850" t="s">
        <v>13282</v>
      </c>
      <c r="H1181" s="849" t="s">
        <v>10716</v>
      </c>
      <c r="I1181" s="849"/>
      <c r="J1181" s="851">
        <v>23.943275999999997</v>
      </c>
      <c r="K1181" s="848" t="s">
        <v>6034</v>
      </c>
    </row>
    <row r="1182" spans="2:11">
      <c r="B1182" s="848">
        <v>1179</v>
      </c>
      <c r="C1182" s="848" t="s">
        <v>13283</v>
      </c>
      <c r="D1182" s="849" t="s">
        <v>44</v>
      </c>
      <c r="E1182" s="848" t="s">
        <v>13284</v>
      </c>
      <c r="F1182" s="848" t="s">
        <v>13285</v>
      </c>
      <c r="G1182" s="850" t="s">
        <v>13286</v>
      </c>
      <c r="H1182" s="849" t="s">
        <v>10716</v>
      </c>
      <c r="I1182" s="849"/>
      <c r="J1182" s="851">
        <v>529.04</v>
      </c>
      <c r="K1182" s="848" t="s">
        <v>13287</v>
      </c>
    </row>
    <row r="1183" spans="2:11">
      <c r="B1183" s="848">
        <v>1180</v>
      </c>
      <c r="C1183" s="848" t="s">
        <v>13288</v>
      </c>
      <c r="D1183" s="849" t="s">
        <v>7196</v>
      </c>
      <c r="E1183" s="848" t="s">
        <v>12467</v>
      </c>
      <c r="F1183" s="848" t="s">
        <v>13289</v>
      </c>
      <c r="G1183" s="850" t="s">
        <v>12348</v>
      </c>
      <c r="H1183" s="849" t="s">
        <v>10716</v>
      </c>
      <c r="I1183" s="849"/>
      <c r="J1183" s="851">
        <v>4.45</v>
      </c>
      <c r="K1183" s="848" t="s">
        <v>6008</v>
      </c>
    </row>
    <row r="1184" spans="2:11">
      <c r="B1184" s="848">
        <v>1181</v>
      </c>
      <c r="C1184" s="848" t="s">
        <v>1422</v>
      </c>
      <c r="D1184" s="849" t="s">
        <v>13290</v>
      </c>
      <c r="E1184" s="848" t="s">
        <v>3227</v>
      </c>
      <c r="F1184" s="848" t="s">
        <v>13291</v>
      </c>
      <c r="G1184" s="850" t="s">
        <v>13292</v>
      </c>
      <c r="H1184" s="849" t="s">
        <v>10716</v>
      </c>
      <c r="I1184" s="849"/>
      <c r="J1184" s="851">
        <v>47.41</v>
      </c>
      <c r="K1184" s="848" t="s">
        <v>6697</v>
      </c>
    </row>
    <row r="1185" spans="2:11">
      <c r="B1185" s="848">
        <v>1182</v>
      </c>
      <c r="C1185" s="848" t="s">
        <v>1422</v>
      </c>
      <c r="D1185" s="849" t="s">
        <v>13290</v>
      </c>
      <c r="E1185" s="848" t="s">
        <v>3227</v>
      </c>
      <c r="F1185" s="848" t="s">
        <v>13293</v>
      </c>
      <c r="G1185" s="850" t="s">
        <v>10749</v>
      </c>
      <c r="H1185" s="849" t="s">
        <v>10716</v>
      </c>
      <c r="I1185" s="849"/>
      <c r="J1185" s="851">
        <v>47.41</v>
      </c>
      <c r="K1185" s="848" t="s">
        <v>6698</v>
      </c>
    </row>
    <row r="1186" spans="2:11">
      <c r="B1186" s="848">
        <v>1183</v>
      </c>
      <c r="C1186" s="848" t="s">
        <v>710</v>
      </c>
      <c r="D1186" s="849" t="s">
        <v>988</v>
      </c>
      <c r="E1186" s="848" t="s">
        <v>12357</v>
      </c>
      <c r="F1186" s="848" t="s">
        <v>13258</v>
      </c>
      <c r="G1186" s="850" t="s">
        <v>13294</v>
      </c>
      <c r="H1186" s="849" t="s">
        <v>10716</v>
      </c>
      <c r="I1186" s="849"/>
      <c r="J1186" s="851">
        <v>134561.12</v>
      </c>
      <c r="K1186" s="848" t="s">
        <v>11426</v>
      </c>
    </row>
    <row r="1187" spans="2:11">
      <c r="B1187" s="848">
        <v>1184</v>
      </c>
      <c r="C1187" s="848" t="s">
        <v>710</v>
      </c>
      <c r="D1187" s="849" t="s">
        <v>988</v>
      </c>
      <c r="E1187" s="848" t="s">
        <v>12357</v>
      </c>
      <c r="F1187" s="848" t="s">
        <v>13256</v>
      </c>
      <c r="G1187" s="850" t="s">
        <v>13295</v>
      </c>
      <c r="H1187" s="849" t="s">
        <v>10716</v>
      </c>
      <c r="I1187" s="849"/>
      <c r="J1187" s="851">
        <v>132644.29</v>
      </c>
      <c r="K1187" s="848" t="s">
        <v>13296</v>
      </c>
    </row>
    <row r="1188" spans="2:11">
      <c r="B1188" s="848">
        <v>1185</v>
      </c>
      <c r="C1188" s="848" t="s">
        <v>710</v>
      </c>
      <c r="D1188" s="849" t="s">
        <v>988</v>
      </c>
      <c r="E1188" s="848" t="s">
        <v>3752</v>
      </c>
      <c r="F1188" s="848" t="s">
        <v>12760</v>
      </c>
      <c r="G1188" s="850" t="s">
        <v>13297</v>
      </c>
      <c r="H1188" s="849" t="s">
        <v>10716</v>
      </c>
      <c r="I1188" s="849"/>
      <c r="J1188" s="851">
        <v>102358.455</v>
      </c>
      <c r="K1188" s="848" t="s">
        <v>13298</v>
      </c>
    </row>
    <row r="1189" spans="2:11" ht="25">
      <c r="B1189" s="848">
        <v>1186</v>
      </c>
      <c r="C1189" s="848" t="s">
        <v>13299</v>
      </c>
      <c r="D1189" s="849" t="s">
        <v>7136</v>
      </c>
      <c r="E1189" s="848" t="s">
        <v>10778</v>
      </c>
      <c r="F1189" s="848" t="s">
        <v>13300</v>
      </c>
      <c r="G1189" s="850" t="s">
        <v>13301</v>
      </c>
      <c r="H1189" s="849" t="s">
        <v>10716</v>
      </c>
      <c r="I1189" s="849"/>
      <c r="J1189" s="851">
        <v>41.89</v>
      </c>
      <c r="K1189" s="848" t="s">
        <v>6203</v>
      </c>
    </row>
    <row r="1190" spans="2:11" ht="25">
      <c r="B1190" s="848">
        <v>1187</v>
      </c>
      <c r="C1190" s="848" t="s">
        <v>13299</v>
      </c>
      <c r="D1190" s="849" t="s">
        <v>7136</v>
      </c>
      <c r="E1190" s="848" t="s">
        <v>10778</v>
      </c>
      <c r="F1190" s="848" t="s">
        <v>13302</v>
      </c>
      <c r="G1190" s="850" t="s">
        <v>13303</v>
      </c>
      <c r="H1190" s="849" t="s">
        <v>10716</v>
      </c>
      <c r="I1190" s="849"/>
      <c r="J1190" s="851">
        <v>125.68</v>
      </c>
      <c r="K1190" s="848" t="s">
        <v>6140</v>
      </c>
    </row>
    <row r="1191" spans="2:11" ht="25">
      <c r="B1191" s="848">
        <v>1188</v>
      </c>
      <c r="C1191" s="848" t="s">
        <v>13299</v>
      </c>
      <c r="D1191" s="849" t="s">
        <v>7136</v>
      </c>
      <c r="E1191" s="848" t="s">
        <v>10778</v>
      </c>
      <c r="F1191" s="848" t="s">
        <v>13304</v>
      </c>
      <c r="G1191" s="850" t="s">
        <v>13305</v>
      </c>
      <c r="H1191" s="849" t="s">
        <v>10716</v>
      </c>
      <c r="I1191" s="849"/>
      <c r="J1191" s="851">
        <v>41.89</v>
      </c>
      <c r="K1191" s="848" t="s">
        <v>6204</v>
      </c>
    </row>
    <row r="1192" spans="2:11">
      <c r="B1192" s="848">
        <v>1189</v>
      </c>
      <c r="C1192" s="848" t="s">
        <v>12857</v>
      </c>
      <c r="D1192" s="849" t="s">
        <v>141</v>
      </c>
      <c r="E1192" s="848" t="s">
        <v>10754</v>
      </c>
      <c r="F1192" s="848" t="s">
        <v>13152</v>
      </c>
      <c r="G1192" s="850" t="s">
        <v>11212</v>
      </c>
      <c r="H1192" s="849" t="s">
        <v>10716</v>
      </c>
      <c r="I1192" s="849"/>
      <c r="J1192" s="851">
        <v>3833.65</v>
      </c>
      <c r="K1192" s="848" t="s">
        <v>6384</v>
      </c>
    </row>
    <row r="1193" spans="2:11">
      <c r="B1193" s="848">
        <v>1190</v>
      </c>
      <c r="C1193" s="848" t="s">
        <v>13306</v>
      </c>
      <c r="D1193" s="849" t="s">
        <v>376</v>
      </c>
      <c r="E1193" s="848" t="s">
        <v>3104</v>
      </c>
      <c r="F1193" s="848" t="s">
        <v>13307</v>
      </c>
      <c r="G1193" s="850" t="s">
        <v>13308</v>
      </c>
      <c r="H1193" s="849" t="s">
        <v>10716</v>
      </c>
      <c r="I1193" s="849"/>
      <c r="J1193" s="851">
        <v>15.788682</v>
      </c>
      <c r="K1193" s="848" t="s">
        <v>5988</v>
      </c>
    </row>
    <row r="1194" spans="2:11">
      <c r="B1194" s="848">
        <v>1191</v>
      </c>
      <c r="C1194" s="848" t="s">
        <v>13306</v>
      </c>
      <c r="D1194" s="849" t="s">
        <v>376</v>
      </c>
      <c r="E1194" s="848" t="s">
        <v>3104</v>
      </c>
      <c r="F1194" s="848" t="s">
        <v>13309</v>
      </c>
      <c r="G1194" s="850" t="s">
        <v>13310</v>
      </c>
      <c r="H1194" s="849" t="s">
        <v>10716</v>
      </c>
      <c r="I1194" s="849"/>
      <c r="J1194" s="851">
        <v>141.017652</v>
      </c>
      <c r="K1194" s="848" t="s">
        <v>6042</v>
      </c>
    </row>
    <row r="1195" spans="2:11">
      <c r="B1195" s="848">
        <v>1192</v>
      </c>
      <c r="C1195" s="848" t="s">
        <v>13306</v>
      </c>
      <c r="D1195" s="849" t="s">
        <v>376</v>
      </c>
      <c r="E1195" s="848" t="s">
        <v>3104</v>
      </c>
      <c r="F1195" s="848" t="s">
        <v>12570</v>
      </c>
      <c r="G1195" s="850" t="s">
        <v>13311</v>
      </c>
      <c r="H1195" s="849" t="s">
        <v>10716</v>
      </c>
      <c r="I1195" s="849"/>
      <c r="J1195" s="851">
        <v>22.182552000000001</v>
      </c>
      <c r="K1195" s="848" t="s">
        <v>6043</v>
      </c>
    </row>
    <row r="1196" spans="2:11">
      <c r="B1196" s="848">
        <v>1193</v>
      </c>
      <c r="C1196" s="848" t="s">
        <v>13306</v>
      </c>
      <c r="D1196" s="849" t="s">
        <v>376</v>
      </c>
      <c r="E1196" s="848" t="s">
        <v>13312</v>
      </c>
      <c r="F1196" s="848" t="s">
        <v>11143</v>
      </c>
      <c r="G1196" s="850" t="s">
        <v>13313</v>
      </c>
      <c r="H1196" s="849" t="s">
        <v>10716</v>
      </c>
      <c r="I1196" s="849"/>
      <c r="J1196" s="851">
        <v>29.835000000000001</v>
      </c>
      <c r="K1196" s="848" t="s">
        <v>5989</v>
      </c>
    </row>
    <row r="1197" spans="2:11">
      <c r="B1197" s="848">
        <v>1194</v>
      </c>
      <c r="C1197" s="848" t="s">
        <v>13306</v>
      </c>
      <c r="D1197" s="849" t="s">
        <v>376</v>
      </c>
      <c r="E1197" s="848" t="s">
        <v>13312</v>
      </c>
      <c r="F1197" s="848" t="s">
        <v>13314</v>
      </c>
      <c r="G1197" s="850" t="s">
        <v>13315</v>
      </c>
      <c r="H1197" s="849" t="s">
        <v>10716</v>
      </c>
      <c r="I1197" s="849"/>
      <c r="J1197" s="851">
        <v>27.54</v>
      </c>
      <c r="K1197" s="848" t="s">
        <v>5990</v>
      </c>
    </row>
    <row r="1198" spans="2:11">
      <c r="B1198" s="848">
        <v>1195</v>
      </c>
      <c r="C1198" s="848" t="s">
        <v>13306</v>
      </c>
      <c r="D1198" s="849" t="s">
        <v>376</v>
      </c>
      <c r="E1198" s="848" t="s">
        <v>13312</v>
      </c>
      <c r="F1198" s="848" t="s">
        <v>12366</v>
      </c>
      <c r="G1198" s="850" t="s">
        <v>13316</v>
      </c>
      <c r="H1198" s="849" t="s">
        <v>10716</v>
      </c>
      <c r="I1198" s="849"/>
      <c r="J1198" s="851">
        <v>78.03</v>
      </c>
      <c r="K1198" s="848" t="s">
        <v>13317</v>
      </c>
    </row>
    <row r="1199" spans="2:11" ht="25">
      <c r="B1199" s="848">
        <v>1196</v>
      </c>
      <c r="C1199" s="848" t="s">
        <v>13318</v>
      </c>
      <c r="D1199" s="849" t="s">
        <v>13319</v>
      </c>
      <c r="E1199" s="848" t="s">
        <v>11955</v>
      </c>
      <c r="F1199" s="848" t="s">
        <v>13320</v>
      </c>
      <c r="G1199" s="850" t="s">
        <v>12765</v>
      </c>
      <c r="H1199" s="849" t="s">
        <v>10716</v>
      </c>
      <c r="I1199" s="849"/>
      <c r="J1199" s="851">
        <v>12.98</v>
      </c>
      <c r="K1199" s="848" t="s">
        <v>6807</v>
      </c>
    </row>
    <row r="1200" spans="2:11">
      <c r="B1200" s="848">
        <v>1197</v>
      </c>
      <c r="C1200" s="848" t="s">
        <v>13321</v>
      </c>
      <c r="D1200" s="849" t="s">
        <v>436</v>
      </c>
      <c r="E1200" s="848" t="s">
        <v>8582</v>
      </c>
      <c r="F1200" s="848" t="s">
        <v>12248</v>
      </c>
      <c r="G1200" s="850" t="s">
        <v>11323</v>
      </c>
      <c r="H1200" s="849" t="s">
        <v>10716</v>
      </c>
      <c r="I1200" s="849"/>
      <c r="J1200" s="851">
        <v>306.69</v>
      </c>
      <c r="K1200" s="848" t="s">
        <v>13322</v>
      </c>
    </row>
    <row r="1201" spans="2:11">
      <c r="B1201" s="848">
        <v>1198</v>
      </c>
      <c r="C1201" s="848" t="s">
        <v>571</v>
      </c>
      <c r="D1201" s="849" t="s">
        <v>68</v>
      </c>
      <c r="E1201" s="848" t="s">
        <v>3220</v>
      </c>
      <c r="F1201" s="848" t="s">
        <v>13162</v>
      </c>
      <c r="G1201" s="850" t="s">
        <v>13323</v>
      </c>
      <c r="H1201" s="849" t="s">
        <v>10716</v>
      </c>
      <c r="I1201" s="849"/>
      <c r="J1201" s="851">
        <v>11500.95</v>
      </c>
      <c r="K1201" s="848" t="s">
        <v>12681</v>
      </c>
    </row>
    <row r="1202" spans="2:11">
      <c r="B1202" s="848">
        <v>1199</v>
      </c>
      <c r="C1202" s="848" t="s">
        <v>596</v>
      </c>
      <c r="D1202" s="849" t="s">
        <v>68</v>
      </c>
      <c r="E1202" s="848" t="s">
        <v>3220</v>
      </c>
      <c r="F1202" s="848" t="s">
        <v>13150</v>
      </c>
      <c r="G1202" s="850" t="s">
        <v>12492</v>
      </c>
      <c r="H1202" s="849" t="s">
        <v>10716</v>
      </c>
      <c r="I1202" s="849"/>
      <c r="J1202" s="851">
        <v>2300.19</v>
      </c>
      <c r="K1202" s="848" t="s">
        <v>5861</v>
      </c>
    </row>
    <row r="1203" spans="2:11">
      <c r="B1203" s="848">
        <v>1200</v>
      </c>
      <c r="C1203" s="848" t="s">
        <v>596</v>
      </c>
      <c r="D1203" s="849" t="s">
        <v>68</v>
      </c>
      <c r="E1203" s="848" t="s">
        <v>13324</v>
      </c>
      <c r="F1203" s="848" t="s">
        <v>13325</v>
      </c>
      <c r="G1203" s="850" t="s">
        <v>10749</v>
      </c>
      <c r="H1203" s="849" t="s">
        <v>10716</v>
      </c>
      <c r="I1203" s="849"/>
      <c r="J1203" s="851">
        <v>1226.75</v>
      </c>
      <c r="K1203" s="848" t="s">
        <v>13326</v>
      </c>
    </row>
    <row r="1204" spans="2:11">
      <c r="B1204" s="848">
        <v>1201</v>
      </c>
      <c r="C1204" s="848" t="s">
        <v>13327</v>
      </c>
      <c r="D1204" s="849" t="s">
        <v>55</v>
      </c>
      <c r="E1204" s="848" t="s">
        <v>9500</v>
      </c>
      <c r="F1204" s="848" t="s">
        <v>13148</v>
      </c>
      <c r="G1204" s="850" t="s">
        <v>12830</v>
      </c>
      <c r="H1204" s="849" t="s">
        <v>10716</v>
      </c>
      <c r="I1204" s="849"/>
      <c r="J1204" s="851">
        <v>136477.94</v>
      </c>
      <c r="K1204" s="848" t="s">
        <v>11650</v>
      </c>
    </row>
    <row r="1205" spans="2:11">
      <c r="B1205" s="848">
        <v>1202</v>
      </c>
      <c r="C1205" s="848" t="s">
        <v>13327</v>
      </c>
      <c r="D1205" s="849" t="s">
        <v>55</v>
      </c>
      <c r="E1205" s="848" t="s">
        <v>9500</v>
      </c>
      <c r="F1205" s="848" t="s">
        <v>12375</v>
      </c>
      <c r="G1205" s="850" t="s">
        <v>12016</v>
      </c>
      <c r="H1205" s="849" t="s">
        <v>10716</v>
      </c>
      <c r="I1205" s="849"/>
      <c r="J1205" s="851">
        <v>103891.91500000001</v>
      </c>
      <c r="K1205" s="848" t="s">
        <v>11656</v>
      </c>
    </row>
    <row r="1206" spans="2:11">
      <c r="B1206" s="848">
        <v>1203</v>
      </c>
      <c r="C1206" s="848" t="s">
        <v>13327</v>
      </c>
      <c r="D1206" s="849" t="s">
        <v>55</v>
      </c>
      <c r="E1206" s="848" t="s">
        <v>10757</v>
      </c>
      <c r="F1206" s="848" t="s">
        <v>13164</v>
      </c>
      <c r="G1206" s="850" t="s">
        <v>11107</v>
      </c>
      <c r="H1206" s="849" t="s">
        <v>10716</v>
      </c>
      <c r="I1206" s="849"/>
      <c r="J1206" s="851">
        <v>44086.98</v>
      </c>
      <c r="K1206" s="848" t="s">
        <v>11614</v>
      </c>
    </row>
    <row r="1207" spans="2:11">
      <c r="B1207" s="848">
        <v>1204</v>
      </c>
      <c r="C1207" s="848" t="s">
        <v>13328</v>
      </c>
      <c r="D1207" s="849" t="s">
        <v>7079</v>
      </c>
      <c r="E1207" s="848" t="s">
        <v>13329</v>
      </c>
      <c r="F1207" s="848" t="s">
        <v>13330</v>
      </c>
      <c r="G1207" s="850" t="s">
        <v>11724</v>
      </c>
      <c r="H1207" s="849" t="s">
        <v>10716</v>
      </c>
      <c r="I1207" s="849"/>
      <c r="J1207" s="851">
        <v>17.164304999999999</v>
      </c>
      <c r="K1207" s="848" t="s">
        <v>6853</v>
      </c>
    </row>
    <row r="1208" spans="2:11">
      <c r="B1208" s="848">
        <v>1205</v>
      </c>
      <c r="C1208" s="848" t="s">
        <v>13328</v>
      </c>
      <c r="D1208" s="849" t="s">
        <v>7079</v>
      </c>
      <c r="E1208" s="848" t="s">
        <v>13329</v>
      </c>
      <c r="F1208" s="848" t="s">
        <v>13331</v>
      </c>
      <c r="G1208" s="850" t="s">
        <v>11701</v>
      </c>
      <c r="H1208" s="849" t="s">
        <v>10716</v>
      </c>
      <c r="I1208" s="849"/>
      <c r="J1208" s="851">
        <v>11.827052999999999</v>
      </c>
      <c r="K1208" s="848" t="s">
        <v>6854</v>
      </c>
    </row>
    <row r="1209" spans="2:11">
      <c r="B1209" s="848">
        <v>1206</v>
      </c>
      <c r="C1209" s="848" t="s">
        <v>13328</v>
      </c>
      <c r="D1209" s="849" t="s">
        <v>7079</v>
      </c>
      <c r="E1209" s="848" t="s">
        <v>13329</v>
      </c>
      <c r="F1209" s="848" t="s">
        <v>13332</v>
      </c>
      <c r="G1209" s="850" t="s">
        <v>10734</v>
      </c>
      <c r="H1209" s="849" t="s">
        <v>10716</v>
      </c>
      <c r="I1209" s="849"/>
      <c r="J1209" s="851">
        <v>13.141169999999999</v>
      </c>
      <c r="K1209" s="848" t="s">
        <v>6669</v>
      </c>
    </row>
    <row r="1210" spans="2:11">
      <c r="B1210" s="848">
        <v>1207</v>
      </c>
      <c r="C1210" s="848" t="s">
        <v>13328</v>
      </c>
      <c r="D1210" s="849" t="s">
        <v>7079</v>
      </c>
      <c r="E1210" s="848" t="s">
        <v>13329</v>
      </c>
      <c r="F1210" s="848" t="s">
        <v>13333</v>
      </c>
      <c r="G1210" s="850" t="s">
        <v>13238</v>
      </c>
      <c r="H1210" s="849" t="s">
        <v>10716</v>
      </c>
      <c r="I1210" s="849"/>
      <c r="J1210" s="851">
        <v>9.1988190000000003</v>
      </c>
      <c r="K1210" s="848" t="s">
        <v>6622</v>
      </c>
    </row>
    <row r="1211" spans="2:11">
      <c r="B1211" s="848">
        <v>1208</v>
      </c>
      <c r="C1211" s="848" t="s">
        <v>13328</v>
      </c>
      <c r="D1211" s="849" t="s">
        <v>7079</v>
      </c>
      <c r="E1211" s="848" t="s">
        <v>12213</v>
      </c>
      <c r="F1211" s="848" t="s">
        <v>12982</v>
      </c>
      <c r="G1211" s="850" t="s">
        <v>13334</v>
      </c>
      <c r="H1211" s="849" t="s">
        <v>10716</v>
      </c>
      <c r="I1211" s="849"/>
      <c r="J1211" s="851">
        <v>93.389516999999998</v>
      </c>
      <c r="K1211" s="848" t="s">
        <v>6166</v>
      </c>
    </row>
    <row r="1212" spans="2:11">
      <c r="B1212" s="848">
        <v>1209</v>
      </c>
      <c r="C1212" s="848" t="s">
        <v>13328</v>
      </c>
      <c r="D1212" s="849" t="s">
        <v>7079</v>
      </c>
      <c r="E1212" s="848" t="s">
        <v>12213</v>
      </c>
      <c r="F1212" s="848" t="s">
        <v>12986</v>
      </c>
      <c r="G1212" s="850" t="s">
        <v>13335</v>
      </c>
      <c r="H1212" s="849" t="s">
        <v>10716</v>
      </c>
      <c r="I1212" s="849"/>
      <c r="J1212" s="851">
        <v>106.3050885</v>
      </c>
      <c r="K1212" s="848" t="s">
        <v>6167</v>
      </c>
    </row>
    <row r="1213" spans="2:11">
      <c r="B1213" s="848">
        <v>1210</v>
      </c>
      <c r="C1213" s="848" t="s">
        <v>559</v>
      </c>
      <c r="D1213" s="849" t="s">
        <v>6940</v>
      </c>
      <c r="E1213" s="848" t="s">
        <v>9441</v>
      </c>
      <c r="F1213" s="848" t="s">
        <v>13160</v>
      </c>
      <c r="G1213" s="850" t="s">
        <v>12724</v>
      </c>
      <c r="H1213" s="849" t="s">
        <v>10716</v>
      </c>
      <c r="I1213" s="849"/>
      <c r="J1213" s="851">
        <v>23768.63</v>
      </c>
      <c r="K1213" s="848" t="s">
        <v>6395</v>
      </c>
    </row>
    <row r="1214" spans="2:11">
      <c r="B1214" s="848">
        <v>1211</v>
      </c>
      <c r="C1214" s="848" t="s">
        <v>559</v>
      </c>
      <c r="D1214" s="849" t="s">
        <v>6940</v>
      </c>
      <c r="E1214" s="848" t="s">
        <v>9441</v>
      </c>
      <c r="F1214" s="848" t="s">
        <v>13157</v>
      </c>
      <c r="G1214" s="850" t="s">
        <v>12619</v>
      </c>
      <c r="H1214" s="849" t="s">
        <v>10716</v>
      </c>
      <c r="I1214" s="849"/>
      <c r="J1214" s="851">
        <v>78206.460000000006</v>
      </c>
      <c r="K1214" s="848" t="s">
        <v>6396</v>
      </c>
    </row>
    <row r="1215" spans="2:11">
      <c r="B1215" s="848">
        <v>1212</v>
      </c>
      <c r="C1215" s="848" t="s">
        <v>559</v>
      </c>
      <c r="D1215" s="849" t="s">
        <v>6940</v>
      </c>
      <c r="E1215" s="848" t="s">
        <v>9441</v>
      </c>
      <c r="F1215" s="848" t="s">
        <v>13249</v>
      </c>
      <c r="G1215" s="850" t="s">
        <v>12616</v>
      </c>
      <c r="H1215" s="849" t="s">
        <v>10716</v>
      </c>
      <c r="I1215" s="849"/>
      <c r="J1215" s="851">
        <v>77439.73</v>
      </c>
      <c r="K1215" s="848" t="s">
        <v>6397</v>
      </c>
    </row>
    <row r="1216" spans="2:11">
      <c r="B1216" s="848">
        <v>1213</v>
      </c>
      <c r="C1216" s="848" t="s">
        <v>528</v>
      </c>
      <c r="D1216" s="849" t="s">
        <v>13336</v>
      </c>
      <c r="E1216" s="848" t="s">
        <v>9441</v>
      </c>
      <c r="F1216" s="848" t="s">
        <v>13155</v>
      </c>
      <c r="G1216" s="850" t="s">
        <v>12530</v>
      </c>
      <c r="H1216" s="849" t="s">
        <v>10716</v>
      </c>
      <c r="I1216" s="849"/>
      <c r="J1216" s="851">
        <v>4888.0600000000004</v>
      </c>
      <c r="K1216" s="848" t="s">
        <v>10780</v>
      </c>
    </row>
    <row r="1217" spans="2:11">
      <c r="B1217" s="848">
        <v>1214</v>
      </c>
      <c r="C1217" s="848" t="s">
        <v>528</v>
      </c>
      <c r="D1217" s="849" t="s">
        <v>13336</v>
      </c>
      <c r="E1217" s="848" t="s">
        <v>9441</v>
      </c>
      <c r="F1217" s="848" t="s">
        <v>12854</v>
      </c>
      <c r="G1217" s="850" t="s">
        <v>12533</v>
      </c>
      <c r="H1217" s="849" t="s">
        <v>10716</v>
      </c>
      <c r="I1217" s="849"/>
      <c r="J1217" s="851">
        <v>4983.75</v>
      </c>
      <c r="K1217" s="848" t="s">
        <v>13337</v>
      </c>
    </row>
    <row r="1218" spans="2:11">
      <c r="B1218" s="848">
        <v>1215</v>
      </c>
      <c r="C1218" s="848" t="s">
        <v>528</v>
      </c>
      <c r="D1218" s="849" t="s">
        <v>13336</v>
      </c>
      <c r="E1218" s="848" t="s">
        <v>9441</v>
      </c>
      <c r="F1218" s="848" t="s">
        <v>12852</v>
      </c>
      <c r="G1218" s="850" t="s">
        <v>12536</v>
      </c>
      <c r="H1218" s="849" t="s">
        <v>10716</v>
      </c>
      <c r="I1218" s="849"/>
      <c r="J1218" s="851">
        <v>3833.65</v>
      </c>
      <c r="K1218" s="848" t="s">
        <v>13338</v>
      </c>
    </row>
    <row r="1219" spans="2:11">
      <c r="B1219" s="848">
        <v>1216</v>
      </c>
      <c r="C1219" s="848" t="s">
        <v>528</v>
      </c>
      <c r="D1219" s="849" t="s">
        <v>13336</v>
      </c>
      <c r="E1219" s="848" t="s">
        <v>9441</v>
      </c>
      <c r="F1219" s="848" t="s">
        <v>12859</v>
      </c>
      <c r="G1219" s="850" t="s">
        <v>12539</v>
      </c>
      <c r="H1219" s="849" t="s">
        <v>10716</v>
      </c>
      <c r="I1219" s="849"/>
      <c r="J1219" s="851">
        <v>3450.3</v>
      </c>
      <c r="K1219" s="848" t="s">
        <v>13339</v>
      </c>
    </row>
    <row r="1220" spans="2:11">
      <c r="B1220" s="848">
        <v>1217</v>
      </c>
      <c r="C1220" s="848" t="s">
        <v>528</v>
      </c>
      <c r="D1220" s="849" t="s">
        <v>13336</v>
      </c>
      <c r="E1220" s="848" t="s">
        <v>9441</v>
      </c>
      <c r="F1220" s="848" t="s">
        <v>12856</v>
      </c>
      <c r="G1220" s="850" t="s">
        <v>12490</v>
      </c>
      <c r="H1220" s="849" t="s">
        <v>10716</v>
      </c>
      <c r="I1220" s="849"/>
      <c r="J1220" s="851">
        <v>766.73</v>
      </c>
      <c r="K1220" s="848" t="s">
        <v>13340</v>
      </c>
    </row>
    <row r="1221" spans="2:11" ht="25">
      <c r="B1221" s="848">
        <v>1218</v>
      </c>
      <c r="C1221" s="848" t="s">
        <v>13341</v>
      </c>
      <c r="D1221" s="849" t="s">
        <v>13342</v>
      </c>
      <c r="E1221" s="848" t="s">
        <v>3344</v>
      </c>
      <c r="F1221" s="848" t="s">
        <v>13343</v>
      </c>
      <c r="G1221" s="850" t="s">
        <v>13344</v>
      </c>
      <c r="H1221" s="849" t="s">
        <v>10716</v>
      </c>
      <c r="I1221" s="849"/>
      <c r="J1221" s="851">
        <v>47.54</v>
      </c>
      <c r="K1221" s="848" t="s">
        <v>6178</v>
      </c>
    </row>
    <row r="1222" spans="2:11" ht="25">
      <c r="B1222" s="848">
        <v>1219</v>
      </c>
      <c r="C1222" s="848" t="s">
        <v>13341</v>
      </c>
      <c r="D1222" s="849" t="s">
        <v>13342</v>
      </c>
      <c r="E1222" s="848" t="s">
        <v>3344</v>
      </c>
      <c r="F1222" s="848" t="s">
        <v>12364</v>
      </c>
      <c r="G1222" s="850" t="s">
        <v>13345</v>
      </c>
      <c r="H1222" s="849" t="s">
        <v>10716</v>
      </c>
      <c r="I1222" s="849"/>
      <c r="J1222" s="851">
        <v>25.54</v>
      </c>
      <c r="K1222" s="848" t="s">
        <v>6733</v>
      </c>
    </row>
    <row r="1223" spans="2:11">
      <c r="B1223" s="848">
        <v>1220</v>
      </c>
      <c r="C1223" s="848" t="s">
        <v>1392</v>
      </c>
      <c r="D1223" s="849" t="s">
        <v>13346</v>
      </c>
      <c r="E1223" s="848" t="s">
        <v>3393</v>
      </c>
      <c r="F1223" s="848" t="s">
        <v>13347</v>
      </c>
      <c r="G1223" s="850" t="s">
        <v>12532</v>
      </c>
      <c r="H1223" s="849" t="s">
        <v>10716</v>
      </c>
      <c r="I1223" s="849"/>
      <c r="J1223" s="851">
        <v>2300.19</v>
      </c>
      <c r="K1223" s="848" t="s">
        <v>13348</v>
      </c>
    </row>
    <row r="1224" spans="2:11">
      <c r="B1224" s="848">
        <v>1221</v>
      </c>
      <c r="C1224" s="848" t="s">
        <v>12071</v>
      </c>
      <c r="D1224" s="849" t="s">
        <v>13349</v>
      </c>
      <c r="E1224" s="848" t="s">
        <v>9469</v>
      </c>
      <c r="F1224" s="848" t="s">
        <v>11037</v>
      </c>
      <c r="G1224" s="850" t="s">
        <v>13350</v>
      </c>
      <c r="H1224" s="849" t="s">
        <v>10716</v>
      </c>
      <c r="I1224" s="849"/>
      <c r="J1224" s="851">
        <v>26835.55</v>
      </c>
      <c r="K1224" s="848" t="s">
        <v>6079</v>
      </c>
    </row>
    <row r="1225" spans="2:11">
      <c r="B1225" s="848">
        <v>1222</v>
      </c>
      <c r="C1225" s="848" t="s">
        <v>12071</v>
      </c>
      <c r="D1225" s="849" t="s">
        <v>13349</v>
      </c>
      <c r="E1225" s="848" t="s">
        <v>10807</v>
      </c>
      <c r="F1225" s="848" t="s">
        <v>13351</v>
      </c>
      <c r="G1225" s="850" t="s">
        <v>10749</v>
      </c>
      <c r="H1225" s="849" t="s">
        <v>10716</v>
      </c>
      <c r="I1225" s="849"/>
      <c r="J1225" s="851">
        <v>5847.38</v>
      </c>
      <c r="K1225" s="848" t="s">
        <v>13352</v>
      </c>
    </row>
    <row r="1226" spans="2:11">
      <c r="B1226" s="848">
        <v>1223</v>
      </c>
      <c r="C1226" s="848" t="s">
        <v>12071</v>
      </c>
      <c r="D1226" s="849" t="s">
        <v>13349</v>
      </c>
      <c r="E1226" s="848" t="s">
        <v>3584</v>
      </c>
      <c r="F1226" s="848" t="s">
        <v>12772</v>
      </c>
      <c r="G1226" s="850" t="s">
        <v>13353</v>
      </c>
      <c r="H1226" s="849" t="s">
        <v>10716</v>
      </c>
      <c r="I1226" s="849"/>
      <c r="J1226" s="851">
        <v>4746.58</v>
      </c>
      <c r="K1226" s="848" t="s">
        <v>13352</v>
      </c>
    </row>
    <row r="1227" spans="2:11">
      <c r="B1227" s="848">
        <v>1224</v>
      </c>
      <c r="C1227" s="848" t="s">
        <v>13354</v>
      </c>
      <c r="D1227" s="849" t="s">
        <v>13355</v>
      </c>
      <c r="E1227" s="848" t="s">
        <v>12948</v>
      </c>
      <c r="F1227" s="848" t="s">
        <v>13356</v>
      </c>
      <c r="G1227" s="850" t="s">
        <v>11378</v>
      </c>
      <c r="H1227" s="849" t="s">
        <v>10716</v>
      </c>
      <c r="I1227" s="849"/>
      <c r="J1227" s="851">
        <v>475.4</v>
      </c>
      <c r="K1227" s="848" t="s">
        <v>6471</v>
      </c>
    </row>
    <row r="1228" spans="2:11">
      <c r="B1228" s="848">
        <v>1225</v>
      </c>
      <c r="C1228" s="848" t="s">
        <v>13354</v>
      </c>
      <c r="D1228" s="849" t="s">
        <v>13355</v>
      </c>
      <c r="E1228" s="848" t="s">
        <v>12948</v>
      </c>
      <c r="F1228" s="848" t="s">
        <v>12813</v>
      </c>
      <c r="G1228" s="850" t="s">
        <v>13357</v>
      </c>
      <c r="H1228" s="849" t="s">
        <v>10716</v>
      </c>
      <c r="I1228" s="849"/>
      <c r="J1228" s="851">
        <v>190.16</v>
      </c>
      <c r="K1228" s="848" t="s">
        <v>6472</v>
      </c>
    </row>
    <row r="1229" spans="2:11">
      <c r="B1229" s="848">
        <v>1226</v>
      </c>
      <c r="C1229" s="848" t="s">
        <v>13354</v>
      </c>
      <c r="D1229" s="849" t="s">
        <v>13355</v>
      </c>
      <c r="E1229" s="848" t="s">
        <v>12948</v>
      </c>
      <c r="F1229" s="848" t="s">
        <v>12368</v>
      </c>
      <c r="G1229" s="850" t="s">
        <v>13358</v>
      </c>
      <c r="H1229" s="849" t="s">
        <v>10716</v>
      </c>
      <c r="I1229" s="849"/>
      <c r="J1229" s="851">
        <v>95.08</v>
      </c>
      <c r="K1229" s="848" t="s">
        <v>6473</v>
      </c>
    </row>
    <row r="1230" spans="2:11">
      <c r="B1230" s="848">
        <v>1227</v>
      </c>
      <c r="C1230" s="848" t="s">
        <v>13354</v>
      </c>
      <c r="D1230" s="849" t="s">
        <v>13355</v>
      </c>
      <c r="E1230" s="848" t="s">
        <v>12948</v>
      </c>
      <c r="F1230" s="848" t="s">
        <v>12811</v>
      </c>
      <c r="G1230" s="850" t="s">
        <v>13359</v>
      </c>
      <c r="H1230" s="849" t="s">
        <v>10716</v>
      </c>
      <c r="I1230" s="849"/>
      <c r="J1230" s="851">
        <v>427.86</v>
      </c>
      <c r="K1230" s="848" t="s">
        <v>6474</v>
      </c>
    </row>
    <row r="1231" spans="2:11">
      <c r="B1231" s="848">
        <v>1228</v>
      </c>
      <c r="C1231" s="848" t="s">
        <v>13354</v>
      </c>
      <c r="D1231" s="849" t="s">
        <v>13355</v>
      </c>
      <c r="E1231" s="848" t="s">
        <v>12948</v>
      </c>
      <c r="F1231" s="848" t="s">
        <v>13360</v>
      </c>
      <c r="G1231" s="850" t="s">
        <v>13361</v>
      </c>
      <c r="H1231" s="849" t="s">
        <v>10716</v>
      </c>
      <c r="I1231" s="849"/>
      <c r="J1231" s="851">
        <v>356.55</v>
      </c>
      <c r="K1231" s="848" t="s">
        <v>6475</v>
      </c>
    </row>
    <row r="1232" spans="2:11">
      <c r="B1232" s="848">
        <v>1229</v>
      </c>
      <c r="C1232" s="848" t="s">
        <v>13354</v>
      </c>
      <c r="D1232" s="849" t="s">
        <v>13355</v>
      </c>
      <c r="E1232" s="848" t="s">
        <v>12948</v>
      </c>
      <c r="F1232" s="848" t="s">
        <v>13362</v>
      </c>
      <c r="G1232" s="850" t="s">
        <v>13363</v>
      </c>
      <c r="H1232" s="849" t="s">
        <v>10716</v>
      </c>
      <c r="I1232" s="849"/>
      <c r="J1232" s="851">
        <v>332.78</v>
      </c>
      <c r="K1232" s="848" t="s">
        <v>6476</v>
      </c>
    </row>
    <row r="1233" spans="2:11">
      <c r="B1233" s="848">
        <v>1230</v>
      </c>
      <c r="C1233" s="848" t="s">
        <v>571</v>
      </c>
      <c r="D1233" s="849" t="s">
        <v>5685</v>
      </c>
      <c r="E1233" s="848" t="s">
        <v>11991</v>
      </c>
      <c r="F1233" s="848" t="s">
        <v>12091</v>
      </c>
      <c r="G1233" s="850" t="s">
        <v>13364</v>
      </c>
      <c r="H1233" s="849" t="s">
        <v>10716</v>
      </c>
      <c r="I1233" s="849"/>
      <c r="J1233" s="851">
        <v>70539.16</v>
      </c>
      <c r="K1233" s="848" t="s">
        <v>5945</v>
      </c>
    </row>
    <row r="1234" spans="2:11">
      <c r="B1234" s="848">
        <v>1231</v>
      </c>
      <c r="C1234" s="848" t="s">
        <v>13365</v>
      </c>
      <c r="D1234" s="849" t="s">
        <v>13366</v>
      </c>
      <c r="E1234" s="848" t="s">
        <v>13367</v>
      </c>
      <c r="F1234" s="848" t="s">
        <v>13368</v>
      </c>
      <c r="G1234" s="850" t="s">
        <v>13369</v>
      </c>
      <c r="H1234" s="849" t="s">
        <v>10716</v>
      </c>
      <c r="I1234" s="849"/>
      <c r="J1234" s="851">
        <v>43.42</v>
      </c>
      <c r="K1234" s="848" t="s">
        <v>6791</v>
      </c>
    </row>
    <row r="1235" spans="2:11">
      <c r="B1235" s="848">
        <v>1232</v>
      </c>
      <c r="C1235" s="848" t="s">
        <v>13370</v>
      </c>
      <c r="D1235" s="849" t="s">
        <v>13371</v>
      </c>
      <c r="E1235" s="848" t="s">
        <v>9449</v>
      </c>
      <c r="F1235" s="848" t="s">
        <v>13094</v>
      </c>
      <c r="G1235" s="850" t="s">
        <v>12673</v>
      </c>
      <c r="H1235" s="849" t="s">
        <v>10716</v>
      </c>
      <c r="I1235" s="849"/>
      <c r="J1235" s="851">
        <v>71.31</v>
      </c>
      <c r="K1235" s="848" t="s">
        <v>13372</v>
      </c>
    </row>
    <row r="1236" spans="2:11">
      <c r="B1236" s="848">
        <v>1233</v>
      </c>
      <c r="C1236" s="848" t="s">
        <v>13370</v>
      </c>
      <c r="D1236" s="849" t="s">
        <v>13371</v>
      </c>
      <c r="E1236" s="848" t="s">
        <v>10754</v>
      </c>
      <c r="F1236" s="848" t="s">
        <v>11730</v>
      </c>
      <c r="G1236" s="850" t="s">
        <v>10802</v>
      </c>
      <c r="H1236" s="849" t="s">
        <v>10716</v>
      </c>
      <c r="I1236" s="849"/>
      <c r="J1236" s="851">
        <v>64.88</v>
      </c>
      <c r="K1236" s="848" t="s">
        <v>13372</v>
      </c>
    </row>
    <row r="1237" spans="2:11" ht="25">
      <c r="B1237" s="848">
        <v>1234</v>
      </c>
      <c r="C1237" s="848" t="s">
        <v>13373</v>
      </c>
      <c r="D1237" s="849" t="s">
        <v>13374</v>
      </c>
      <c r="E1237" s="848" t="s">
        <v>10778</v>
      </c>
      <c r="F1237" s="848" t="s">
        <v>13375</v>
      </c>
      <c r="G1237" s="850" t="s">
        <v>13376</v>
      </c>
      <c r="H1237" s="849" t="s">
        <v>10716</v>
      </c>
      <c r="I1237" s="849"/>
      <c r="J1237" s="851">
        <v>767</v>
      </c>
      <c r="K1237" s="848" t="s">
        <v>13377</v>
      </c>
    </row>
    <row r="1238" spans="2:11" ht="25">
      <c r="B1238" s="848">
        <v>1235</v>
      </c>
      <c r="C1238" s="848" t="s">
        <v>13373</v>
      </c>
      <c r="D1238" s="849" t="s">
        <v>13374</v>
      </c>
      <c r="E1238" s="848" t="s">
        <v>9468</v>
      </c>
      <c r="F1238" s="848" t="s">
        <v>12250</v>
      </c>
      <c r="G1238" s="850" t="s">
        <v>12734</v>
      </c>
      <c r="H1238" s="849" t="s">
        <v>10716</v>
      </c>
      <c r="I1238" s="849"/>
      <c r="J1238" s="851">
        <v>297.45999999999998</v>
      </c>
      <c r="K1238" s="848" t="s">
        <v>13378</v>
      </c>
    </row>
    <row r="1239" spans="2:11" ht="25">
      <c r="B1239" s="848">
        <v>1236</v>
      </c>
      <c r="C1239" s="848" t="s">
        <v>13379</v>
      </c>
      <c r="D1239" s="849" t="s">
        <v>13380</v>
      </c>
      <c r="E1239" s="848" t="s">
        <v>12213</v>
      </c>
      <c r="F1239" s="848" t="s">
        <v>13381</v>
      </c>
      <c r="G1239" s="850" t="s">
        <v>13382</v>
      </c>
      <c r="H1239" s="849" t="s">
        <v>10716</v>
      </c>
      <c r="I1239" s="849"/>
      <c r="J1239" s="851">
        <v>12</v>
      </c>
      <c r="K1239" s="848" t="s">
        <v>13383</v>
      </c>
    </row>
    <row r="1240" spans="2:11">
      <c r="B1240" s="848">
        <v>1237</v>
      </c>
      <c r="C1240" s="848" t="s">
        <v>1381</v>
      </c>
      <c r="D1240" s="849" t="s">
        <v>13384</v>
      </c>
      <c r="E1240" s="848" t="s">
        <v>9436</v>
      </c>
      <c r="F1240" s="848" t="s">
        <v>13084</v>
      </c>
      <c r="G1240" s="850" t="s">
        <v>11483</v>
      </c>
      <c r="H1240" s="849" t="s">
        <v>10716</v>
      </c>
      <c r="I1240" s="849"/>
      <c r="J1240" s="851">
        <v>285.24</v>
      </c>
      <c r="K1240" s="848" t="s">
        <v>6444</v>
      </c>
    </row>
    <row r="1241" spans="2:11" ht="25">
      <c r="B1241" s="848">
        <v>1238</v>
      </c>
      <c r="C1241" s="848" t="s">
        <v>13385</v>
      </c>
      <c r="D1241" s="849" t="s">
        <v>321</v>
      </c>
      <c r="E1241" s="848" t="s">
        <v>11066</v>
      </c>
      <c r="F1241" s="848" t="s">
        <v>13086</v>
      </c>
      <c r="G1241" s="850" t="s">
        <v>13386</v>
      </c>
      <c r="H1241" s="849" t="s">
        <v>10716</v>
      </c>
      <c r="I1241" s="849"/>
      <c r="J1241" s="851">
        <v>214.16</v>
      </c>
      <c r="K1241" s="848" t="s">
        <v>6500</v>
      </c>
    </row>
    <row r="1242" spans="2:11" ht="25">
      <c r="B1242" s="848">
        <v>1239</v>
      </c>
      <c r="C1242" s="848" t="s">
        <v>13385</v>
      </c>
      <c r="D1242" s="849" t="s">
        <v>321</v>
      </c>
      <c r="E1242" s="848" t="s">
        <v>11066</v>
      </c>
      <c r="F1242" s="848" t="s">
        <v>13088</v>
      </c>
      <c r="G1242" s="850" t="s">
        <v>13387</v>
      </c>
      <c r="H1242" s="849" t="s">
        <v>10716</v>
      </c>
      <c r="I1242" s="849"/>
      <c r="J1242" s="851">
        <v>107.08</v>
      </c>
      <c r="K1242" s="848" t="s">
        <v>6314</v>
      </c>
    </row>
    <row r="1243" spans="2:11" ht="25">
      <c r="B1243" s="848">
        <v>1240</v>
      </c>
      <c r="C1243" s="848" t="s">
        <v>13385</v>
      </c>
      <c r="D1243" s="849" t="s">
        <v>321</v>
      </c>
      <c r="E1243" s="848" t="s">
        <v>11066</v>
      </c>
      <c r="F1243" s="848" t="s">
        <v>13388</v>
      </c>
      <c r="G1243" s="850" t="s">
        <v>13389</v>
      </c>
      <c r="H1243" s="849" t="s">
        <v>10716</v>
      </c>
      <c r="I1243" s="849"/>
      <c r="J1243" s="851">
        <v>492.58</v>
      </c>
      <c r="K1243" s="848" t="s">
        <v>6501</v>
      </c>
    </row>
    <row r="1244" spans="2:11" ht="25">
      <c r="B1244" s="848">
        <v>1241</v>
      </c>
      <c r="C1244" s="848" t="s">
        <v>13385</v>
      </c>
      <c r="D1244" s="849" t="s">
        <v>321</v>
      </c>
      <c r="E1244" s="848" t="s">
        <v>11066</v>
      </c>
      <c r="F1244" s="848" t="s">
        <v>13092</v>
      </c>
      <c r="G1244" s="850" t="s">
        <v>13390</v>
      </c>
      <c r="H1244" s="849" t="s">
        <v>10716</v>
      </c>
      <c r="I1244" s="849"/>
      <c r="J1244" s="851">
        <v>64.25</v>
      </c>
      <c r="K1244" s="848" t="s">
        <v>5960</v>
      </c>
    </row>
    <row r="1245" spans="2:11">
      <c r="B1245" s="848">
        <v>1242</v>
      </c>
      <c r="C1245" s="848" t="s">
        <v>13391</v>
      </c>
      <c r="D1245" s="849" t="s">
        <v>420</v>
      </c>
      <c r="E1245" s="848" t="s">
        <v>3393</v>
      </c>
      <c r="F1245" s="848" t="s">
        <v>12252</v>
      </c>
      <c r="G1245" s="850" t="s">
        <v>13224</v>
      </c>
      <c r="H1245" s="849" t="s">
        <v>10716</v>
      </c>
      <c r="I1245" s="849"/>
      <c r="J1245" s="851">
        <v>767</v>
      </c>
      <c r="K1245" s="848" t="s">
        <v>13392</v>
      </c>
    </row>
    <row r="1246" spans="2:11">
      <c r="B1246" s="848">
        <v>1243</v>
      </c>
      <c r="C1246" s="848" t="s">
        <v>13393</v>
      </c>
      <c r="D1246" s="849" t="s">
        <v>8011</v>
      </c>
      <c r="E1246" s="848" t="s">
        <v>10778</v>
      </c>
      <c r="F1246" s="848" t="s">
        <v>13394</v>
      </c>
      <c r="G1246" s="850" t="s">
        <v>12517</v>
      </c>
      <c r="H1246" s="849" t="s">
        <v>10716</v>
      </c>
      <c r="I1246" s="849"/>
      <c r="J1246" s="851">
        <v>11.51</v>
      </c>
      <c r="K1246" s="848" t="s">
        <v>13395</v>
      </c>
    </row>
    <row r="1247" spans="2:11">
      <c r="B1247" s="848">
        <v>1244</v>
      </c>
      <c r="C1247" s="848" t="s">
        <v>13393</v>
      </c>
      <c r="D1247" s="849" t="s">
        <v>8011</v>
      </c>
      <c r="E1247" s="848" t="s">
        <v>10778</v>
      </c>
      <c r="F1247" s="848" t="s">
        <v>13090</v>
      </c>
      <c r="G1247" s="850" t="s">
        <v>12455</v>
      </c>
      <c r="H1247" s="849" t="s">
        <v>10716</v>
      </c>
      <c r="I1247" s="849"/>
      <c r="J1247" s="851">
        <v>71.31</v>
      </c>
      <c r="K1247" s="848" t="s">
        <v>6437</v>
      </c>
    </row>
    <row r="1248" spans="2:11">
      <c r="B1248" s="848">
        <v>1245</v>
      </c>
      <c r="C1248" s="848" t="s">
        <v>13396</v>
      </c>
      <c r="D1248" s="849" t="s">
        <v>155</v>
      </c>
      <c r="E1248" s="848" t="s">
        <v>9496</v>
      </c>
      <c r="F1248" s="848" t="s">
        <v>13397</v>
      </c>
      <c r="G1248" s="850" t="s">
        <v>13398</v>
      </c>
      <c r="H1248" s="849" t="s">
        <v>10716</v>
      </c>
      <c r="I1248" s="849"/>
      <c r="J1248" s="851">
        <v>766.73</v>
      </c>
      <c r="K1248" s="848" t="s">
        <v>6286</v>
      </c>
    </row>
    <row r="1249" spans="2:11">
      <c r="B1249" s="848">
        <v>1246</v>
      </c>
      <c r="C1249" s="848" t="s">
        <v>13396</v>
      </c>
      <c r="D1249" s="849" t="s">
        <v>155</v>
      </c>
      <c r="E1249" s="848" t="s">
        <v>9496</v>
      </c>
      <c r="F1249" s="848" t="s">
        <v>11603</v>
      </c>
      <c r="G1249" s="850" t="s">
        <v>13399</v>
      </c>
      <c r="H1249" s="849" t="s">
        <v>10716</v>
      </c>
      <c r="I1249" s="849"/>
      <c r="J1249" s="851">
        <v>766.73</v>
      </c>
      <c r="K1249" s="848" t="s">
        <v>6287</v>
      </c>
    </row>
    <row r="1250" spans="2:11">
      <c r="B1250" s="848">
        <v>1247</v>
      </c>
      <c r="C1250" s="848" t="s">
        <v>13396</v>
      </c>
      <c r="D1250" s="849" t="s">
        <v>155</v>
      </c>
      <c r="E1250" s="848" t="s">
        <v>9496</v>
      </c>
      <c r="F1250" s="848" t="s">
        <v>11950</v>
      </c>
      <c r="G1250" s="850" t="s">
        <v>13400</v>
      </c>
      <c r="H1250" s="849" t="s">
        <v>10716</v>
      </c>
      <c r="I1250" s="849"/>
      <c r="J1250" s="851">
        <v>766.73</v>
      </c>
      <c r="K1250" s="848" t="s">
        <v>6291</v>
      </c>
    </row>
    <row r="1251" spans="2:11">
      <c r="B1251" s="848">
        <v>1248</v>
      </c>
      <c r="C1251" s="848" t="s">
        <v>13396</v>
      </c>
      <c r="D1251" s="849" t="s">
        <v>155</v>
      </c>
      <c r="E1251" s="848" t="s">
        <v>3251</v>
      </c>
      <c r="F1251" s="848" t="s">
        <v>11605</v>
      </c>
      <c r="G1251" s="850" t="s">
        <v>12842</v>
      </c>
      <c r="H1251" s="849" t="s">
        <v>10716</v>
      </c>
      <c r="I1251" s="849"/>
      <c r="J1251" s="851">
        <v>767</v>
      </c>
      <c r="K1251" s="848" t="s">
        <v>6288</v>
      </c>
    </row>
    <row r="1252" spans="2:11">
      <c r="B1252" s="848">
        <v>1249</v>
      </c>
      <c r="C1252" s="848" t="s">
        <v>13396</v>
      </c>
      <c r="D1252" s="849" t="s">
        <v>155</v>
      </c>
      <c r="E1252" s="848" t="s">
        <v>3251</v>
      </c>
      <c r="F1252" s="848" t="s">
        <v>11120</v>
      </c>
      <c r="G1252" s="850" t="s">
        <v>12110</v>
      </c>
      <c r="H1252" s="849" t="s">
        <v>10716</v>
      </c>
      <c r="I1252" s="849"/>
      <c r="J1252" s="851">
        <v>767</v>
      </c>
      <c r="K1252" s="848" t="s">
        <v>6289</v>
      </c>
    </row>
    <row r="1253" spans="2:11">
      <c r="B1253" s="848">
        <v>1250</v>
      </c>
      <c r="C1253" s="848" t="s">
        <v>13396</v>
      </c>
      <c r="D1253" s="849" t="s">
        <v>155</v>
      </c>
      <c r="E1253" s="848" t="s">
        <v>3251</v>
      </c>
      <c r="F1253" s="848" t="s">
        <v>11944</v>
      </c>
      <c r="G1253" s="850" t="s">
        <v>12489</v>
      </c>
      <c r="H1253" s="849" t="s">
        <v>10716</v>
      </c>
      <c r="I1253" s="849"/>
      <c r="J1253" s="851">
        <v>767</v>
      </c>
      <c r="K1253" s="848" t="s">
        <v>6290</v>
      </c>
    </row>
    <row r="1254" spans="2:11">
      <c r="B1254" s="848">
        <v>1251</v>
      </c>
      <c r="C1254" s="848" t="s">
        <v>12479</v>
      </c>
      <c r="D1254" s="849" t="s">
        <v>391</v>
      </c>
      <c r="E1254" s="848" t="s">
        <v>9441</v>
      </c>
      <c r="F1254" s="848" t="s">
        <v>13100</v>
      </c>
      <c r="G1254" s="850" t="s">
        <v>12589</v>
      </c>
      <c r="H1254" s="849" t="s">
        <v>10716</v>
      </c>
      <c r="I1254" s="849"/>
      <c r="J1254" s="851">
        <v>1485.04</v>
      </c>
      <c r="K1254" s="848" t="s">
        <v>11232</v>
      </c>
    </row>
    <row r="1255" spans="2:11">
      <c r="B1255" s="848">
        <v>1252</v>
      </c>
      <c r="C1255" s="848" t="s">
        <v>12479</v>
      </c>
      <c r="D1255" s="849" t="s">
        <v>391</v>
      </c>
      <c r="E1255" s="848" t="s">
        <v>3237</v>
      </c>
      <c r="F1255" s="848" t="s">
        <v>13401</v>
      </c>
      <c r="G1255" s="850" t="s">
        <v>11877</v>
      </c>
      <c r="H1255" s="849" t="s">
        <v>10716</v>
      </c>
      <c r="I1255" s="849"/>
      <c r="J1255" s="851">
        <v>3701.2649999999999</v>
      </c>
      <c r="K1255" s="848" t="s">
        <v>11232</v>
      </c>
    </row>
    <row r="1256" spans="2:11" ht="25">
      <c r="B1256" s="848">
        <v>1253</v>
      </c>
      <c r="C1256" s="848" t="s">
        <v>13402</v>
      </c>
      <c r="D1256" s="849" t="s">
        <v>7091</v>
      </c>
      <c r="E1256" s="848" t="s">
        <v>12121</v>
      </c>
      <c r="F1256" s="848" t="s">
        <v>10931</v>
      </c>
      <c r="G1256" s="850" t="s">
        <v>13403</v>
      </c>
      <c r="H1256" s="849" t="s">
        <v>10716</v>
      </c>
      <c r="I1256" s="849"/>
      <c r="J1256" s="851">
        <v>1.51</v>
      </c>
      <c r="K1256" s="848" t="s">
        <v>6917</v>
      </c>
    </row>
    <row r="1257" spans="2:11">
      <c r="B1257" s="848">
        <v>1254</v>
      </c>
      <c r="C1257" s="848" t="s">
        <v>13404</v>
      </c>
      <c r="D1257" s="849" t="s">
        <v>13405</v>
      </c>
      <c r="E1257" s="848" t="s">
        <v>12181</v>
      </c>
      <c r="F1257" s="848" t="s">
        <v>12629</v>
      </c>
      <c r="G1257" s="850" t="s">
        <v>10749</v>
      </c>
      <c r="H1257" s="849" t="s">
        <v>10716</v>
      </c>
      <c r="I1257" s="849"/>
      <c r="J1257" s="851">
        <v>10602</v>
      </c>
      <c r="K1257" s="848" t="s">
        <v>13406</v>
      </c>
    </row>
    <row r="1258" spans="2:11">
      <c r="B1258" s="848">
        <v>1255</v>
      </c>
      <c r="C1258" s="848" t="s">
        <v>13404</v>
      </c>
      <c r="D1258" s="849" t="s">
        <v>13405</v>
      </c>
      <c r="E1258" s="848" t="s">
        <v>12181</v>
      </c>
      <c r="F1258" s="848" t="s">
        <v>12635</v>
      </c>
      <c r="G1258" s="850" t="s">
        <v>10749</v>
      </c>
      <c r="H1258" s="849" t="s">
        <v>10716</v>
      </c>
      <c r="I1258" s="849"/>
      <c r="J1258" s="851">
        <v>10602</v>
      </c>
      <c r="K1258" s="848" t="s">
        <v>13407</v>
      </c>
    </row>
    <row r="1259" spans="2:11">
      <c r="B1259" s="848">
        <v>1256</v>
      </c>
      <c r="C1259" s="848" t="s">
        <v>1243</v>
      </c>
      <c r="D1259" s="849" t="s">
        <v>106</v>
      </c>
      <c r="E1259" s="848" t="s">
        <v>10754</v>
      </c>
      <c r="F1259" s="848" t="s">
        <v>13344</v>
      </c>
      <c r="G1259" s="850" t="s">
        <v>10967</v>
      </c>
      <c r="H1259" s="849" t="s">
        <v>10716</v>
      </c>
      <c r="I1259" s="849"/>
      <c r="J1259" s="851">
        <v>136477.94</v>
      </c>
      <c r="K1259" s="848" t="s">
        <v>13408</v>
      </c>
    </row>
    <row r="1260" spans="2:11">
      <c r="B1260" s="848">
        <v>1257</v>
      </c>
      <c r="C1260" s="848" t="s">
        <v>1243</v>
      </c>
      <c r="D1260" s="849" t="s">
        <v>106</v>
      </c>
      <c r="E1260" s="848" t="s">
        <v>10754</v>
      </c>
      <c r="F1260" s="848" t="s">
        <v>13345</v>
      </c>
      <c r="G1260" s="850" t="s">
        <v>10961</v>
      </c>
      <c r="H1260" s="849" t="s">
        <v>10716</v>
      </c>
      <c r="I1260" s="849"/>
      <c r="J1260" s="851">
        <v>180181.55</v>
      </c>
      <c r="K1260" s="848" t="s">
        <v>13409</v>
      </c>
    </row>
    <row r="1261" spans="2:11">
      <c r="B1261" s="848">
        <v>1258</v>
      </c>
      <c r="C1261" s="848" t="s">
        <v>1243</v>
      </c>
      <c r="D1261" s="849" t="s">
        <v>106</v>
      </c>
      <c r="E1261" s="848" t="s">
        <v>10754</v>
      </c>
      <c r="F1261" s="848" t="s">
        <v>11738</v>
      </c>
      <c r="G1261" s="850" t="s">
        <v>10970</v>
      </c>
      <c r="H1261" s="849" t="s">
        <v>10716</v>
      </c>
      <c r="I1261" s="849"/>
      <c r="J1261" s="851">
        <v>131877.56</v>
      </c>
      <c r="K1261" s="848" t="s">
        <v>13410</v>
      </c>
    </row>
    <row r="1262" spans="2:11">
      <c r="B1262" s="848">
        <v>1259</v>
      </c>
      <c r="C1262" s="848" t="s">
        <v>1243</v>
      </c>
      <c r="D1262" s="849" t="s">
        <v>106</v>
      </c>
      <c r="E1262" s="848" t="s">
        <v>10754</v>
      </c>
      <c r="F1262" s="848" t="s">
        <v>11744</v>
      </c>
      <c r="G1262" s="850" t="s">
        <v>10979</v>
      </c>
      <c r="H1262" s="849" t="s">
        <v>10716</v>
      </c>
      <c r="I1262" s="849"/>
      <c r="J1262" s="851">
        <v>102358.46</v>
      </c>
      <c r="K1262" s="848" t="s">
        <v>6126</v>
      </c>
    </row>
    <row r="1263" spans="2:11">
      <c r="B1263" s="848">
        <v>1260</v>
      </c>
      <c r="C1263" s="848" t="s">
        <v>1243</v>
      </c>
      <c r="D1263" s="849" t="s">
        <v>106</v>
      </c>
      <c r="E1263" s="848" t="s">
        <v>10754</v>
      </c>
      <c r="F1263" s="848" t="s">
        <v>11748</v>
      </c>
      <c r="G1263" s="850" t="s">
        <v>10976</v>
      </c>
      <c r="H1263" s="849" t="s">
        <v>10716</v>
      </c>
      <c r="I1263" s="849"/>
      <c r="J1263" s="851">
        <v>107725.57</v>
      </c>
      <c r="K1263" s="848" t="s">
        <v>6127</v>
      </c>
    </row>
    <row r="1264" spans="2:11">
      <c r="B1264" s="848">
        <v>1261</v>
      </c>
      <c r="C1264" s="848" t="s">
        <v>1243</v>
      </c>
      <c r="D1264" s="849" t="s">
        <v>106</v>
      </c>
      <c r="E1264" s="848" t="s">
        <v>10754</v>
      </c>
      <c r="F1264" s="848" t="s">
        <v>11749</v>
      </c>
      <c r="G1264" s="850" t="s">
        <v>11206</v>
      </c>
      <c r="H1264" s="849" t="s">
        <v>10716</v>
      </c>
      <c r="I1264" s="849"/>
      <c r="J1264" s="851">
        <v>20701.71</v>
      </c>
      <c r="K1264" s="848" t="s">
        <v>6128</v>
      </c>
    </row>
    <row r="1265" spans="2:11">
      <c r="B1265" s="848">
        <v>1262</v>
      </c>
      <c r="C1265" s="848" t="s">
        <v>1243</v>
      </c>
      <c r="D1265" s="849" t="s">
        <v>106</v>
      </c>
      <c r="E1265" s="848" t="s">
        <v>10754</v>
      </c>
      <c r="F1265" s="848" t="s">
        <v>11740</v>
      </c>
      <c r="G1265" s="850" t="s">
        <v>11004</v>
      </c>
      <c r="H1265" s="849" t="s">
        <v>10716</v>
      </c>
      <c r="I1265" s="849"/>
      <c r="J1265" s="851">
        <v>41403.42</v>
      </c>
      <c r="K1265" s="848" t="s">
        <v>6129</v>
      </c>
    </row>
    <row r="1266" spans="2:11">
      <c r="B1266" s="848">
        <v>1263</v>
      </c>
      <c r="C1266" s="848" t="s">
        <v>1243</v>
      </c>
      <c r="D1266" s="849" t="s">
        <v>106</v>
      </c>
      <c r="E1266" s="848" t="s">
        <v>10754</v>
      </c>
      <c r="F1266" s="848" t="s">
        <v>11741</v>
      </c>
      <c r="G1266" s="850" t="s">
        <v>11209</v>
      </c>
      <c r="H1266" s="849" t="s">
        <v>10716</v>
      </c>
      <c r="I1266" s="849"/>
      <c r="J1266" s="851">
        <v>13801.14</v>
      </c>
      <c r="K1266" s="848" t="s">
        <v>6130</v>
      </c>
    </row>
    <row r="1267" spans="2:11">
      <c r="B1267" s="848">
        <v>1264</v>
      </c>
      <c r="C1267" s="848" t="s">
        <v>1243</v>
      </c>
      <c r="D1267" s="849" t="s">
        <v>106</v>
      </c>
      <c r="E1267" s="848" t="s">
        <v>10754</v>
      </c>
      <c r="F1267" s="848" t="s">
        <v>11745</v>
      </c>
      <c r="G1267" s="850" t="s">
        <v>10991</v>
      </c>
      <c r="H1267" s="849" t="s">
        <v>10716</v>
      </c>
      <c r="I1267" s="849"/>
      <c r="J1267" s="851">
        <v>50987.55</v>
      </c>
      <c r="K1267" s="848" t="s">
        <v>6131</v>
      </c>
    </row>
    <row r="1268" spans="2:11">
      <c r="B1268" s="848">
        <v>1265</v>
      </c>
      <c r="C1268" s="848" t="s">
        <v>1243</v>
      </c>
      <c r="D1268" s="849" t="s">
        <v>106</v>
      </c>
      <c r="E1268" s="848" t="s">
        <v>10754</v>
      </c>
      <c r="F1268" s="848" t="s">
        <v>11751</v>
      </c>
      <c r="G1268" s="850" t="s">
        <v>10998</v>
      </c>
      <c r="H1268" s="849" t="s">
        <v>10716</v>
      </c>
      <c r="I1268" s="849"/>
      <c r="J1268" s="851">
        <v>38336.5</v>
      </c>
      <c r="K1268" s="848" t="s">
        <v>6132</v>
      </c>
    </row>
    <row r="1269" spans="2:11">
      <c r="B1269" s="848">
        <v>1266</v>
      </c>
      <c r="C1269" s="848" t="s">
        <v>13411</v>
      </c>
      <c r="D1269" s="849" t="s">
        <v>327</v>
      </c>
      <c r="E1269" s="848" t="s">
        <v>12357</v>
      </c>
      <c r="F1269" s="848" t="s">
        <v>13081</v>
      </c>
      <c r="G1269" s="850" t="s">
        <v>13412</v>
      </c>
      <c r="H1269" s="849" t="s">
        <v>10716</v>
      </c>
      <c r="I1269" s="849"/>
      <c r="J1269" s="851">
        <v>997.61</v>
      </c>
      <c r="K1269" s="848" t="s">
        <v>6606</v>
      </c>
    </row>
    <row r="1270" spans="2:11">
      <c r="B1270" s="848">
        <v>1267</v>
      </c>
      <c r="C1270" s="848" t="s">
        <v>13411</v>
      </c>
      <c r="D1270" s="849" t="s">
        <v>327</v>
      </c>
      <c r="E1270" s="848" t="s">
        <v>12357</v>
      </c>
      <c r="F1270" s="848" t="s">
        <v>10715</v>
      </c>
      <c r="G1270" s="850" t="s">
        <v>13413</v>
      </c>
      <c r="H1270" s="849" t="s">
        <v>10716</v>
      </c>
      <c r="I1270" s="849"/>
      <c r="J1270" s="851">
        <v>123.93</v>
      </c>
      <c r="K1270" s="848" t="s">
        <v>6847</v>
      </c>
    </row>
    <row r="1271" spans="2:11">
      <c r="B1271" s="848">
        <v>1268</v>
      </c>
      <c r="C1271" s="848" t="s">
        <v>13414</v>
      </c>
      <c r="D1271" s="849" t="s">
        <v>327</v>
      </c>
      <c r="E1271" s="848" t="s">
        <v>12357</v>
      </c>
      <c r="F1271" s="848" t="s">
        <v>13415</v>
      </c>
      <c r="G1271" s="850" t="s">
        <v>10749</v>
      </c>
      <c r="H1271" s="849" t="s">
        <v>10716</v>
      </c>
      <c r="I1271" s="849"/>
      <c r="J1271" s="851">
        <v>17.62</v>
      </c>
      <c r="K1271" s="848" t="s">
        <v>6610</v>
      </c>
    </row>
    <row r="1272" spans="2:11">
      <c r="B1272" s="848">
        <v>1269</v>
      </c>
      <c r="C1272" s="848" t="s">
        <v>13416</v>
      </c>
      <c r="D1272" s="849" t="s">
        <v>267</v>
      </c>
      <c r="E1272" s="848" t="s">
        <v>3244</v>
      </c>
      <c r="F1272" s="848" t="s">
        <v>13097</v>
      </c>
      <c r="G1272" s="850" t="s">
        <v>13417</v>
      </c>
      <c r="H1272" s="849" t="s">
        <v>10716</v>
      </c>
      <c r="I1272" s="849"/>
      <c r="J1272" s="851">
        <v>47.54</v>
      </c>
      <c r="K1272" s="848" t="s">
        <v>5923</v>
      </c>
    </row>
    <row r="1273" spans="2:11">
      <c r="B1273" s="848">
        <v>1270</v>
      </c>
      <c r="C1273" s="848" t="s">
        <v>13416</v>
      </c>
      <c r="D1273" s="849" t="s">
        <v>267</v>
      </c>
      <c r="E1273" s="848" t="s">
        <v>3244</v>
      </c>
      <c r="F1273" s="848" t="s">
        <v>13418</v>
      </c>
      <c r="G1273" s="850" t="s">
        <v>13419</v>
      </c>
      <c r="H1273" s="849" t="s">
        <v>10716</v>
      </c>
      <c r="I1273" s="849"/>
      <c r="J1273" s="851">
        <v>142.62</v>
      </c>
      <c r="K1273" s="848" t="s">
        <v>5924</v>
      </c>
    </row>
    <row r="1274" spans="2:11">
      <c r="B1274" s="848">
        <v>1271</v>
      </c>
      <c r="C1274" s="848" t="s">
        <v>13416</v>
      </c>
      <c r="D1274" s="849" t="s">
        <v>267</v>
      </c>
      <c r="E1274" s="848" t="s">
        <v>3244</v>
      </c>
      <c r="F1274" s="848" t="s">
        <v>13420</v>
      </c>
      <c r="G1274" s="850" t="s">
        <v>13421</v>
      </c>
      <c r="H1274" s="849" t="s">
        <v>10716</v>
      </c>
      <c r="I1274" s="849"/>
      <c r="J1274" s="851">
        <v>47.54</v>
      </c>
      <c r="K1274" s="848" t="s">
        <v>5925</v>
      </c>
    </row>
    <row r="1275" spans="2:11">
      <c r="B1275" s="848">
        <v>1272</v>
      </c>
      <c r="C1275" s="848" t="s">
        <v>13416</v>
      </c>
      <c r="D1275" s="849" t="s">
        <v>267</v>
      </c>
      <c r="E1275" s="848" t="s">
        <v>3244</v>
      </c>
      <c r="F1275" s="848" t="s">
        <v>13422</v>
      </c>
      <c r="G1275" s="850" t="s">
        <v>13423</v>
      </c>
      <c r="H1275" s="849" t="s">
        <v>10716</v>
      </c>
      <c r="I1275" s="849"/>
      <c r="J1275" s="851">
        <v>142.62</v>
      </c>
      <c r="K1275" s="848" t="s">
        <v>6463</v>
      </c>
    </row>
    <row r="1276" spans="2:11">
      <c r="B1276" s="848">
        <v>1273</v>
      </c>
      <c r="C1276" s="848" t="s">
        <v>13416</v>
      </c>
      <c r="D1276" s="849" t="s">
        <v>267</v>
      </c>
      <c r="E1276" s="848" t="s">
        <v>3244</v>
      </c>
      <c r="F1276" s="848" t="s">
        <v>13424</v>
      </c>
      <c r="G1276" s="850" t="s">
        <v>13401</v>
      </c>
      <c r="H1276" s="849" t="s">
        <v>10716</v>
      </c>
      <c r="I1276" s="849"/>
      <c r="J1276" s="851">
        <v>47.54</v>
      </c>
      <c r="K1276" s="848" t="s">
        <v>5928</v>
      </c>
    </row>
    <row r="1277" spans="2:11">
      <c r="B1277" s="848">
        <v>1274</v>
      </c>
      <c r="C1277" s="848" t="s">
        <v>13416</v>
      </c>
      <c r="D1277" s="849" t="s">
        <v>267</v>
      </c>
      <c r="E1277" s="848" t="s">
        <v>3244</v>
      </c>
      <c r="F1277" s="848" t="s">
        <v>13425</v>
      </c>
      <c r="G1277" s="850" t="s">
        <v>10724</v>
      </c>
      <c r="H1277" s="849" t="s">
        <v>10716</v>
      </c>
      <c r="I1277" s="849"/>
      <c r="J1277" s="851">
        <v>47.54</v>
      </c>
      <c r="K1277" s="848" t="s">
        <v>5929</v>
      </c>
    </row>
    <row r="1278" spans="2:11">
      <c r="B1278" s="848">
        <v>1275</v>
      </c>
      <c r="C1278" s="848" t="s">
        <v>13416</v>
      </c>
      <c r="D1278" s="849" t="s">
        <v>267</v>
      </c>
      <c r="E1278" s="848" t="s">
        <v>3244</v>
      </c>
      <c r="F1278" s="848" t="s">
        <v>13426</v>
      </c>
      <c r="G1278" s="850" t="s">
        <v>13427</v>
      </c>
      <c r="H1278" s="849" t="s">
        <v>10716</v>
      </c>
      <c r="I1278" s="849"/>
      <c r="J1278" s="851">
        <v>47.54</v>
      </c>
      <c r="K1278" s="848" t="s">
        <v>5930</v>
      </c>
    </row>
    <row r="1279" spans="2:11">
      <c r="B1279" s="848">
        <v>1276</v>
      </c>
      <c r="C1279" s="848" t="s">
        <v>13416</v>
      </c>
      <c r="D1279" s="849" t="s">
        <v>267</v>
      </c>
      <c r="E1279" s="848" t="s">
        <v>3244</v>
      </c>
      <c r="F1279" s="848" t="s">
        <v>12532</v>
      </c>
      <c r="G1279" s="850" t="s">
        <v>13428</v>
      </c>
      <c r="H1279" s="849" t="s">
        <v>10716</v>
      </c>
      <c r="I1279" s="849"/>
      <c r="J1279" s="851">
        <v>47.54</v>
      </c>
      <c r="K1279" s="848" t="s">
        <v>5931</v>
      </c>
    </row>
    <row r="1280" spans="2:11">
      <c r="B1280" s="848">
        <v>1277</v>
      </c>
      <c r="C1280" s="848" t="s">
        <v>12071</v>
      </c>
      <c r="D1280" s="849" t="s">
        <v>1057</v>
      </c>
      <c r="E1280" s="848" t="s">
        <v>13429</v>
      </c>
      <c r="F1280" s="848" t="s">
        <v>13427</v>
      </c>
      <c r="G1280" s="850" t="s">
        <v>10749</v>
      </c>
      <c r="H1280" s="849" t="s">
        <v>10716</v>
      </c>
      <c r="I1280" s="849"/>
      <c r="J1280" s="851">
        <v>229.45</v>
      </c>
      <c r="K1280" s="848" t="s">
        <v>13430</v>
      </c>
    </row>
    <row r="1281" spans="2:11">
      <c r="B1281" s="848">
        <v>1278</v>
      </c>
      <c r="C1281" s="848" t="s">
        <v>13431</v>
      </c>
      <c r="D1281" s="849" t="s">
        <v>8012</v>
      </c>
      <c r="E1281" s="848" t="s">
        <v>3350</v>
      </c>
      <c r="F1281" s="848" t="s">
        <v>13432</v>
      </c>
      <c r="G1281" s="850" t="s">
        <v>13433</v>
      </c>
      <c r="H1281" s="849" t="s">
        <v>10716</v>
      </c>
      <c r="I1281" s="849"/>
      <c r="J1281" s="851">
        <v>3.52</v>
      </c>
      <c r="K1281" s="848" t="s">
        <v>6059</v>
      </c>
    </row>
    <row r="1282" spans="2:11">
      <c r="B1282" s="848">
        <v>1279</v>
      </c>
      <c r="C1282" s="848" t="s">
        <v>13434</v>
      </c>
      <c r="D1282" s="849" t="s">
        <v>1899</v>
      </c>
      <c r="E1282" s="848" t="s">
        <v>12948</v>
      </c>
      <c r="F1282" s="848" t="s">
        <v>13435</v>
      </c>
      <c r="G1282" s="850" t="s">
        <v>13436</v>
      </c>
      <c r="H1282" s="849" t="s">
        <v>10716</v>
      </c>
      <c r="I1282" s="849"/>
      <c r="J1282" s="851">
        <v>94.1</v>
      </c>
      <c r="K1282" s="848" t="s">
        <v>6211</v>
      </c>
    </row>
    <row r="1283" spans="2:11">
      <c r="B1283" s="848">
        <v>1280</v>
      </c>
      <c r="C1283" s="848" t="s">
        <v>13434</v>
      </c>
      <c r="D1283" s="849" t="s">
        <v>1899</v>
      </c>
      <c r="E1283" s="848" t="s">
        <v>12948</v>
      </c>
      <c r="F1283" s="848" t="s">
        <v>12535</v>
      </c>
      <c r="G1283" s="850" t="s">
        <v>13437</v>
      </c>
      <c r="H1283" s="849" t="s">
        <v>10716</v>
      </c>
      <c r="I1283" s="849"/>
      <c r="J1283" s="851">
        <v>298.35000000000002</v>
      </c>
      <c r="K1283" s="848" t="s">
        <v>6146</v>
      </c>
    </row>
    <row r="1284" spans="2:11" ht="25">
      <c r="B1284" s="848">
        <v>1281</v>
      </c>
      <c r="C1284" s="848" t="s">
        <v>13438</v>
      </c>
      <c r="D1284" s="849" t="s">
        <v>13439</v>
      </c>
      <c r="E1284" s="848" t="s">
        <v>9418</v>
      </c>
      <c r="F1284" s="848" t="s">
        <v>13440</v>
      </c>
      <c r="G1284" s="850" t="s">
        <v>11581</v>
      </c>
      <c r="H1284" s="849" t="s">
        <v>10716</v>
      </c>
      <c r="I1284" s="849"/>
      <c r="J1284" s="851">
        <v>15.89</v>
      </c>
      <c r="K1284" s="848" t="s">
        <v>6214</v>
      </c>
    </row>
    <row r="1285" spans="2:11">
      <c r="B1285" s="848">
        <v>1282</v>
      </c>
      <c r="C1285" s="848" t="s">
        <v>720</v>
      </c>
      <c r="D1285" s="849" t="s">
        <v>269</v>
      </c>
      <c r="E1285" s="848" t="s">
        <v>9472</v>
      </c>
      <c r="F1285" s="848" t="s">
        <v>13441</v>
      </c>
      <c r="G1285" s="850" t="s">
        <v>13442</v>
      </c>
      <c r="H1285" s="849" t="s">
        <v>10716</v>
      </c>
      <c r="I1285" s="849"/>
      <c r="J1285" s="851">
        <v>10278</v>
      </c>
      <c r="K1285" s="848" t="s">
        <v>6187</v>
      </c>
    </row>
    <row r="1286" spans="2:11">
      <c r="B1286" s="848">
        <v>1283</v>
      </c>
      <c r="C1286" s="848" t="s">
        <v>720</v>
      </c>
      <c r="D1286" s="849" t="s">
        <v>269</v>
      </c>
      <c r="E1286" s="848" t="s">
        <v>9472</v>
      </c>
      <c r="F1286" s="848" t="s">
        <v>13443</v>
      </c>
      <c r="G1286" s="850" t="s">
        <v>13444</v>
      </c>
      <c r="H1286" s="849" t="s">
        <v>10716</v>
      </c>
      <c r="I1286" s="849"/>
      <c r="J1286" s="851">
        <v>9957</v>
      </c>
      <c r="K1286" s="848" t="s">
        <v>6188</v>
      </c>
    </row>
    <row r="1287" spans="2:11">
      <c r="B1287" s="848">
        <v>1284</v>
      </c>
      <c r="C1287" s="848" t="s">
        <v>13205</v>
      </c>
      <c r="D1287" s="849" t="s">
        <v>269</v>
      </c>
      <c r="E1287" s="848" t="s">
        <v>3233</v>
      </c>
      <c r="F1287" s="848" t="s">
        <v>11659</v>
      </c>
      <c r="G1287" s="850" t="s">
        <v>12049</v>
      </c>
      <c r="H1287" s="849" t="s">
        <v>10716</v>
      </c>
      <c r="I1287" s="849"/>
      <c r="J1287" s="851">
        <v>72.739999999999995</v>
      </c>
      <c r="K1287" s="848" t="s">
        <v>13445</v>
      </c>
    </row>
    <row r="1288" spans="2:11">
      <c r="B1288" s="848">
        <v>1285</v>
      </c>
      <c r="C1288" s="848" t="s">
        <v>13205</v>
      </c>
      <c r="D1288" s="849" t="s">
        <v>269</v>
      </c>
      <c r="E1288" s="848" t="s">
        <v>3233</v>
      </c>
      <c r="F1288" s="848" t="s">
        <v>13446</v>
      </c>
      <c r="G1288" s="850" t="s">
        <v>12040</v>
      </c>
      <c r="H1288" s="849" t="s">
        <v>10716</v>
      </c>
      <c r="I1288" s="849"/>
      <c r="J1288" s="851">
        <v>95.08</v>
      </c>
      <c r="K1288" s="848" t="s">
        <v>13445</v>
      </c>
    </row>
    <row r="1289" spans="2:11">
      <c r="B1289" s="848">
        <v>1286</v>
      </c>
      <c r="C1289" s="848" t="s">
        <v>13205</v>
      </c>
      <c r="D1289" s="849" t="s">
        <v>269</v>
      </c>
      <c r="E1289" s="848" t="s">
        <v>3233</v>
      </c>
      <c r="F1289" s="848" t="s">
        <v>11662</v>
      </c>
      <c r="G1289" s="850" t="s">
        <v>12032</v>
      </c>
      <c r="H1289" s="849" t="s">
        <v>10716</v>
      </c>
      <c r="I1289" s="849"/>
      <c r="J1289" s="851">
        <v>72.739999999999995</v>
      </c>
      <c r="K1289" s="848" t="s">
        <v>13447</v>
      </c>
    </row>
    <row r="1290" spans="2:11">
      <c r="B1290" s="848">
        <v>1287</v>
      </c>
      <c r="C1290" s="848" t="s">
        <v>13205</v>
      </c>
      <c r="D1290" s="849" t="s">
        <v>269</v>
      </c>
      <c r="E1290" s="848" t="s">
        <v>3233</v>
      </c>
      <c r="F1290" s="848" t="s">
        <v>12538</v>
      </c>
      <c r="G1290" s="850" t="s">
        <v>11621</v>
      </c>
      <c r="H1290" s="849" t="s">
        <v>10716</v>
      </c>
      <c r="I1290" s="849"/>
      <c r="J1290" s="851">
        <v>95.08</v>
      </c>
      <c r="K1290" s="848" t="s">
        <v>13447</v>
      </c>
    </row>
    <row r="1291" spans="2:11">
      <c r="B1291" s="848">
        <v>1288</v>
      </c>
      <c r="C1291" s="848" t="s">
        <v>13205</v>
      </c>
      <c r="D1291" s="849" t="s">
        <v>269</v>
      </c>
      <c r="E1291" s="848" t="s">
        <v>3233</v>
      </c>
      <c r="F1291" s="848" t="s">
        <v>13448</v>
      </c>
      <c r="G1291" s="850" t="s">
        <v>11125</v>
      </c>
      <c r="H1291" s="849" t="s">
        <v>10716</v>
      </c>
      <c r="I1291" s="849"/>
      <c r="J1291" s="851">
        <v>594.25</v>
      </c>
      <c r="K1291" s="848" t="s">
        <v>13449</v>
      </c>
    </row>
    <row r="1292" spans="2:11">
      <c r="B1292" s="848">
        <v>1289</v>
      </c>
      <c r="C1292" s="848" t="s">
        <v>13205</v>
      </c>
      <c r="D1292" s="849" t="s">
        <v>269</v>
      </c>
      <c r="E1292" s="848" t="s">
        <v>3233</v>
      </c>
      <c r="F1292" s="848" t="s">
        <v>11665</v>
      </c>
      <c r="G1292" s="850" t="s">
        <v>12036</v>
      </c>
      <c r="H1292" s="849" t="s">
        <v>10716</v>
      </c>
      <c r="I1292" s="849"/>
      <c r="J1292" s="851">
        <v>454.6</v>
      </c>
      <c r="K1292" s="848" t="s">
        <v>13449</v>
      </c>
    </row>
    <row r="1293" spans="2:11">
      <c r="B1293" s="848">
        <v>1290</v>
      </c>
      <c r="C1293" s="848" t="s">
        <v>13205</v>
      </c>
      <c r="D1293" s="849" t="s">
        <v>269</v>
      </c>
      <c r="E1293" s="848" t="s">
        <v>3233</v>
      </c>
      <c r="F1293" s="848" t="s">
        <v>11668</v>
      </c>
      <c r="G1293" s="850" t="s">
        <v>12058</v>
      </c>
      <c r="H1293" s="849" t="s">
        <v>10716</v>
      </c>
      <c r="I1293" s="849"/>
      <c r="J1293" s="851">
        <v>72.739999999999995</v>
      </c>
      <c r="K1293" s="848" t="s">
        <v>13450</v>
      </c>
    </row>
    <row r="1294" spans="2:11">
      <c r="B1294" s="848">
        <v>1291</v>
      </c>
      <c r="C1294" s="848" t="s">
        <v>13205</v>
      </c>
      <c r="D1294" s="849" t="s">
        <v>269</v>
      </c>
      <c r="E1294" s="848" t="s">
        <v>3233</v>
      </c>
      <c r="F1294" s="848" t="s">
        <v>12478</v>
      </c>
      <c r="G1294" s="850" t="s">
        <v>12047</v>
      </c>
      <c r="H1294" s="849" t="s">
        <v>10716</v>
      </c>
      <c r="I1294" s="849"/>
      <c r="J1294" s="851">
        <v>95.08</v>
      </c>
      <c r="K1294" s="848" t="s">
        <v>13450</v>
      </c>
    </row>
    <row r="1295" spans="2:11">
      <c r="B1295" s="848">
        <v>1292</v>
      </c>
      <c r="C1295" s="848" t="s">
        <v>720</v>
      </c>
      <c r="D1295" s="849" t="s">
        <v>269</v>
      </c>
      <c r="E1295" s="848" t="s">
        <v>3233</v>
      </c>
      <c r="F1295" s="848" t="s">
        <v>12676</v>
      </c>
      <c r="G1295" s="850" t="s">
        <v>11537</v>
      </c>
      <c r="H1295" s="849" t="s">
        <v>10716</v>
      </c>
      <c r="I1295" s="849"/>
      <c r="J1295" s="851">
        <v>1473.74</v>
      </c>
      <c r="K1295" s="848" t="s">
        <v>6181</v>
      </c>
    </row>
    <row r="1296" spans="2:11">
      <c r="B1296" s="848">
        <v>1293</v>
      </c>
      <c r="C1296" s="848" t="s">
        <v>720</v>
      </c>
      <c r="D1296" s="849" t="s">
        <v>269</v>
      </c>
      <c r="E1296" s="848" t="s">
        <v>3233</v>
      </c>
      <c r="F1296" s="848" t="s">
        <v>12115</v>
      </c>
      <c r="G1296" s="850" t="s">
        <v>11541</v>
      </c>
      <c r="H1296" s="849" t="s">
        <v>10716</v>
      </c>
      <c r="I1296" s="849"/>
      <c r="J1296" s="851">
        <v>1283.58</v>
      </c>
      <c r="K1296" s="848" t="s">
        <v>6182</v>
      </c>
    </row>
    <row r="1297" spans="2:11">
      <c r="B1297" s="848">
        <v>1294</v>
      </c>
      <c r="C1297" s="848" t="s">
        <v>720</v>
      </c>
      <c r="D1297" s="849" t="s">
        <v>269</v>
      </c>
      <c r="E1297" s="848" t="s">
        <v>3233</v>
      </c>
      <c r="F1297" s="848" t="s">
        <v>11824</v>
      </c>
      <c r="G1297" s="850" t="s">
        <v>11618</v>
      </c>
      <c r="H1297" s="849" t="s">
        <v>10716</v>
      </c>
      <c r="I1297" s="849"/>
      <c r="J1297" s="851">
        <v>903.26</v>
      </c>
      <c r="K1297" s="848" t="s">
        <v>6183</v>
      </c>
    </row>
    <row r="1298" spans="2:11">
      <c r="B1298" s="848">
        <v>1295</v>
      </c>
      <c r="C1298" s="848" t="s">
        <v>720</v>
      </c>
      <c r="D1298" s="849" t="s">
        <v>269</v>
      </c>
      <c r="E1298" s="848" t="s">
        <v>3233</v>
      </c>
      <c r="F1298" s="848" t="s">
        <v>12491</v>
      </c>
      <c r="G1298" s="850" t="s">
        <v>12045</v>
      </c>
      <c r="H1298" s="849" t="s">
        <v>10716</v>
      </c>
      <c r="I1298" s="849"/>
      <c r="J1298" s="851">
        <v>760.64</v>
      </c>
      <c r="K1298" s="848" t="s">
        <v>6187</v>
      </c>
    </row>
    <row r="1299" spans="2:11">
      <c r="B1299" s="848">
        <v>1296</v>
      </c>
      <c r="C1299" s="848" t="s">
        <v>720</v>
      </c>
      <c r="D1299" s="849" t="s">
        <v>269</v>
      </c>
      <c r="E1299" s="848" t="s">
        <v>3233</v>
      </c>
      <c r="F1299" s="848" t="s">
        <v>13451</v>
      </c>
      <c r="G1299" s="850" t="s">
        <v>12038</v>
      </c>
      <c r="H1299" s="849" t="s">
        <v>10716</v>
      </c>
      <c r="I1299" s="849"/>
      <c r="J1299" s="851">
        <v>736.87</v>
      </c>
      <c r="K1299" s="848" t="s">
        <v>6188</v>
      </c>
    </row>
    <row r="1300" spans="2:11">
      <c r="B1300" s="848">
        <v>1297</v>
      </c>
      <c r="C1300" s="848" t="s">
        <v>720</v>
      </c>
      <c r="D1300" s="849" t="s">
        <v>269</v>
      </c>
      <c r="E1300" s="848" t="s">
        <v>9496</v>
      </c>
      <c r="F1300" s="848" t="s">
        <v>12159</v>
      </c>
      <c r="G1300" s="850" t="s">
        <v>13452</v>
      </c>
      <c r="H1300" s="849" t="s">
        <v>10716</v>
      </c>
      <c r="I1300" s="849"/>
      <c r="J1300" s="851">
        <v>10931.69</v>
      </c>
      <c r="K1300" s="848" t="s">
        <v>6183</v>
      </c>
    </row>
    <row r="1301" spans="2:11">
      <c r="B1301" s="848">
        <v>1298</v>
      </c>
      <c r="C1301" s="848" t="s">
        <v>13453</v>
      </c>
      <c r="D1301" s="849" t="s">
        <v>13454</v>
      </c>
      <c r="E1301" s="848" t="s">
        <v>8582</v>
      </c>
      <c r="F1301" s="848" t="s">
        <v>11994</v>
      </c>
      <c r="G1301" s="850" t="s">
        <v>11382</v>
      </c>
      <c r="H1301" s="849" t="s">
        <v>10716</v>
      </c>
      <c r="I1301" s="849"/>
      <c r="J1301" s="851">
        <v>417.93</v>
      </c>
      <c r="K1301" s="848" t="s">
        <v>13455</v>
      </c>
    </row>
    <row r="1302" spans="2:11">
      <c r="B1302" s="848">
        <v>1299</v>
      </c>
      <c r="C1302" s="848" t="s">
        <v>13453</v>
      </c>
      <c r="D1302" s="849" t="s">
        <v>13454</v>
      </c>
      <c r="E1302" s="848" t="s">
        <v>8582</v>
      </c>
      <c r="F1302" s="848" t="s">
        <v>13456</v>
      </c>
      <c r="G1302" s="850" t="s">
        <v>11352</v>
      </c>
      <c r="H1302" s="849" t="s">
        <v>10716</v>
      </c>
      <c r="I1302" s="849"/>
      <c r="J1302" s="851">
        <v>2353.23</v>
      </c>
      <c r="K1302" s="848" t="s">
        <v>13455</v>
      </c>
    </row>
    <row r="1303" spans="2:11">
      <c r="B1303" s="848">
        <v>1300</v>
      </c>
      <c r="C1303" s="848" t="s">
        <v>13453</v>
      </c>
      <c r="D1303" s="849" t="s">
        <v>13454</v>
      </c>
      <c r="E1303" s="848" t="s">
        <v>8582</v>
      </c>
      <c r="F1303" s="848" t="s">
        <v>12347</v>
      </c>
      <c r="G1303" s="850" t="s">
        <v>11373</v>
      </c>
      <c r="H1303" s="849" t="s">
        <v>10716</v>
      </c>
      <c r="I1303" s="849"/>
      <c r="J1303" s="851">
        <v>287.60000000000002</v>
      </c>
      <c r="K1303" s="848" t="s">
        <v>13457</v>
      </c>
    </row>
    <row r="1304" spans="2:11">
      <c r="B1304" s="848">
        <v>1301</v>
      </c>
      <c r="C1304" s="848" t="s">
        <v>13453</v>
      </c>
      <c r="D1304" s="849" t="s">
        <v>13454</v>
      </c>
      <c r="E1304" s="848" t="s">
        <v>8582</v>
      </c>
      <c r="F1304" s="848" t="s">
        <v>11822</v>
      </c>
      <c r="G1304" s="850" t="s">
        <v>11395</v>
      </c>
      <c r="H1304" s="849" t="s">
        <v>10716</v>
      </c>
      <c r="I1304" s="849"/>
      <c r="J1304" s="851">
        <v>974.57</v>
      </c>
      <c r="K1304" s="848" t="s">
        <v>13457</v>
      </c>
    </row>
    <row r="1305" spans="2:11">
      <c r="B1305" s="848">
        <v>1302</v>
      </c>
      <c r="C1305" s="848" t="s">
        <v>13453</v>
      </c>
      <c r="D1305" s="849" t="s">
        <v>13454</v>
      </c>
      <c r="E1305" s="848" t="s">
        <v>8582</v>
      </c>
      <c r="F1305" s="848" t="s">
        <v>11098</v>
      </c>
      <c r="G1305" s="850" t="s">
        <v>11386</v>
      </c>
      <c r="H1305" s="849" t="s">
        <v>10716</v>
      </c>
      <c r="I1305" s="849"/>
      <c r="J1305" s="851">
        <v>1830.29</v>
      </c>
      <c r="K1305" s="848" t="s">
        <v>13458</v>
      </c>
    </row>
    <row r="1306" spans="2:11">
      <c r="B1306" s="848">
        <v>1303</v>
      </c>
      <c r="C1306" s="848" t="s">
        <v>13453</v>
      </c>
      <c r="D1306" s="849" t="s">
        <v>13454</v>
      </c>
      <c r="E1306" s="848" t="s">
        <v>8582</v>
      </c>
      <c r="F1306" s="848" t="s">
        <v>12348</v>
      </c>
      <c r="G1306" s="850" t="s">
        <v>11333</v>
      </c>
      <c r="H1306" s="849" t="s">
        <v>10716</v>
      </c>
      <c r="I1306" s="849"/>
      <c r="J1306" s="851">
        <v>540.12</v>
      </c>
      <c r="K1306" s="848" t="s">
        <v>13458</v>
      </c>
    </row>
    <row r="1307" spans="2:11">
      <c r="B1307" s="848">
        <v>1304</v>
      </c>
      <c r="C1307" s="848" t="s">
        <v>13459</v>
      </c>
      <c r="D1307" s="849" t="s">
        <v>58</v>
      </c>
      <c r="E1307" s="848" t="s">
        <v>11728</v>
      </c>
      <c r="F1307" s="848" t="s">
        <v>11167</v>
      </c>
      <c r="G1307" s="850" t="s">
        <v>12033</v>
      </c>
      <c r="H1307" s="849" t="s">
        <v>10716</v>
      </c>
      <c r="I1307" s="849"/>
      <c r="J1307" s="851">
        <v>22618.54</v>
      </c>
      <c r="K1307" s="848" t="s">
        <v>12248</v>
      </c>
    </row>
    <row r="1308" spans="2:11">
      <c r="B1308" s="848">
        <v>1305</v>
      </c>
      <c r="C1308" s="848" t="s">
        <v>13459</v>
      </c>
      <c r="D1308" s="849" t="s">
        <v>58</v>
      </c>
      <c r="E1308" s="848" t="s">
        <v>11728</v>
      </c>
      <c r="F1308" s="848" t="s">
        <v>11165</v>
      </c>
      <c r="G1308" s="850" t="s">
        <v>12029</v>
      </c>
      <c r="H1308" s="849" t="s">
        <v>10716</v>
      </c>
      <c r="I1308" s="849"/>
      <c r="J1308" s="851">
        <v>10734.22</v>
      </c>
      <c r="K1308" s="848" t="s">
        <v>12709</v>
      </c>
    </row>
    <row r="1309" spans="2:11">
      <c r="B1309" s="848">
        <v>1306</v>
      </c>
      <c r="C1309" s="848" t="s">
        <v>13459</v>
      </c>
      <c r="D1309" s="849" t="s">
        <v>58</v>
      </c>
      <c r="E1309" s="848" t="s">
        <v>11728</v>
      </c>
      <c r="F1309" s="848" t="s">
        <v>11162</v>
      </c>
      <c r="G1309" s="850" t="s">
        <v>12043</v>
      </c>
      <c r="H1309" s="849" t="s">
        <v>10716</v>
      </c>
      <c r="I1309" s="849"/>
      <c r="J1309" s="851">
        <v>25685.46</v>
      </c>
      <c r="K1309" s="848" t="s">
        <v>5836</v>
      </c>
    </row>
    <row r="1310" spans="2:11">
      <c r="B1310" s="848">
        <v>1307</v>
      </c>
      <c r="C1310" s="848" t="s">
        <v>13460</v>
      </c>
      <c r="D1310" s="849" t="s">
        <v>111</v>
      </c>
      <c r="E1310" s="848" t="s">
        <v>8582</v>
      </c>
      <c r="F1310" s="848" t="s">
        <v>11163</v>
      </c>
      <c r="G1310" s="850" t="s">
        <v>12879</v>
      </c>
      <c r="H1310" s="849" t="s">
        <v>10716</v>
      </c>
      <c r="I1310" s="849"/>
      <c r="J1310" s="851">
        <v>85107.03</v>
      </c>
      <c r="K1310" s="848" t="s">
        <v>13461</v>
      </c>
    </row>
    <row r="1311" spans="2:11">
      <c r="B1311" s="848">
        <v>1308</v>
      </c>
      <c r="C1311" s="848" t="s">
        <v>705</v>
      </c>
      <c r="D1311" s="849" t="s">
        <v>13462</v>
      </c>
      <c r="E1311" s="848" t="s">
        <v>9441</v>
      </c>
      <c r="F1311" s="848" t="s">
        <v>13218</v>
      </c>
      <c r="G1311" s="850" t="s">
        <v>12592</v>
      </c>
      <c r="H1311" s="849" t="s">
        <v>10716</v>
      </c>
      <c r="I1311" s="849"/>
      <c r="J1311" s="851">
        <v>3680.25</v>
      </c>
      <c r="K1311" s="848" t="s">
        <v>13463</v>
      </c>
    </row>
    <row r="1312" spans="2:11">
      <c r="B1312" s="848">
        <v>1309</v>
      </c>
      <c r="C1312" s="848" t="s">
        <v>705</v>
      </c>
      <c r="D1312" s="849" t="s">
        <v>13462</v>
      </c>
      <c r="E1312" s="848" t="s">
        <v>9441</v>
      </c>
      <c r="F1312" s="848" t="s">
        <v>13214</v>
      </c>
      <c r="G1312" s="850" t="s">
        <v>12595</v>
      </c>
      <c r="H1312" s="849" t="s">
        <v>10716</v>
      </c>
      <c r="I1312" s="849"/>
      <c r="J1312" s="851">
        <v>3680.25</v>
      </c>
      <c r="K1312" s="848" t="s">
        <v>13464</v>
      </c>
    </row>
    <row r="1313" spans="2:11">
      <c r="B1313" s="848">
        <v>1310</v>
      </c>
      <c r="C1313" s="848" t="s">
        <v>705</v>
      </c>
      <c r="D1313" s="849" t="s">
        <v>13462</v>
      </c>
      <c r="E1313" s="848" t="s">
        <v>9441</v>
      </c>
      <c r="F1313" s="848" t="s">
        <v>13221</v>
      </c>
      <c r="G1313" s="850" t="s">
        <v>12598</v>
      </c>
      <c r="H1313" s="849" t="s">
        <v>10716</v>
      </c>
      <c r="I1313" s="849"/>
      <c r="J1313" s="851">
        <v>613.38</v>
      </c>
      <c r="K1313" s="848" t="s">
        <v>13465</v>
      </c>
    </row>
    <row r="1314" spans="2:11">
      <c r="B1314" s="848">
        <v>1311</v>
      </c>
      <c r="C1314" s="848" t="s">
        <v>660</v>
      </c>
      <c r="D1314" s="849" t="s">
        <v>35</v>
      </c>
      <c r="E1314" s="848" t="s">
        <v>11161</v>
      </c>
      <c r="F1314" s="848" t="s">
        <v>11166</v>
      </c>
      <c r="G1314" s="850" t="s">
        <v>13466</v>
      </c>
      <c r="H1314" s="849" t="s">
        <v>10716</v>
      </c>
      <c r="I1314" s="849"/>
      <c r="J1314" s="851">
        <v>1150.0999999999999</v>
      </c>
      <c r="K1314" s="848" t="s">
        <v>10965</v>
      </c>
    </row>
    <row r="1315" spans="2:11">
      <c r="B1315" s="848">
        <v>1312</v>
      </c>
      <c r="C1315" s="848" t="s">
        <v>1290</v>
      </c>
      <c r="D1315" s="849" t="s">
        <v>35</v>
      </c>
      <c r="E1315" s="848" t="s">
        <v>11161</v>
      </c>
      <c r="F1315" s="848" t="s">
        <v>12773</v>
      </c>
      <c r="G1315" s="850" t="s">
        <v>13467</v>
      </c>
      <c r="H1315" s="849" t="s">
        <v>10716</v>
      </c>
      <c r="I1315" s="849"/>
      <c r="J1315" s="851">
        <v>1916.83</v>
      </c>
      <c r="K1315" s="848" t="s">
        <v>6383</v>
      </c>
    </row>
    <row r="1316" spans="2:11">
      <c r="B1316" s="848">
        <v>1313</v>
      </c>
      <c r="C1316" s="848" t="s">
        <v>1356</v>
      </c>
      <c r="D1316" s="849" t="s">
        <v>35</v>
      </c>
      <c r="E1316" s="848" t="s">
        <v>10754</v>
      </c>
      <c r="F1316" s="848" t="s">
        <v>11089</v>
      </c>
      <c r="G1316" s="850" t="s">
        <v>13468</v>
      </c>
      <c r="H1316" s="849" t="s">
        <v>10716</v>
      </c>
      <c r="I1316" s="849"/>
      <c r="J1316" s="851">
        <v>23.77</v>
      </c>
      <c r="K1316" s="848" t="s">
        <v>13469</v>
      </c>
    </row>
    <row r="1317" spans="2:11">
      <c r="B1317" s="848">
        <v>1314</v>
      </c>
      <c r="C1317" s="848" t="s">
        <v>660</v>
      </c>
      <c r="D1317" s="849" t="s">
        <v>35</v>
      </c>
      <c r="E1317" s="848" t="s">
        <v>10754</v>
      </c>
      <c r="F1317" s="848" t="s">
        <v>11092</v>
      </c>
      <c r="G1317" s="850" t="s">
        <v>11128</v>
      </c>
      <c r="H1317" s="849" t="s">
        <v>10716</v>
      </c>
      <c r="I1317" s="849"/>
      <c r="J1317" s="851">
        <v>427.86</v>
      </c>
      <c r="K1317" s="848" t="s">
        <v>13470</v>
      </c>
    </row>
    <row r="1318" spans="2:11">
      <c r="B1318" s="848">
        <v>1315</v>
      </c>
      <c r="C1318" s="848" t="s">
        <v>660</v>
      </c>
      <c r="D1318" s="849" t="s">
        <v>35</v>
      </c>
      <c r="E1318" s="848" t="s">
        <v>10754</v>
      </c>
      <c r="F1318" s="848" t="s">
        <v>11095</v>
      </c>
      <c r="G1318" s="850" t="s">
        <v>11142</v>
      </c>
      <c r="H1318" s="849" t="s">
        <v>10716</v>
      </c>
      <c r="I1318" s="849"/>
      <c r="J1318" s="851">
        <v>47.54</v>
      </c>
      <c r="K1318" s="848" t="s">
        <v>13471</v>
      </c>
    </row>
    <row r="1319" spans="2:11">
      <c r="B1319" s="848">
        <v>1316</v>
      </c>
      <c r="C1319" s="848" t="s">
        <v>660</v>
      </c>
      <c r="D1319" s="849" t="s">
        <v>35</v>
      </c>
      <c r="E1319" s="848" t="s">
        <v>10754</v>
      </c>
      <c r="F1319" s="848" t="s">
        <v>11101</v>
      </c>
      <c r="G1319" s="850" t="s">
        <v>11131</v>
      </c>
      <c r="H1319" s="849" t="s">
        <v>10716</v>
      </c>
      <c r="I1319" s="849"/>
      <c r="J1319" s="851">
        <v>47.54</v>
      </c>
      <c r="K1319" s="848" t="s">
        <v>13472</v>
      </c>
    </row>
    <row r="1320" spans="2:11">
      <c r="B1320" s="848">
        <v>1317</v>
      </c>
      <c r="C1320" s="848" t="s">
        <v>660</v>
      </c>
      <c r="D1320" s="849" t="s">
        <v>35</v>
      </c>
      <c r="E1320" s="848" t="s">
        <v>3350</v>
      </c>
      <c r="F1320" s="848" t="s">
        <v>13473</v>
      </c>
      <c r="G1320" s="850" t="s">
        <v>13474</v>
      </c>
      <c r="H1320" s="849" t="s">
        <v>10716</v>
      </c>
      <c r="I1320" s="849"/>
      <c r="J1320" s="851">
        <v>8.99</v>
      </c>
      <c r="K1320" s="848" t="s">
        <v>6570</v>
      </c>
    </row>
    <row r="1321" spans="2:11">
      <c r="B1321" s="848">
        <v>1318</v>
      </c>
      <c r="C1321" s="848" t="s">
        <v>660</v>
      </c>
      <c r="D1321" s="849" t="s">
        <v>35</v>
      </c>
      <c r="E1321" s="848" t="s">
        <v>3350</v>
      </c>
      <c r="F1321" s="848" t="s">
        <v>13475</v>
      </c>
      <c r="G1321" s="850" t="s">
        <v>13476</v>
      </c>
      <c r="H1321" s="849" t="s">
        <v>10716</v>
      </c>
      <c r="I1321" s="849"/>
      <c r="J1321" s="851">
        <v>0.82</v>
      </c>
      <c r="K1321" s="848" t="s">
        <v>6571</v>
      </c>
    </row>
    <row r="1322" spans="2:11">
      <c r="B1322" s="848">
        <v>1319</v>
      </c>
      <c r="C1322" s="848" t="s">
        <v>660</v>
      </c>
      <c r="D1322" s="849" t="s">
        <v>35</v>
      </c>
      <c r="E1322" s="848" t="s">
        <v>3350</v>
      </c>
      <c r="F1322" s="848" t="s">
        <v>13477</v>
      </c>
      <c r="G1322" s="850" t="s">
        <v>13478</v>
      </c>
      <c r="H1322" s="849" t="s">
        <v>10716</v>
      </c>
      <c r="I1322" s="849"/>
      <c r="J1322" s="851">
        <v>3.27</v>
      </c>
      <c r="K1322" s="848" t="s">
        <v>6572</v>
      </c>
    </row>
    <row r="1323" spans="2:11">
      <c r="B1323" s="848">
        <v>1320</v>
      </c>
      <c r="C1323" s="848" t="s">
        <v>660</v>
      </c>
      <c r="D1323" s="849" t="s">
        <v>13479</v>
      </c>
      <c r="E1323" s="848" t="s">
        <v>11161</v>
      </c>
      <c r="F1323" s="848" t="s">
        <v>13480</v>
      </c>
      <c r="G1323" s="850" t="s">
        <v>13481</v>
      </c>
      <c r="H1323" s="849" t="s">
        <v>10716</v>
      </c>
      <c r="I1323" s="849"/>
      <c r="J1323" s="851">
        <v>700.75</v>
      </c>
      <c r="K1323" s="848" t="s">
        <v>10965</v>
      </c>
    </row>
    <row r="1324" spans="2:11">
      <c r="B1324" s="848">
        <v>1321</v>
      </c>
      <c r="C1324" s="848" t="s">
        <v>13482</v>
      </c>
      <c r="D1324" s="849" t="s">
        <v>13483</v>
      </c>
      <c r="E1324" s="848" t="s">
        <v>9469</v>
      </c>
      <c r="F1324" s="848" t="s">
        <v>11164</v>
      </c>
      <c r="G1324" s="850" t="s">
        <v>13484</v>
      </c>
      <c r="H1324" s="849" t="s">
        <v>10716</v>
      </c>
      <c r="I1324" s="849"/>
      <c r="J1324" s="851">
        <v>766.73</v>
      </c>
      <c r="K1324" s="848" t="s">
        <v>6764</v>
      </c>
    </row>
    <row r="1325" spans="2:11">
      <c r="B1325" s="848">
        <v>1322</v>
      </c>
      <c r="C1325" s="848" t="s">
        <v>13482</v>
      </c>
      <c r="D1325" s="849" t="s">
        <v>13483</v>
      </c>
      <c r="E1325" s="848" t="s">
        <v>9469</v>
      </c>
      <c r="F1325" s="848" t="s">
        <v>12493</v>
      </c>
      <c r="G1325" s="850" t="s">
        <v>13485</v>
      </c>
      <c r="H1325" s="849" t="s">
        <v>10716</v>
      </c>
      <c r="I1325" s="849"/>
      <c r="J1325" s="851">
        <v>766.73</v>
      </c>
      <c r="K1325" s="848" t="s">
        <v>6765</v>
      </c>
    </row>
    <row r="1326" spans="2:11">
      <c r="B1326" s="848">
        <v>1323</v>
      </c>
      <c r="C1326" s="848" t="s">
        <v>13482</v>
      </c>
      <c r="D1326" s="849" t="s">
        <v>13483</v>
      </c>
      <c r="E1326" s="848" t="s">
        <v>9469</v>
      </c>
      <c r="F1326" s="848" t="s">
        <v>12495</v>
      </c>
      <c r="G1326" s="850" t="s">
        <v>13486</v>
      </c>
      <c r="H1326" s="849" t="s">
        <v>10716</v>
      </c>
      <c r="I1326" s="849"/>
      <c r="J1326" s="851">
        <v>23768.63</v>
      </c>
      <c r="K1326" s="848" t="s">
        <v>6770</v>
      </c>
    </row>
    <row r="1327" spans="2:11">
      <c r="B1327" s="848">
        <v>1324</v>
      </c>
      <c r="C1327" s="848" t="s">
        <v>13482</v>
      </c>
      <c r="D1327" s="849" t="s">
        <v>13483</v>
      </c>
      <c r="E1327" s="848" t="s">
        <v>9469</v>
      </c>
      <c r="F1327" s="848" t="s">
        <v>12498</v>
      </c>
      <c r="G1327" s="850" t="s">
        <v>13487</v>
      </c>
      <c r="H1327" s="849" t="s">
        <v>10716</v>
      </c>
      <c r="I1327" s="849"/>
      <c r="J1327" s="851">
        <v>4638.41</v>
      </c>
      <c r="K1327" s="848" t="s">
        <v>6774</v>
      </c>
    </row>
    <row r="1328" spans="2:11">
      <c r="B1328" s="848">
        <v>1325</v>
      </c>
      <c r="C1328" s="848" t="s">
        <v>13488</v>
      </c>
      <c r="D1328" s="849" t="s">
        <v>13489</v>
      </c>
      <c r="E1328" s="848" t="s">
        <v>3350</v>
      </c>
      <c r="F1328" s="848" t="s">
        <v>11878</v>
      </c>
      <c r="G1328" s="850" t="s">
        <v>13490</v>
      </c>
      <c r="H1328" s="849" t="s">
        <v>10716</v>
      </c>
      <c r="I1328" s="849"/>
      <c r="J1328" s="851">
        <v>3.45</v>
      </c>
      <c r="K1328" s="848" t="s">
        <v>6746</v>
      </c>
    </row>
    <row r="1329" spans="2:11">
      <c r="B1329" s="848">
        <v>1326</v>
      </c>
      <c r="C1329" s="848" t="s">
        <v>13488</v>
      </c>
      <c r="D1329" s="849" t="s">
        <v>13489</v>
      </c>
      <c r="E1329" s="848" t="s">
        <v>3350</v>
      </c>
      <c r="F1329" s="848" t="s">
        <v>11880</v>
      </c>
      <c r="G1329" s="850" t="s">
        <v>13491</v>
      </c>
      <c r="H1329" s="849" t="s">
        <v>10716</v>
      </c>
      <c r="I1329" s="849"/>
      <c r="J1329" s="851">
        <v>0.77</v>
      </c>
      <c r="K1329" s="848" t="s">
        <v>6747</v>
      </c>
    </row>
    <row r="1330" spans="2:11">
      <c r="B1330" s="848">
        <v>1327</v>
      </c>
      <c r="C1330" s="848" t="s">
        <v>13492</v>
      </c>
      <c r="D1330" s="849" t="s">
        <v>8014</v>
      </c>
      <c r="E1330" s="848" t="s">
        <v>10726</v>
      </c>
      <c r="F1330" s="848" t="s">
        <v>12891</v>
      </c>
      <c r="G1330" s="850" t="s">
        <v>12301</v>
      </c>
      <c r="H1330" s="849" t="s">
        <v>10716</v>
      </c>
      <c r="I1330" s="849"/>
      <c r="J1330" s="851">
        <v>1733.71</v>
      </c>
      <c r="K1330" s="848" t="s">
        <v>6713</v>
      </c>
    </row>
    <row r="1331" spans="2:11">
      <c r="B1331" s="848">
        <v>1328</v>
      </c>
      <c r="C1331" s="848" t="s">
        <v>13493</v>
      </c>
      <c r="D1331" s="849" t="s">
        <v>5686</v>
      </c>
      <c r="E1331" s="848" t="s">
        <v>10774</v>
      </c>
      <c r="F1331" s="848" t="s">
        <v>12980</v>
      </c>
      <c r="G1331" s="850" t="s">
        <v>13494</v>
      </c>
      <c r="H1331" s="849" t="s">
        <v>10716</v>
      </c>
      <c r="I1331" s="849"/>
      <c r="J1331" s="851">
        <v>45</v>
      </c>
      <c r="K1331" s="848" t="s">
        <v>5980</v>
      </c>
    </row>
    <row r="1332" spans="2:11">
      <c r="B1332" s="848">
        <v>1329</v>
      </c>
      <c r="C1332" s="848" t="s">
        <v>13495</v>
      </c>
      <c r="D1332" s="849" t="s">
        <v>13496</v>
      </c>
      <c r="E1332" s="848" t="s">
        <v>11752</v>
      </c>
      <c r="F1332" s="848" t="s">
        <v>11860</v>
      </c>
      <c r="G1332" s="850" t="s">
        <v>13497</v>
      </c>
      <c r="H1332" s="849" t="s">
        <v>10716</v>
      </c>
      <c r="I1332" s="849"/>
      <c r="J1332" s="851">
        <v>1235</v>
      </c>
      <c r="K1332" s="848" t="s">
        <v>13498</v>
      </c>
    </row>
    <row r="1333" spans="2:11" ht="25">
      <c r="B1333" s="848">
        <v>1330</v>
      </c>
      <c r="C1333" s="848" t="s">
        <v>1291</v>
      </c>
      <c r="D1333" s="849" t="s">
        <v>208</v>
      </c>
      <c r="E1333" s="848" t="s">
        <v>9441</v>
      </c>
      <c r="F1333" s="848" t="s">
        <v>12500</v>
      </c>
      <c r="G1333" s="850" t="s">
        <v>12756</v>
      </c>
      <c r="H1333" s="849" t="s">
        <v>10716</v>
      </c>
      <c r="I1333" s="849"/>
      <c r="J1333" s="851">
        <v>11501</v>
      </c>
      <c r="K1333" s="848" t="s">
        <v>6782</v>
      </c>
    </row>
    <row r="1334" spans="2:11" ht="25">
      <c r="B1334" s="848">
        <v>1331</v>
      </c>
      <c r="C1334" s="848" t="s">
        <v>13499</v>
      </c>
      <c r="D1334" s="849" t="s">
        <v>208</v>
      </c>
      <c r="E1334" s="848" t="s">
        <v>3310</v>
      </c>
      <c r="F1334" s="848" t="s">
        <v>11282</v>
      </c>
      <c r="G1334" s="850" t="s">
        <v>12761</v>
      </c>
      <c r="H1334" s="849" t="s">
        <v>10716</v>
      </c>
      <c r="I1334" s="849"/>
      <c r="J1334" s="851">
        <v>28.93</v>
      </c>
      <c r="K1334" s="848" t="s">
        <v>6814</v>
      </c>
    </row>
    <row r="1335" spans="2:11">
      <c r="B1335" s="848">
        <v>1332</v>
      </c>
      <c r="C1335" s="848" t="s">
        <v>13500</v>
      </c>
      <c r="D1335" s="849" t="s">
        <v>417</v>
      </c>
      <c r="E1335" s="848" t="s">
        <v>9436</v>
      </c>
      <c r="F1335" s="848" t="s">
        <v>12992</v>
      </c>
      <c r="G1335" s="850" t="s">
        <v>11485</v>
      </c>
      <c r="H1335" s="849" t="s">
        <v>10716</v>
      </c>
      <c r="I1335" s="849"/>
      <c r="J1335" s="851">
        <v>153.35</v>
      </c>
      <c r="K1335" s="848" t="s">
        <v>13501</v>
      </c>
    </row>
    <row r="1336" spans="2:11">
      <c r="B1336" s="848">
        <v>1333</v>
      </c>
      <c r="C1336" s="848" t="s">
        <v>1430</v>
      </c>
      <c r="D1336" s="849" t="s">
        <v>7134</v>
      </c>
      <c r="E1336" s="848" t="s">
        <v>10754</v>
      </c>
      <c r="F1336" s="848" t="s">
        <v>12893</v>
      </c>
      <c r="G1336" s="850" t="s">
        <v>10898</v>
      </c>
      <c r="H1336" s="849" t="s">
        <v>10716</v>
      </c>
      <c r="I1336" s="849"/>
      <c r="J1336" s="851">
        <v>237.7</v>
      </c>
      <c r="K1336" s="848" t="s">
        <v>5946</v>
      </c>
    </row>
    <row r="1337" spans="2:11">
      <c r="B1337" s="848">
        <v>1334</v>
      </c>
      <c r="C1337" s="848" t="s">
        <v>13502</v>
      </c>
      <c r="D1337" s="849" t="s">
        <v>13503</v>
      </c>
      <c r="E1337" s="848" t="s">
        <v>3321</v>
      </c>
      <c r="F1337" s="848" t="s">
        <v>12626</v>
      </c>
      <c r="G1337" s="850" t="s">
        <v>10749</v>
      </c>
      <c r="H1337" s="849" t="s">
        <v>10716</v>
      </c>
      <c r="I1337" s="849"/>
      <c r="J1337" s="851">
        <v>740.15</v>
      </c>
      <c r="K1337" s="848" t="s">
        <v>13504</v>
      </c>
    </row>
    <row r="1338" spans="2:11">
      <c r="B1338" s="848">
        <v>1335</v>
      </c>
      <c r="C1338" s="848" t="s">
        <v>1406</v>
      </c>
      <c r="D1338" s="849" t="s">
        <v>13505</v>
      </c>
      <c r="E1338" s="848" t="s">
        <v>3261</v>
      </c>
      <c r="F1338" s="848" t="s">
        <v>12270</v>
      </c>
      <c r="G1338" s="850" t="s">
        <v>13506</v>
      </c>
      <c r="H1338" s="849" t="s">
        <v>10716</v>
      </c>
      <c r="I1338" s="849"/>
      <c r="J1338" s="851">
        <v>119</v>
      </c>
      <c r="K1338" s="848" t="s">
        <v>6405</v>
      </c>
    </row>
    <row r="1339" spans="2:11">
      <c r="B1339" s="848">
        <v>1336</v>
      </c>
      <c r="C1339" s="848" t="s">
        <v>1406</v>
      </c>
      <c r="D1339" s="849" t="s">
        <v>13505</v>
      </c>
      <c r="E1339" s="848" t="s">
        <v>3261</v>
      </c>
      <c r="F1339" s="848" t="s">
        <v>12265</v>
      </c>
      <c r="G1339" s="850" t="s">
        <v>13507</v>
      </c>
      <c r="H1339" s="849" t="s">
        <v>10716</v>
      </c>
      <c r="I1339" s="849"/>
      <c r="J1339" s="851">
        <v>119</v>
      </c>
      <c r="K1339" s="848" t="s">
        <v>5866</v>
      </c>
    </row>
    <row r="1340" spans="2:11">
      <c r="B1340" s="848">
        <v>1337</v>
      </c>
      <c r="C1340" s="848" t="s">
        <v>1406</v>
      </c>
      <c r="D1340" s="849" t="s">
        <v>13505</v>
      </c>
      <c r="E1340" s="848" t="s">
        <v>3261</v>
      </c>
      <c r="F1340" s="848" t="s">
        <v>12268</v>
      </c>
      <c r="G1340" s="850" t="s">
        <v>13508</v>
      </c>
      <c r="H1340" s="849" t="s">
        <v>10716</v>
      </c>
      <c r="I1340" s="849"/>
      <c r="J1340" s="851">
        <v>191</v>
      </c>
      <c r="K1340" s="848" t="s">
        <v>5878</v>
      </c>
    </row>
    <row r="1341" spans="2:11">
      <c r="B1341" s="848">
        <v>1338</v>
      </c>
      <c r="C1341" s="848" t="s">
        <v>13509</v>
      </c>
      <c r="D1341" s="849" t="s">
        <v>336</v>
      </c>
      <c r="E1341" s="848" t="s">
        <v>3237</v>
      </c>
      <c r="F1341" s="848" t="s">
        <v>12549</v>
      </c>
      <c r="G1341" s="850" t="s">
        <v>13510</v>
      </c>
      <c r="H1341" s="849" t="s">
        <v>10716</v>
      </c>
      <c r="I1341" s="849"/>
      <c r="J1341" s="851">
        <v>35.419510000000002</v>
      </c>
      <c r="K1341" s="848" t="s">
        <v>5968</v>
      </c>
    </row>
    <row r="1342" spans="2:11">
      <c r="B1342" s="848">
        <v>1339</v>
      </c>
      <c r="C1342" s="848" t="s">
        <v>13509</v>
      </c>
      <c r="D1342" s="849" t="s">
        <v>336</v>
      </c>
      <c r="E1342" s="848" t="s">
        <v>3237</v>
      </c>
      <c r="F1342" s="848" t="s">
        <v>12552</v>
      </c>
      <c r="G1342" s="850" t="s">
        <v>13075</v>
      </c>
      <c r="H1342" s="849" t="s">
        <v>10716</v>
      </c>
      <c r="I1342" s="849"/>
      <c r="J1342" s="851">
        <v>25.245000000000001</v>
      </c>
      <c r="K1342" s="848" t="s">
        <v>5978</v>
      </c>
    </row>
    <row r="1343" spans="2:11">
      <c r="B1343" s="848">
        <v>1340</v>
      </c>
      <c r="C1343" s="848" t="s">
        <v>13509</v>
      </c>
      <c r="D1343" s="849" t="s">
        <v>336</v>
      </c>
      <c r="E1343" s="848" t="s">
        <v>12205</v>
      </c>
      <c r="F1343" s="848" t="s">
        <v>13511</v>
      </c>
      <c r="G1343" s="850" t="s">
        <v>13512</v>
      </c>
      <c r="H1343" s="849" t="s">
        <v>10716</v>
      </c>
      <c r="I1343" s="849"/>
      <c r="J1343" s="851">
        <v>8.66</v>
      </c>
      <c r="K1343" s="848" t="s">
        <v>6041</v>
      </c>
    </row>
    <row r="1344" spans="2:11">
      <c r="B1344" s="848">
        <v>1341</v>
      </c>
      <c r="C1344" s="848" t="s">
        <v>1380</v>
      </c>
      <c r="D1344" s="849" t="s">
        <v>7064</v>
      </c>
      <c r="E1344" s="848" t="s">
        <v>11540</v>
      </c>
      <c r="F1344" s="848" t="s">
        <v>13513</v>
      </c>
      <c r="G1344" s="850" t="s">
        <v>13514</v>
      </c>
      <c r="H1344" s="849" t="s">
        <v>10716</v>
      </c>
      <c r="I1344" s="849"/>
      <c r="J1344" s="851">
        <v>2292.4850000000001</v>
      </c>
      <c r="K1344" s="848" t="s">
        <v>13515</v>
      </c>
    </row>
    <row r="1345" spans="2:11">
      <c r="B1345" s="848">
        <v>1342</v>
      </c>
      <c r="C1345" s="848" t="s">
        <v>1380</v>
      </c>
      <c r="D1345" s="849" t="s">
        <v>7064</v>
      </c>
      <c r="E1345" s="848" t="s">
        <v>11540</v>
      </c>
      <c r="F1345" s="848" t="s">
        <v>13516</v>
      </c>
      <c r="G1345" s="850" t="s">
        <v>10737</v>
      </c>
      <c r="H1345" s="849" t="s">
        <v>10716</v>
      </c>
      <c r="I1345" s="849"/>
      <c r="J1345" s="851">
        <v>2286.2952904999997</v>
      </c>
      <c r="K1345" s="848" t="s">
        <v>13515</v>
      </c>
    </row>
    <row r="1346" spans="2:11">
      <c r="B1346" s="848">
        <v>1343</v>
      </c>
      <c r="C1346" s="848" t="s">
        <v>13517</v>
      </c>
      <c r="D1346" s="849" t="s">
        <v>85</v>
      </c>
      <c r="E1346" s="848" t="s">
        <v>3344</v>
      </c>
      <c r="F1346" s="848" t="s">
        <v>12503</v>
      </c>
      <c r="G1346" s="850" t="s">
        <v>13347</v>
      </c>
      <c r="H1346" s="849" t="s">
        <v>10716</v>
      </c>
      <c r="I1346" s="849"/>
      <c r="J1346" s="851">
        <v>12267.68</v>
      </c>
      <c r="K1346" s="848" t="s">
        <v>13518</v>
      </c>
    </row>
    <row r="1347" spans="2:11" ht="25">
      <c r="B1347" s="848">
        <v>1344</v>
      </c>
      <c r="C1347" s="848" t="s">
        <v>728</v>
      </c>
      <c r="D1347" s="849" t="s">
        <v>13519</v>
      </c>
      <c r="E1347" s="848" t="s">
        <v>3114</v>
      </c>
      <c r="F1347" s="848" t="s">
        <v>13520</v>
      </c>
      <c r="G1347" s="850" t="s">
        <v>10749</v>
      </c>
      <c r="H1347" s="849" t="s">
        <v>10716</v>
      </c>
      <c r="I1347" s="849"/>
      <c r="J1347" s="851">
        <v>11117.59</v>
      </c>
      <c r="K1347" s="848" t="s">
        <v>11551</v>
      </c>
    </row>
    <row r="1348" spans="2:11">
      <c r="B1348" s="848">
        <v>1345</v>
      </c>
      <c r="C1348" s="848" t="s">
        <v>1282</v>
      </c>
      <c r="D1348" s="849" t="s">
        <v>991</v>
      </c>
      <c r="E1348" s="848" t="s">
        <v>9477</v>
      </c>
      <c r="F1348" s="848" t="s">
        <v>12506</v>
      </c>
      <c r="G1348" s="850" t="s">
        <v>11458</v>
      </c>
      <c r="H1348" s="849" t="s">
        <v>10716</v>
      </c>
      <c r="I1348" s="849"/>
      <c r="J1348" s="851">
        <v>18018.16</v>
      </c>
      <c r="K1348" s="848" t="s">
        <v>13521</v>
      </c>
    </row>
    <row r="1349" spans="2:11">
      <c r="B1349" s="848">
        <v>1346</v>
      </c>
      <c r="C1349" s="848" t="s">
        <v>1282</v>
      </c>
      <c r="D1349" s="849" t="s">
        <v>991</v>
      </c>
      <c r="E1349" s="848" t="s">
        <v>9481</v>
      </c>
      <c r="F1349" s="848" t="s">
        <v>12509</v>
      </c>
      <c r="G1349" s="850" t="s">
        <v>13522</v>
      </c>
      <c r="H1349" s="849" t="s">
        <v>10716</v>
      </c>
      <c r="I1349" s="849"/>
      <c r="J1349" s="851">
        <v>19551.62</v>
      </c>
      <c r="K1349" s="848" t="s">
        <v>6394</v>
      </c>
    </row>
    <row r="1350" spans="2:11">
      <c r="B1350" s="848">
        <v>1347</v>
      </c>
      <c r="C1350" s="848" t="s">
        <v>7088</v>
      </c>
      <c r="D1350" s="849" t="s">
        <v>13523</v>
      </c>
      <c r="E1350" s="848" t="s">
        <v>13524</v>
      </c>
      <c r="F1350" s="848" t="s">
        <v>11289</v>
      </c>
      <c r="G1350" s="850" t="s">
        <v>13525</v>
      </c>
      <c r="H1350" s="849" t="s">
        <v>10716</v>
      </c>
      <c r="I1350" s="849"/>
      <c r="J1350" s="851">
        <v>3840.18</v>
      </c>
      <c r="K1350" s="848" t="s">
        <v>13526</v>
      </c>
    </row>
    <row r="1351" spans="2:11">
      <c r="B1351" s="848">
        <v>1348</v>
      </c>
      <c r="C1351" s="848" t="s">
        <v>7088</v>
      </c>
      <c r="D1351" s="849" t="s">
        <v>13523</v>
      </c>
      <c r="E1351" s="848" t="s">
        <v>13524</v>
      </c>
      <c r="F1351" s="848" t="s">
        <v>11997</v>
      </c>
      <c r="G1351" s="850" t="s">
        <v>13527</v>
      </c>
      <c r="H1351" s="849" t="s">
        <v>10716</v>
      </c>
      <c r="I1351" s="849"/>
      <c r="J1351" s="851">
        <v>2109.09</v>
      </c>
      <c r="K1351" s="848" t="s">
        <v>13526</v>
      </c>
    </row>
    <row r="1352" spans="2:11">
      <c r="B1352" s="848">
        <v>1349</v>
      </c>
      <c r="C1352" s="848" t="s">
        <v>7088</v>
      </c>
      <c r="D1352" s="849" t="s">
        <v>13523</v>
      </c>
      <c r="E1352" s="848" t="s">
        <v>13524</v>
      </c>
      <c r="F1352" s="848" t="s">
        <v>11903</v>
      </c>
      <c r="G1352" s="850" t="s">
        <v>13528</v>
      </c>
      <c r="H1352" s="849" t="s">
        <v>10716</v>
      </c>
      <c r="I1352" s="849"/>
      <c r="J1352" s="851">
        <v>2690.17</v>
      </c>
      <c r="K1352" s="848" t="s">
        <v>13529</v>
      </c>
    </row>
    <row r="1353" spans="2:11">
      <c r="B1353" s="848">
        <v>1350</v>
      </c>
      <c r="C1353" s="848" t="s">
        <v>7088</v>
      </c>
      <c r="D1353" s="849" t="s">
        <v>13523</v>
      </c>
      <c r="E1353" s="848" t="s">
        <v>13524</v>
      </c>
      <c r="F1353" s="848" t="s">
        <v>11286</v>
      </c>
      <c r="G1353" s="850" t="s">
        <v>13530</v>
      </c>
      <c r="H1353" s="849" t="s">
        <v>10716</v>
      </c>
      <c r="I1353" s="849"/>
      <c r="J1353" s="851">
        <v>4898.1899999999996</v>
      </c>
      <c r="K1353" s="848" t="s">
        <v>13529</v>
      </c>
    </row>
    <row r="1354" spans="2:11">
      <c r="B1354" s="848">
        <v>1351</v>
      </c>
      <c r="C1354" s="848" t="s">
        <v>7088</v>
      </c>
      <c r="D1354" s="849" t="s">
        <v>13523</v>
      </c>
      <c r="E1354" s="848" t="s">
        <v>13524</v>
      </c>
      <c r="F1354" s="848" t="s">
        <v>11284</v>
      </c>
      <c r="G1354" s="850" t="s">
        <v>10972</v>
      </c>
      <c r="H1354" s="849" t="s">
        <v>10716</v>
      </c>
      <c r="I1354" s="849"/>
      <c r="J1354" s="851">
        <v>3017.28</v>
      </c>
      <c r="K1354" s="848" t="s">
        <v>13531</v>
      </c>
    </row>
    <row r="1355" spans="2:11">
      <c r="B1355" s="848">
        <v>1352</v>
      </c>
      <c r="C1355" s="848" t="s">
        <v>7088</v>
      </c>
      <c r="D1355" s="849" t="s">
        <v>13523</v>
      </c>
      <c r="E1355" s="848" t="s">
        <v>13524</v>
      </c>
      <c r="F1355" s="848" t="s">
        <v>11922</v>
      </c>
      <c r="G1355" s="850" t="s">
        <v>13532</v>
      </c>
      <c r="H1355" s="849" t="s">
        <v>10716</v>
      </c>
      <c r="I1355" s="849"/>
      <c r="J1355" s="851">
        <v>1657.14</v>
      </c>
      <c r="K1355" s="848" t="s">
        <v>13531</v>
      </c>
    </row>
    <row r="1356" spans="2:11">
      <c r="B1356" s="848">
        <v>1353</v>
      </c>
      <c r="C1356" s="848" t="s">
        <v>7088</v>
      </c>
      <c r="D1356" s="849" t="s">
        <v>13533</v>
      </c>
      <c r="E1356" s="848" t="s">
        <v>3248</v>
      </c>
      <c r="F1356" s="848" t="s">
        <v>12844</v>
      </c>
      <c r="G1356" s="850" t="s">
        <v>10749</v>
      </c>
      <c r="H1356" s="849" t="s">
        <v>10716</v>
      </c>
      <c r="I1356" s="849"/>
      <c r="J1356" s="851">
        <v>2942</v>
      </c>
      <c r="K1356" s="848" t="s">
        <v>13534</v>
      </c>
    </row>
    <row r="1357" spans="2:11">
      <c r="B1357" s="848">
        <v>1354</v>
      </c>
      <c r="C1357" s="848" t="s">
        <v>7088</v>
      </c>
      <c r="D1357" s="849" t="s">
        <v>13533</v>
      </c>
      <c r="E1357" s="848" t="s">
        <v>3248</v>
      </c>
      <c r="F1357" s="848" t="s">
        <v>10981</v>
      </c>
      <c r="G1357" s="850" t="s">
        <v>10749</v>
      </c>
      <c r="H1357" s="849" t="s">
        <v>10716</v>
      </c>
      <c r="I1357" s="849"/>
      <c r="J1357" s="851">
        <v>6905</v>
      </c>
      <c r="K1357" s="848" t="s">
        <v>13535</v>
      </c>
    </row>
    <row r="1358" spans="2:11">
      <c r="B1358" s="848">
        <v>1355</v>
      </c>
      <c r="C1358" s="848" t="s">
        <v>7088</v>
      </c>
      <c r="D1358" s="849" t="s">
        <v>13533</v>
      </c>
      <c r="E1358" s="848" t="s">
        <v>3248</v>
      </c>
      <c r="F1358" s="848" t="s">
        <v>13536</v>
      </c>
      <c r="G1358" s="850" t="s">
        <v>10749</v>
      </c>
      <c r="H1358" s="849" t="s">
        <v>10716</v>
      </c>
      <c r="I1358" s="849"/>
      <c r="J1358" s="851">
        <v>3813</v>
      </c>
      <c r="K1358" s="848" t="s">
        <v>13529</v>
      </c>
    </row>
    <row r="1359" spans="2:11">
      <c r="B1359" s="848">
        <v>1356</v>
      </c>
      <c r="C1359" s="848" t="s">
        <v>7088</v>
      </c>
      <c r="D1359" s="849" t="s">
        <v>13533</v>
      </c>
      <c r="E1359" s="848" t="s">
        <v>3248</v>
      </c>
      <c r="F1359" s="848" t="s">
        <v>13537</v>
      </c>
      <c r="G1359" s="850" t="s">
        <v>10749</v>
      </c>
      <c r="H1359" s="849" t="s">
        <v>10716</v>
      </c>
      <c r="I1359" s="849"/>
      <c r="J1359" s="851">
        <v>2311.54</v>
      </c>
      <c r="K1359" s="848" t="s">
        <v>13531</v>
      </c>
    </row>
    <row r="1360" spans="2:11">
      <c r="B1360" s="848">
        <v>1357</v>
      </c>
      <c r="C1360" s="848" t="s">
        <v>1360</v>
      </c>
      <c r="D1360" s="849" t="s">
        <v>349</v>
      </c>
      <c r="E1360" s="848" t="s">
        <v>12898</v>
      </c>
      <c r="F1360" s="848" t="s">
        <v>12471</v>
      </c>
      <c r="G1360" s="850" t="s">
        <v>10825</v>
      </c>
      <c r="H1360" s="849" t="s">
        <v>10716</v>
      </c>
      <c r="I1360" s="849"/>
      <c r="J1360" s="851">
        <v>23</v>
      </c>
      <c r="K1360" s="848" t="s">
        <v>13538</v>
      </c>
    </row>
    <row r="1361" spans="2:11">
      <c r="B1361" s="848">
        <v>1358</v>
      </c>
      <c r="C1361" s="848" t="s">
        <v>1360</v>
      </c>
      <c r="D1361" s="849" t="s">
        <v>349</v>
      </c>
      <c r="E1361" s="848" t="s">
        <v>12898</v>
      </c>
      <c r="F1361" s="848" t="s">
        <v>12734</v>
      </c>
      <c r="G1361" s="850" t="s">
        <v>11905</v>
      </c>
      <c r="H1361" s="849" t="s">
        <v>10716</v>
      </c>
      <c r="I1361" s="849"/>
      <c r="J1361" s="851">
        <v>51</v>
      </c>
      <c r="K1361" s="848" t="s">
        <v>13539</v>
      </c>
    </row>
    <row r="1362" spans="2:11">
      <c r="B1362" s="848">
        <v>1359</v>
      </c>
      <c r="C1362" s="848" t="s">
        <v>1291</v>
      </c>
      <c r="D1362" s="849" t="s">
        <v>165</v>
      </c>
      <c r="E1362" s="848" t="s">
        <v>10754</v>
      </c>
      <c r="F1362" s="848" t="s">
        <v>12511</v>
      </c>
      <c r="G1362" s="850" t="s">
        <v>10985</v>
      </c>
      <c r="H1362" s="849" t="s">
        <v>10716</v>
      </c>
      <c r="I1362" s="849"/>
      <c r="J1362" s="851">
        <v>4983.75</v>
      </c>
      <c r="K1362" s="848" t="s">
        <v>6692</v>
      </c>
    </row>
    <row r="1363" spans="2:11">
      <c r="B1363" s="848">
        <v>1360</v>
      </c>
      <c r="C1363" s="848" t="s">
        <v>1291</v>
      </c>
      <c r="D1363" s="849" t="s">
        <v>165</v>
      </c>
      <c r="E1363" s="848" t="s">
        <v>10754</v>
      </c>
      <c r="F1363" s="848" t="s">
        <v>12513</v>
      </c>
      <c r="G1363" s="850" t="s">
        <v>10988</v>
      </c>
      <c r="H1363" s="849" t="s">
        <v>10716</v>
      </c>
      <c r="I1363" s="849"/>
      <c r="J1363" s="851">
        <v>23001.9</v>
      </c>
      <c r="K1363" s="848" t="s">
        <v>6693</v>
      </c>
    </row>
    <row r="1364" spans="2:11">
      <c r="B1364" s="848">
        <v>1361</v>
      </c>
      <c r="C1364" s="848" t="s">
        <v>1291</v>
      </c>
      <c r="D1364" s="849" t="s">
        <v>165</v>
      </c>
      <c r="E1364" s="848" t="s">
        <v>10754</v>
      </c>
      <c r="F1364" s="848" t="s">
        <v>12516</v>
      </c>
      <c r="G1364" s="850" t="s">
        <v>10982</v>
      </c>
      <c r="H1364" s="849" t="s">
        <v>10716</v>
      </c>
      <c r="I1364" s="849"/>
      <c r="J1364" s="851">
        <v>32202.66</v>
      </c>
      <c r="K1364" s="848" t="s">
        <v>6694</v>
      </c>
    </row>
    <row r="1365" spans="2:11">
      <c r="B1365" s="848">
        <v>1362</v>
      </c>
      <c r="C1365" s="848" t="s">
        <v>1331</v>
      </c>
      <c r="D1365" s="849" t="s">
        <v>1011</v>
      </c>
      <c r="E1365" s="848" t="s">
        <v>9493</v>
      </c>
      <c r="F1365" s="848" t="s">
        <v>12236</v>
      </c>
      <c r="G1365" s="850" t="s">
        <v>11470</v>
      </c>
      <c r="H1365" s="849" t="s">
        <v>10716</v>
      </c>
      <c r="I1365" s="849"/>
      <c r="J1365" s="851">
        <v>8910.24</v>
      </c>
      <c r="K1365" s="848" t="s">
        <v>13540</v>
      </c>
    </row>
    <row r="1366" spans="2:11">
      <c r="B1366" s="848">
        <v>1363</v>
      </c>
      <c r="C1366" s="848" t="s">
        <v>13541</v>
      </c>
      <c r="D1366" s="849" t="s">
        <v>156</v>
      </c>
      <c r="E1366" s="848" t="s">
        <v>3227</v>
      </c>
      <c r="F1366" s="848" t="s">
        <v>12519</v>
      </c>
      <c r="G1366" s="850" t="s">
        <v>13513</v>
      </c>
      <c r="H1366" s="849" t="s">
        <v>10716</v>
      </c>
      <c r="I1366" s="849"/>
      <c r="J1366" s="851">
        <v>85490.395000000004</v>
      </c>
      <c r="K1366" s="848" t="s">
        <v>5839</v>
      </c>
    </row>
    <row r="1367" spans="2:11">
      <c r="B1367" s="848">
        <v>1364</v>
      </c>
      <c r="C1367" s="848" t="s">
        <v>13541</v>
      </c>
      <c r="D1367" s="849" t="s">
        <v>156</v>
      </c>
      <c r="E1367" s="848" t="s">
        <v>3227</v>
      </c>
      <c r="F1367" s="848" t="s">
        <v>12522</v>
      </c>
      <c r="G1367" s="850" t="s">
        <v>13542</v>
      </c>
      <c r="H1367" s="849" t="s">
        <v>10716</v>
      </c>
      <c r="I1367" s="849"/>
      <c r="J1367" s="851">
        <v>65938.78</v>
      </c>
      <c r="K1367" s="848" t="s">
        <v>5840</v>
      </c>
    </row>
    <row r="1368" spans="2:11" ht="25">
      <c r="B1368" s="848">
        <v>1365</v>
      </c>
      <c r="C1368" s="848" t="s">
        <v>1393</v>
      </c>
      <c r="D1368" s="849" t="s">
        <v>13543</v>
      </c>
      <c r="E1368" s="848" t="s">
        <v>10778</v>
      </c>
      <c r="F1368" s="848" t="s">
        <v>12557</v>
      </c>
      <c r="G1368" s="850" t="s">
        <v>12648</v>
      </c>
      <c r="H1368" s="849" t="s">
        <v>10716</v>
      </c>
      <c r="I1368" s="849"/>
      <c r="J1368" s="851">
        <v>713.1</v>
      </c>
      <c r="K1368" s="848" t="s">
        <v>13544</v>
      </c>
    </row>
    <row r="1369" spans="2:11" ht="25">
      <c r="B1369" s="848">
        <v>1366</v>
      </c>
      <c r="C1369" s="848" t="s">
        <v>1393</v>
      </c>
      <c r="D1369" s="849" t="s">
        <v>13543</v>
      </c>
      <c r="E1369" s="848" t="s">
        <v>10778</v>
      </c>
      <c r="F1369" s="848" t="s">
        <v>13545</v>
      </c>
      <c r="G1369" s="850" t="s">
        <v>12651</v>
      </c>
      <c r="H1369" s="849" t="s">
        <v>10716</v>
      </c>
      <c r="I1369" s="849"/>
      <c r="J1369" s="851">
        <v>47.28</v>
      </c>
      <c r="K1369" s="848" t="s">
        <v>13546</v>
      </c>
    </row>
    <row r="1370" spans="2:11">
      <c r="B1370" s="848">
        <v>1367</v>
      </c>
      <c r="C1370" s="848" t="s">
        <v>1369</v>
      </c>
      <c r="D1370" s="849" t="s">
        <v>13547</v>
      </c>
      <c r="E1370" s="848" t="s">
        <v>9441</v>
      </c>
      <c r="F1370" s="848" t="s">
        <v>12814</v>
      </c>
      <c r="G1370" s="850" t="s">
        <v>12547</v>
      </c>
      <c r="H1370" s="849" t="s">
        <v>10716</v>
      </c>
      <c r="I1370" s="849"/>
      <c r="J1370" s="851">
        <v>713.1</v>
      </c>
      <c r="K1370" s="848" t="s">
        <v>13548</v>
      </c>
    </row>
    <row r="1371" spans="2:11">
      <c r="B1371" s="848">
        <v>1368</v>
      </c>
      <c r="C1371" s="848" t="s">
        <v>1369</v>
      </c>
      <c r="D1371" s="849" t="s">
        <v>13547</v>
      </c>
      <c r="E1371" s="848" t="s">
        <v>9441</v>
      </c>
      <c r="F1371" s="848" t="s">
        <v>10803</v>
      </c>
      <c r="G1371" s="850" t="s">
        <v>12545</v>
      </c>
      <c r="H1371" s="849" t="s">
        <v>10716</v>
      </c>
      <c r="I1371" s="849"/>
      <c r="J1371" s="851">
        <v>713.1</v>
      </c>
      <c r="K1371" s="848" t="s">
        <v>13549</v>
      </c>
    </row>
    <row r="1372" spans="2:11">
      <c r="B1372" s="848">
        <v>1369</v>
      </c>
      <c r="C1372" s="848" t="s">
        <v>1369</v>
      </c>
      <c r="D1372" s="849" t="s">
        <v>13547</v>
      </c>
      <c r="E1372" s="848" t="s">
        <v>9441</v>
      </c>
      <c r="F1372" s="848" t="s">
        <v>13550</v>
      </c>
      <c r="G1372" s="850" t="s">
        <v>12541</v>
      </c>
      <c r="H1372" s="849" t="s">
        <v>10716</v>
      </c>
      <c r="I1372" s="849"/>
      <c r="J1372" s="851">
        <v>1140.96</v>
      </c>
      <c r="K1372" s="848" t="s">
        <v>6836</v>
      </c>
    </row>
    <row r="1373" spans="2:11">
      <c r="B1373" s="848">
        <v>1370</v>
      </c>
      <c r="C1373" s="848" t="s">
        <v>1369</v>
      </c>
      <c r="D1373" s="849" t="s">
        <v>13547</v>
      </c>
      <c r="E1373" s="848" t="s">
        <v>9441</v>
      </c>
      <c r="F1373" s="848" t="s">
        <v>10799</v>
      </c>
      <c r="G1373" s="850" t="s">
        <v>12543</v>
      </c>
      <c r="H1373" s="849" t="s">
        <v>10716</v>
      </c>
      <c r="I1373" s="849"/>
      <c r="J1373" s="851">
        <v>855.72</v>
      </c>
      <c r="K1373" s="848" t="s">
        <v>6837</v>
      </c>
    </row>
    <row r="1374" spans="2:11">
      <c r="B1374" s="848">
        <v>1371</v>
      </c>
      <c r="C1374" s="848" t="s">
        <v>1434</v>
      </c>
      <c r="D1374" s="849" t="s">
        <v>1058</v>
      </c>
      <c r="E1374" s="848" t="s">
        <v>9509</v>
      </c>
      <c r="F1374" s="848" t="s">
        <v>10801</v>
      </c>
      <c r="G1374" s="850" t="s">
        <v>10805</v>
      </c>
      <c r="H1374" s="849" t="s">
        <v>10716</v>
      </c>
      <c r="I1374" s="849"/>
      <c r="J1374" s="851">
        <v>23.77</v>
      </c>
      <c r="K1374" s="848" t="s">
        <v>6750</v>
      </c>
    </row>
    <row r="1375" spans="2:11">
      <c r="B1375" s="848">
        <v>1372</v>
      </c>
      <c r="C1375" s="848" t="s">
        <v>1434</v>
      </c>
      <c r="D1375" s="849" t="s">
        <v>1058</v>
      </c>
      <c r="E1375" s="848" t="s">
        <v>9509</v>
      </c>
      <c r="F1375" s="848" t="s">
        <v>12560</v>
      </c>
      <c r="G1375" s="850" t="s">
        <v>13551</v>
      </c>
      <c r="H1375" s="849" t="s">
        <v>10716</v>
      </c>
      <c r="I1375" s="849"/>
      <c r="J1375" s="851">
        <v>23.77</v>
      </c>
      <c r="K1375" s="848" t="s">
        <v>6751</v>
      </c>
    </row>
    <row r="1376" spans="2:11">
      <c r="B1376" s="848">
        <v>1373</v>
      </c>
      <c r="C1376" s="848" t="s">
        <v>1434</v>
      </c>
      <c r="D1376" s="849" t="s">
        <v>1058</v>
      </c>
      <c r="E1376" s="848" t="s">
        <v>9509</v>
      </c>
      <c r="F1376" s="848" t="s">
        <v>10793</v>
      </c>
      <c r="G1376" s="850" t="s">
        <v>12864</v>
      </c>
      <c r="H1376" s="849" t="s">
        <v>10716</v>
      </c>
      <c r="I1376" s="849"/>
      <c r="J1376" s="851">
        <v>23.77</v>
      </c>
      <c r="K1376" s="848" t="s">
        <v>6752</v>
      </c>
    </row>
    <row r="1377" spans="2:11">
      <c r="B1377" s="848">
        <v>1374</v>
      </c>
      <c r="C1377" s="848" t="s">
        <v>1434</v>
      </c>
      <c r="D1377" s="849" t="s">
        <v>1058</v>
      </c>
      <c r="E1377" s="848" t="s">
        <v>9509</v>
      </c>
      <c r="F1377" s="848" t="s">
        <v>10796</v>
      </c>
      <c r="G1377" s="850" t="s">
        <v>13552</v>
      </c>
      <c r="H1377" s="849" t="s">
        <v>10716</v>
      </c>
      <c r="I1377" s="849"/>
      <c r="J1377" s="851">
        <v>23.77</v>
      </c>
      <c r="K1377" s="848" t="s">
        <v>6753</v>
      </c>
    </row>
    <row r="1378" spans="2:11">
      <c r="B1378" s="848">
        <v>1375</v>
      </c>
      <c r="C1378" s="848" t="s">
        <v>13553</v>
      </c>
      <c r="D1378" s="849" t="s">
        <v>13554</v>
      </c>
      <c r="E1378" s="848" t="s">
        <v>10807</v>
      </c>
      <c r="F1378" s="848" t="s">
        <v>11423</v>
      </c>
      <c r="G1378" s="850" t="s">
        <v>10749</v>
      </c>
      <c r="H1378" s="849" t="s">
        <v>10716</v>
      </c>
      <c r="I1378" s="849"/>
      <c r="J1378" s="851">
        <v>739</v>
      </c>
      <c r="K1378" s="848" t="s">
        <v>13555</v>
      </c>
    </row>
    <row r="1379" spans="2:11">
      <c r="B1379" s="848">
        <v>1376</v>
      </c>
      <c r="C1379" s="848" t="s">
        <v>13553</v>
      </c>
      <c r="D1379" s="849" t="s">
        <v>13554</v>
      </c>
      <c r="E1379" s="848" t="s">
        <v>10807</v>
      </c>
      <c r="F1379" s="848" t="s">
        <v>12995</v>
      </c>
      <c r="G1379" s="850" t="s">
        <v>10749</v>
      </c>
      <c r="H1379" s="849" t="s">
        <v>10716</v>
      </c>
      <c r="I1379" s="849"/>
      <c r="J1379" s="851">
        <v>739</v>
      </c>
      <c r="K1379" s="848" t="s">
        <v>13556</v>
      </c>
    </row>
    <row r="1380" spans="2:11">
      <c r="B1380" s="848">
        <v>1377</v>
      </c>
      <c r="C1380" s="848" t="s">
        <v>13553</v>
      </c>
      <c r="D1380" s="849" t="s">
        <v>13554</v>
      </c>
      <c r="E1380" s="848" t="s">
        <v>10807</v>
      </c>
      <c r="F1380" s="848" t="s">
        <v>12997</v>
      </c>
      <c r="G1380" s="850" t="s">
        <v>10749</v>
      </c>
      <c r="H1380" s="849" t="s">
        <v>10716</v>
      </c>
      <c r="I1380" s="849"/>
      <c r="J1380" s="851">
        <v>739</v>
      </c>
      <c r="K1380" s="848" t="s">
        <v>13557</v>
      </c>
    </row>
    <row r="1381" spans="2:11">
      <c r="B1381" s="848">
        <v>1378</v>
      </c>
      <c r="C1381" s="848" t="s">
        <v>13553</v>
      </c>
      <c r="D1381" s="849" t="s">
        <v>13554</v>
      </c>
      <c r="E1381" s="848" t="s">
        <v>10807</v>
      </c>
      <c r="F1381" s="848" t="s">
        <v>13001</v>
      </c>
      <c r="G1381" s="850" t="s">
        <v>10749</v>
      </c>
      <c r="H1381" s="849" t="s">
        <v>10716</v>
      </c>
      <c r="I1381" s="849"/>
      <c r="J1381" s="851">
        <v>739</v>
      </c>
      <c r="K1381" s="848" t="s">
        <v>13558</v>
      </c>
    </row>
    <row r="1382" spans="2:11">
      <c r="B1382" s="848">
        <v>1379</v>
      </c>
      <c r="C1382" s="848" t="s">
        <v>13553</v>
      </c>
      <c r="D1382" s="849" t="s">
        <v>13554</v>
      </c>
      <c r="E1382" s="848" t="s">
        <v>10807</v>
      </c>
      <c r="F1382" s="848" t="s">
        <v>12992</v>
      </c>
      <c r="G1382" s="850" t="s">
        <v>10749</v>
      </c>
      <c r="H1382" s="849" t="s">
        <v>10716</v>
      </c>
      <c r="I1382" s="849"/>
      <c r="J1382" s="851">
        <v>739</v>
      </c>
      <c r="K1382" s="848" t="s">
        <v>13559</v>
      </c>
    </row>
    <row r="1383" spans="2:11">
      <c r="B1383" s="848">
        <v>1380</v>
      </c>
      <c r="C1383" s="848" t="s">
        <v>726</v>
      </c>
      <c r="D1383" s="849" t="s">
        <v>13560</v>
      </c>
      <c r="E1383" s="848" t="s">
        <v>3227</v>
      </c>
      <c r="F1383" s="848" t="s">
        <v>13561</v>
      </c>
      <c r="G1383" s="850" t="s">
        <v>13562</v>
      </c>
      <c r="H1383" s="849" t="s">
        <v>10716</v>
      </c>
      <c r="I1383" s="849"/>
      <c r="J1383" s="851">
        <v>385.64</v>
      </c>
      <c r="K1383" s="848" t="s">
        <v>6568</v>
      </c>
    </row>
    <row r="1384" spans="2:11">
      <c r="B1384" s="848">
        <v>1381</v>
      </c>
      <c r="C1384" s="848" t="s">
        <v>726</v>
      </c>
      <c r="D1384" s="849" t="s">
        <v>13560</v>
      </c>
      <c r="E1384" s="848" t="s">
        <v>9506</v>
      </c>
      <c r="F1384" s="848" t="s">
        <v>10762</v>
      </c>
      <c r="G1384" s="850" t="s">
        <v>13563</v>
      </c>
      <c r="H1384" s="849" t="s">
        <v>10716</v>
      </c>
      <c r="I1384" s="849"/>
      <c r="J1384" s="851">
        <v>186.54218999999998</v>
      </c>
      <c r="K1384" s="848" t="s">
        <v>6532</v>
      </c>
    </row>
    <row r="1385" spans="2:11">
      <c r="B1385" s="848">
        <v>1382</v>
      </c>
      <c r="C1385" s="848" t="s">
        <v>726</v>
      </c>
      <c r="D1385" s="849" t="s">
        <v>13560</v>
      </c>
      <c r="E1385" s="848" t="s">
        <v>9506</v>
      </c>
      <c r="F1385" s="848" t="s">
        <v>11012</v>
      </c>
      <c r="G1385" s="850" t="s">
        <v>13564</v>
      </c>
      <c r="H1385" s="849" t="s">
        <v>10716</v>
      </c>
      <c r="I1385" s="849"/>
      <c r="J1385" s="851">
        <v>84.34951199999999</v>
      </c>
      <c r="K1385" s="848" t="s">
        <v>6569</v>
      </c>
    </row>
    <row r="1386" spans="2:11">
      <c r="B1386" s="848">
        <v>1383</v>
      </c>
      <c r="C1386" s="848" t="s">
        <v>13565</v>
      </c>
      <c r="D1386" s="849" t="s">
        <v>13566</v>
      </c>
      <c r="E1386" s="848" t="s">
        <v>13567</v>
      </c>
      <c r="F1386" s="848" t="s">
        <v>13234</v>
      </c>
      <c r="G1386" s="850" t="s">
        <v>10749</v>
      </c>
      <c r="H1386" s="849" t="s">
        <v>10716</v>
      </c>
      <c r="I1386" s="849"/>
      <c r="J1386" s="851">
        <v>367.98</v>
      </c>
      <c r="K1386" s="848" t="s">
        <v>12776</v>
      </c>
    </row>
    <row r="1387" spans="2:11">
      <c r="B1387" s="848">
        <v>1384</v>
      </c>
      <c r="C1387" s="848" t="s">
        <v>13565</v>
      </c>
      <c r="D1387" s="849" t="s">
        <v>13566</v>
      </c>
      <c r="E1387" s="848" t="s">
        <v>3761</v>
      </c>
      <c r="F1387" s="848" t="s">
        <v>11121</v>
      </c>
      <c r="G1387" s="850" t="s">
        <v>13568</v>
      </c>
      <c r="H1387" s="849" t="s">
        <v>10716</v>
      </c>
      <c r="I1387" s="849"/>
      <c r="J1387" s="851">
        <v>3478.12</v>
      </c>
      <c r="K1387" s="848" t="s">
        <v>12776</v>
      </c>
    </row>
    <row r="1388" spans="2:11">
      <c r="B1388" s="848">
        <v>1385</v>
      </c>
      <c r="C1388" s="848" t="s">
        <v>13565</v>
      </c>
      <c r="D1388" s="849" t="s">
        <v>13566</v>
      </c>
      <c r="E1388" s="848" t="s">
        <v>3761</v>
      </c>
      <c r="F1388" s="848" t="s">
        <v>13268</v>
      </c>
      <c r="G1388" s="850" t="s">
        <v>13569</v>
      </c>
      <c r="H1388" s="849" t="s">
        <v>10716</v>
      </c>
      <c r="I1388" s="849"/>
      <c r="J1388" s="851">
        <v>3088.57</v>
      </c>
      <c r="K1388" s="848" t="s">
        <v>12776</v>
      </c>
    </row>
    <row r="1389" spans="2:11">
      <c r="B1389" s="848">
        <v>1386</v>
      </c>
      <c r="C1389" s="848" t="s">
        <v>1349</v>
      </c>
      <c r="D1389" s="849" t="s">
        <v>7955</v>
      </c>
      <c r="E1389" s="848" t="s">
        <v>10754</v>
      </c>
      <c r="F1389" s="848" t="s">
        <v>12150</v>
      </c>
      <c r="G1389" s="850" t="s">
        <v>11114</v>
      </c>
      <c r="H1389" s="849" t="s">
        <v>10716</v>
      </c>
      <c r="I1389" s="849"/>
      <c r="J1389" s="851">
        <v>52.79</v>
      </c>
      <c r="K1389" s="848" t="s">
        <v>6725</v>
      </c>
    </row>
    <row r="1390" spans="2:11">
      <c r="B1390" s="848">
        <v>1387</v>
      </c>
      <c r="C1390" s="848" t="s">
        <v>1349</v>
      </c>
      <c r="D1390" s="849" t="s">
        <v>7955</v>
      </c>
      <c r="E1390" s="848" t="s">
        <v>10754</v>
      </c>
      <c r="F1390" s="848" t="s">
        <v>12567</v>
      </c>
      <c r="G1390" s="850" t="s">
        <v>11086</v>
      </c>
      <c r="H1390" s="849" t="s">
        <v>10716</v>
      </c>
      <c r="I1390" s="849"/>
      <c r="J1390" s="851">
        <v>22.95</v>
      </c>
      <c r="K1390" s="848" t="s">
        <v>6726</v>
      </c>
    </row>
    <row r="1391" spans="2:11">
      <c r="B1391" s="848">
        <v>1388</v>
      </c>
      <c r="C1391" s="848" t="s">
        <v>1349</v>
      </c>
      <c r="D1391" s="849" t="s">
        <v>7955</v>
      </c>
      <c r="E1391" s="848" t="s">
        <v>10754</v>
      </c>
      <c r="F1391" s="848" t="s">
        <v>12152</v>
      </c>
      <c r="G1391" s="850" t="s">
        <v>11041</v>
      </c>
      <c r="H1391" s="849" t="s">
        <v>10716</v>
      </c>
      <c r="I1391" s="849"/>
      <c r="J1391" s="851">
        <v>64.260000000000005</v>
      </c>
      <c r="K1391" s="848" t="s">
        <v>6727</v>
      </c>
    </row>
    <row r="1392" spans="2:11">
      <c r="B1392" s="848">
        <v>1389</v>
      </c>
      <c r="C1392" s="848" t="s">
        <v>1349</v>
      </c>
      <c r="D1392" s="849" t="s">
        <v>7955</v>
      </c>
      <c r="E1392" s="848" t="s">
        <v>10754</v>
      </c>
      <c r="F1392" s="848" t="s">
        <v>13570</v>
      </c>
      <c r="G1392" s="850" t="s">
        <v>11117</v>
      </c>
      <c r="H1392" s="849" t="s">
        <v>10716</v>
      </c>
      <c r="I1392" s="849"/>
      <c r="J1392" s="851">
        <v>4.59</v>
      </c>
      <c r="K1392" s="848" t="s">
        <v>6728</v>
      </c>
    </row>
    <row r="1393" spans="2:11">
      <c r="B1393" s="848">
        <v>1390</v>
      </c>
      <c r="C1393" s="848" t="s">
        <v>1349</v>
      </c>
      <c r="D1393" s="849" t="s">
        <v>7955</v>
      </c>
      <c r="E1393" s="848" t="s">
        <v>10754</v>
      </c>
      <c r="F1393" s="848" t="s">
        <v>13571</v>
      </c>
      <c r="G1393" s="850" t="s">
        <v>11020</v>
      </c>
      <c r="H1393" s="849" t="s">
        <v>10716</v>
      </c>
      <c r="I1393" s="849"/>
      <c r="J1393" s="851">
        <v>4.59</v>
      </c>
      <c r="K1393" s="848" t="s">
        <v>6729</v>
      </c>
    </row>
    <row r="1394" spans="2:11">
      <c r="B1394" s="848">
        <v>1391</v>
      </c>
      <c r="C1394" s="848" t="s">
        <v>1349</v>
      </c>
      <c r="D1394" s="849" t="s">
        <v>7955</v>
      </c>
      <c r="E1394" s="848" t="s">
        <v>10754</v>
      </c>
      <c r="F1394" s="848" t="s">
        <v>13572</v>
      </c>
      <c r="G1394" s="850" t="s">
        <v>11014</v>
      </c>
      <c r="H1394" s="849" t="s">
        <v>10716</v>
      </c>
      <c r="I1394" s="849"/>
      <c r="J1394" s="851">
        <v>13.77</v>
      </c>
      <c r="K1394" s="848" t="s">
        <v>6730</v>
      </c>
    </row>
    <row r="1395" spans="2:11">
      <c r="B1395" s="848">
        <v>1392</v>
      </c>
      <c r="C1395" s="848" t="s">
        <v>1349</v>
      </c>
      <c r="D1395" s="849" t="s">
        <v>7955</v>
      </c>
      <c r="E1395" s="848" t="s">
        <v>10754</v>
      </c>
      <c r="F1395" s="848" t="s">
        <v>13573</v>
      </c>
      <c r="G1395" s="850" t="s">
        <v>11001</v>
      </c>
      <c r="H1395" s="849" t="s">
        <v>10716</v>
      </c>
      <c r="I1395" s="849"/>
      <c r="J1395" s="851">
        <v>4.59</v>
      </c>
      <c r="K1395" s="848" t="s">
        <v>6731</v>
      </c>
    </row>
    <row r="1396" spans="2:11">
      <c r="B1396" s="848">
        <v>1393</v>
      </c>
      <c r="C1396" s="848" t="s">
        <v>1349</v>
      </c>
      <c r="D1396" s="849" t="s">
        <v>7955</v>
      </c>
      <c r="E1396" s="848" t="s">
        <v>10754</v>
      </c>
      <c r="F1396" s="848" t="s">
        <v>13574</v>
      </c>
      <c r="G1396" s="850" t="s">
        <v>11017</v>
      </c>
      <c r="H1396" s="849" t="s">
        <v>10716</v>
      </c>
      <c r="I1396" s="849"/>
      <c r="J1396" s="851">
        <v>27.54</v>
      </c>
      <c r="K1396" s="848" t="s">
        <v>6732</v>
      </c>
    </row>
    <row r="1397" spans="2:11">
      <c r="B1397" s="848">
        <v>1394</v>
      </c>
      <c r="C1397" s="848" t="s">
        <v>13575</v>
      </c>
      <c r="D1397" s="849" t="s">
        <v>13576</v>
      </c>
      <c r="E1397" s="848" t="s">
        <v>9436</v>
      </c>
      <c r="F1397" s="848" t="s">
        <v>13577</v>
      </c>
      <c r="G1397" s="850" t="s">
        <v>12983</v>
      </c>
      <c r="H1397" s="849" t="s">
        <v>10716</v>
      </c>
      <c r="I1397" s="849"/>
      <c r="J1397" s="851">
        <v>38.412319999999994</v>
      </c>
      <c r="K1397" s="848" t="s">
        <v>13578</v>
      </c>
    </row>
    <row r="1398" spans="2:11">
      <c r="B1398" s="848">
        <v>1395</v>
      </c>
      <c r="C1398" s="848" t="s">
        <v>13575</v>
      </c>
      <c r="D1398" s="849" t="s">
        <v>13576</v>
      </c>
      <c r="E1398" s="848" t="s">
        <v>9436</v>
      </c>
      <c r="F1398" s="848" t="s">
        <v>12525</v>
      </c>
      <c r="G1398" s="850" t="s">
        <v>13579</v>
      </c>
      <c r="H1398" s="849" t="s">
        <v>10716</v>
      </c>
      <c r="I1398" s="849"/>
      <c r="J1398" s="851">
        <v>21468.44</v>
      </c>
      <c r="K1398" s="848" t="s">
        <v>5867</v>
      </c>
    </row>
    <row r="1399" spans="2:11">
      <c r="B1399" s="848">
        <v>1396</v>
      </c>
      <c r="C1399" s="848" t="s">
        <v>13575</v>
      </c>
      <c r="D1399" s="849" t="s">
        <v>13576</v>
      </c>
      <c r="E1399" s="848" t="s">
        <v>9436</v>
      </c>
      <c r="F1399" s="848" t="s">
        <v>13580</v>
      </c>
      <c r="G1399" s="850" t="s">
        <v>12985</v>
      </c>
      <c r="H1399" s="849" t="s">
        <v>10716</v>
      </c>
      <c r="I1399" s="849"/>
      <c r="J1399" s="851">
        <v>1426.2</v>
      </c>
      <c r="K1399" s="848" t="s">
        <v>6783</v>
      </c>
    </row>
    <row r="1400" spans="2:11">
      <c r="B1400" s="848">
        <v>1397</v>
      </c>
      <c r="C1400" s="848" t="s">
        <v>13575</v>
      </c>
      <c r="D1400" s="849" t="s">
        <v>13576</v>
      </c>
      <c r="E1400" s="848" t="s">
        <v>9436</v>
      </c>
      <c r="F1400" s="848" t="s">
        <v>13581</v>
      </c>
      <c r="G1400" s="850" t="s">
        <v>13582</v>
      </c>
      <c r="H1400" s="849" t="s">
        <v>10716</v>
      </c>
      <c r="I1400" s="849"/>
      <c r="J1400" s="851">
        <v>142.62</v>
      </c>
      <c r="K1400" s="848" t="s">
        <v>6413</v>
      </c>
    </row>
    <row r="1401" spans="2:11">
      <c r="B1401" s="848">
        <v>1398</v>
      </c>
      <c r="C1401" s="848" t="s">
        <v>13575</v>
      </c>
      <c r="D1401" s="849" t="s">
        <v>13576</v>
      </c>
      <c r="E1401" s="848" t="s">
        <v>9436</v>
      </c>
      <c r="F1401" s="848" t="s">
        <v>13583</v>
      </c>
      <c r="G1401" s="850" t="s">
        <v>11566</v>
      </c>
      <c r="H1401" s="849" t="s">
        <v>10716</v>
      </c>
      <c r="I1401" s="849"/>
      <c r="J1401" s="851">
        <v>356.55</v>
      </c>
      <c r="K1401" s="848" t="s">
        <v>6180</v>
      </c>
    </row>
    <row r="1402" spans="2:11">
      <c r="B1402" s="848">
        <v>1399</v>
      </c>
      <c r="C1402" s="848" t="s">
        <v>13575</v>
      </c>
      <c r="D1402" s="849" t="s">
        <v>13576</v>
      </c>
      <c r="E1402" s="848" t="s">
        <v>9436</v>
      </c>
      <c r="F1402" s="848" t="s">
        <v>13584</v>
      </c>
      <c r="G1402" s="850" t="s">
        <v>11565</v>
      </c>
      <c r="H1402" s="849" t="s">
        <v>10716</v>
      </c>
      <c r="I1402" s="849"/>
      <c r="J1402" s="851">
        <v>641.79</v>
      </c>
      <c r="K1402" s="848" t="s">
        <v>6135</v>
      </c>
    </row>
    <row r="1403" spans="2:11">
      <c r="B1403" s="848">
        <v>1400</v>
      </c>
      <c r="C1403" s="848" t="s">
        <v>13575</v>
      </c>
      <c r="D1403" s="849" t="s">
        <v>13576</v>
      </c>
      <c r="E1403" s="848" t="s">
        <v>9436</v>
      </c>
      <c r="F1403" s="848" t="s">
        <v>13585</v>
      </c>
      <c r="G1403" s="850" t="s">
        <v>13586</v>
      </c>
      <c r="H1403" s="849" t="s">
        <v>10716</v>
      </c>
      <c r="I1403" s="849"/>
      <c r="J1403" s="851">
        <v>404.09</v>
      </c>
      <c r="K1403" s="848" t="s">
        <v>6186</v>
      </c>
    </row>
    <row r="1404" spans="2:11">
      <c r="B1404" s="848">
        <v>1401</v>
      </c>
      <c r="C1404" s="848" t="s">
        <v>13575</v>
      </c>
      <c r="D1404" s="849" t="s">
        <v>13576</v>
      </c>
      <c r="E1404" s="848" t="s">
        <v>9436</v>
      </c>
      <c r="F1404" s="848" t="s">
        <v>13587</v>
      </c>
      <c r="G1404" s="850" t="s">
        <v>13588</v>
      </c>
      <c r="H1404" s="849" t="s">
        <v>10716</v>
      </c>
      <c r="I1404" s="849"/>
      <c r="J1404" s="851">
        <v>546.71</v>
      </c>
      <c r="K1404" s="848" t="s">
        <v>6196</v>
      </c>
    </row>
    <row r="1405" spans="2:11">
      <c r="B1405" s="848">
        <v>1402</v>
      </c>
      <c r="C1405" s="848" t="s">
        <v>686</v>
      </c>
      <c r="D1405" s="849" t="s">
        <v>188</v>
      </c>
      <c r="E1405" s="848" t="s">
        <v>9468</v>
      </c>
      <c r="F1405" s="848" t="s">
        <v>12528</v>
      </c>
      <c r="G1405" s="850" t="s">
        <v>13585</v>
      </c>
      <c r="H1405" s="849" t="s">
        <v>10716</v>
      </c>
      <c r="I1405" s="849"/>
      <c r="J1405" s="851">
        <v>28369.01</v>
      </c>
      <c r="K1405" s="848" t="s">
        <v>6402</v>
      </c>
    </row>
    <row r="1406" spans="2:11">
      <c r="B1406" s="848">
        <v>1403</v>
      </c>
      <c r="C1406" s="848" t="s">
        <v>713</v>
      </c>
      <c r="D1406" s="849" t="s">
        <v>167</v>
      </c>
      <c r="E1406" s="848" t="s">
        <v>8582</v>
      </c>
      <c r="F1406" s="848" t="s">
        <v>12531</v>
      </c>
      <c r="G1406" s="850" t="s">
        <v>12945</v>
      </c>
      <c r="H1406" s="849" t="s">
        <v>10716</v>
      </c>
      <c r="I1406" s="849"/>
      <c r="J1406" s="851">
        <v>1533.46</v>
      </c>
      <c r="K1406" s="848" t="s">
        <v>5854</v>
      </c>
    </row>
    <row r="1407" spans="2:11">
      <c r="B1407" s="848">
        <v>1404</v>
      </c>
      <c r="C1407" s="848" t="s">
        <v>713</v>
      </c>
      <c r="D1407" s="849" t="s">
        <v>167</v>
      </c>
      <c r="E1407" s="848" t="s">
        <v>8582</v>
      </c>
      <c r="F1407" s="848" t="s">
        <v>12534</v>
      </c>
      <c r="G1407" s="850" t="s">
        <v>12919</v>
      </c>
      <c r="H1407" s="849" t="s">
        <v>10716</v>
      </c>
      <c r="I1407" s="849"/>
      <c r="J1407" s="851">
        <v>39103.230000000003</v>
      </c>
      <c r="K1407" s="848" t="s">
        <v>6399</v>
      </c>
    </row>
    <row r="1408" spans="2:11">
      <c r="B1408" s="848">
        <v>1405</v>
      </c>
      <c r="C1408" s="848" t="s">
        <v>713</v>
      </c>
      <c r="D1408" s="849" t="s">
        <v>167</v>
      </c>
      <c r="E1408" s="848" t="s">
        <v>8582</v>
      </c>
      <c r="F1408" s="848" t="s">
        <v>12537</v>
      </c>
      <c r="G1408" s="850" t="s">
        <v>12907</v>
      </c>
      <c r="H1408" s="849" t="s">
        <v>10716</v>
      </c>
      <c r="I1408" s="849"/>
      <c r="J1408" s="851">
        <v>1533.46</v>
      </c>
      <c r="K1408" s="848" t="s">
        <v>5855</v>
      </c>
    </row>
    <row r="1409" spans="2:11">
      <c r="B1409" s="848">
        <v>1406</v>
      </c>
      <c r="C1409" s="848" t="s">
        <v>713</v>
      </c>
      <c r="D1409" s="849" t="s">
        <v>167</v>
      </c>
      <c r="E1409" s="848" t="s">
        <v>8582</v>
      </c>
      <c r="F1409" s="848" t="s">
        <v>12540</v>
      </c>
      <c r="G1409" s="850" t="s">
        <v>12941</v>
      </c>
      <c r="H1409" s="849" t="s">
        <v>10716</v>
      </c>
      <c r="I1409" s="849"/>
      <c r="J1409" s="851">
        <v>9584.1299999999992</v>
      </c>
      <c r="K1409" s="848" t="s">
        <v>5856</v>
      </c>
    </row>
    <row r="1410" spans="2:11" ht="25">
      <c r="B1410" s="848">
        <v>1407</v>
      </c>
      <c r="C1410" s="848" t="s">
        <v>13589</v>
      </c>
      <c r="D1410" s="849" t="s">
        <v>13590</v>
      </c>
      <c r="E1410" s="848" t="s">
        <v>12009</v>
      </c>
      <c r="F1410" s="848" t="s">
        <v>13591</v>
      </c>
      <c r="G1410" s="850" t="s">
        <v>13592</v>
      </c>
      <c r="H1410" s="849" t="s">
        <v>10716</v>
      </c>
      <c r="I1410" s="849"/>
      <c r="J1410" s="851">
        <v>71.31</v>
      </c>
      <c r="K1410" s="848" t="s">
        <v>5868</v>
      </c>
    </row>
    <row r="1411" spans="2:11" ht="25">
      <c r="B1411" s="848">
        <v>1408</v>
      </c>
      <c r="C1411" s="848" t="s">
        <v>13589</v>
      </c>
      <c r="D1411" s="849" t="s">
        <v>13590</v>
      </c>
      <c r="E1411" s="848" t="s">
        <v>12009</v>
      </c>
      <c r="F1411" s="848" t="s">
        <v>13593</v>
      </c>
      <c r="G1411" s="850" t="s">
        <v>13594</v>
      </c>
      <c r="H1411" s="849" t="s">
        <v>10716</v>
      </c>
      <c r="I1411" s="849"/>
      <c r="J1411" s="851">
        <v>7.67</v>
      </c>
      <c r="K1411" s="848" t="s">
        <v>13595</v>
      </c>
    </row>
    <row r="1412" spans="2:11">
      <c r="B1412" s="848">
        <v>1409</v>
      </c>
      <c r="C1412" s="848" t="s">
        <v>13596</v>
      </c>
      <c r="D1412" s="849" t="s">
        <v>5726</v>
      </c>
      <c r="E1412" s="848" t="s">
        <v>3758</v>
      </c>
      <c r="F1412" s="848" t="s">
        <v>13597</v>
      </c>
      <c r="G1412" s="850" t="s">
        <v>13598</v>
      </c>
      <c r="H1412" s="849" t="s">
        <v>10716</v>
      </c>
      <c r="I1412" s="849"/>
      <c r="J1412" s="851">
        <v>13.7</v>
      </c>
      <c r="K1412" s="848" t="s">
        <v>6546</v>
      </c>
    </row>
    <row r="1413" spans="2:11">
      <c r="B1413" s="848">
        <v>1410</v>
      </c>
      <c r="C1413" s="848" t="s">
        <v>13596</v>
      </c>
      <c r="D1413" s="849" t="s">
        <v>5726</v>
      </c>
      <c r="E1413" s="848" t="s">
        <v>3758</v>
      </c>
      <c r="F1413" s="848" t="s">
        <v>13308</v>
      </c>
      <c r="G1413" s="850" t="s">
        <v>13599</v>
      </c>
      <c r="H1413" s="849" t="s">
        <v>10716</v>
      </c>
      <c r="I1413" s="849"/>
      <c r="J1413" s="851">
        <v>6.89</v>
      </c>
      <c r="K1413" s="848" t="s">
        <v>6547</v>
      </c>
    </row>
    <row r="1414" spans="2:11">
      <c r="B1414" s="848">
        <v>1411</v>
      </c>
      <c r="C1414" s="848" t="s">
        <v>13596</v>
      </c>
      <c r="D1414" s="849" t="s">
        <v>5726</v>
      </c>
      <c r="E1414" s="848" t="s">
        <v>3758</v>
      </c>
      <c r="F1414" s="848" t="s">
        <v>13310</v>
      </c>
      <c r="G1414" s="850" t="s">
        <v>13600</v>
      </c>
      <c r="H1414" s="849" t="s">
        <v>10716</v>
      </c>
      <c r="I1414" s="849"/>
      <c r="J1414" s="851">
        <v>13.78</v>
      </c>
      <c r="K1414" s="848" t="s">
        <v>6548</v>
      </c>
    </row>
    <row r="1415" spans="2:11">
      <c r="B1415" s="848">
        <v>1412</v>
      </c>
      <c r="C1415" s="848" t="s">
        <v>13596</v>
      </c>
      <c r="D1415" s="849" t="s">
        <v>5726</v>
      </c>
      <c r="E1415" s="848" t="s">
        <v>3758</v>
      </c>
      <c r="F1415" s="848" t="s">
        <v>13311</v>
      </c>
      <c r="G1415" s="850" t="s">
        <v>13601</v>
      </c>
      <c r="H1415" s="849" t="s">
        <v>10716</v>
      </c>
      <c r="I1415" s="849"/>
      <c r="J1415" s="851">
        <v>13.78</v>
      </c>
      <c r="K1415" s="848" t="s">
        <v>6549</v>
      </c>
    </row>
    <row r="1416" spans="2:11">
      <c r="B1416" s="848">
        <v>1413</v>
      </c>
      <c r="C1416" s="848" t="s">
        <v>13596</v>
      </c>
      <c r="D1416" s="849" t="s">
        <v>5726</v>
      </c>
      <c r="E1416" s="848" t="s">
        <v>3758</v>
      </c>
      <c r="F1416" s="848" t="s">
        <v>11081</v>
      </c>
      <c r="G1416" s="850" t="s">
        <v>13602</v>
      </c>
      <c r="H1416" s="849" t="s">
        <v>10716</v>
      </c>
      <c r="I1416" s="849"/>
      <c r="J1416" s="851">
        <v>13.78</v>
      </c>
      <c r="K1416" s="848" t="s">
        <v>6550</v>
      </c>
    </row>
    <row r="1417" spans="2:11">
      <c r="B1417" s="848">
        <v>1414</v>
      </c>
      <c r="C1417" s="848" t="s">
        <v>13596</v>
      </c>
      <c r="D1417" s="849" t="s">
        <v>5726</v>
      </c>
      <c r="E1417" s="848" t="s">
        <v>3758</v>
      </c>
      <c r="F1417" s="848" t="s">
        <v>10806</v>
      </c>
      <c r="G1417" s="850" t="s">
        <v>13603</v>
      </c>
      <c r="H1417" s="849" t="s">
        <v>10716</v>
      </c>
      <c r="I1417" s="849"/>
      <c r="J1417" s="851">
        <v>13.78</v>
      </c>
      <c r="K1417" s="848" t="s">
        <v>6551</v>
      </c>
    </row>
    <row r="1418" spans="2:11">
      <c r="B1418" s="848">
        <v>1415</v>
      </c>
      <c r="C1418" s="848" t="s">
        <v>13596</v>
      </c>
      <c r="D1418" s="849" t="s">
        <v>5726</v>
      </c>
      <c r="E1418" s="848" t="s">
        <v>3758</v>
      </c>
      <c r="F1418" s="848" t="s">
        <v>13604</v>
      </c>
      <c r="G1418" s="850" t="s">
        <v>13605</v>
      </c>
      <c r="H1418" s="849" t="s">
        <v>10716</v>
      </c>
      <c r="I1418" s="849"/>
      <c r="J1418" s="851">
        <v>13.78</v>
      </c>
      <c r="K1418" s="848" t="s">
        <v>6552</v>
      </c>
    </row>
    <row r="1419" spans="2:11">
      <c r="B1419" s="848">
        <v>1416</v>
      </c>
      <c r="C1419" s="848" t="s">
        <v>13596</v>
      </c>
      <c r="D1419" s="849" t="s">
        <v>5726</v>
      </c>
      <c r="E1419" s="848" t="s">
        <v>9509</v>
      </c>
      <c r="F1419" s="848" t="s">
        <v>13421</v>
      </c>
      <c r="G1419" s="850" t="s">
        <v>13606</v>
      </c>
      <c r="H1419" s="849" t="s">
        <v>10716</v>
      </c>
      <c r="I1419" s="849"/>
      <c r="J1419" s="851">
        <v>2.96</v>
      </c>
      <c r="K1419" s="848" t="s">
        <v>6545</v>
      </c>
    </row>
    <row r="1420" spans="2:11">
      <c r="B1420" s="848">
        <v>1417</v>
      </c>
      <c r="C1420" s="848" t="s">
        <v>7180</v>
      </c>
      <c r="D1420" s="849" t="s">
        <v>13607</v>
      </c>
      <c r="E1420" s="848" t="s">
        <v>9420</v>
      </c>
      <c r="F1420" s="848" t="s">
        <v>13608</v>
      </c>
      <c r="G1420" s="850" t="s">
        <v>13159</v>
      </c>
      <c r="H1420" s="849" t="s">
        <v>10716</v>
      </c>
      <c r="I1420" s="849"/>
      <c r="J1420" s="851">
        <v>28.67</v>
      </c>
      <c r="K1420" s="848" t="s">
        <v>6012</v>
      </c>
    </row>
    <row r="1421" spans="2:11">
      <c r="B1421" s="848">
        <v>1418</v>
      </c>
      <c r="C1421" s="848" t="s">
        <v>1387</v>
      </c>
      <c r="D1421" s="849" t="s">
        <v>443</v>
      </c>
      <c r="E1421" s="848" t="s">
        <v>11540</v>
      </c>
      <c r="F1421" s="848" t="s">
        <v>12731</v>
      </c>
      <c r="G1421" s="850" t="s">
        <v>12863</v>
      </c>
      <c r="H1421" s="849" t="s">
        <v>10716</v>
      </c>
      <c r="I1421" s="849"/>
      <c r="J1421" s="851">
        <v>1500</v>
      </c>
      <c r="K1421" s="848" t="s">
        <v>13609</v>
      </c>
    </row>
    <row r="1422" spans="2:11">
      <c r="B1422" s="848">
        <v>1419</v>
      </c>
      <c r="C1422" s="848" t="s">
        <v>2330</v>
      </c>
      <c r="D1422" s="849" t="s">
        <v>7120</v>
      </c>
      <c r="E1422" s="848" t="s">
        <v>8582</v>
      </c>
      <c r="F1422" s="848" t="s">
        <v>12054</v>
      </c>
      <c r="G1422" s="850" t="s">
        <v>11729</v>
      </c>
      <c r="H1422" s="849" t="s">
        <v>10716</v>
      </c>
      <c r="I1422" s="849"/>
      <c r="J1422" s="851">
        <v>71.31</v>
      </c>
      <c r="K1422" s="848" t="s">
        <v>13610</v>
      </c>
    </row>
    <row r="1423" spans="2:11">
      <c r="B1423" s="848">
        <v>1420</v>
      </c>
      <c r="C1423" s="848" t="s">
        <v>1336</v>
      </c>
      <c r="D1423" s="849" t="s">
        <v>13611</v>
      </c>
      <c r="E1423" s="848" t="s">
        <v>9441</v>
      </c>
      <c r="F1423" s="848" t="s">
        <v>13612</v>
      </c>
      <c r="G1423" s="850" t="s">
        <v>12586</v>
      </c>
      <c r="H1423" s="849" t="s">
        <v>10716</v>
      </c>
      <c r="I1423" s="849"/>
      <c r="J1423" s="851">
        <v>3829.84</v>
      </c>
      <c r="K1423" s="848" t="s">
        <v>6385</v>
      </c>
    </row>
    <row r="1424" spans="2:11">
      <c r="B1424" s="848">
        <v>1421</v>
      </c>
      <c r="C1424" s="848" t="s">
        <v>1336</v>
      </c>
      <c r="D1424" s="849" t="s">
        <v>13611</v>
      </c>
      <c r="E1424" s="848" t="s">
        <v>9441</v>
      </c>
      <c r="F1424" s="848" t="s">
        <v>13364</v>
      </c>
      <c r="G1424" s="850" t="s">
        <v>12583</v>
      </c>
      <c r="H1424" s="849" t="s">
        <v>10716</v>
      </c>
      <c r="I1424" s="849"/>
      <c r="J1424" s="851">
        <v>2931</v>
      </c>
      <c r="K1424" s="848" t="s">
        <v>6389</v>
      </c>
    </row>
    <row r="1425" spans="2:11">
      <c r="B1425" s="848">
        <v>1422</v>
      </c>
      <c r="C1425" s="848" t="s">
        <v>1267</v>
      </c>
      <c r="D1425" s="849" t="s">
        <v>62</v>
      </c>
      <c r="E1425" s="848" t="s">
        <v>9500</v>
      </c>
      <c r="F1425" s="848" t="s">
        <v>12542</v>
      </c>
      <c r="G1425" s="850" t="s">
        <v>13597</v>
      </c>
      <c r="H1425" s="849" t="s">
        <v>10716</v>
      </c>
      <c r="I1425" s="849"/>
      <c r="J1425" s="851">
        <v>141078.32</v>
      </c>
      <c r="K1425" s="848" t="s">
        <v>11653</v>
      </c>
    </row>
    <row r="1426" spans="2:11">
      <c r="B1426" s="848">
        <v>1423</v>
      </c>
      <c r="C1426" s="848" t="s">
        <v>1267</v>
      </c>
      <c r="D1426" s="849" t="s">
        <v>62</v>
      </c>
      <c r="E1426" s="848" t="s">
        <v>9500</v>
      </c>
      <c r="F1426" s="848" t="s">
        <v>12544</v>
      </c>
      <c r="G1426" s="850" t="s">
        <v>12202</v>
      </c>
      <c r="H1426" s="849" t="s">
        <v>10716</v>
      </c>
      <c r="I1426" s="849"/>
      <c r="J1426" s="851">
        <v>129577.37</v>
      </c>
      <c r="K1426" s="848" t="s">
        <v>13613</v>
      </c>
    </row>
    <row r="1427" spans="2:11">
      <c r="B1427" s="848">
        <v>1424</v>
      </c>
      <c r="C1427" s="848" t="s">
        <v>1267</v>
      </c>
      <c r="D1427" s="849" t="s">
        <v>62</v>
      </c>
      <c r="E1427" s="848" t="s">
        <v>3242</v>
      </c>
      <c r="F1427" s="848" t="s">
        <v>10839</v>
      </c>
      <c r="G1427" s="850" t="s">
        <v>13614</v>
      </c>
      <c r="H1427" s="849" t="s">
        <v>10716</v>
      </c>
      <c r="I1427" s="849"/>
      <c r="J1427" s="851">
        <v>2374.9499999999998</v>
      </c>
      <c r="K1427" s="848" t="s">
        <v>12481</v>
      </c>
    </row>
    <row r="1428" spans="2:11">
      <c r="B1428" s="848">
        <v>1425</v>
      </c>
      <c r="C1428" s="848" t="s">
        <v>1267</v>
      </c>
      <c r="D1428" s="849" t="s">
        <v>62</v>
      </c>
      <c r="E1428" s="848" t="s">
        <v>3239</v>
      </c>
      <c r="F1428" s="848" t="s">
        <v>13606</v>
      </c>
      <c r="G1428" s="850" t="s">
        <v>11110</v>
      </c>
      <c r="H1428" s="849" t="s">
        <v>10716</v>
      </c>
      <c r="I1428" s="849"/>
      <c r="J1428" s="851">
        <v>16101.33</v>
      </c>
      <c r="K1428" s="848" t="s">
        <v>12481</v>
      </c>
    </row>
    <row r="1429" spans="2:11">
      <c r="B1429" s="848">
        <v>1426</v>
      </c>
      <c r="C1429" s="848" t="s">
        <v>1287</v>
      </c>
      <c r="D1429" s="849" t="s">
        <v>317</v>
      </c>
      <c r="E1429" s="848" t="s">
        <v>11871</v>
      </c>
      <c r="F1429" s="848" t="s">
        <v>11993</v>
      </c>
      <c r="G1429" s="850" t="s">
        <v>13615</v>
      </c>
      <c r="H1429" s="849" t="s">
        <v>10716</v>
      </c>
      <c r="I1429" s="849"/>
      <c r="J1429" s="851">
        <v>34.24</v>
      </c>
      <c r="K1429" s="848" t="s">
        <v>6313</v>
      </c>
    </row>
    <row r="1430" spans="2:11">
      <c r="B1430" s="848">
        <v>1427</v>
      </c>
      <c r="C1430" s="848" t="s">
        <v>13616</v>
      </c>
      <c r="D1430" s="849" t="s">
        <v>8015</v>
      </c>
      <c r="E1430" s="848" t="s">
        <v>9499</v>
      </c>
      <c r="F1430" s="848" t="s">
        <v>11065</v>
      </c>
      <c r="G1430" s="850" t="s">
        <v>12222</v>
      </c>
      <c r="H1430" s="849" t="s">
        <v>10716</v>
      </c>
      <c r="I1430" s="849"/>
      <c r="J1430" s="851">
        <v>8.5201875000000005</v>
      </c>
      <c r="K1430" s="848" t="s">
        <v>6105</v>
      </c>
    </row>
    <row r="1431" spans="2:11">
      <c r="B1431" s="848">
        <v>1428</v>
      </c>
      <c r="C1431" s="848" t="s">
        <v>13616</v>
      </c>
      <c r="D1431" s="849" t="s">
        <v>8015</v>
      </c>
      <c r="E1431" s="848" t="s">
        <v>9499</v>
      </c>
      <c r="F1431" s="848" t="s">
        <v>11062</v>
      </c>
      <c r="G1431" s="850" t="s">
        <v>13617</v>
      </c>
      <c r="H1431" s="849" t="s">
        <v>10716</v>
      </c>
      <c r="I1431" s="849"/>
      <c r="J1431" s="851">
        <v>11.928262500000001</v>
      </c>
      <c r="K1431" s="848" t="s">
        <v>6019</v>
      </c>
    </row>
    <row r="1432" spans="2:11">
      <c r="B1432" s="848">
        <v>1429</v>
      </c>
      <c r="C1432" s="848" t="s">
        <v>13616</v>
      </c>
      <c r="D1432" s="849" t="s">
        <v>8015</v>
      </c>
      <c r="E1432" s="848" t="s">
        <v>9499</v>
      </c>
      <c r="F1432" s="848" t="s">
        <v>11059</v>
      </c>
      <c r="G1432" s="850" t="s">
        <v>12220</v>
      </c>
      <c r="H1432" s="849" t="s">
        <v>10716</v>
      </c>
      <c r="I1432" s="849"/>
      <c r="J1432" s="851">
        <v>5.1121125000000003</v>
      </c>
      <c r="K1432" s="848" t="s">
        <v>6020</v>
      </c>
    </row>
    <row r="1433" spans="2:11">
      <c r="B1433" s="848">
        <v>1430</v>
      </c>
      <c r="C1433" s="848" t="s">
        <v>13618</v>
      </c>
      <c r="D1433" s="849" t="s">
        <v>5723</v>
      </c>
      <c r="E1433" s="848" t="s">
        <v>13619</v>
      </c>
      <c r="F1433" s="848" t="s">
        <v>12863</v>
      </c>
      <c r="G1433" s="850" t="s">
        <v>13620</v>
      </c>
      <c r="H1433" s="849" t="s">
        <v>10716</v>
      </c>
      <c r="I1433" s="849"/>
      <c r="J1433" s="851">
        <v>4</v>
      </c>
      <c r="K1433" s="848" t="s">
        <v>6531</v>
      </c>
    </row>
    <row r="1434" spans="2:11">
      <c r="B1434" s="848">
        <v>1431</v>
      </c>
      <c r="C1434" s="848" t="s">
        <v>13621</v>
      </c>
      <c r="D1434" s="849" t="s">
        <v>430</v>
      </c>
      <c r="E1434" s="848" t="s">
        <v>10778</v>
      </c>
      <c r="F1434" s="848" t="s">
        <v>12995</v>
      </c>
      <c r="G1434" s="850" t="s">
        <v>13622</v>
      </c>
      <c r="H1434" s="849" t="s">
        <v>10716</v>
      </c>
      <c r="I1434" s="849"/>
      <c r="J1434" s="851">
        <v>766.73</v>
      </c>
      <c r="K1434" s="848" t="s">
        <v>13623</v>
      </c>
    </row>
    <row r="1435" spans="2:11">
      <c r="B1435" s="848">
        <v>1432</v>
      </c>
      <c r="C1435" s="848" t="s">
        <v>13621</v>
      </c>
      <c r="D1435" s="849" t="s">
        <v>430</v>
      </c>
      <c r="E1435" s="848" t="s">
        <v>10778</v>
      </c>
      <c r="F1435" s="848" t="s">
        <v>13001</v>
      </c>
      <c r="G1435" s="850" t="s">
        <v>13624</v>
      </c>
      <c r="H1435" s="849" t="s">
        <v>10716</v>
      </c>
      <c r="I1435" s="849"/>
      <c r="J1435" s="851">
        <v>766.73</v>
      </c>
      <c r="K1435" s="848" t="s">
        <v>13625</v>
      </c>
    </row>
    <row r="1436" spans="2:11">
      <c r="B1436" s="848">
        <v>1433</v>
      </c>
      <c r="C1436" s="848" t="s">
        <v>13621</v>
      </c>
      <c r="D1436" s="849" t="s">
        <v>430</v>
      </c>
      <c r="E1436" s="848" t="s">
        <v>10778</v>
      </c>
      <c r="F1436" s="848" t="s">
        <v>12997</v>
      </c>
      <c r="G1436" s="850" t="s">
        <v>13626</v>
      </c>
      <c r="H1436" s="849" t="s">
        <v>10716</v>
      </c>
      <c r="I1436" s="849"/>
      <c r="J1436" s="851">
        <v>766.73</v>
      </c>
      <c r="K1436" s="848" t="s">
        <v>13627</v>
      </c>
    </row>
    <row r="1437" spans="2:11">
      <c r="B1437" s="848">
        <v>1434</v>
      </c>
      <c r="C1437" s="848" t="s">
        <v>13628</v>
      </c>
      <c r="D1437" s="849" t="s">
        <v>13629</v>
      </c>
      <c r="E1437" s="848" t="s">
        <v>13630</v>
      </c>
      <c r="F1437" s="848" t="s">
        <v>12323</v>
      </c>
      <c r="G1437" s="850" t="s">
        <v>11614</v>
      </c>
      <c r="H1437" s="849" t="s">
        <v>10716</v>
      </c>
      <c r="I1437" s="849"/>
      <c r="J1437" s="851">
        <v>16.7</v>
      </c>
      <c r="K1437" s="848" t="s">
        <v>6533</v>
      </c>
    </row>
    <row r="1438" spans="2:11">
      <c r="B1438" s="848">
        <v>1435</v>
      </c>
      <c r="C1438" s="848" t="s">
        <v>13628</v>
      </c>
      <c r="D1438" s="849" t="s">
        <v>13629</v>
      </c>
      <c r="E1438" s="848" t="s">
        <v>10778</v>
      </c>
      <c r="F1438" s="848" t="s">
        <v>11992</v>
      </c>
      <c r="G1438" s="850" t="s">
        <v>13631</v>
      </c>
      <c r="H1438" s="849" t="s">
        <v>10716</v>
      </c>
      <c r="I1438" s="849"/>
      <c r="J1438" s="851">
        <v>283.35000000000002</v>
      </c>
      <c r="K1438" s="848" t="s">
        <v>6469</v>
      </c>
    </row>
    <row r="1439" spans="2:11">
      <c r="B1439" s="848">
        <v>1436</v>
      </c>
      <c r="C1439" s="848" t="s">
        <v>13632</v>
      </c>
      <c r="D1439" s="849" t="s">
        <v>13629</v>
      </c>
      <c r="E1439" s="848" t="s">
        <v>3354</v>
      </c>
      <c r="F1439" s="848" t="s">
        <v>12526</v>
      </c>
      <c r="G1439" s="850" t="s">
        <v>13633</v>
      </c>
      <c r="H1439" s="849" t="s">
        <v>10716</v>
      </c>
      <c r="I1439" s="849"/>
      <c r="J1439" s="851">
        <v>11286.08</v>
      </c>
      <c r="K1439" s="848" t="s">
        <v>13634</v>
      </c>
    </row>
    <row r="1440" spans="2:11">
      <c r="B1440" s="848">
        <v>1437</v>
      </c>
      <c r="C1440" s="848" t="s">
        <v>1364</v>
      </c>
      <c r="D1440" s="849" t="s">
        <v>415</v>
      </c>
      <c r="E1440" s="848" t="s">
        <v>3220</v>
      </c>
      <c r="F1440" s="848" t="s">
        <v>13635</v>
      </c>
      <c r="G1440" s="850" t="s">
        <v>11917</v>
      </c>
      <c r="H1440" s="849" t="s">
        <v>10716</v>
      </c>
      <c r="I1440" s="849"/>
      <c r="J1440" s="851">
        <v>3908</v>
      </c>
      <c r="K1440" s="848" t="s">
        <v>13636</v>
      </c>
    </row>
    <row r="1441" spans="2:11">
      <c r="B1441" s="848">
        <v>1438</v>
      </c>
      <c r="C1441" s="848" t="s">
        <v>13637</v>
      </c>
      <c r="D1441" s="849" t="s">
        <v>13638</v>
      </c>
      <c r="E1441" s="848" t="s">
        <v>13639</v>
      </c>
      <c r="F1441" s="848" t="s">
        <v>13031</v>
      </c>
      <c r="G1441" s="850" t="s">
        <v>13640</v>
      </c>
      <c r="H1441" s="849" t="s">
        <v>10716</v>
      </c>
      <c r="I1441" s="849"/>
      <c r="J1441" s="851">
        <v>225</v>
      </c>
      <c r="K1441" s="848" t="s">
        <v>6612</v>
      </c>
    </row>
    <row r="1442" spans="2:11">
      <c r="B1442" s="848">
        <v>1439</v>
      </c>
      <c r="C1442" s="848" t="s">
        <v>13637</v>
      </c>
      <c r="D1442" s="849" t="s">
        <v>13638</v>
      </c>
      <c r="E1442" s="848" t="s">
        <v>13639</v>
      </c>
      <c r="F1442" s="848" t="s">
        <v>13350</v>
      </c>
      <c r="G1442" s="850" t="s">
        <v>13641</v>
      </c>
      <c r="H1442" s="849" t="s">
        <v>10716</v>
      </c>
      <c r="I1442" s="849"/>
      <c r="J1442" s="851">
        <v>379</v>
      </c>
      <c r="K1442" s="848" t="s">
        <v>6797</v>
      </c>
    </row>
    <row r="1443" spans="2:11">
      <c r="B1443" s="848">
        <v>1440</v>
      </c>
      <c r="C1443" s="848" t="s">
        <v>13637</v>
      </c>
      <c r="D1443" s="849" t="s">
        <v>13638</v>
      </c>
      <c r="E1443" s="848" t="s">
        <v>10733</v>
      </c>
      <c r="F1443" s="848" t="s">
        <v>11701</v>
      </c>
      <c r="G1443" s="850" t="s">
        <v>13642</v>
      </c>
      <c r="H1443" s="849" t="s">
        <v>10716</v>
      </c>
      <c r="I1443" s="849"/>
      <c r="J1443" s="851">
        <v>1.6601714999999999</v>
      </c>
      <c r="K1443" s="848" t="s">
        <v>6281</v>
      </c>
    </row>
    <row r="1444" spans="2:11">
      <c r="B1444" s="848">
        <v>1441</v>
      </c>
      <c r="C1444" s="848" t="s">
        <v>13637</v>
      </c>
      <c r="D1444" s="849" t="s">
        <v>13638</v>
      </c>
      <c r="E1444" s="848" t="s">
        <v>10733</v>
      </c>
      <c r="F1444" s="848" t="s">
        <v>13238</v>
      </c>
      <c r="G1444" s="850" t="s">
        <v>13643</v>
      </c>
      <c r="H1444" s="849" t="s">
        <v>10716</v>
      </c>
      <c r="I1444" s="849"/>
      <c r="J1444" s="851">
        <v>1.6601714999999999</v>
      </c>
      <c r="K1444" s="848" t="s">
        <v>6282</v>
      </c>
    </row>
    <row r="1445" spans="2:11">
      <c r="B1445" s="848">
        <v>1442</v>
      </c>
      <c r="C1445" s="848" t="s">
        <v>13644</v>
      </c>
      <c r="D1445" s="849" t="s">
        <v>13645</v>
      </c>
      <c r="E1445" s="848" t="s">
        <v>11991</v>
      </c>
      <c r="F1445" s="848" t="s">
        <v>12546</v>
      </c>
      <c r="G1445" s="850" t="s">
        <v>13612</v>
      </c>
      <c r="H1445" s="849" t="s">
        <v>10716</v>
      </c>
      <c r="I1445" s="849"/>
      <c r="J1445" s="851">
        <v>10734.22</v>
      </c>
      <c r="K1445" s="848" t="s">
        <v>13646</v>
      </c>
    </row>
    <row r="1446" spans="2:11">
      <c r="B1446" s="848">
        <v>1443</v>
      </c>
      <c r="C1446" s="848" t="s">
        <v>696</v>
      </c>
      <c r="D1446" s="849" t="s">
        <v>97</v>
      </c>
      <c r="E1446" s="848" t="s">
        <v>10829</v>
      </c>
      <c r="F1446" s="848" t="s">
        <v>13647</v>
      </c>
      <c r="G1446" s="850" t="s">
        <v>13648</v>
      </c>
      <c r="H1446" s="849" t="s">
        <v>10716</v>
      </c>
      <c r="I1446" s="849"/>
      <c r="J1446" s="851">
        <v>451.63</v>
      </c>
      <c r="K1446" s="848" t="s">
        <v>6406</v>
      </c>
    </row>
    <row r="1447" spans="2:11">
      <c r="B1447" s="848">
        <v>1444</v>
      </c>
      <c r="C1447" s="848" t="s">
        <v>696</v>
      </c>
      <c r="D1447" s="849" t="s">
        <v>97</v>
      </c>
      <c r="E1447" s="848" t="s">
        <v>10829</v>
      </c>
      <c r="F1447" s="848" t="s">
        <v>13649</v>
      </c>
      <c r="G1447" s="850" t="s">
        <v>13139</v>
      </c>
      <c r="H1447" s="849" t="s">
        <v>10716</v>
      </c>
      <c r="I1447" s="849"/>
      <c r="J1447" s="851">
        <v>380.32</v>
      </c>
      <c r="K1447" s="848" t="s">
        <v>6408</v>
      </c>
    </row>
    <row r="1448" spans="2:11">
      <c r="B1448" s="848">
        <v>1445</v>
      </c>
      <c r="C1448" s="848" t="s">
        <v>696</v>
      </c>
      <c r="D1448" s="849" t="s">
        <v>97</v>
      </c>
      <c r="E1448" s="848" t="s">
        <v>10829</v>
      </c>
      <c r="F1448" s="848" t="s">
        <v>13650</v>
      </c>
      <c r="G1448" s="850" t="s">
        <v>13651</v>
      </c>
      <c r="H1448" s="849" t="s">
        <v>10716</v>
      </c>
      <c r="I1448" s="849"/>
      <c r="J1448" s="851">
        <v>475.4</v>
      </c>
      <c r="K1448" s="848" t="s">
        <v>5872</v>
      </c>
    </row>
    <row r="1449" spans="2:11">
      <c r="B1449" s="848">
        <v>1446</v>
      </c>
      <c r="C1449" s="848" t="s">
        <v>696</v>
      </c>
      <c r="D1449" s="849" t="s">
        <v>97</v>
      </c>
      <c r="E1449" s="848" t="s">
        <v>10829</v>
      </c>
      <c r="F1449" s="848" t="s">
        <v>13652</v>
      </c>
      <c r="G1449" s="850" t="s">
        <v>13653</v>
      </c>
      <c r="H1449" s="849" t="s">
        <v>10716</v>
      </c>
      <c r="I1449" s="849"/>
      <c r="J1449" s="851">
        <v>499.17</v>
      </c>
      <c r="K1449" s="848" t="s">
        <v>5873</v>
      </c>
    </row>
    <row r="1450" spans="2:11">
      <c r="B1450" s="848">
        <v>1447</v>
      </c>
      <c r="C1450" s="848" t="s">
        <v>13632</v>
      </c>
      <c r="D1450" s="849" t="s">
        <v>97</v>
      </c>
      <c r="E1450" s="848" t="s">
        <v>13654</v>
      </c>
      <c r="F1450" s="848" t="s">
        <v>13655</v>
      </c>
      <c r="G1450" s="850" t="s">
        <v>11579</v>
      </c>
      <c r="H1450" s="849" t="s">
        <v>10716</v>
      </c>
      <c r="I1450" s="849"/>
      <c r="J1450" s="851">
        <v>14567.87</v>
      </c>
      <c r="K1450" s="848" t="s">
        <v>13656</v>
      </c>
    </row>
    <row r="1451" spans="2:11">
      <c r="B1451" s="848">
        <v>1448</v>
      </c>
      <c r="C1451" s="848" t="s">
        <v>13632</v>
      </c>
      <c r="D1451" s="849" t="s">
        <v>97</v>
      </c>
      <c r="E1451" s="848" t="s">
        <v>13654</v>
      </c>
      <c r="F1451" s="848" t="s">
        <v>12548</v>
      </c>
      <c r="G1451" s="850" t="s">
        <v>11587</v>
      </c>
      <c r="H1451" s="849" t="s">
        <v>10716</v>
      </c>
      <c r="I1451" s="849"/>
      <c r="J1451" s="851">
        <v>1916.825</v>
      </c>
      <c r="K1451" s="848" t="s">
        <v>13656</v>
      </c>
    </row>
    <row r="1452" spans="2:11">
      <c r="B1452" s="848">
        <v>1449</v>
      </c>
      <c r="C1452" s="848" t="s">
        <v>13657</v>
      </c>
      <c r="D1452" s="849" t="s">
        <v>13658</v>
      </c>
      <c r="E1452" s="848" t="s">
        <v>9420</v>
      </c>
      <c r="F1452" s="848" t="s">
        <v>11829</v>
      </c>
      <c r="G1452" s="850" t="s">
        <v>13065</v>
      </c>
      <c r="H1452" s="849" t="s">
        <v>10716</v>
      </c>
      <c r="I1452" s="849"/>
      <c r="J1452" s="851">
        <v>95.08</v>
      </c>
      <c r="K1452" s="848" t="s">
        <v>13659</v>
      </c>
    </row>
    <row r="1453" spans="2:11">
      <c r="B1453" s="848">
        <v>1450</v>
      </c>
      <c r="C1453" s="848" t="s">
        <v>12479</v>
      </c>
      <c r="D1453" s="849" t="s">
        <v>13660</v>
      </c>
      <c r="E1453" s="848" t="s">
        <v>9441</v>
      </c>
      <c r="F1453" s="848" t="s">
        <v>11847</v>
      </c>
      <c r="G1453" s="850" t="s">
        <v>12622</v>
      </c>
      <c r="H1453" s="849" t="s">
        <v>10716</v>
      </c>
      <c r="I1453" s="849"/>
      <c r="J1453" s="851">
        <v>2891.92</v>
      </c>
      <c r="K1453" s="848" t="s">
        <v>11352</v>
      </c>
    </row>
    <row r="1454" spans="2:11">
      <c r="B1454" s="848">
        <v>1451</v>
      </c>
      <c r="C1454" s="848" t="s">
        <v>12479</v>
      </c>
      <c r="D1454" s="849" t="s">
        <v>13660</v>
      </c>
      <c r="E1454" s="848" t="s">
        <v>9441</v>
      </c>
      <c r="F1454" s="848" t="s">
        <v>11849</v>
      </c>
      <c r="G1454" s="850" t="s">
        <v>12727</v>
      </c>
      <c r="H1454" s="849" t="s">
        <v>10716</v>
      </c>
      <c r="I1454" s="849"/>
      <c r="J1454" s="851">
        <v>4181.5600000000004</v>
      </c>
      <c r="K1454" s="848" t="s">
        <v>11369</v>
      </c>
    </row>
    <row r="1455" spans="2:11">
      <c r="B1455" s="848">
        <v>1452</v>
      </c>
      <c r="C1455" s="848" t="s">
        <v>12479</v>
      </c>
      <c r="D1455" s="849" t="s">
        <v>13660</v>
      </c>
      <c r="E1455" s="848" t="s">
        <v>9441</v>
      </c>
      <c r="F1455" s="848" t="s">
        <v>11835</v>
      </c>
      <c r="G1455" s="850" t="s">
        <v>12625</v>
      </c>
      <c r="H1455" s="849" t="s">
        <v>10716</v>
      </c>
      <c r="I1455" s="849"/>
      <c r="J1455" s="851">
        <v>1602.28</v>
      </c>
      <c r="K1455" s="848" t="s">
        <v>11373</v>
      </c>
    </row>
    <row r="1456" spans="2:11" ht="25">
      <c r="B1456" s="848">
        <v>1453</v>
      </c>
      <c r="C1456" s="848" t="s">
        <v>13661</v>
      </c>
      <c r="D1456" s="849" t="s">
        <v>340</v>
      </c>
      <c r="E1456" s="848" t="s">
        <v>10754</v>
      </c>
      <c r="F1456" s="848" t="s">
        <v>11833</v>
      </c>
      <c r="G1456" s="850" t="s">
        <v>10887</v>
      </c>
      <c r="H1456" s="849" t="s">
        <v>10716</v>
      </c>
      <c r="I1456" s="849"/>
      <c r="J1456" s="851">
        <v>9.18</v>
      </c>
      <c r="K1456" s="848" t="s">
        <v>5970</v>
      </c>
    </row>
    <row r="1457" spans="2:11" ht="25">
      <c r="B1457" s="848">
        <v>1454</v>
      </c>
      <c r="C1457" s="848" t="s">
        <v>13661</v>
      </c>
      <c r="D1457" s="849" t="s">
        <v>340</v>
      </c>
      <c r="E1457" s="848" t="s">
        <v>10754</v>
      </c>
      <c r="F1457" s="848" t="s">
        <v>11841</v>
      </c>
      <c r="G1457" s="850" t="s">
        <v>10885</v>
      </c>
      <c r="H1457" s="849" t="s">
        <v>10716</v>
      </c>
      <c r="I1457" s="849"/>
      <c r="J1457" s="851">
        <v>9.18</v>
      </c>
      <c r="K1457" s="848" t="s">
        <v>5971</v>
      </c>
    </row>
    <row r="1458" spans="2:11" ht="25">
      <c r="B1458" s="848">
        <v>1455</v>
      </c>
      <c r="C1458" s="848" t="s">
        <v>13662</v>
      </c>
      <c r="D1458" s="849" t="s">
        <v>13663</v>
      </c>
      <c r="E1458" s="848" t="s">
        <v>10754</v>
      </c>
      <c r="F1458" s="848" t="s">
        <v>13664</v>
      </c>
      <c r="G1458" s="850" t="s">
        <v>10907</v>
      </c>
      <c r="H1458" s="849" t="s">
        <v>10716</v>
      </c>
      <c r="I1458" s="849"/>
      <c r="J1458" s="851">
        <v>8</v>
      </c>
      <c r="K1458" s="848" t="s">
        <v>13665</v>
      </c>
    </row>
    <row r="1459" spans="2:11" ht="25">
      <c r="B1459" s="848">
        <v>1456</v>
      </c>
      <c r="C1459" s="848" t="s">
        <v>13666</v>
      </c>
      <c r="D1459" s="849" t="s">
        <v>13663</v>
      </c>
      <c r="E1459" s="848" t="s">
        <v>10754</v>
      </c>
      <c r="F1459" s="848" t="s">
        <v>10935</v>
      </c>
      <c r="G1459" s="850" t="s">
        <v>10905</v>
      </c>
      <c r="H1459" s="849" t="s">
        <v>10716</v>
      </c>
      <c r="I1459" s="849"/>
      <c r="J1459" s="851">
        <v>2</v>
      </c>
      <c r="K1459" s="848" t="s">
        <v>13667</v>
      </c>
    </row>
    <row r="1460" spans="2:11" ht="25">
      <c r="B1460" s="848">
        <v>1457</v>
      </c>
      <c r="C1460" s="848" t="s">
        <v>13666</v>
      </c>
      <c r="D1460" s="849" t="s">
        <v>13663</v>
      </c>
      <c r="E1460" s="848" t="s">
        <v>10754</v>
      </c>
      <c r="F1460" s="848" t="s">
        <v>10918</v>
      </c>
      <c r="G1460" s="850" t="s">
        <v>10930</v>
      </c>
      <c r="H1460" s="849" t="s">
        <v>10716</v>
      </c>
      <c r="I1460" s="849"/>
      <c r="J1460" s="851">
        <v>4</v>
      </c>
      <c r="K1460" s="848" t="s">
        <v>13668</v>
      </c>
    </row>
    <row r="1461" spans="2:11">
      <c r="B1461" s="848">
        <v>1458</v>
      </c>
      <c r="C1461" s="848" t="s">
        <v>559</v>
      </c>
      <c r="D1461" s="849" t="s">
        <v>392</v>
      </c>
      <c r="E1461" s="848" t="s">
        <v>9441</v>
      </c>
      <c r="F1461" s="848" t="s">
        <v>11831</v>
      </c>
      <c r="G1461" s="850" t="s">
        <v>12628</v>
      </c>
      <c r="H1461" s="849" t="s">
        <v>10716</v>
      </c>
      <c r="I1461" s="849"/>
      <c r="J1461" s="851">
        <v>4572.3599999999997</v>
      </c>
      <c r="K1461" s="848" t="s">
        <v>11327</v>
      </c>
    </row>
    <row r="1462" spans="2:11">
      <c r="B1462" s="848">
        <v>1459</v>
      </c>
      <c r="C1462" s="848" t="s">
        <v>559</v>
      </c>
      <c r="D1462" s="849" t="s">
        <v>392</v>
      </c>
      <c r="E1462" s="848" t="s">
        <v>9441</v>
      </c>
      <c r="F1462" s="848" t="s">
        <v>11834</v>
      </c>
      <c r="G1462" s="850" t="s">
        <v>12634</v>
      </c>
      <c r="H1462" s="849" t="s">
        <v>10716</v>
      </c>
      <c r="I1462" s="849"/>
      <c r="J1462" s="851">
        <v>4025.24</v>
      </c>
      <c r="K1462" s="848" t="s">
        <v>11331</v>
      </c>
    </row>
    <row r="1463" spans="2:11">
      <c r="B1463" s="848">
        <v>1460</v>
      </c>
      <c r="C1463" s="848" t="s">
        <v>12479</v>
      </c>
      <c r="D1463" s="849" t="s">
        <v>392</v>
      </c>
      <c r="E1463" s="848" t="s">
        <v>9441</v>
      </c>
      <c r="F1463" s="848" t="s">
        <v>13669</v>
      </c>
      <c r="G1463" s="850" t="s">
        <v>12640</v>
      </c>
      <c r="H1463" s="849" t="s">
        <v>10716</v>
      </c>
      <c r="I1463" s="849"/>
      <c r="J1463" s="851">
        <v>4142.4799999999996</v>
      </c>
      <c r="K1463" s="848" t="s">
        <v>11337</v>
      </c>
    </row>
    <row r="1464" spans="2:11">
      <c r="B1464" s="848">
        <v>1461</v>
      </c>
      <c r="C1464" s="848" t="s">
        <v>12479</v>
      </c>
      <c r="D1464" s="849" t="s">
        <v>392</v>
      </c>
      <c r="E1464" s="848" t="s">
        <v>9441</v>
      </c>
      <c r="F1464" s="848" t="s">
        <v>13670</v>
      </c>
      <c r="G1464" s="850" t="s">
        <v>12637</v>
      </c>
      <c r="H1464" s="849" t="s">
        <v>10716</v>
      </c>
      <c r="I1464" s="849"/>
      <c r="J1464" s="851">
        <v>3829.84</v>
      </c>
      <c r="K1464" s="848" t="s">
        <v>11376</v>
      </c>
    </row>
    <row r="1465" spans="2:11">
      <c r="B1465" s="848">
        <v>1462</v>
      </c>
      <c r="C1465" s="848" t="s">
        <v>559</v>
      </c>
      <c r="D1465" s="849" t="s">
        <v>392</v>
      </c>
      <c r="E1465" s="848" t="s">
        <v>3237</v>
      </c>
      <c r="F1465" s="848" t="s">
        <v>13427</v>
      </c>
      <c r="G1465" s="850" t="s">
        <v>11875</v>
      </c>
      <c r="H1465" s="849" t="s">
        <v>10716</v>
      </c>
      <c r="I1465" s="849"/>
      <c r="J1465" s="851">
        <v>28583.200000000001</v>
      </c>
      <c r="K1465" s="848" t="s">
        <v>11327</v>
      </c>
    </row>
    <row r="1466" spans="2:11">
      <c r="B1466" s="848">
        <v>1463</v>
      </c>
      <c r="C1466" s="848" t="s">
        <v>559</v>
      </c>
      <c r="D1466" s="849" t="s">
        <v>392</v>
      </c>
      <c r="E1466" s="848" t="s">
        <v>3237</v>
      </c>
      <c r="F1466" s="848" t="s">
        <v>13417</v>
      </c>
      <c r="G1466" s="850" t="s">
        <v>13511</v>
      </c>
      <c r="H1466" s="849" t="s">
        <v>10716</v>
      </c>
      <c r="I1466" s="849"/>
      <c r="J1466" s="851">
        <v>25162.99</v>
      </c>
      <c r="K1466" s="848" t="s">
        <v>11331</v>
      </c>
    </row>
    <row r="1467" spans="2:11">
      <c r="B1467" s="848">
        <v>1464</v>
      </c>
      <c r="C1467" s="848" t="s">
        <v>12479</v>
      </c>
      <c r="D1467" s="849" t="s">
        <v>392</v>
      </c>
      <c r="E1467" s="848" t="s">
        <v>3237</v>
      </c>
      <c r="F1467" s="848" t="s">
        <v>13419</v>
      </c>
      <c r="G1467" s="850" t="s">
        <v>13671</v>
      </c>
      <c r="H1467" s="849" t="s">
        <v>10716</v>
      </c>
      <c r="I1467" s="849"/>
      <c r="J1467" s="851">
        <v>25895.89</v>
      </c>
      <c r="K1467" s="848" t="s">
        <v>11337</v>
      </c>
    </row>
    <row r="1468" spans="2:11">
      <c r="B1468" s="848">
        <v>1465</v>
      </c>
      <c r="C1468" s="848" t="s">
        <v>12479</v>
      </c>
      <c r="D1468" s="849" t="s">
        <v>392</v>
      </c>
      <c r="E1468" s="848" t="s">
        <v>3237</v>
      </c>
      <c r="F1468" s="848" t="s">
        <v>13423</v>
      </c>
      <c r="G1468" s="850" t="s">
        <v>13672</v>
      </c>
      <c r="H1468" s="849" t="s">
        <v>10716</v>
      </c>
      <c r="I1468" s="849"/>
      <c r="J1468" s="851">
        <v>23941.485000000001</v>
      </c>
      <c r="K1468" s="848" t="s">
        <v>11376</v>
      </c>
    </row>
    <row r="1469" spans="2:11" ht="25">
      <c r="B1469" s="848">
        <v>1466</v>
      </c>
      <c r="C1469" s="848" t="s">
        <v>1433</v>
      </c>
      <c r="D1469" s="849" t="s">
        <v>411</v>
      </c>
      <c r="E1469" s="848" t="s">
        <v>9449</v>
      </c>
      <c r="F1469" s="848" t="s">
        <v>13673</v>
      </c>
      <c r="G1469" s="850" t="s">
        <v>12678</v>
      </c>
      <c r="H1469" s="849" t="s">
        <v>10716</v>
      </c>
      <c r="I1469" s="849"/>
      <c r="J1469" s="851">
        <v>95.08</v>
      </c>
      <c r="K1469" s="848" t="s">
        <v>13674</v>
      </c>
    </row>
    <row r="1470" spans="2:11">
      <c r="B1470" s="848">
        <v>1467</v>
      </c>
      <c r="C1470" s="848" t="s">
        <v>13675</v>
      </c>
      <c r="D1470" s="849" t="s">
        <v>454</v>
      </c>
      <c r="E1470" s="848" t="s">
        <v>3246</v>
      </c>
      <c r="F1470" s="848" t="s">
        <v>10876</v>
      </c>
      <c r="G1470" s="850" t="s">
        <v>11643</v>
      </c>
      <c r="H1470" s="849" t="s">
        <v>10716</v>
      </c>
      <c r="I1470" s="849"/>
      <c r="J1470" s="851">
        <v>427.86</v>
      </c>
      <c r="K1470" s="848" t="s">
        <v>13676</v>
      </c>
    </row>
    <row r="1471" spans="2:11">
      <c r="B1471" s="848">
        <v>1468</v>
      </c>
      <c r="C1471" s="848" t="s">
        <v>1437</v>
      </c>
      <c r="D1471" s="849" t="s">
        <v>217</v>
      </c>
      <c r="E1471" s="848" t="s">
        <v>9449</v>
      </c>
      <c r="F1471" s="848" t="s">
        <v>10879</v>
      </c>
      <c r="G1471" s="850" t="s">
        <v>12645</v>
      </c>
      <c r="H1471" s="849" t="s">
        <v>10716</v>
      </c>
      <c r="I1471" s="849"/>
      <c r="J1471" s="851">
        <v>20.71</v>
      </c>
      <c r="K1471" s="848" t="s">
        <v>13677</v>
      </c>
    </row>
    <row r="1472" spans="2:11">
      <c r="B1472" s="848">
        <v>1469</v>
      </c>
      <c r="C1472" s="848" t="s">
        <v>1396</v>
      </c>
      <c r="D1472" s="849" t="s">
        <v>356</v>
      </c>
      <c r="E1472" s="848" t="s">
        <v>9441</v>
      </c>
      <c r="F1472" s="848" t="s">
        <v>13678</v>
      </c>
      <c r="G1472" s="850" t="s">
        <v>12555</v>
      </c>
      <c r="H1472" s="849" t="s">
        <v>10716</v>
      </c>
      <c r="I1472" s="849"/>
      <c r="J1472" s="851">
        <v>1413.75</v>
      </c>
      <c r="K1472" s="848" t="s">
        <v>5897</v>
      </c>
    </row>
    <row r="1473" spans="2:11">
      <c r="B1473" s="848">
        <v>1470</v>
      </c>
      <c r="C1473" s="848" t="s">
        <v>1396</v>
      </c>
      <c r="D1473" s="849" t="s">
        <v>356</v>
      </c>
      <c r="E1473" s="848" t="s">
        <v>9449</v>
      </c>
      <c r="F1473" s="848" t="s">
        <v>10873</v>
      </c>
      <c r="G1473" s="850" t="s">
        <v>12662</v>
      </c>
      <c r="H1473" s="849" t="s">
        <v>10716</v>
      </c>
      <c r="I1473" s="849"/>
      <c r="J1473" s="851">
        <v>118.85</v>
      </c>
      <c r="K1473" s="848" t="s">
        <v>5897</v>
      </c>
    </row>
    <row r="1474" spans="2:11">
      <c r="B1474" s="848">
        <v>1471</v>
      </c>
      <c r="C1474" s="848" t="s">
        <v>1396</v>
      </c>
      <c r="D1474" s="849" t="s">
        <v>356</v>
      </c>
      <c r="E1474" s="848" t="s">
        <v>9449</v>
      </c>
      <c r="F1474" s="848" t="s">
        <v>13679</v>
      </c>
      <c r="G1474" s="850" t="s">
        <v>12660</v>
      </c>
      <c r="H1474" s="849" t="s">
        <v>10716</v>
      </c>
      <c r="I1474" s="849"/>
      <c r="J1474" s="851">
        <v>5</v>
      </c>
      <c r="K1474" s="848" t="s">
        <v>5975</v>
      </c>
    </row>
    <row r="1475" spans="2:11">
      <c r="B1475" s="848">
        <v>1472</v>
      </c>
      <c r="C1475" s="848" t="s">
        <v>13680</v>
      </c>
      <c r="D1475" s="849" t="s">
        <v>218</v>
      </c>
      <c r="E1475" s="848" t="s">
        <v>12778</v>
      </c>
      <c r="F1475" s="848" t="s">
        <v>13681</v>
      </c>
      <c r="G1475" s="850" t="s">
        <v>13682</v>
      </c>
      <c r="H1475" s="849" t="s">
        <v>10716</v>
      </c>
      <c r="I1475" s="849"/>
      <c r="J1475" s="851">
        <v>118.85</v>
      </c>
      <c r="K1475" s="848" t="s">
        <v>6409</v>
      </c>
    </row>
    <row r="1476" spans="2:11">
      <c r="B1476" s="848">
        <v>1473</v>
      </c>
      <c r="C1476" s="848" t="s">
        <v>1394</v>
      </c>
      <c r="D1476" s="849" t="s">
        <v>232</v>
      </c>
      <c r="E1476" s="848" t="s">
        <v>3393</v>
      </c>
      <c r="F1476" s="848" t="s">
        <v>13683</v>
      </c>
      <c r="G1476" s="850" t="s">
        <v>13356</v>
      </c>
      <c r="H1476" s="849" t="s">
        <v>10716</v>
      </c>
      <c r="I1476" s="849"/>
      <c r="J1476" s="851">
        <v>499.17</v>
      </c>
      <c r="K1476" s="848" t="s">
        <v>6748</v>
      </c>
    </row>
    <row r="1477" spans="2:11">
      <c r="B1477" s="848">
        <v>1474</v>
      </c>
      <c r="C1477" s="848" t="s">
        <v>1394</v>
      </c>
      <c r="D1477" s="849" t="s">
        <v>232</v>
      </c>
      <c r="E1477" s="848" t="s">
        <v>3393</v>
      </c>
      <c r="F1477" s="848" t="s">
        <v>13684</v>
      </c>
      <c r="G1477" s="850" t="s">
        <v>13234</v>
      </c>
      <c r="H1477" s="849" t="s">
        <v>10716</v>
      </c>
      <c r="I1477" s="849"/>
      <c r="J1477" s="851">
        <v>522.94000000000005</v>
      </c>
      <c r="K1477" s="848" t="s">
        <v>6749</v>
      </c>
    </row>
    <row r="1478" spans="2:11">
      <c r="B1478" s="848">
        <v>1475</v>
      </c>
      <c r="C1478" s="848" t="s">
        <v>1428</v>
      </c>
      <c r="D1478" s="849" t="s">
        <v>13685</v>
      </c>
      <c r="E1478" s="848" t="s">
        <v>13686</v>
      </c>
      <c r="F1478" s="848" t="s">
        <v>13687</v>
      </c>
      <c r="G1478" s="850" t="s">
        <v>13688</v>
      </c>
      <c r="H1478" s="849" t="s">
        <v>10716</v>
      </c>
      <c r="I1478" s="849"/>
      <c r="J1478" s="851">
        <v>40.010864999999995</v>
      </c>
      <c r="K1478" s="848" t="s">
        <v>5951</v>
      </c>
    </row>
    <row r="1479" spans="2:11">
      <c r="B1479" s="848">
        <v>1476</v>
      </c>
      <c r="C1479" s="848" t="s">
        <v>1428</v>
      </c>
      <c r="D1479" s="849" t="s">
        <v>13685</v>
      </c>
      <c r="E1479" s="848" t="s">
        <v>13686</v>
      </c>
      <c r="F1479" s="848" t="s">
        <v>13689</v>
      </c>
      <c r="G1479" s="850" t="s">
        <v>13690</v>
      </c>
      <c r="H1479" s="849" t="s">
        <v>10716</v>
      </c>
      <c r="I1479" s="849"/>
      <c r="J1479" s="851">
        <v>80.021729999999991</v>
      </c>
      <c r="K1479" s="848" t="s">
        <v>5952</v>
      </c>
    </row>
    <row r="1480" spans="2:11">
      <c r="B1480" s="848">
        <v>1477</v>
      </c>
      <c r="C1480" s="848" t="s">
        <v>13691</v>
      </c>
      <c r="D1480" s="849" t="s">
        <v>13692</v>
      </c>
      <c r="E1480" s="848" t="s">
        <v>9468</v>
      </c>
      <c r="F1480" s="848" t="s">
        <v>13693</v>
      </c>
      <c r="G1480" s="850" t="s">
        <v>13570</v>
      </c>
      <c r="H1480" s="849" t="s">
        <v>10716</v>
      </c>
      <c r="I1480" s="849"/>
      <c r="J1480" s="851">
        <v>43.78</v>
      </c>
      <c r="K1480" s="848" t="s">
        <v>13694</v>
      </c>
    </row>
    <row r="1481" spans="2:11">
      <c r="B1481" s="848">
        <v>1478</v>
      </c>
      <c r="C1481" s="848" t="s">
        <v>13691</v>
      </c>
      <c r="D1481" s="849" t="s">
        <v>13692</v>
      </c>
      <c r="E1481" s="848" t="s">
        <v>9468</v>
      </c>
      <c r="F1481" s="848" t="s">
        <v>13695</v>
      </c>
      <c r="G1481" s="850" t="s">
        <v>13571</v>
      </c>
      <c r="H1481" s="849" t="s">
        <v>10716</v>
      </c>
      <c r="I1481" s="849"/>
      <c r="J1481" s="851">
        <v>37.520000000000003</v>
      </c>
      <c r="K1481" s="848" t="s">
        <v>13696</v>
      </c>
    </row>
    <row r="1482" spans="2:11">
      <c r="B1482" s="848">
        <v>1479</v>
      </c>
      <c r="C1482" s="848" t="s">
        <v>13691</v>
      </c>
      <c r="D1482" s="849" t="s">
        <v>13692</v>
      </c>
      <c r="E1482" s="848" t="s">
        <v>10829</v>
      </c>
      <c r="F1482" s="848" t="s">
        <v>13240</v>
      </c>
      <c r="G1482" s="850" t="s">
        <v>12771</v>
      </c>
      <c r="H1482" s="849" t="s">
        <v>10716</v>
      </c>
      <c r="I1482" s="849"/>
      <c r="J1482" s="851">
        <v>1730.52</v>
      </c>
      <c r="K1482" s="848" t="s">
        <v>13697</v>
      </c>
    </row>
    <row r="1483" spans="2:11">
      <c r="B1483" s="848">
        <v>1480</v>
      </c>
      <c r="C1483" s="848" t="s">
        <v>13691</v>
      </c>
      <c r="D1483" s="849" t="s">
        <v>13692</v>
      </c>
      <c r="E1483" s="848" t="s">
        <v>12277</v>
      </c>
      <c r="F1483" s="848" t="s">
        <v>13698</v>
      </c>
      <c r="G1483" s="850" t="s">
        <v>10749</v>
      </c>
      <c r="H1483" s="849" t="s">
        <v>10716</v>
      </c>
      <c r="I1483" s="849"/>
      <c r="J1483" s="851">
        <v>1736</v>
      </c>
      <c r="K1483" s="848" t="s">
        <v>13697</v>
      </c>
    </row>
    <row r="1484" spans="2:11">
      <c r="B1484" s="848">
        <v>1481</v>
      </c>
      <c r="C1484" s="848" t="s">
        <v>13691</v>
      </c>
      <c r="D1484" s="849" t="s">
        <v>13692</v>
      </c>
      <c r="E1484" s="848" t="s">
        <v>3327</v>
      </c>
      <c r="F1484" s="848" t="s">
        <v>10941</v>
      </c>
      <c r="G1484" s="850" t="s">
        <v>13699</v>
      </c>
      <c r="H1484" s="849" t="s">
        <v>10716</v>
      </c>
      <c r="I1484" s="849"/>
      <c r="J1484" s="851">
        <v>1731</v>
      </c>
      <c r="K1484" s="848" t="s">
        <v>13697</v>
      </c>
    </row>
    <row r="1485" spans="2:11">
      <c r="B1485" s="848">
        <v>1482</v>
      </c>
      <c r="C1485" s="848" t="s">
        <v>1305</v>
      </c>
      <c r="D1485" s="849" t="s">
        <v>84</v>
      </c>
      <c r="E1485" s="848" t="s">
        <v>892</v>
      </c>
      <c r="F1485" s="848" t="s">
        <v>10935</v>
      </c>
      <c r="G1485" s="850" t="s">
        <v>10749</v>
      </c>
      <c r="H1485" s="849" t="s">
        <v>10716</v>
      </c>
      <c r="I1485" s="849"/>
      <c r="J1485" s="851">
        <v>21391.7</v>
      </c>
      <c r="K1485" s="848" t="s">
        <v>13511</v>
      </c>
    </row>
    <row r="1486" spans="2:11">
      <c r="B1486" s="848">
        <v>1483</v>
      </c>
      <c r="C1486" s="848" t="s">
        <v>1305</v>
      </c>
      <c r="D1486" s="849" t="s">
        <v>84</v>
      </c>
      <c r="E1486" s="848" t="s">
        <v>9468</v>
      </c>
      <c r="F1486" s="848" t="s">
        <v>12551</v>
      </c>
      <c r="G1486" s="850" t="s">
        <v>12557</v>
      </c>
      <c r="H1486" s="849" t="s">
        <v>10716</v>
      </c>
      <c r="I1486" s="849"/>
      <c r="J1486" s="851">
        <v>7283.94</v>
      </c>
      <c r="K1486" s="848" t="s">
        <v>12722</v>
      </c>
    </row>
    <row r="1487" spans="2:11">
      <c r="B1487" s="848">
        <v>1484</v>
      </c>
      <c r="C1487" s="848" t="s">
        <v>1305</v>
      </c>
      <c r="D1487" s="849" t="s">
        <v>84</v>
      </c>
      <c r="E1487" s="848" t="s">
        <v>9468</v>
      </c>
      <c r="F1487" s="848" t="s">
        <v>12529</v>
      </c>
      <c r="G1487" s="850" t="s">
        <v>13545</v>
      </c>
      <c r="H1487" s="849" t="s">
        <v>10716</v>
      </c>
      <c r="I1487" s="849"/>
      <c r="J1487" s="851">
        <v>1763.45</v>
      </c>
      <c r="K1487" s="848" t="s">
        <v>12303</v>
      </c>
    </row>
    <row r="1488" spans="2:11">
      <c r="B1488" s="848">
        <v>1485</v>
      </c>
      <c r="C1488" s="848" t="s">
        <v>1305</v>
      </c>
      <c r="D1488" s="849" t="s">
        <v>84</v>
      </c>
      <c r="E1488" s="848" t="s">
        <v>9468</v>
      </c>
      <c r="F1488" s="848" t="s">
        <v>10939</v>
      </c>
      <c r="G1488" s="850" t="s">
        <v>13550</v>
      </c>
      <c r="H1488" s="849" t="s">
        <v>10716</v>
      </c>
      <c r="I1488" s="849"/>
      <c r="J1488" s="851">
        <v>101.22</v>
      </c>
      <c r="K1488" s="848" t="s">
        <v>12303</v>
      </c>
    </row>
    <row r="1489" spans="2:11">
      <c r="B1489" s="848">
        <v>1486</v>
      </c>
      <c r="C1489" s="848" t="s">
        <v>1305</v>
      </c>
      <c r="D1489" s="849" t="s">
        <v>84</v>
      </c>
      <c r="E1489" s="848" t="s">
        <v>12328</v>
      </c>
      <c r="F1489" s="848" t="s">
        <v>10834</v>
      </c>
      <c r="G1489" s="850" t="s">
        <v>13700</v>
      </c>
      <c r="H1489" s="849" t="s">
        <v>10716</v>
      </c>
      <c r="I1489" s="849"/>
      <c r="J1489" s="851">
        <v>22219.47</v>
      </c>
      <c r="K1489" s="848" t="s">
        <v>13511</v>
      </c>
    </row>
    <row r="1490" spans="2:11">
      <c r="B1490" s="848">
        <v>1487</v>
      </c>
      <c r="C1490" s="848" t="s">
        <v>1342</v>
      </c>
      <c r="D1490" s="849" t="s">
        <v>13701</v>
      </c>
      <c r="E1490" s="848" t="s">
        <v>3242</v>
      </c>
      <c r="F1490" s="848" t="s">
        <v>13702</v>
      </c>
      <c r="G1490" s="850" t="s">
        <v>12155</v>
      </c>
      <c r="H1490" s="849" t="s">
        <v>10716</v>
      </c>
      <c r="I1490" s="849"/>
      <c r="J1490" s="851">
        <v>15.34</v>
      </c>
      <c r="K1490" s="848" t="s">
        <v>13703</v>
      </c>
    </row>
    <row r="1491" spans="2:11">
      <c r="B1491" s="848">
        <v>1488</v>
      </c>
      <c r="C1491" s="848" t="s">
        <v>1342</v>
      </c>
      <c r="D1491" s="849" t="s">
        <v>13701</v>
      </c>
      <c r="E1491" s="848" t="s">
        <v>3242</v>
      </c>
      <c r="F1491" s="848" t="s">
        <v>13704</v>
      </c>
      <c r="G1491" s="850" t="s">
        <v>13320</v>
      </c>
      <c r="H1491" s="849" t="s">
        <v>10716</v>
      </c>
      <c r="I1491" s="849"/>
      <c r="J1491" s="851">
        <v>15.34</v>
      </c>
      <c r="K1491" s="848" t="s">
        <v>13705</v>
      </c>
    </row>
    <row r="1492" spans="2:11">
      <c r="B1492" s="848">
        <v>1489</v>
      </c>
      <c r="C1492" s="848" t="s">
        <v>1342</v>
      </c>
      <c r="D1492" s="849" t="s">
        <v>13701</v>
      </c>
      <c r="E1492" s="848" t="s">
        <v>3242</v>
      </c>
      <c r="F1492" s="848" t="s">
        <v>13706</v>
      </c>
      <c r="G1492" s="850" t="s">
        <v>12158</v>
      </c>
      <c r="H1492" s="849" t="s">
        <v>10716</v>
      </c>
      <c r="I1492" s="849"/>
      <c r="J1492" s="851">
        <v>11.505000000000001</v>
      </c>
      <c r="K1492" s="848" t="s">
        <v>13707</v>
      </c>
    </row>
    <row r="1493" spans="2:11">
      <c r="B1493" s="848">
        <v>1490</v>
      </c>
      <c r="C1493" s="848" t="s">
        <v>1342</v>
      </c>
      <c r="D1493" s="849" t="s">
        <v>13701</v>
      </c>
      <c r="E1493" s="848" t="s">
        <v>3242</v>
      </c>
      <c r="F1493" s="848" t="s">
        <v>13708</v>
      </c>
      <c r="G1493" s="850" t="s">
        <v>13709</v>
      </c>
      <c r="H1493" s="849" t="s">
        <v>10716</v>
      </c>
      <c r="I1493" s="849"/>
      <c r="J1493" s="851">
        <v>15.34</v>
      </c>
      <c r="K1493" s="848" t="s">
        <v>13710</v>
      </c>
    </row>
    <row r="1494" spans="2:11">
      <c r="B1494" s="848">
        <v>1491</v>
      </c>
      <c r="C1494" s="848" t="s">
        <v>1342</v>
      </c>
      <c r="D1494" s="849" t="s">
        <v>13701</v>
      </c>
      <c r="E1494" s="848" t="s">
        <v>3242</v>
      </c>
      <c r="F1494" s="848" t="s">
        <v>13399</v>
      </c>
      <c r="G1494" s="850" t="s">
        <v>12156</v>
      </c>
      <c r="H1494" s="849" t="s">
        <v>10716</v>
      </c>
      <c r="I1494" s="849"/>
      <c r="J1494" s="851">
        <v>15.34</v>
      </c>
      <c r="K1494" s="848" t="s">
        <v>13711</v>
      </c>
    </row>
    <row r="1495" spans="2:11">
      <c r="B1495" s="848">
        <v>1492</v>
      </c>
      <c r="C1495" s="848" t="s">
        <v>13712</v>
      </c>
      <c r="D1495" s="849" t="s">
        <v>13701</v>
      </c>
      <c r="E1495" s="848" t="s">
        <v>3242</v>
      </c>
      <c r="F1495" s="848" t="s">
        <v>13713</v>
      </c>
      <c r="G1495" s="850" t="s">
        <v>11282</v>
      </c>
      <c r="H1495" s="849" t="s">
        <v>10716</v>
      </c>
      <c r="I1495" s="849"/>
      <c r="J1495" s="851">
        <v>855.72</v>
      </c>
      <c r="K1495" s="848" t="s">
        <v>13714</v>
      </c>
    </row>
    <row r="1496" spans="2:11">
      <c r="B1496" s="848">
        <v>1493</v>
      </c>
      <c r="C1496" s="848" t="s">
        <v>13712</v>
      </c>
      <c r="D1496" s="849" t="s">
        <v>13701</v>
      </c>
      <c r="E1496" s="848" t="s">
        <v>3242</v>
      </c>
      <c r="F1496" s="848" t="s">
        <v>13159</v>
      </c>
      <c r="G1496" s="850" t="s">
        <v>13715</v>
      </c>
      <c r="H1496" s="849" t="s">
        <v>10716</v>
      </c>
      <c r="I1496" s="849"/>
      <c r="J1496" s="851">
        <v>327.31290000000001</v>
      </c>
      <c r="K1496" s="848" t="s">
        <v>13714</v>
      </c>
    </row>
    <row r="1497" spans="2:11">
      <c r="B1497" s="848">
        <v>1494</v>
      </c>
      <c r="C1497" s="848" t="s">
        <v>13712</v>
      </c>
      <c r="D1497" s="849" t="s">
        <v>13701</v>
      </c>
      <c r="E1497" s="848" t="s">
        <v>3242</v>
      </c>
      <c r="F1497" s="848" t="s">
        <v>13716</v>
      </c>
      <c r="G1497" s="850" t="s">
        <v>10720</v>
      </c>
      <c r="H1497" s="849" t="s">
        <v>10716</v>
      </c>
      <c r="I1497" s="849"/>
      <c r="J1497" s="851">
        <v>142.62</v>
      </c>
      <c r="K1497" s="848" t="s">
        <v>13717</v>
      </c>
    </row>
    <row r="1498" spans="2:11">
      <c r="B1498" s="848">
        <v>1495</v>
      </c>
      <c r="C1498" s="848" t="s">
        <v>13712</v>
      </c>
      <c r="D1498" s="849" t="s">
        <v>13701</v>
      </c>
      <c r="E1498" s="848" t="s">
        <v>3242</v>
      </c>
      <c r="F1498" s="848" t="s">
        <v>13487</v>
      </c>
      <c r="G1498" s="850" t="s">
        <v>10718</v>
      </c>
      <c r="H1498" s="849" t="s">
        <v>10716</v>
      </c>
      <c r="I1498" s="849"/>
      <c r="J1498" s="851">
        <v>142.62</v>
      </c>
      <c r="K1498" s="848" t="s">
        <v>5880</v>
      </c>
    </row>
    <row r="1499" spans="2:11">
      <c r="B1499" s="848">
        <v>1496</v>
      </c>
      <c r="C1499" s="848" t="s">
        <v>13712</v>
      </c>
      <c r="D1499" s="849" t="s">
        <v>13701</v>
      </c>
      <c r="E1499" s="848" t="s">
        <v>3242</v>
      </c>
      <c r="F1499" s="848" t="s">
        <v>13484</v>
      </c>
      <c r="G1499" s="850" t="s">
        <v>10722</v>
      </c>
      <c r="H1499" s="849" t="s">
        <v>10716</v>
      </c>
      <c r="I1499" s="849"/>
      <c r="J1499" s="851">
        <v>73.897059999999996</v>
      </c>
      <c r="K1499" s="848" t="s">
        <v>6503</v>
      </c>
    </row>
    <row r="1500" spans="2:11">
      <c r="B1500" s="848">
        <v>1497</v>
      </c>
      <c r="C1500" s="848" t="s">
        <v>1303</v>
      </c>
      <c r="D1500" s="849" t="s">
        <v>1008</v>
      </c>
      <c r="E1500" s="848" t="s">
        <v>3233</v>
      </c>
      <c r="F1500" s="848" t="s">
        <v>12553</v>
      </c>
      <c r="G1500" s="850" t="s">
        <v>13180</v>
      </c>
      <c r="H1500" s="849" t="s">
        <v>10716</v>
      </c>
      <c r="I1500" s="849"/>
      <c r="J1500" s="851">
        <v>9200.76</v>
      </c>
      <c r="K1500" s="848" t="s">
        <v>13718</v>
      </c>
    </row>
    <row r="1501" spans="2:11">
      <c r="B1501" s="848">
        <v>1498</v>
      </c>
      <c r="C1501" s="848" t="s">
        <v>1303</v>
      </c>
      <c r="D1501" s="849" t="s">
        <v>1008</v>
      </c>
      <c r="E1501" s="848" t="s">
        <v>3233</v>
      </c>
      <c r="F1501" s="848" t="s">
        <v>12554</v>
      </c>
      <c r="G1501" s="850" t="s">
        <v>13381</v>
      </c>
      <c r="H1501" s="849" t="s">
        <v>10716</v>
      </c>
      <c r="I1501" s="849"/>
      <c r="J1501" s="851">
        <v>10350.86</v>
      </c>
      <c r="K1501" s="848" t="s">
        <v>13719</v>
      </c>
    </row>
    <row r="1502" spans="2:11">
      <c r="B1502" s="848">
        <v>1499</v>
      </c>
      <c r="C1502" s="848" t="s">
        <v>13720</v>
      </c>
      <c r="D1502" s="849" t="s">
        <v>469</v>
      </c>
      <c r="E1502" s="848" t="s">
        <v>3335</v>
      </c>
      <c r="F1502" s="848" t="s">
        <v>12208</v>
      </c>
      <c r="G1502" s="850" t="s">
        <v>13721</v>
      </c>
      <c r="H1502" s="849" t="s">
        <v>10716</v>
      </c>
      <c r="I1502" s="849"/>
      <c r="J1502" s="851">
        <v>1.43</v>
      </c>
      <c r="K1502" s="848" t="s">
        <v>6040</v>
      </c>
    </row>
    <row r="1503" spans="2:11">
      <c r="B1503" s="848">
        <v>1500</v>
      </c>
      <c r="C1503" s="848" t="s">
        <v>1418</v>
      </c>
      <c r="D1503" s="849" t="s">
        <v>1054</v>
      </c>
      <c r="E1503" s="848" t="s">
        <v>10804</v>
      </c>
      <c r="F1503" s="848" t="s">
        <v>13485</v>
      </c>
      <c r="G1503" s="850" t="s">
        <v>13722</v>
      </c>
      <c r="H1503" s="849" t="s">
        <v>10716</v>
      </c>
      <c r="I1503" s="849"/>
      <c r="J1503" s="851">
        <v>380.32</v>
      </c>
      <c r="K1503" s="848" t="s">
        <v>5916</v>
      </c>
    </row>
    <row r="1504" spans="2:11">
      <c r="B1504" s="848">
        <v>1501</v>
      </c>
      <c r="C1504" s="848" t="s">
        <v>7111</v>
      </c>
      <c r="D1504" s="849" t="s">
        <v>13723</v>
      </c>
      <c r="E1504" s="848" t="s">
        <v>10778</v>
      </c>
      <c r="F1504" s="848" t="s">
        <v>12556</v>
      </c>
      <c r="G1504" s="850" t="s">
        <v>13724</v>
      </c>
      <c r="H1504" s="849" t="s">
        <v>10716</v>
      </c>
      <c r="I1504" s="849"/>
      <c r="J1504" s="851">
        <v>1150.0999999999999</v>
      </c>
      <c r="K1504" s="848" t="s">
        <v>13725</v>
      </c>
    </row>
    <row r="1505" spans="2:11">
      <c r="B1505" s="848">
        <v>1502</v>
      </c>
      <c r="C1505" s="848" t="s">
        <v>545</v>
      </c>
      <c r="D1505" s="849" t="s">
        <v>13726</v>
      </c>
      <c r="E1505" s="848" t="s">
        <v>9468</v>
      </c>
      <c r="F1505" s="848" t="s">
        <v>10921</v>
      </c>
      <c r="G1505" s="850" t="s">
        <v>13583</v>
      </c>
      <c r="H1505" s="849" t="s">
        <v>10716</v>
      </c>
      <c r="I1505" s="849"/>
      <c r="J1505" s="851">
        <v>31511.34</v>
      </c>
      <c r="K1505" s="848" t="s">
        <v>11128</v>
      </c>
    </row>
    <row r="1506" spans="2:11">
      <c r="B1506" s="848">
        <v>1503</v>
      </c>
      <c r="C1506" s="848" t="s">
        <v>545</v>
      </c>
      <c r="D1506" s="849" t="s">
        <v>13726</v>
      </c>
      <c r="E1506" s="848" t="s">
        <v>9468</v>
      </c>
      <c r="F1506" s="848" t="s">
        <v>13631</v>
      </c>
      <c r="G1506" s="850" t="s">
        <v>13584</v>
      </c>
      <c r="H1506" s="849" t="s">
        <v>10716</v>
      </c>
      <c r="I1506" s="849"/>
      <c r="J1506" s="851">
        <v>48456.63</v>
      </c>
      <c r="K1506" s="848" t="s">
        <v>11128</v>
      </c>
    </row>
    <row r="1507" spans="2:11">
      <c r="B1507" s="848">
        <v>1504</v>
      </c>
      <c r="C1507" s="848" t="s">
        <v>729</v>
      </c>
      <c r="D1507" s="849" t="s">
        <v>13727</v>
      </c>
      <c r="E1507" s="848" t="s">
        <v>13728</v>
      </c>
      <c r="F1507" s="848" t="s">
        <v>12678</v>
      </c>
      <c r="G1507" s="850" t="s">
        <v>10749</v>
      </c>
      <c r="H1507" s="849" t="s">
        <v>10716</v>
      </c>
      <c r="I1507" s="849"/>
      <c r="J1507" s="851">
        <v>5748.82</v>
      </c>
      <c r="K1507" s="848" t="s">
        <v>12587</v>
      </c>
    </row>
    <row r="1508" spans="2:11">
      <c r="B1508" s="848">
        <v>1505</v>
      </c>
      <c r="C1508" s="848" t="s">
        <v>729</v>
      </c>
      <c r="D1508" s="849" t="s">
        <v>13727</v>
      </c>
      <c r="E1508" s="848" t="s">
        <v>10829</v>
      </c>
      <c r="F1508" s="848" t="s">
        <v>12825</v>
      </c>
      <c r="G1508" s="850" t="s">
        <v>10749</v>
      </c>
      <c r="H1508" s="849" t="s">
        <v>10716</v>
      </c>
      <c r="I1508" s="849"/>
      <c r="J1508" s="851">
        <v>15312.96</v>
      </c>
      <c r="K1508" s="848" t="s">
        <v>12540</v>
      </c>
    </row>
    <row r="1509" spans="2:11">
      <c r="B1509" s="848">
        <v>1506</v>
      </c>
      <c r="C1509" s="848" t="s">
        <v>729</v>
      </c>
      <c r="D1509" s="849" t="s">
        <v>13727</v>
      </c>
      <c r="E1509" s="848" t="s">
        <v>13729</v>
      </c>
      <c r="F1509" s="848" t="s">
        <v>12742</v>
      </c>
      <c r="G1509" s="850" t="s">
        <v>10749</v>
      </c>
      <c r="H1509" s="849" t="s">
        <v>10716</v>
      </c>
      <c r="I1509" s="849"/>
      <c r="J1509" s="851">
        <v>15312.96</v>
      </c>
      <c r="K1509" s="848" t="s">
        <v>12540</v>
      </c>
    </row>
    <row r="1510" spans="2:11">
      <c r="B1510" s="848">
        <v>1507</v>
      </c>
      <c r="C1510" s="848" t="s">
        <v>729</v>
      </c>
      <c r="D1510" s="849" t="s">
        <v>13727</v>
      </c>
      <c r="E1510" s="848" t="s">
        <v>13007</v>
      </c>
      <c r="F1510" s="848" t="s">
        <v>10772</v>
      </c>
      <c r="G1510" s="850" t="s">
        <v>13730</v>
      </c>
      <c r="H1510" s="849" t="s">
        <v>10716</v>
      </c>
      <c r="I1510" s="849"/>
      <c r="J1510" s="851">
        <v>3099.3910154999999</v>
      </c>
      <c r="K1510" s="848" t="s">
        <v>12537</v>
      </c>
    </row>
    <row r="1511" spans="2:11">
      <c r="B1511" s="848">
        <v>1508</v>
      </c>
      <c r="C1511" s="848" t="s">
        <v>1426</v>
      </c>
      <c r="D1511" s="849" t="s">
        <v>13731</v>
      </c>
      <c r="E1511" s="848" t="s">
        <v>13639</v>
      </c>
      <c r="F1511" s="848" t="s">
        <v>11021</v>
      </c>
      <c r="G1511" s="850" t="s">
        <v>13732</v>
      </c>
      <c r="H1511" s="849" t="s">
        <v>10716</v>
      </c>
      <c r="I1511" s="849"/>
      <c r="J1511" s="851">
        <v>119</v>
      </c>
      <c r="K1511" s="848" t="s">
        <v>6477</v>
      </c>
    </row>
    <row r="1512" spans="2:11">
      <c r="B1512" s="848">
        <v>1509</v>
      </c>
      <c r="C1512" s="848" t="s">
        <v>627</v>
      </c>
      <c r="D1512" s="849" t="s">
        <v>13733</v>
      </c>
      <c r="E1512" s="848" t="s">
        <v>9436</v>
      </c>
      <c r="F1512" s="848" t="s">
        <v>13734</v>
      </c>
      <c r="G1512" s="850" t="s">
        <v>11500</v>
      </c>
      <c r="H1512" s="849" t="s">
        <v>10716</v>
      </c>
      <c r="I1512" s="849"/>
      <c r="J1512" s="851">
        <v>3680.25</v>
      </c>
      <c r="K1512" s="848" t="s">
        <v>13735</v>
      </c>
    </row>
    <row r="1513" spans="2:11">
      <c r="B1513" s="848">
        <v>1510</v>
      </c>
      <c r="C1513" s="848" t="s">
        <v>627</v>
      </c>
      <c r="D1513" s="849" t="s">
        <v>13733</v>
      </c>
      <c r="E1513" s="848" t="s">
        <v>9436</v>
      </c>
      <c r="F1513" s="848" t="s">
        <v>13208</v>
      </c>
      <c r="G1513" s="850" t="s">
        <v>11497</v>
      </c>
      <c r="H1513" s="849" t="s">
        <v>10716</v>
      </c>
      <c r="I1513" s="849"/>
      <c r="J1513" s="851">
        <v>3066.88</v>
      </c>
      <c r="K1513" s="848" t="s">
        <v>13736</v>
      </c>
    </row>
    <row r="1514" spans="2:11">
      <c r="B1514" s="848">
        <v>1511</v>
      </c>
      <c r="C1514" s="848" t="s">
        <v>627</v>
      </c>
      <c r="D1514" s="849" t="s">
        <v>13733</v>
      </c>
      <c r="E1514" s="848" t="s">
        <v>9436</v>
      </c>
      <c r="F1514" s="848" t="s">
        <v>12558</v>
      </c>
      <c r="G1514" s="850" t="s">
        <v>11503</v>
      </c>
      <c r="H1514" s="849" t="s">
        <v>10716</v>
      </c>
      <c r="I1514" s="849"/>
      <c r="J1514" s="851">
        <v>766.73</v>
      </c>
      <c r="K1514" s="848" t="s">
        <v>5847</v>
      </c>
    </row>
    <row r="1515" spans="2:11">
      <c r="B1515" s="848">
        <v>1512</v>
      </c>
      <c r="C1515" s="848" t="s">
        <v>13737</v>
      </c>
      <c r="D1515" s="849" t="s">
        <v>13738</v>
      </c>
      <c r="E1515" s="848" t="s">
        <v>10829</v>
      </c>
      <c r="F1515" s="848" t="s">
        <v>12559</v>
      </c>
      <c r="G1515" s="850" t="s">
        <v>13739</v>
      </c>
      <c r="H1515" s="849" t="s">
        <v>10716</v>
      </c>
      <c r="I1515" s="849"/>
      <c r="J1515" s="851">
        <v>13801.14</v>
      </c>
      <c r="K1515" s="848" t="s">
        <v>12518</v>
      </c>
    </row>
    <row r="1516" spans="2:11">
      <c r="B1516" s="848">
        <v>1513</v>
      </c>
      <c r="C1516" s="848" t="s">
        <v>13737</v>
      </c>
      <c r="D1516" s="849" t="s">
        <v>13738</v>
      </c>
      <c r="E1516" s="848" t="s">
        <v>10829</v>
      </c>
      <c r="F1516" s="848" t="s">
        <v>12562</v>
      </c>
      <c r="G1516" s="850" t="s">
        <v>13740</v>
      </c>
      <c r="H1516" s="849" t="s">
        <v>10716</v>
      </c>
      <c r="I1516" s="849"/>
      <c r="J1516" s="851">
        <v>9584.125</v>
      </c>
      <c r="K1516" s="848" t="s">
        <v>12521</v>
      </c>
    </row>
    <row r="1517" spans="2:11" ht="25">
      <c r="B1517" s="848">
        <v>1514</v>
      </c>
      <c r="C1517" s="848" t="s">
        <v>1318</v>
      </c>
      <c r="D1517" s="849" t="s">
        <v>13741</v>
      </c>
      <c r="E1517" s="848" t="s">
        <v>3393</v>
      </c>
      <c r="F1517" s="848" t="s">
        <v>11018</v>
      </c>
      <c r="G1517" s="850" t="s">
        <v>13108</v>
      </c>
      <c r="H1517" s="849" t="s">
        <v>10716</v>
      </c>
      <c r="I1517" s="849"/>
      <c r="J1517" s="851">
        <v>286</v>
      </c>
      <c r="K1517" s="848" t="s">
        <v>13742</v>
      </c>
    </row>
    <row r="1518" spans="2:11" ht="25">
      <c r="B1518" s="848">
        <v>1515</v>
      </c>
      <c r="C1518" s="848" t="s">
        <v>1318</v>
      </c>
      <c r="D1518" s="849" t="s">
        <v>13741</v>
      </c>
      <c r="E1518" s="848" t="s">
        <v>3393</v>
      </c>
      <c r="F1518" s="848" t="s">
        <v>11591</v>
      </c>
      <c r="G1518" s="850" t="s">
        <v>13039</v>
      </c>
      <c r="H1518" s="849" t="s">
        <v>10716</v>
      </c>
      <c r="I1518" s="849"/>
      <c r="J1518" s="851">
        <v>121</v>
      </c>
      <c r="K1518" s="848" t="s">
        <v>13742</v>
      </c>
    </row>
    <row r="1519" spans="2:11" ht="25">
      <c r="B1519" s="848">
        <v>1516</v>
      </c>
      <c r="C1519" s="848" t="s">
        <v>1318</v>
      </c>
      <c r="D1519" s="849" t="s">
        <v>13741</v>
      </c>
      <c r="E1519" s="848" t="s">
        <v>3393</v>
      </c>
      <c r="F1519" s="848" t="s">
        <v>11581</v>
      </c>
      <c r="G1519" s="850" t="s">
        <v>13103</v>
      </c>
      <c r="H1519" s="849" t="s">
        <v>10716</v>
      </c>
      <c r="I1519" s="849"/>
      <c r="J1519" s="851">
        <v>91</v>
      </c>
      <c r="K1519" s="848" t="s">
        <v>13743</v>
      </c>
    </row>
    <row r="1520" spans="2:11" ht="25">
      <c r="B1520" s="848">
        <v>1517</v>
      </c>
      <c r="C1520" s="848" t="s">
        <v>1318</v>
      </c>
      <c r="D1520" s="849" t="s">
        <v>13741</v>
      </c>
      <c r="E1520" s="848" t="s">
        <v>3393</v>
      </c>
      <c r="F1520" s="848" t="s">
        <v>12877</v>
      </c>
      <c r="G1520" s="850" t="s">
        <v>13110</v>
      </c>
      <c r="H1520" s="849" t="s">
        <v>10716</v>
      </c>
      <c r="I1520" s="849"/>
      <c r="J1520" s="851">
        <v>214</v>
      </c>
      <c r="K1520" s="848" t="s">
        <v>13743</v>
      </c>
    </row>
    <row r="1521" spans="2:11" ht="25">
      <c r="B1521" s="848">
        <v>1518</v>
      </c>
      <c r="C1521" s="848" t="s">
        <v>1318</v>
      </c>
      <c r="D1521" s="849" t="s">
        <v>13741</v>
      </c>
      <c r="E1521" s="848" t="s">
        <v>3393</v>
      </c>
      <c r="F1521" s="848" t="s">
        <v>11576</v>
      </c>
      <c r="G1521" s="850" t="s">
        <v>13068</v>
      </c>
      <c r="H1521" s="849" t="s">
        <v>10716</v>
      </c>
      <c r="I1521" s="849"/>
      <c r="J1521" s="851">
        <v>161</v>
      </c>
      <c r="K1521" s="848" t="s">
        <v>13744</v>
      </c>
    </row>
    <row r="1522" spans="2:11" ht="25">
      <c r="B1522" s="848">
        <v>1519</v>
      </c>
      <c r="C1522" s="848" t="s">
        <v>1318</v>
      </c>
      <c r="D1522" s="849" t="s">
        <v>13741</v>
      </c>
      <c r="E1522" s="848" t="s">
        <v>3393</v>
      </c>
      <c r="F1522" s="848" t="s">
        <v>12880</v>
      </c>
      <c r="G1522" s="850" t="s">
        <v>13113</v>
      </c>
      <c r="H1522" s="849" t="s">
        <v>10716</v>
      </c>
      <c r="I1522" s="849"/>
      <c r="J1522" s="851">
        <v>381</v>
      </c>
      <c r="K1522" s="848" t="s">
        <v>13744</v>
      </c>
    </row>
    <row r="1523" spans="2:11" ht="25">
      <c r="B1523" s="848">
        <v>1520</v>
      </c>
      <c r="C1523" s="848" t="s">
        <v>1318</v>
      </c>
      <c r="D1523" s="849" t="s">
        <v>13741</v>
      </c>
      <c r="E1523" s="848" t="s">
        <v>3393</v>
      </c>
      <c r="F1523" s="848" t="s">
        <v>12336</v>
      </c>
      <c r="G1523" s="850" t="s">
        <v>13052</v>
      </c>
      <c r="H1523" s="849" t="s">
        <v>10716</v>
      </c>
      <c r="I1523" s="849"/>
      <c r="J1523" s="851">
        <v>361</v>
      </c>
      <c r="K1523" s="848" t="s">
        <v>13745</v>
      </c>
    </row>
    <row r="1524" spans="2:11" ht="25">
      <c r="B1524" s="848">
        <v>1521</v>
      </c>
      <c r="C1524" s="848" t="s">
        <v>1318</v>
      </c>
      <c r="D1524" s="849" t="s">
        <v>13741</v>
      </c>
      <c r="E1524" s="848" t="s">
        <v>3393</v>
      </c>
      <c r="F1524" s="848" t="s">
        <v>12882</v>
      </c>
      <c r="G1524" s="850" t="s">
        <v>13120</v>
      </c>
      <c r="H1524" s="849" t="s">
        <v>10716</v>
      </c>
      <c r="I1524" s="849"/>
      <c r="J1524" s="851">
        <v>856</v>
      </c>
      <c r="K1524" s="848" t="s">
        <v>13745</v>
      </c>
    </row>
    <row r="1525" spans="2:11" ht="25">
      <c r="B1525" s="848">
        <v>1522</v>
      </c>
      <c r="C1525" s="848" t="s">
        <v>1318</v>
      </c>
      <c r="D1525" s="849" t="s">
        <v>13741</v>
      </c>
      <c r="E1525" s="848" t="s">
        <v>3393</v>
      </c>
      <c r="F1525" s="848" t="s">
        <v>13746</v>
      </c>
      <c r="G1525" s="850" t="s">
        <v>13134</v>
      </c>
      <c r="H1525" s="849" t="s">
        <v>10716</v>
      </c>
      <c r="I1525" s="849"/>
      <c r="J1525" s="851">
        <v>96</v>
      </c>
      <c r="K1525" s="848" t="s">
        <v>13747</v>
      </c>
    </row>
    <row r="1526" spans="2:11" ht="25">
      <c r="B1526" s="848">
        <v>1523</v>
      </c>
      <c r="C1526" s="848" t="s">
        <v>1318</v>
      </c>
      <c r="D1526" s="849" t="s">
        <v>13741</v>
      </c>
      <c r="E1526" s="848" t="s">
        <v>3393</v>
      </c>
      <c r="F1526" s="848" t="s">
        <v>12338</v>
      </c>
      <c r="G1526" s="850" t="s">
        <v>13050</v>
      </c>
      <c r="H1526" s="849" t="s">
        <v>10716</v>
      </c>
      <c r="I1526" s="849"/>
      <c r="J1526" s="851">
        <v>41</v>
      </c>
      <c r="K1526" s="848" t="s">
        <v>13747</v>
      </c>
    </row>
    <row r="1527" spans="2:11" ht="25">
      <c r="B1527" s="848">
        <v>1524</v>
      </c>
      <c r="C1527" s="848" t="s">
        <v>1318</v>
      </c>
      <c r="D1527" s="849" t="s">
        <v>13741</v>
      </c>
      <c r="E1527" s="848" t="s">
        <v>3393</v>
      </c>
      <c r="F1527" s="848" t="s">
        <v>13748</v>
      </c>
      <c r="G1527" s="850" t="s">
        <v>13135</v>
      </c>
      <c r="H1527" s="849" t="s">
        <v>10716</v>
      </c>
      <c r="I1527" s="849"/>
      <c r="J1527" s="851">
        <v>119</v>
      </c>
      <c r="K1527" s="848" t="s">
        <v>13749</v>
      </c>
    </row>
    <row r="1528" spans="2:11" ht="25">
      <c r="B1528" s="848">
        <v>1525</v>
      </c>
      <c r="C1528" s="848" t="s">
        <v>1318</v>
      </c>
      <c r="D1528" s="849" t="s">
        <v>13741</v>
      </c>
      <c r="E1528" s="848" t="s">
        <v>3393</v>
      </c>
      <c r="F1528" s="848" t="s">
        <v>13750</v>
      </c>
      <c r="G1528" s="850" t="s">
        <v>13136</v>
      </c>
      <c r="H1528" s="849" t="s">
        <v>10716</v>
      </c>
      <c r="I1528" s="849"/>
      <c r="J1528" s="851">
        <v>1141</v>
      </c>
      <c r="K1528" s="848" t="s">
        <v>13751</v>
      </c>
    </row>
    <row r="1529" spans="2:11" ht="25">
      <c r="B1529" s="848">
        <v>1526</v>
      </c>
      <c r="C1529" s="848" t="s">
        <v>1318</v>
      </c>
      <c r="D1529" s="849" t="s">
        <v>13741</v>
      </c>
      <c r="E1529" s="848" t="s">
        <v>3393</v>
      </c>
      <c r="F1529" s="848" t="s">
        <v>12342</v>
      </c>
      <c r="G1529" s="850" t="s">
        <v>13048</v>
      </c>
      <c r="H1529" s="849" t="s">
        <v>10716</v>
      </c>
      <c r="I1529" s="849"/>
      <c r="J1529" s="851">
        <v>436.42</v>
      </c>
      <c r="K1529" s="848" t="s">
        <v>13751</v>
      </c>
    </row>
    <row r="1530" spans="2:11" ht="25">
      <c r="B1530" s="848">
        <v>1527</v>
      </c>
      <c r="C1530" s="848" t="s">
        <v>1318</v>
      </c>
      <c r="D1530" s="849" t="s">
        <v>13741</v>
      </c>
      <c r="E1530" s="848" t="s">
        <v>9468</v>
      </c>
      <c r="F1530" s="848" t="s">
        <v>12340</v>
      </c>
      <c r="G1530" s="850" t="s">
        <v>13752</v>
      </c>
      <c r="H1530" s="849" t="s">
        <v>10716</v>
      </c>
      <c r="I1530" s="849"/>
      <c r="J1530" s="851">
        <v>51</v>
      </c>
      <c r="K1530" s="848" t="s">
        <v>13749</v>
      </c>
    </row>
    <row r="1531" spans="2:11" ht="25">
      <c r="B1531" s="848">
        <v>1528</v>
      </c>
      <c r="C1531" s="848" t="s">
        <v>1318</v>
      </c>
      <c r="D1531" s="849" t="s">
        <v>13741</v>
      </c>
      <c r="E1531" s="848" t="s">
        <v>10926</v>
      </c>
      <c r="F1531" s="848" t="s">
        <v>11585</v>
      </c>
      <c r="G1531" s="850" t="s">
        <v>13753</v>
      </c>
      <c r="H1531" s="849" t="s">
        <v>10716</v>
      </c>
      <c r="I1531" s="849"/>
      <c r="J1531" s="851">
        <v>540.13</v>
      </c>
      <c r="K1531" s="848" t="s">
        <v>13754</v>
      </c>
    </row>
    <row r="1532" spans="2:11" ht="25">
      <c r="B1532" s="848">
        <v>1529</v>
      </c>
      <c r="C1532" s="848" t="s">
        <v>1318</v>
      </c>
      <c r="D1532" s="849" t="s">
        <v>13741</v>
      </c>
      <c r="E1532" s="848" t="s">
        <v>11310</v>
      </c>
      <c r="F1532" s="848" t="s">
        <v>11015</v>
      </c>
      <c r="G1532" s="850" t="s">
        <v>13755</v>
      </c>
      <c r="H1532" s="849" t="s">
        <v>10716</v>
      </c>
      <c r="I1532" s="849"/>
      <c r="J1532" s="851">
        <v>1283.58</v>
      </c>
      <c r="K1532" s="848" t="s">
        <v>13754</v>
      </c>
    </row>
    <row r="1533" spans="2:11">
      <c r="B1533" s="848">
        <v>1530</v>
      </c>
      <c r="C1533" s="848" t="s">
        <v>13756</v>
      </c>
      <c r="D1533" s="849" t="s">
        <v>13757</v>
      </c>
      <c r="E1533" s="848" t="s">
        <v>8582</v>
      </c>
      <c r="F1533" s="848" t="s">
        <v>13758</v>
      </c>
      <c r="G1533" s="850" t="s">
        <v>11886</v>
      </c>
      <c r="H1533" s="849" t="s">
        <v>10716</v>
      </c>
      <c r="I1533" s="849"/>
      <c r="J1533" s="851">
        <v>833</v>
      </c>
      <c r="K1533" s="848" t="s">
        <v>5938</v>
      </c>
    </row>
    <row r="1534" spans="2:11">
      <c r="B1534" s="848">
        <v>1531</v>
      </c>
      <c r="C1534" s="848" t="s">
        <v>13759</v>
      </c>
      <c r="D1534" s="849" t="s">
        <v>13757</v>
      </c>
      <c r="E1534" s="848" t="s">
        <v>8582</v>
      </c>
      <c r="F1534" s="848" t="s">
        <v>13760</v>
      </c>
      <c r="G1534" s="850" t="s">
        <v>11851</v>
      </c>
      <c r="H1534" s="849" t="s">
        <v>10716</v>
      </c>
      <c r="I1534" s="849"/>
      <c r="J1534" s="851">
        <v>381</v>
      </c>
      <c r="K1534" s="848" t="s">
        <v>6789</v>
      </c>
    </row>
    <row r="1535" spans="2:11">
      <c r="B1535" s="848">
        <v>1532</v>
      </c>
      <c r="C1535" s="848" t="s">
        <v>13761</v>
      </c>
      <c r="D1535" s="849" t="s">
        <v>131</v>
      </c>
      <c r="E1535" s="848" t="s">
        <v>3220</v>
      </c>
      <c r="F1535" s="848" t="s">
        <v>12564</v>
      </c>
      <c r="G1535" s="850" t="s">
        <v>12382</v>
      </c>
      <c r="H1535" s="849" t="s">
        <v>10716</v>
      </c>
      <c r="I1535" s="849"/>
      <c r="J1535" s="851">
        <v>2683.56</v>
      </c>
      <c r="K1535" s="848" t="s">
        <v>13762</v>
      </c>
    </row>
    <row r="1536" spans="2:11">
      <c r="B1536" s="848">
        <v>1533</v>
      </c>
      <c r="C1536" s="848" t="s">
        <v>1282</v>
      </c>
      <c r="D1536" s="849" t="s">
        <v>13763</v>
      </c>
      <c r="E1536" s="848" t="s">
        <v>13021</v>
      </c>
      <c r="F1536" s="848" t="s">
        <v>11293</v>
      </c>
      <c r="G1536" s="850" t="s">
        <v>12579</v>
      </c>
      <c r="H1536" s="849" t="s">
        <v>10716</v>
      </c>
      <c r="I1536" s="849"/>
      <c r="J1536" s="851">
        <v>1043.79</v>
      </c>
      <c r="K1536" s="848" t="s">
        <v>12494</v>
      </c>
    </row>
    <row r="1537" spans="2:11">
      <c r="B1537" s="848">
        <v>1534</v>
      </c>
      <c r="C1537" s="848" t="s">
        <v>1282</v>
      </c>
      <c r="D1537" s="849" t="s">
        <v>13763</v>
      </c>
      <c r="E1537" s="848" t="s">
        <v>13021</v>
      </c>
      <c r="F1537" s="848" t="s">
        <v>11485</v>
      </c>
      <c r="G1537" s="850" t="s">
        <v>12591</v>
      </c>
      <c r="H1537" s="849" t="s">
        <v>10716</v>
      </c>
      <c r="I1537" s="849"/>
      <c r="J1537" s="851">
        <v>5290.35</v>
      </c>
      <c r="K1537" s="848" t="s">
        <v>12494</v>
      </c>
    </row>
    <row r="1538" spans="2:11">
      <c r="B1538" s="848">
        <v>1535</v>
      </c>
      <c r="C1538" s="848" t="s">
        <v>1282</v>
      </c>
      <c r="D1538" s="849" t="s">
        <v>13763</v>
      </c>
      <c r="E1538" s="848" t="s">
        <v>13021</v>
      </c>
      <c r="F1538" s="848" t="s">
        <v>10966</v>
      </c>
      <c r="G1538" s="850" t="s">
        <v>12594</v>
      </c>
      <c r="H1538" s="849" t="s">
        <v>10716</v>
      </c>
      <c r="I1538" s="849"/>
      <c r="J1538" s="851">
        <v>5290.35</v>
      </c>
      <c r="K1538" s="848" t="s">
        <v>12494</v>
      </c>
    </row>
    <row r="1539" spans="2:11">
      <c r="B1539" s="848">
        <v>1536</v>
      </c>
      <c r="C1539" s="848" t="s">
        <v>1282</v>
      </c>
      <c r="D1539" s="849" t="s">
        <v>13763</v>
      </c>
      <c r="E1539" s="848" t="s">
        <v>13021</v>
      </c>
      <c r="F1539" s="848" t="s">
        <v>12336</v>
      </c>
      <c r="G1539" s="850" t="s">
        <v>12585</v>
      </c>
      <c r="H1539" s="849" t="s">
        <v>10716</v>
      </c>
      <c r="I1539" s="849"/>
      <c r="J1539" s="851">
        <v>5290.35</v>
      </c>
      <c r="K1539" s="848" t="s">
        <v>12494</v>
      </c>
    </row>
    <row r="1540" spans="2:11">
      <c r="B1540" s="848">
        <v>1537</v>
      </c>
      <c r="C1540" s="848" t="s">
        <v>1445</v>
      </c>
      <c r="D1540" s="849" t="s">
        <v>13764</v>
      </c>
      <c r="E1540" s="848" t="s">
        <v>3114</v>
      </c>
      <c r="F1540" s="848" t="s">
        <v>13765</v>
      </c>
      <c r="G1540" s="850" t="s">
        <v>10749</v>
      </c>
      <c r="H1540" s="849" t="s">
        <v>10716</v>
      </c>
      <c r="I1540" s="849"/>
      <c r="J1540" s="851">
        <v>21</v>
      </c>
      <c r="K1540" s="848" t="s">
        <v>6484</v>
      </c>
    </row>
    <row r="1541" spans="2:11">
      <c r="B1541" s="848">
        <v>1538</v>
      </c>
      <c r="C1541" s="848" t="s">
        <v>13766</v>
      </c>
      <c r="D1541" s="849" t="s">
        <v>13767</v>
      </c>
      <c r="E1541" s="848" t="s">
        <v>13768</v>
      </c>
      <c r="F1541" s="848" t="s">
        <v>12441</v>
      </c>
      <c r="G1541" s="850" t="s">
        <v>13769</v>
      </c>
      <c r="H1541" s="849" t="s">
        <v>10716</v>
      </c>
      <c r="I1541" s="849"/>
      <c r="J1541" s="851">
        <v>27.54</v>
      </c>
      <c r="K1541" s="848" t="s">
        <v>6157</v>
      </c>
    </row>
    <row r="1542" spans="2:11">
      <c r="B1542" s="848">
        <v>1539</v>
      </c>
      <c r="C1542" s="848" t="s">
        <v>13766</v>
      </c>
      <c r="D1542" s="849" t="s">
        <v>13767</v>
      </c>
      <c r="E1542" s="848" t="s">
        <v>13768</v>
      </c>
      <c r="F1542" s="848" t="s">
        <v>13732</v>
      </c>
      <c r="G1542" s="850" t="s">
        <v>13770</v>
      </c>
      <c r="H1542" s="849" t="s">
        <v>10716</v>
      </c>
      <c r="I1542" s="849"/>
      <c r="J1542" s="851">
        <v>18.36</v>
      </c>
      <c r="K1542" s="848" t="s">
        <v>6158</v>
      </c>
    </row>
    <row r="1543" spans="2:11">
      <c r="B1543" s="848">
        <v>1540</v>
      </c>
      <c r="C1543" s="848" t="s">
        <v>13766</v>
      </c>
      <c r="D1543" s="849" t="s">
        <v>13767</v>
      </c>
      <c r="E1543" s="848" t="s">
        <v>13768</v>
      </c>
      <c r="F1543" s="848" t="s">
        <v>13640</v>
      </c>
      <c r="G1543" s="850" t="s">
        <v>13771</v>
      </c>
      <c r="H1543" s="849" t="s">
        <v>10716</v>
      </c>
      <c r="I1543" s="849"/>
      <c r="J1543" s="851">
        <v>16.524000000000001</v>
      </c>
      <c r="K1543" s="848" t="s">
        <v>6229</v>
      </c>
    </row>
    <row r="1544" spans="2:11">
      <c r="B1544" s="848">
        <v>1541</v>
      </c>
      <c r="C1544" s="848" t="s">
        <v>13766</v>
      </c>
      <c r="D1544" s="849" t="s">
        <v>13767</v>
      </c>
      <c r="E1544" s="848" t="s">
        <v>13768</v>
      </c>
      <c r="F1544" s="848" t="s">
        <v>13690</v>
      </c>
      <c r="G1544" s="850" t="s">
        <v>13772</v>
      </c>
      <c r="H1544" s="849" t="s">
        <v>10716</v>
      </c>
      <c r="I1544" s="849"/>
      <c r="J1544" s="851">
        <v>9.18</v>
      </c>
      <c r="K1544" s="848" t="s">
        <v>6233</v>
      </c>
    </row>
    <row r="1545" spans="2:11">
      <c r="B1545" s="848">
        <v>1542</v>
      </c>
      <c r="C1545" s="848" t="s">
        <v>13766</v>
      </c>
      <c r="D1545" s="849" t="s">
        <v>13767</v>
      </c>
      <c r="E1545" s="848" t="s">
        <v>13768</v>
      </c>
      <c r="F1545" s="848" t="s">
        <v>13641</v>
      </c>
      <c r="G1545" s="850" t="s">
        <v>11397</v>
      </c>
      <c r="H1545" s="849" t="s">
        <v>10716</v>
      </c>
      <c r="I1545" s="849"/>
      <c r="J1545" s="851">
        <v>84.456000000000003</v>
      </c>
      <c r="K1545" s="848" t="s">
        <v>6168</v>
      </c>
    </row>
    <row r="1546" spans="2:11">
      <c r="B1546" s="848">
        <v>1543</v>
      </c>
      <c r="C1546" s="848" t="s">
        <v>13766</v>
      </c>
      <c r="D1546" s="849" t="s">
        <v>13767</v>
      </c>
      <c r="E1546" s="848" t="s">
        <v>13768</v>
      </c>
      <c r="F1546" s="848" t="s">
        <v>13145</v>
      </c>
      <c r="G1546" s="850" t="s">
        <v>13773</v>
      </c>
      <c r="H1546" s="849" t="s">
        <v>10716</v>
      </c>
      <c r="I1546" s="849"/>
      <c r="J1546" s="851">
        <v>44.064</v>
      </c>
      <c r="K1546" s="848" t="s">
        <v>6238</v>
      </c>
    </row>
    <row r="1547" spans="2:11">
      <c r="B1547" s="848">
        <v>1544</v>
      </c>
      <c r="C1547" s="848" t="s">
        <v>1311</v>
      </c>
      <c r="D1547" s="849" t="s">
        <v>13774</v>
      </c>
      <c r="E1547" s="848" t="s">
        <v>10926</v>
      </c>
      <c r="F1547" s="848" t="s">
        <v>13775</v>
      </c>
      <c r="G1547" s="850" t="s">
        <v>13776</v>
      </c>
      <c r="H1547" s="849" t="s">
        <v>10716</v>
      </c>
      <c r="I1547" s="849"/>
      <c r="J1547" s="851">
        <v>10934.2</v>
      </c>
      <c r="K1547" s="848" t="s">
        <v>13777</v>
      </c>
    </row>
    <row r="1548" spans="2:11">
      <c r="B1548" s="848">
        <v>1545</v>
      </c>
      <c r="C1548" s="848" t="s">
        <v>1311</v>
      </c>
      <c r="D1548" s="849" t="s">
        <v>13774</v>
      </c>
      <c r="E1548" s="848" t="s">
        <v>10926</v>
      </c>
      <c r="F1548" s="848" t="s">
        <v>13778</v>
      </c>
      <c r="G1548" s="850" t="s">
        <v>13779</v>
      </c>
      <c r="H1548" s="849" t="s">
        <v>10716</v>
      </c>
      <c r="I1548" s="849"/>
      <c r="J1548" s="851">
        <v>6330.96</v>
      </c>
      <c r="K1548" s="848" t="s">
        <v>13780</v>
      </c>
    </row>
    <row r="1549" spans="2:11">
      <c r="B1549" s="848">
        <v>1546</v>
      </c>
      <c r="C1549" s="848" t="s">
        <v>1311</v>
      </c>
      <c r="D1549" s="849" t="s">
        <v>13774</v>
      </c>
      <c r="E1549" s="848" t="s">
        <v>10926</v>
      </c>
      <c r="F1549" s="848" t="s">
        <v>13781</v>
      </c>
      <c r="G1549" s="850" t="s">
        <v>13782</v>
      </c>
      <c r="H1549" s="849" t="s">
        <v>10716</v>
      </c>
      <c r="I1549" s="849"/>
      <c r="J1549" s="851">
        <v>8494.4471999999987</v>
      </c>
      <c r="K1549" s="848" t="s">
        <v>13783</v>
      </c>
    </row>
    <row r="1550" spans="2:11">
      <c r="B1550" s="848">
        <v>1547</v>
      </c>
      <c r="C1550" s="848" t="s">
        <v>1311</v>
      </c>
      <c r="D1550" s="849" t="s">
        <v>13774</v>
      </c>
      <c r="E1550" s="848" t="s">
        <v>10926</v>
      </c>
      <c r="F1550" s="848" t="s">
        <v>13784</v>
      </c>
      <c r="G1550" s="850" t="s">
        <v>13785</v>
      </c>
      <c r="H1550" s="849" t="s">
        <v>10716</v>
      </c>
      <c r="I1550" s="849"/>
      <c r="J1550" s="851">
        <v>9508</v>
      </c>
      <c r="K1550" s="848" t="s">
        <v>13783</v>
      </c>
    </row>
    <row r="1551" spans="2:11">
      <c r="B1551" s="848">
        <v>1548</v>
      </c>
      <c r="C1551" s="848" t="s">
        <v>13786</v>
      </c>
      <c r="D1551" s="849" t="s">
        <v>13787</v>
      </c>
      <c r="E1551" s="848" t="s">
        <v>13284</v>
      </c>
      <c r="F1551" s="848" t="s">
        <v>13788</v>
      </c>
      <c r="G1551" s="850" t="s">
        <v>13789</v>
      </c>
      <c r="H1551" s="849" t="s">
        <v>10716</v>
      </c>
      <c r="I1551" s="849"/>
      <c r="J1551" s="851">
        <v>998.34</v>
      </c>
      <c r="K1551" s="848" t="s">
        <v>13790</v>
      </c>
    </row>
    <row r="1552" spans="2:11">
      <c r="B1552" s="848">
        <v>1549</v>
      </c>
      <c r="C1552" s="848" t="s">
        <v>7057</v>
      </c>
      <c r="D1552" s="849" t="s">
        <v>13787</v>
      </c>
      <c r="E1552" s="848" t="s">
        <v>13284</v>
      </c>
      <c r="F1552" s="848" t="s">
        <v>12733</v>
      </c>
      <c r="G1552" s="850" t="s">
        <v>13791</v>
      </c>
      <c r="H1552" s="849" t="s">
        <v>10716</v>
      </c>
      <c r="I1552" s="849"/>
      <c r="J1552" s="851">
        <v>75.540000000000006</v>
      </c>
      <c r="K1552" s="848" t="s">
        <v>13792</v>
      </c>
    </row>
    <row r="1553" spans="2:11">
      <c r="B1553" s="848">
        <v>1550</v>
      </c>
      <c r="C1553" s="848" t="s">
        <v>1431</v>
      </c>
      <c r="D1553" s="849" t="s">
        <v>13793</v>
      </c>
      <c r="E1553" s="848" t="s">
        <v>11066</v>
      </c>
      <c r="F1553" s="848" t="s">
        <v>12736</v>
      </c>
      <c r="G1553" s="850" t="s">
        <v>13794</v>
      </c>
      <c r="H1553" s="849" t="s">
        <v>10716</v>
      </c>
      <c r="I1553" s="849"/>
      <c r="J1553" s="851">
        <v>20.66</v>
      </c>
      <c r="K1553" s="848" t="s">
        <v>6207</v>
      </c>
    </row>
    <row r="1554" spans="2:11">
      <c r="B1554" s="848">
        <v>1551</v>
      </c>
      <c r="C1554" s="848" t="s">
        <v>1431</v>
      </c>
      <c r="D1554" s="849" t="s">
        <v>13793</v>
      </c>
      <c r="E1554" s="848" t="s">
        <v>11066</v>
      </c>
      <c r="F1554" s="848" t="s">
        <v>12738</v>
      </c>
      <c r="G1554" s="850" t="s">
        <v>13795</v>
      </c>
      <c r="H1554" s="849" t="s">
        <v>10716</v>
      </c>
      <c r="I1554" s="849"/>
      <c r="J1554" s="851">
        <v>30.01</v>
      </c>
      <c r="K1554" s="848" t="s">
        <v>6209</v>
      </c>
    </row>
    <row r="1555" spans="2:11">
      <c r="B1555" s="848">
        <v>1552</v>
      </c>
      <c r="C1555" s="848" t="s">
        <v>1431</v>
      </c>
      <c r="D1555" s="849" t="s">
        <v>13793</v>
      </c>
      <c r="E1555" s="848" t="s">
        <v>11066</v>
      </c>
      <c r="F1555" s="848" t="s">
        <v>12017</v>
      </c>
      <c r="G1555" s="850" t="s">
        <v>13796</v>
      </c>
      <c r="H1555" s="849" t="s">
        <v>10716</v>
      </c>
      <c r="I1555" s="849"/>
      <c r="J1555" s="851">
        <v>45.01</v>
      </c>
      <c r="K1555" s="848" t="s">
        <v>6210</v>
      </c>
    </row>
    <row r="1556" spans="2:11">
      <c r="B1556" s="848">
        <v>1553</v>
      </c>
      <c r="C1556" s="848" t="s">
        <v>1431</v>
      </c>
      <c r="D1556" s="849" t="s">
        <v>13793</v>
      </c>
      <c r="E1556" s="848" t="s">
        <v>3259</v>
      </c>
      <c r="F1556" s="848" t="s">
        <v>10732</v>
      </c>
      <c r="G1556" s="850" t="s">
        <v>10749</v>
      </c>
      <c r="H1556" s="849" t="s">
        <v>10716</v>
      </c>
      <c r="I1556" s="849"/>
      <c r="J1556" s="851">
        <v>14</v>
      </c>
      <c r="K1556" s="848" t="s">
        <v>6208</v>
      </c>
    </row>
    <row r="1557" spans="2:11">
      <c r="B1557" s="848">
        <v>1554</v>
      </c>
      <c r="C1557" s="848" t="s">
        <v>1431</v>
      </c>
      <c r="D1557" s="849" t="s">
        <v>13793</v>
      </c>
      <c r="E1557" s="848" t="s">
        <v>3319</v>
      </c>
      <c r="F1557" s="848" t="s">
        <v>12768</v>
      </c>
      <c r="G1557" s="850" t="s">
        <v>13797</v>
      </c>
      <c r="H1557" s="849" t="s">
        <v>10716</v>
      </c>
      <c r="I1557" s="849"/>
      <c r="J1557" s="851">
        <v>36</v>
      </c>
      <c r="K1557" s="848" t="s">
        <v>6208</v>
      </c>
    </row>
    <row r="1558" spans="2:11">
      <c r="B1558" s="848">
        <v>1555</v>
      </c>
      <c r="C1558" s="848" t="s">
        <v>1407</v>
      </c>
      <c r="D1558" s="849" t="s">
        <v>13798</v>
      </c>
      <c r="E1558" s="848" t="s">
        <v>13007</v>
      </c>
      <c r="F1558" s="848" t="s">
        <v>12022</v>
      </c>
      <c r="G1558" s="850" t="s">
        <v>10749</v>
      </c>
      <c r="H1558" s="849" t="s">
        <v>10716</v>
      </c>
      <c r="I1558" s="849"/>
      <c r="J1558" s="851">
        <v>142.62</v>
      </c>
      <c r="K1558" s="848" t="s">
        <v>5939</v>
      </c>
    </row>
    <row r="1559" spans="2:11">
      <c r="B1559" s="848">
        <v>1556</v>
      </c>
      <c r="C1559" s="848" t="s">
        <v>1407</v>
      </c>
      <c r="D1559" s="849" t="s">
        <v>13798</v>
      </c>
      <c r="E1559" s="848" t="s">
        <v>13007</v>
      </c>
      <c r="F1559" s="848" t="s">
        <v>12027</v>
      </c>
      <c r="G1559" s="850" t="s">
        <v>12086</v>
      </c>
      <c r="H1559" s="849" t="s">
        <v>10716</v>
      </c>
      <c r="I1559" s="849"/>
      <c r="J1559" s="851">
        <v>142.62</v>
      </c>
      <c r="K1559" s="848" t="s">
        <v>6483</v>
      </c>
    </row>
    <row r="1560" spans="2:11">
      <c r="B1560" s="848">
        <v>1557</v>
      </c>
      <c r="C1560" s="848" t="s">
        <v>1407</v>
      </c>
      <c r="D1560" s="849" t="s">
        <v>13798</v>
      </c>
      <c r="E1560" s="848" t="s">
        <v>13007</v>
      </c>
      <c r="F1560" s="848" t="s">
        <v>12019</v>
      </c>
      <c r="G1560" s="850" t="s">
        <v>13473</v>
      </c>
      <c r="H1560" s="849" t="s">
        <v>10716</v>
      </c>
      <c r="I1560" s="849"/>
      <c r="J1560" s="851">
        <v>142.62</v>
      </c>
      <c r="K1560" s="848" t="s">
        <v>6137</v>
      </c>
    </row>
    <row r="1561" spans="2:11">
      <c r="B1561" s="848">
        <v>1558</v>
      </c>
      <c r="C1561" s="848" t="s">
        <v>1407</v>
      </c>
      <c r="D1561" s="849" t="s">
        <v>13798</v>
      </c>
      <c r="E1561" s="848" t="s">
        <v>13007</v>
      </c>
      <c r="F1561" s="848" t="s">
        <v>13799</v>
      </c>
      <c r="G1561" s="850" t="s">
        <v>13477</v>
      </c>
      <c r="H1561" s="849" t="s">
        <v>10716</v>
      </c>
      <c r="I1561" s="849"/>
      <c r="J1561" s="851">
        <v>142.62</v>
      </c>
      <c r="K1561" s="848" t="s">
        <v>6255</v>
      </c>
    </row>
    <row r="1562" spans="2:11">
      <c r="B1562" s="848">
        <v>1559</v>
      </c>
      <c r="C1562" s="848" t="s">
        <v>1407</v>
      </c>
      <c r="D1562" s="849" t="s">
        <v>13798</v>
      </c>
      <c r="E1562" s="848" t="s">
        <v>13007</v>
      </c>
      <c r="F1562" s="848" t="s">
        <v>13800</v>
      </c>
      <c r="G1562" s="850" t="s">
        <v>13475</v>
      </c>
      <c r="H1562" s="849" t="s">
        <v>10716</v>
      </c>
      <c r="I1562" s="849"/>
      <c r="J1562" s="851">
        <v>142.62</v>
      </c>
      <c r="K1562" s="848" t="s">
        <v>6246</v>
      </c>
    </row>
    <row r="1563" spans="2:11">
      <c r="B1563" s="848">
        <v>1560</v>
      </c>
      <c r="C1563" s="848" t="s">
        <v>1407</v>
      </c>
      <c r="D1563" s="849" t="s">
        <v>13798</v>
      </c>
      <c r="E1563" s="848" t="s">
        <v>13007</v>
      </c>
      <c r="F1563" s="848" t="s">
        <v>13801</v>
      </c>
      <c r="G1563" s="850" t="s">
        <v>12088</v>
      </c>
      <c r="H1563" s="849" t="s">
        <v>10716</v>
      </c>
      <c r="I1563" s="849"/>
      <c r="J1563" s="851">
        <v>71.31</v>
      </c>
      <c r="K1563" s="848" t="s">
        <v>6673</v>
      </c>
    </row>
    <row r="1564" spans="2:11">
      <c r="B1564" s="848">
        <v>1561</v>
      </c>
      <c r="C1564" s="848" t="s">
        <v>13802</v>
      </c>
      <c r="D1564" s="849" t="s">
        <v>8076</v>
      </c>
      <c r="E1564" s="848" t="s">
        <v>13803</v>
      </c>
      <c r="F1564" s="848" t="s">
        <v>12744</v>
      </c>
      <c r="G1564" s="850" t="s">
        <v>10975</v>
      </c>
      <c r="H1564" s="849" t="s">
        <v>10716</v>
      </c>
      <c r="I1564" s="849"/>
      <c r="J1564" s="851">
        <v>1940</v>
      </c>
      <c r="K1564" s="848" t="s">
        <v>13804</v>
      </c>
    </row>
    <row r="1565" spans="2:11" ht="25">
      <c r="B1565" s="848">
        <v>1562</v>
      </c>
      <c r="C1565" s="848" t="s">
        <v>13805</v>
      </c>
      <c r="D1565" s="849" t="s">
        <v>8092</v>
      </c>
      <c r="E1565" s="848" t="s">
        <v>13806</v>
      </c>
      <c r="F1565" s="848" t="s">
        <v>13074</v>
      </c>
      <c r="G1565" s="850" t="s">
        <v>13807</v>
      </c>
      <c r="H1565" s="849" t="s">
        <v>10716</v>
      </c>
      <c r="I1565" s="849"/>
      <c r="J1565" s="851">
        <v>2.09</v>
      </c>
      <c r="K1565" s="848" t="s">
        <v>6239</v>
      </c>
    </row>
    <row r="1566" spans="2:11">
      <c r="B1566" s="848">
        <v>1563</v>
      </c>
      <c r="C1566" s="848" t="s">
        <v>13808</v>
      </c>
      <c r="D1566" s="849" t="s">
        <v>7150</v>
      </c>
      <c r="E1566" s="848" t="s">
        <v>3233</v>
      </c>
      <c r="F1566" s="848" t="s">
        <v>13809</v>
      </c>
      <c r="G1566" s="850" t="s">
        <v>13096</v>
      </c>
      <c r="H1566" s="849" t="s">
        <v>10716</v>
      </c>
      <c r="I1566" s="849"/>
      <c r="J1566" s="851">
        <v>58.85</v>
      </c>
      <c r="K1566" s="848" t="s">
        <v>6808</v>
      </c>
    </row>
    <row r="1567" spans="2:11">
      <c r="B1567" s="848">
        <v>1564</v>
      </c>
      <c r="C1567" s="848" t="s">
        <v>13808</v>
      </c>
      <c r="D1567" s="849" t="s">
        <v>7150</v>
      </c>
      <c r="E1567" s="848" t="s">
        <v>10882</v>
      </c>
      <c r="F1567" s="848" t="s">
        <v>11804</v>
      </c>
      <c r="G1567" s="850" t="s">
        <v>13810</v>
      </c>
      <c r="H1567" s="849" t="s">
        <v>10716</v>
      </c>
      <c r="I1567" s="849"/>
      <c r="J1567" s="851">
        <v>33.96</v>
      </c>
      <c r="K1567" s="848" t="s">
        <v>6823</v>
      </c>
    </row>
    <row r="1568" spans="2:11" ht="25">
      <c r="B1568" s="848">
        <v>1565</v>
      </c>
      <c r="C1568" s="848" t="s">
        <v>12071</v>
      </c>
      <c r="D1568" s="849" t="s">
        <v>13811</v>
      </c>
      <c r="E1568" s="848" t="s">
        <v>9472</v>
      </c>
      <c r="F1568" s="848" t="s">
        <v>13812</v>
      </c>
      <c r="G1568" s="850" t="s">
        <v>13813</v>
      </c>
      <c r="H1568" s="849" t="s">
        <v>10716</v>
      </c>
      <c r="I1568" s="849"/>
      <c r="J1568" s="851">
        <v>1087.3</v>
      </c>
      <c r="K1568" s="848" t="s">
        <v>13814</v>
      </c>
    </row>
    <row r="1569" spans="2:11" ht="25">
      <c r="B1569" s="848">
        <v>1566</v>
      </c>
      <c r="C1569" s="848" t="s">
        <v>12071</v>
      </c>
      <c r="D1569" s="849" t="s">
        <v>13811</v>
      </c>
      <c r="E1569" s="848" t="s">
        <v>9472</v>
      </c>
      <c r="F1569" s="848" t="s">
        <v>13815</v>
      </c>
      <c r="G1569" s="850" t="s">
        <v>13816</v>
      </c>
      <c r="H1569" s="849" t="s">
        <v>10716</v>
      </c>
      <c r="I1569" s="849"/>
      <c r="J1569" s="851">
        <v>2696.52</v>
      </c>
      <c r="K1569" s="848" t="s">
        <v>13817</v>
      </c>
    </row>
    <row r="1570" spans="2:11" ht="25">
      <c r="B1570" s="848">
        <v>1567</v>
      </c>
      <c r="C1570" s="848" t="s">
        <v>12071</v>
      </c>
      <c r="D1570" s="849" t="s">
        <v>13811</v>
      </c>
      <c r="E1570" s="848" t="s">
        <v>9472</v>
      </c>
      <c r="F1570" s="848" t="s">
        <v>12024</v>
      </c>
      <c r="G1570" s="850" t="s">
        <v>13818</v>
      </c>
      <c r="H1570" s="849" t="s">
        <v>10716</v>
      </c>
      <c r="I1570" s="849"/>
      <c r="J1570" s="851">
        <v>1485.04</v>
      </c>
      <c r="K1570" s="848" t="s">
        <v>13819</v>
      </c>
    </row>
    <row r="1571" spans="2:11" ht="25">
      <c r="B1571" s="848">
        <v>1568</v>
      </c>
      <c r="C1571" s="848" t="s">
        <v>12071</v>
      </c>
      <c r="D1571" s="849" t="s">
        <v>13811</v>
      </c>
      <c r="E1571" s="848" t="s">
        <v>9472</v>
      </c>
      <c r="F1571" s="848" t="s">
        <v>12569</v>
      </c>
      <c r="G1571" s="850" t="s">
        <v>13820</v>
      </c>
      <c r="H1571" s="849" t="s">
        <v>10716</v>
      </c>
      <c r="I1571" s="849"/>
      <c r="J1571" s="851">
        <v>1916.83</v>
      </c>
      <c r="K1571" s="848" t="s">
        <v>6762</v>
      </c>
    </row>
    <row r="1572" spans="2:11" ht="25">
      <c r="B1572" s="848">
        <v>1569</v>
      </c>
      <c r="C1572" s="848" t="s">
        <v>12071</v>
      </c>
      <c r="D1572" s="849" t="s">
        <v>13811</v>
      </c>
      <c r="E1572" s="848" t="s">
        <v>9472</v>
      </c>
      <c r="F1572" s="848" t="s">
        <v>12566</v>
      </c>
      <c r="G1572" s="850" t="s">
        <v>13821</v>
      </c>
      <c r="H1572" s="849" t="s">
        <v>10716</v>
      </c>
      <c r="I1572" s="849"/>
      <c r="J1572" s="851">
        <v>1533.46</v>
      </c>
      <c r="K1572" s="848" t="s">
        <v>6763</v>
      </c>
    </row>
    <row r="1573" spans="2:11" ht="25">
      <c r="B1573" s="848">
        <v>1570</v>
      </c>
      <c r="C1573" s="848" t="s">
        <v>12071</v>
      </c>
      <c r="D1573" s="849" t="s">
        <v>13811</v>
      </c>
      <c r="E1573" s="848" t="s">
        <v>9472</v>
      </c>
      <c r="F1573" s="848" t="s">
        <v>12572</v>
      </c>
      <c r="G1573" s="850" t="s">
        <v>13822</v>
      </c>
      <c r="H1573" s="849" t="s">
        <v>10716</v>
      </c>
      <c r="I1573" s="849"/>
      <c r="J1573" s="851">
        <v>20701.71</v>
      </c>
      <c r="K1573" s="848" t="s">
        <v>6772</v>
      </c>
    </row>
    <row r="1574" spans="2:11" ht="25">
      <c r="B1574" s="848">
        <v>1571</v>
      </c>
      <c r="C1574" s="848" t="s">
        <v>12071</v>
      </c>
      <c r="D1574" s="849" t="s">
        <v>13811</v>
      </c>
      <c r="E1574" s="848" t="s">
        <v>9472</v>
      </c>
      <c r="F1574" s="848" t="s">
        <v>11815</v>
      </c>
      <c r="G1574" s="850" t="s">
        <v>13823</v>
      </c>
      <c r="H1574" s="849" t="s">
        <v>10716</v>
      </c>
      <c r="I1574" s="849"/>
      <c r="J1574" s="851">
        <v>5410.78</v>
      </c>
      <c r="K1574" s="848" t="s">
        <v>6088</v>
      </c>
    </row>
    <row r="1575" spans="2:11">
      <c r="B1575" s="848">
        <v>1572</v>
      </c>
      <c r="C1575" s="848" t="s">
        <v>715</v>
      </c>
      <c r="D1575" s="849" t="s">
        <v>6881</v>
      </c>
      <c r="E1575" s="848" t="s">
        <v>10733</v>
      </c>
      <c r="F1575" s="848" t="s">
        <v>13824</v>
      </c>
      <c r="G1575" s="850" t="s">
        <v>12119</v>
      </c>
      <c r="H1575" s="849" t="s">
        <v>10716</v>
      </c>
      <c r="I1575" s="849"/>
      <c r="J1575" s="851">
        <v>34962.375</v>
      </c>
      <c r="K1575" s="848" t="s">
        <v>13825</v>
      </c>
    </row>
    <row r="1576" spans="2:11">
      <c r="B1576" s="848">
        <v>1573</v>
      </c>
      <c r="C1576" s="848" t="s">
        <v>13826</v>
      </c>
      <c r="D1576" s="849" t="s">
        <v>7166</v>
      </c>
      <c r="E1576" s="848" t="s">
        <v>13007</v>
      </c>
      <c r="F1576" s="848" t="s">
        <v>12105</v>
      </c>
      <c r="G1576" s="850" t="s">
        <v>12084</v>
      </c>
      <c r="H1576" s="849" t="s">
        <v>10716</v>
      </c>
      <c r="I1576" s="849"/>
      <c r="J1576" s="851">
        <v>23.77</v>
      </c>
      <c r="K1576" s="848" t="s">
        <v>5933</v>
      </c>
    </row>
    <row r="1577" spans="2:11">
      <c r="B1577" s="848">
        <v>1574</v>
      </c>
      <c r="C1577" s="848" t="s">
        <v>13826</v>
      </c>
      <c r="D1577" s="849" t="s">
        <v>7166</v>
      </c>
      <c r="E1577" s="848" t="s">
        <v>13007</v>
      </c>
      <c r="F1577" s="848" t="s">
        <v>13600</v>
      </c>
      <c r="G1577" s="850" t="s">
        <v>13827</v>
      </c>
      <c r="H1577" s="849" t="s">
        <v>10716</v>
      </c>
      <c r="I1577" s="849"/>
      <c r="J1577" s="851">
        <v>23.77</v>
      </c>
      <c r="K1577" s="848" t="s">
        <v>6096</v>
      </c>
    </row>
    <row r="1578" spans="2:11">
      <c r="B1578" s="848">
        <v>1575</v>
      </c>
      <c r="C1578" s="848" t="s">
        <v>13828</v>
      </c>
      <c r="D1578" s="849" t="s">
        <v>7166</v>
      </c>
      <c r="E1578" s="848" t="s">
        <v>13007</v>
      </c>
      <c r="F1578" s="848" t="s">
        <v>13601</v>
      </c>
      <c r="G1578" s="850" t="s">
        <v>13432</v>
      </c>
      <c r="H1578" s="849" t="s">
        <v>10716</v>
      </c>
      <c r="I1578" s="849"/>
      <c r="J1578" s="851">
        <v>15.944510000000001</v>
      </c>
      <c r="K1578" s="848" t="s">
        <v>6097</v>
      </c>
    </row>
    <row r="1579" spans="2:11">
      <c r="B1579" s="848">
        <v>1576</v>
      </c>
      <c r="C1579" s="848" t="s">
        <v>677</v>
      </c>
      <c r="D1579" s="849" t="s">
        <v>13829</v>
      </c>
      <c r="E1579" s="848" t="s">
        <v>12328</v>
      </c>
      <c r="F1579" s="848" t="s">
        <v>12575</v>
      </c>
      <c r="G1579" s="850" t="s">
        <v>13830</v>
      </c>
      <c r="H1579" s="849" t="s">
        <v>10716</v>
      </c>
      <c r="I1579" s="849"/>
      <c r="J1579" s="851">
        <v>3066.92</v>
      </c>
      <c r="K1579" s="848" t="s">
        <v>11008</v>
      </c>
    </row>
    <row r="1580" spans="2:11">
      <c r="B1580" s="848">
        <v>1577</v>
      </c>
      <c r="C1580" s="848" t="s">
        <v>677</v>
      </c>
      <c r="D1580" s="849" t="s">
        <v>13829</v>
      </c>
      <c r="E1580" s="848" t="s">
        <v>12328</v>
      </c>
      <c r="F1580" s="848" t="s">
        <v>10918</v>
      </c>
      <c r="G1580" s="850" t="s">
        <v>13831</v>
      </c>
      <c r="H1580" s="849" t="s">
        <v>10716</v>
      </c>
      <c r="I1580" s="849"/>
      <c r="J1580" s="851">
        <v>1835.24</v>
      </c>
      <c r="K1580" s="848" t="s">
        <v>11008</v>
      </c>
    </row>
    <row r="1581" spans="2:11">
      <c r="B1581" s="848">
        <v>1578</v>
      </c>
      <c r="C1581" s="848" t="s">
        <v>591</v>
      </c>
      <c r="D1581" s="849" t="s">
        <v>852</v>
      </c>
      <c r="E1581" s="848" t="s">
        <v>13832</v>
      </c>
      <c r="F1581" s="848" t="s">
        <v>10731</v>
      </c>
      <c r="G1581" s="850" t="s">
        <v>10749</v>
      </c>
      <c r="H1581" s="849" t="s">
        <v>10716</v>
      </c>
      <c r="I1581" s="849"/>
      <c r="J1581" s="851">
        <v>2402.71</v>
      </c>
      <c r="K1581" s="848" t="s">
        <v>13833</v>
      </c>
    </row>
    <row r="1582" spans="2:11">
      <c r="B1582" s="848">
        <v>1579</v>
      </c>
      <c r="C1582" s="848" t="s">
        <v>13834</v>
      </c>
      <c r="D1582" s="849" t="s">
        <v>852</v>
      </c>
      <c r="E1582" s="848" t="s">
        <v>3222</v>
      </c>
      <c r="F1582" s="848" t="s">
        <v>13602</v>
      </c>
      <c r="G1582" s="850" t="s">
        <v>13835</v>
      </c>
      <c r="H1582" s="849" t="s">
        <v>10716</v>
      </c>
      <c r="I1582" s="849"/>
      <c r="J1582" s="851">
        <v>6878.08</v>
      </c>
      <c r="K1582" s="848" t="s">
        <v>5837</v>
      </c>
    </row>
    <row r="1583" spans="2:11">
      <c r="B1583" s="848">
        <v>1580</v>
      </c>
      <c r="C1583" s="848" t="s">
        <v>13834</v>
      </c>
      <c r="D1583" s="849" t="s">
        <v>852</v>
      </c>
      <c r="E1583" s="848" t="s">
        <v>3222</v>
      </c>
      <c r="F1583" s="848" t="s">
        <v>13603</v>
      </c>
      <c r="G1583" s="850" t="s">
        <v>13836</v>
      </c>
      <c r="H1583" s="849" t="s">
        <v>10716</v>
      </c>
      <c r="I1583" s="849"/>
      <c r="J1583" s="851">
        <v>4533.28</v>
      </c>
      <c r="K1583" s="848" t="s">
        <v>5838</v>
      </c>
    </row>
    <row r="1584" spans="2:11">
      <c r="B1584" s="848">
        <v>1581</v>
      </c>
      <c r="C1584" s="848" t="s">
        <v>591</v>
      </c>
      <c r="D1584" s="849" t="s">
        <v>852</v>
      </c>
      <c r="E1584" s="848" t="s">
        <v>3222</v>
      </c>
      <c r="F1584" s="848" t="s">
        <v>13837</v>
      </c>
      <c r="G1584" s="850" t="s">
        <v>13838</v>
      </c>
      <c r="H1584" s="849" t="s">
        <v>10716</v>
      </c>
      <c r="I1584" s="849"/>
      <c r="J1584" s="851">
        <v>927.03</v>
      </c>
      <c r="K1584" s="848" t="s">
        <v>13839</v>
      </c>
    </row>
    <row r="1585" spans="2:11">
      <c r="B1585" s="848">
        <v>1582</v>
      </c>
      <c r="C1585" s="848" t="s">
        <v>591</v>
      </c>
      <c r="D1585" s="849" t="s">
        <v>852</v>
      </c>
      <c r="E1585" s="848" t="s">
        <v>12464</v>
      </c>
      <c r="F1585" s="848" t="s">
        <v>13840</v>
      </c>
      <c r="G1585" s="850" t="s">
        <v>13841</v>
      </c>
      <c r="H1585" s="849" t="s">
        <v>10716</v>
      </c>
      <c r="I1585" s="849"/>
      <c r="J1585" s="851">
        <v>7698.76</v>
      </c>
      <c r="K1585" s="848" t="s">
        <v>13833</v>
      </c>
    </row>
    <row r="1586" spans="2:11">
      <c r="B1586" s="848">
        <v>1583</v>
      </c>
      <c r="C1586" s="848" t="s">
        <v>591</v>
      </c>
      <c r="D1586" s="849" t="s">
        <v>852</v>
      </c>
      <c r="E1586" s="848" t="s">
        <v>12464</v>
      </c>
      <c r="F1586" s="848" t="s">
        <v>11027</v>
      </c>
      <c r="G1586" s="850" t="s">
        <v>13842</v>
      </c>
      <c r="H1586" s="849" t="s">
        <v>10716</v>
      </c>
      <c r="I1586" s="849"/>
      <c r="J1586" s="851">
        <v>5707.52</v>
      </c>
      <c r="K1586" s="848" t="s">
        <v>13833</v>
      </c>
    </row>
    <row r="1587" spans="2:11">
      <c r="B1587" s="848">
        <v>1584</v>
      </c>
      <c r="C1587" s="848" t="s">
        <v>1351</v>
      </c>
      <c r="D1587" s="849" t="s">
        <v>1023</v>
      </c>
      <c r="E1587" s="848" t="s">
        <v>3222</v>
      </c>
      <c r="F1587" s="848" t="s">
        <v>13843</v>
      </c>
      <c r="G1587" s="850" t="s">
        <v>13844</v>
      </c>
      <c r="H1587" s="849" t="s">
        <v>10716</v>
      </c>
      <c r="I1587" s="849"/>
      <c r="J1587" s="851">
        <v>166.39</v>
      </c>
      <c r="K1587" s="848" t="s">
        <v>13845</v>
      </c>
    </row>
    <row r="1588" spans="2:11">
      <c r="B1588" s="848">
        <v>1585</v>
      </c>
      <c r="C1588" s="848" t="s">
        <v>1351</v>
      </c>
      <c r="D1588" s="849" t="s">
        <v>1023</v>
      </c>
      <c r="E1588" s="848" t="s">
        <v>3222</v>
      </c>
      <c r="F1588" s="848" t="s">
        <v>11603</v>
      </c>
      <c r="G1588" s="850" t="s">
        <v>13846</v>
      </c>
      <c r="H1588" s="849" t="s">
        <v>10716</v>
      </c>
      <c r="I1588" s="849"/>
      <c r="J1588" s="851">
        <v>34.56</v>
      </c>
      <c r="K1588" s="848" t="s">
        <v>13845</v>
      </c>
    </row>
    <row r="1589" spans="2:11">
      <c r="B1589" s="848">
        <v>1586</v>
      </c>
      <c r="C1589" s="848" t="s">
        <v>13847</v>
      </c>
      <c r="D1589" s="849" t="s">
        <v>5709</v>
      </c>
      <c r="E1589" s="848" t="s">
        <v>13848</v>
      </c>
      <c r="F1589" s="848" t="s">
        <v>12210</v>
      </c>
      <c r="G1589" s="850" t="s">
        <v>13849</v>
      </c>
      <c r="H1589" s="849" t="s">
        <v>10716</v>
      </c>
      <c r="I1589" s="849"/>
      <c r="J1589" s="851">
        <v>38.630000000000003</v>
      </c>
      <c r="K1589" s="848" t="s">
        <v>6116</v>
      </c>
    </row>
    <row r="1590" spans="2:11">
      <c r="B1590" s="848">
        <v>1587</v>
      </c>
      <c r="C1590" s="848" t="s">
        <v>13850</v>
      </c>
      <c r="D1590" s="849" t="s">
        <v>13851</v>
      </c>
      <c r="E1590" s="848" t="s">
        <v>3101</v>
      </c>
      <c r="F1590" s="848" t="s">
        <v>11428</v>
      </c>
      <c r="G1590" s="850" t="s">
        <v>13852</v>
      </c>
      <c r="H1590" s="849" t="s">
        <v>10716</v>
      </c>
      <c r="I1590" s="849"/>
      <c r="J1590" s="851">
        <v>153.35</v>
      </c>
      <c r="K1590" s="848" t="s">
        <v>13853</v>
      </c>
    </row>
    <row r="1591" spans="2:11">
      <c r="B1591" s="848">
        <v>1588</v>
      </c>
      <c r="C1591" s="848" t="s">
        <v>13850</v>
      </c>
      <c r="D1591" s="849" t="s">
        <v>13851</v>
      </c>
      <c r="E1591" s="848" t="s">
        <v>13277</v>
      </c>
      <c r="F1591" s="848" t="s">
        <v>11423</v>
      </c>
      <c r="G1591" s="850" t="s">
        <v>13854</v>
      </c>
      <c r="H1591" s="849" t="s">
        <v>10716</v>
      </c>
      <c r="I1591" s="849"/>
      <c r="J1591" s="851">
        <v>766.3</v>
      </c>
      <c r="K1591" s="848" t="s">
        <v>13855</v>
      </c>
    </row>
    <row r="1592" spans="2:11">
      <c r="B1592" s="848">
        <v>1589</v>
      </c>
      <c r="C1592" s="848" t="s">
        <v>13856</v>
      </c>
      <c r="D1592" s="849" t="s">
        <v>13857</v>
      </c>
      <c r="E1592" s="848" t="s">
        <v>3580</v>
      </c>
      <c r="F1592" s="848" t="s">
        <v>13858</v>
      </c>
      <c r="G1592" s="850" t="s">
        <v>13859</v>
      </c>
      <c r="H1592" s="849" t="s">
        <v>10716</v>
      </c>
      <c r="I1592" s="849"/>
      <c r="J1592" s="851">
        <v>153.345</v>
      </c>
      <c r="K1592" s="848" t="s">
        <v>6280</v>
      </c>
    </row>
    <row r="1593" spans="2:11">
      <c r="B1593" s="848">
        <v>1590</v>
      </c>
      <c r="C1593" s="848" t="s">
        <v>13365</v>
      </c>
      <c r="D1593" s="849" t="s">
        <v>300</v>
      </c>
      <c r="E1593" s="848" t="s">
        <v>11161</v>
      </c>
      <c r="F1593" s="848" t="s">
        <v>13860</v>
      </c>
      <c r="G1593" s="850" t="s">
        <v>13861</v>
      </c>
      <c r="H1593" s="849" t="s">
        <v>10716</v>
      </c>
      <c r="I1593" s="849"/>
      <c r="J1593" s="851">
        <v>47.54</v>
      </c>
      <c r="K1593" s="848" t="s">
        <v>6711</v>
      </c>
    </row>
    <row r="1594" spans="2:11">
      <c r="B1594" s="848">
        <v>1591</v>
      </c>
      <c r="C1594" s="848" t="s">
        <v>13365</v>
      </c>
      <c r="D1594" s="849" t="s">
        <v>300</v>
      </c>
      <c r="E1594" s="848" t="s">
        <v>11161</v>
      </c>
      <c r="F1594" s="848" t="s">
        <v>13598</v>
      </c>
      <c r="G1594" s="850" t="s">
        <v>13862</v>
      </c>
      <c r="H1594" s="849" t="s">
        <v>10716</v>
      </c>
      <c r="I1594" s="849"/>
      <c r="J1594" s="851">
        <v>190.16</v>
      </c>
      <c r="K1594" s="848" t="s">
        <v>6712</v>
      </c>
    </row>
    <row r="1595" spans="2:11">
      <c r="B1595" s="848">
        <v>1592</v>
      </c>
      <c r="C1595" s="848" t="s">
        <v>13365</v>
      </c>
      <c r="D1595" s="849" t="s">
        <v>300</v>
      </c>
      <c r="E1595" s="848" t="s">
        <v>11161</v>
      </c>
      <c r="F1595" s="848" t="s">
        <v>13599</v>
      </c>
      <c r="G1595" s="850" t="s">
        <v>13863</v>
      </c>
      <c r="H1595" s="849" t="s">
        <v>10716</v>
      </c>
      <c r="I1595" s="849"/>
      <c r="J1595" s="851">
        <v>142.62</v>
      </c>
      <c r="K1595" s="848" t="s">
        <v>6138</v>
      </c>
    </row>
    <row r="1596" spans="2:11">
      <c r="B1596" s="848">
        <v>1593</v>
      </c>
      <c r="C1596" s="848" t="s">
        <v>13365</v>
      </c>
      <c r="D1596" s="849" t="s">
        <v>300</v>
      </c>
      <c r="E1596" s="848" t="s">
        <v>11161</v>
      </c>
      <c r="F1596" s="848" t="s">
        <v>13864</v>
      </c>
      <c r="G1596" s="850" t="s">
        <v>13865</v>
      </c>
      <c r="H1596" s="849" t="s">
        <v>10716</v>
      </c>
      <c r="I1596" s="849"/>
      <c r="J1596" s="851">
        <v>213.93</v>
      </c>
      <c r="K1596" s="848" t="s">
        <v>6139</v>
      </c>
    </row>
    <row r="1597" spans="2:11">
      <c r="B1597" s="848">
        <v>1594</v>
      </c>
      <c r="C1597" s="848" t="s">
        <v>13866</v>
      </c>
      <c r="D1597" s="849" t="s">
        <v>13867</v>
      </c>
      <c r="E1597" s="848" t="s">
        <v>13654</v>
      </c>
      <c r="F1597" s="848" t="s">
        <v>10925</v>
      </c>
      <c r="G1597" s="850" t="s">
        <v>11574</v>
      </c>
      <c r="H1597" s="849" t="s">
        <v>10716</v>
      </c>
      <c r="I1597" s="849"/>
      <c r="J1597" s="851">
        <v>6.77</v>
      </c>
      <c r="K1597" s="848" t="s">
        <v>13868</v>
      </c>
    </row>
    <row r="1598" spans="2:11">
      <c r="B1598" s="848">
        <v>1595</v>
      </c>
      <c r="C1598" s="848" t="s">
        <v>1370</v>
      </c>
      <c r="D1598" s="849" t="s">
        <v>8018</v>
      </c>
      <c r="E1598" s="848" t="s">
        <v>13869</v>
      </c>
      <c r="F1598" s="848" t="s">
        <v>13859</v>
      </c>
      <c r="G1598" s="850" t="s">
        <v>13870</v>
      </c>
      <c r="H1598" s="849" t="s">
        <v>10716</v>
      </c>
      <c r="I1598" s="849"/>
      <c r="J1598" s="851">
        <v>5</v>
      </c>
      <c r="K1598" s="848" t="s">
        <v>6666</v>
      </c>
    </row>
    <row r="1599" spans="2:11" ht="25">
      <c r="B1599" s="848">
        <v>1596</v>
      </c>
      <c r="C1599" s="848" t="s">
        <v>1333</v>
      </c>
      <c r="D1599" s="849" t="s">
        <v>13871</v>
      </c>
      <c r="E1599" s="848" t="s">
        <v>10778</v>
      </c>
      <c r="F1599" s="848" t="s">
        <v>12867</v>
      </c>
      <c r="G1599" s="850" t="s">
        <v>13872</v>
      </c>
      <c r="H1599" s="849" t="s">
        <v>10716</v>
      </c>
      <c r="I1599" s="849"/>
      <c r="J1599" s="851">
        <v>1212.27</v>
      </c>
      <c r="K1599" s="848" t="s">
        <v>13873</v>
      </c>
    </row>
    <row r="1600" spans="2:11" ht="25">
      <c r="B1600" s="848">
        <v>1597</v>
      </c>
      <c r="C1600" s="848" t="s">
        <v>1333</v>
      </c>
      <c r="D1600" s="849" t="s">
        <v>13871</v>
      </c>
      <c r="E1600" s="848" t="s">
        <v>10778</v>
      </c>
      <c r="F1600" s="848" t="s">
        <v>13065</v>
      </c>
      <c r="G1600" s="850" t="s">
        <v>13874</v>
      </c>
      <c r="H1600" s="849" t="s">
        <v>10716</v>
      </c>
      <c r="I1600" s="849"/>
      <c r="J1600" s="851">
        <v>437.27</v>
      </c>
      <c r="K1600" s="848" t="s">
        <v>13873</v>
      </c>
    </row>
    <row r="1601" spans="2:11" ht="25">
      <c r="B1601" s="848">
        <v>1598</v>
      </c>
      <c r="C1601" s="848" t="s">
        <v>1333</v>
      </c>
      <c r="D1601" s="849" t="s">
        <v>13871</v>
      </c>
      <c r="E1601" s="848" t="s">
        <v>10778</v>
      </c>
      <c r="F1601" s="848" t="s">
        <v>12800</v>
      </c>
      <c r="G1601" s="850" t="s">
        <v>13875</v>
      </c>
      <c r="H1601" s="849" t="s">
        <v>10716</v>
      </c>
      <c r="I1601" s="849"/>
      <c r="J1601" s="851">
        <v>77.16</v>
      </c>
      <c r="K1601" s="848" t="s">
        <v>13876</v>
      </c>
    </row>
    <row r="1602" spans="2:11" ht="25">
      <c r="B1602" s="848">
        <v>1599</v>
      </c>
      <c r="C1602" s="848" t="s">
        <v>1333</v>
      </c>
      <c r="D1602" s="849" t="s">
        <v>13871</v>
      </c>
      <c r="E1602" s="848" t="s">
        <v>10778</v>
      </c>
      <c r="F1602" s="848" t="s">
        <v>13018</v>
      </c>
      <c r="G1602" s="850" t="s">
        <v>13877</v>
      </c>
      <c r="H1602" s="849" t="s">
        <v>10716</v>
      </c>
      <c r="I1602" s="849"/>
      <c r="J1602" s="851">
        <v>213.93</v>
      </c>
      <c r="K1602" s="848" t="s">
        <v>13876</v>
      </c>
    </row>
    <row r="1603" spans="2:11" ht="25">
      <c r="B1603" s="848">
        <v>1600</v>
      </c>
      <c r="C1603" s="848" t="s">
        <v>1333</v>
      </c>
      <c r="D1603" s="849" t="s">
        <v>13871</v>
      </c>
      <c r="E1603" s="848" t="s">
        <v>10778</v>
      </c>
      <c r="F1603" s="848" t="s">
        <v>13398</v>
      </c>
      <c r="G1603" s="850" t="s">
        <v>13878</v>
      </c>
      <c r="H1603" s="849" t="s">
        <v>10716</v>
      </c>
      <c r="I1603" s="849"/>
      <c r="J1603" s="851">
        <v>15.34</v>
      </c>
      <c r="K1603" s="848" t="s">
        <v>13879</v>
      </c>
    </row>
    <row r="1604" spans="2:11">
      <c r="B1604" s="848">
        <v>1601</v>
      </c>
      <c r="C1604" s="848" t="s">
        <v>13880</v>
      </c>
      <c r="D1604" s="849" t="s">
        <v>8083</v>
      </c>
      <c r="E1604" s="848" t="s">
        <v>3344</v>
      </c>
      <c r="F1604" s="848" t="s">
        <v>13400</v>
      </c>
      <c r="G1604" s="850" t="s">
        <v>12709</v>
      </c>
      <c r="H1604" s="849" t="s">
        <v>10716</v>
      </c>
      <c r="I1604" s="849"/>
      <c r="J1604" s="851">
        <v>19.18</v>
      </c>
      <c r="K1604" s="848" t="s">
        <v>13881</v>
      </c>
    </row>
    <row r="1605" spans="2:11">
      <c r="B1605" s="848">
        <v>1602</v>
      </c>
      <c r="C1605" s="848" t="s">
        <v>13880</v>
      </c>
      <c r="D1605" s="849" t="s">
        <v>8083</v>
      </c>
      <c r="E1605" s="848" t="s">
        <v>3344</v>
      </c>
      <c r="F1605" s="848" t="s">
        <v>12822</v>
      </c>
      <c r="G1605" s="850" t="s">
        <v>12712</v>
      </c>
      <c r="H1605" s="849" t="s">
        <v>10716</v>
      </c>
      <c r="I1605" s="849"/>
      <c r="J1605" s="851">
        <v>19.18</v>
      </c>
      <c r="K1605" s="848" t="s">
        <v>13882</v>
      </c>
    </row>
    <row r="1606" spans="2:11">
      <c r="B1606" s="848">
        <v>1603</v>
      </c>
      <c r="C1606" s="848" t="s">
        <v>13880</v>
      </c>
      <c r="D1606" s="849" t="s">
        <v>8083</v>
      </c>
      <c r="E1606" s="848" t="s">
        <v>3344</v>
      </c>
      <c r="F1606" s="848" t="s">
        <v>12819</v>
      </c>
      <c r="G1606" s="850" t="s">
        <v>12713</v>
      </c>
      <c r="H1606" s="849" t="s">
        <v>10716</v>
      </c>
      <c r="I1606" s="849"/>
      <c r="J1606" s="851">
        <v>19.18</v>
      </c>
      <c r="K1606" s="848" t="s">
        <v>13883</v>
      </c>
    </row>
    <row r="1607" spans="2:11">
      <c r="B1607" s="848">
        <v>1604</v>
      </c>
      <c r="C1607" s="848" t="s">
        <v>13880</v>
      </c>
      <c r="D1607" s="849" t="s">
        <v>8083</v>
      </c>
      <c r="E1607" s="848" t="s">
        <v>3344</v>
      </c>
      <c r="F1607" s="848" t="s">
        <v>10928</v>
      </c>
      <c r="G1607" s="850" t="s">
        <v>12703</v>
      </c>
      <c r="H1607" s="849" t="s">
        <v>10716</v>
      </c>
      <c r="I1607" s="849"/>
      <c r="J1607" s="851">
        <v>128.15</v>
      </c>
      <c r="K1607" s="848" t="s">
        <v>6136</v>
      </c>
    </row>
    <row r="1608" spans="2:11">
      <c r="B1608" s="848">
        <v>1605</v>
      </c>
      <c r="C1608" s="848" t="s">
        <v>13880</v>
      </c>
      <c r="D1608" s="849" t="s">
        <v>8083</v>
      </c>
      <c r="E1608" s="848" t="s">
        <v>3344</v>
      </c>
      <c r="F1608" s="848" t="s">
        <v>13884</v>
      </c>
      <c r="G1608" s="850" t="s">
        <v>12706</v>
      </c>
      <c r="H1608" s="849" t="s">
        <v>10716</v>
      </c>
      <c r="I1608" s="849"/>
      <c r="J1608" s="851">
        <v>113.92</v>
      </c>
      <c r="K1608" s="848" t="s">
        <v>6184</v>
      </c>
    </row>
    <row r="1609" spans="2:11">
      <c r="B1609" s="848">
        <v>1606</v>
      </c>
      <c r="C1609" s="848" t="s">
        <v>575</v>
      </c>
      <c r="D1609" s="849" t="s">
        <v>13885</v>
      </c>
      <c r="E1609" s="848" t="s">
        <v>8582</v>
      </c>
      <c r="F1609" s="848" t="s">
        <v>12578</v>
      </c>
      <c r="G1609" s="850" t="s">
        <v>12839</v>
      </c>
      <c r="H1609" s="849" t="s">
        <v>10716</v>
      </c>
      <c r="I1609" s="849"/>
      <c r="J1609" s="851">
        <v>79356.56</v>
      </c>
      <c r="K1609" s="848" t="s">
        <v>11673</v>
      </c>
    </row>
    <row r="1610" spans="2:11">
      <c r="B1610" s="848">
        <v>1607</v>
      </c>
      <c r="C1610" s="848" t="s">
        <v>575</v>
      </c>
      <c r="D1610" s="849" t="s">
        <v>13885</v>
      </c>
      <c r="E1610" s="848" t="s">
        <v>8582</v>
      </c>
      <c r="F1610" s="848" t="s">
        <v>12584</v>
      </c>
      <c r="G1610" s="850" t="s">
        <v>11971</v>
      </c>
      <c r="H1610" s="849" t="s">
        <v>10716</v>
      </c>
      <c r="I1610" s="849"/>
      <c r="J1610" s="851">
        <v>3066.92</v>
      </c>
      <c r="K1610" s="848" t="s">
        <v>10968</v>
      </c>
    </row>
    <row r="1611" spans="2:11">
      <c r="B1611" s="848">
        <v>1608</v>
      </c>
      <c r="C1611" s="848" t="s">
        <v>575</v>
      </c>
      <c r="D1611" s="849" t="s">
        <v>13885</v>
      </c>
      <c r="E1611" s="848" t="s">
        <v>8582</v>
      </c>
      <c r="F1611" s="848" t="s">
        <v>12587</v>
      </c>
      <c r="G1611" s="850" t="s">
        <v>12911</v>
      </c>
      <c r="H1611" s="849" t="s">
        <v>10716</v>
      </c>
      <c r="I1611" s="849"/>
      <c r="J1611" s="851">
        <v>1150.0999999999999</v>
      </c>
      <c r="K1611" s="848" t="s">
        <v>13886</v>
      </c>
    </row>
    <row r="1612" spans="2:11">
      <c r="B1612" s="848">
        <v>1609</v>
      </c>
      <c r="C1612" s="848" t="s">
        <v>13887</v>
      </c>
      <c r="D1612" s="849" t="s">
        <v>13885</v>
      </c>
      <c r="E1612" s="848" t="s">
        <v>3393</v>
      </c>
      <c r="F1612" s="848" t="s">
        <v>12581</v>
      </c>
      <c r="G1612" s="850" t="s">
        <v>13178</v>
      </c>
      <c r="H1612" s="849" t="s">
        <v>10716</v>
      </c>
      <c r="I1612" s="849"/>
      <c r="J1612" s="851">
        <v>766.73</v>
      </c>
      <c r="K1612" s="848" t="s">
        <v>10956</v>
      </c>
    </row>
    <row r="1613" spans="2:11">
      <c r="B1613" s="848">
        <v>1610</v>
      </c>
      <c r="C1613" s="848" t="s">
        <v>1302</v>
      </c>
      <c r="D1613" s="849" t="s">
        <v>13888</v>
      </c>
      <c r="E1613" s="848" t="s">
        <v>9469</v>
      </c>
      <c r="F1613" s="848" t="s">
        <v>13111</v>
      </c>
      <c r="G1613" s="850" t="s">
        <v>13649</v>
      </c>
      <c r="H1613" s="849" t="s">
        <v>10716</v>
      </c>
      <c r="I1613" s="849"/>
      <c r="J1613" s="851">
        <v>5139</v>
      </c>
      <c r="K1613" s="848" t="s">
        <v>13889</v>
      </c>
    </row>
    <row r="1614" spans="2:11">
      <c r="B1614" s="848">
        <v>1611</v>
      </c>
      <c r="C1614" s="848" t="s">
        <v>1302</v>
      </c>
      <c r="D1614" s="849" t="s">
        <v>13888</v>
      </c>
      <c r="E1614" s="848" t="s">
        <v>9469</v>
      </c>
      <c r="F1614" s="848" t="s">
        <v>13114</v>
      </c>
      <c r="G1614" s="850" t="s">
        <v>13635</v>
      </c>
      <c r="H1614" s="849" t="s">
        <v>10716</v>
      </c>
      <c r="I1614" s="849"/>
      <c r="J1614" s="851">
        <v>1798.66</v>
      </c>
      <c r="K1614" s="848" t="s">
        <v>13890</v>
      </c>
    </row>
    <row r="1615" spans="2:11">
      <c r="B1615" s="848">
        <v>1612</v>
      </c>
      <c r="C1615" s="848" t="s">
        <v>7156</v>
      </c>
      <c r="D1615" s="849" t="s">
        <v>7987</v>
      </c>
      <c r="E1615" s="848" t="s">
        <v>9493</v>
      </c>
      <c r="F1615" s="848" t="s">
        <v>13891</v>
      </c>
      <c r="G1615" s="850" t="s">
        <v>11461</v>
      </c>
      <c r="H1615" s="849" t="s">
        <v>10716</v>
      </c>
      <c r="I1615" s="849"/>
      <c r="J1615" s="851">
        <v>61.79</v>
      </c>
      <c r="K1615" s="848" t="s">
        <v>6035</v>
      </c>
    </row>
    <row r="1616" spans="2:11">
      <c r="B1616" s="848">
        <v>1613</v>
      </c>
      <c r="C1616" s="848" t="s">
        <v>7156</v>
      </c>
      <c r="D1616" s="849" t="s">
        <v>7987</v>
      </c>
      <c r="E1616" s="848" t="s">
        <v>9493</v>
      </c>
      <c r="F1616" s="848" t="s">
        <v>13892</v>
      </c>
      <c r="G1616" s="850" t="s">
        <v>11464</v>
      </c>
      <c r="H1616" s="849" t="s">
        <v>10716</v>
      </c>
      <c r="I1616" s="849"/>
      <c r="J1616" s="851">
        <v>13.73</v>
      </c>
      <c r="K1616" s="848" t="s">
        <v>6036</v>
      </c>
    </row>
    <row r="1617" spans="2:11">
      <c r="B1617" s="848">
        <v>1614</v>
      </c>
      <c r="C1617" s="848" t="s">
        <v>1276</v>
      </c>
      <c r="D1617" s="849" t="s">
        <v>13893</v>
      </c>
      <c r="E1617" s="848" t="s">
        <v>3393</v>
      </c>
      <c r="F1617" s="848" t="s">
        <v>12870</v>
      </c>
      <c r="G1617" s="850" t="s">
        <v>13124</v>
      </c>
      <c r="H1617" s="849" t="s">
        <v>10716</v>
      </c>
      <c r="I1617" s="849"/>
      <c r="J1617" s="851">
        <v>2267</v>
      </c>
      <c r="K1617" s="848" t="s">
        <v>10948</v>
      </c>
    </row>
    <row r="1618" spans="2:11">
      <c r="B1618" s="848">
        <v>1615</v>
      </c>
      <c r="C1618" s="848" t="s">
        <v>1276</v>
      </c>
      <c r="D1618" s="849" t="s">
        <v>13893</v>
      </c>
      <c r="E1618" s="848" t="s">
        <v>3393</v>
      </c>
      <c r="F1618" s="848" t="s">
        <v>13894</v>
      </c>
      <c r="G1618" s="850" t="s">
        <v>13232</v>
      </c>
      <c r="H1618" s="849" t="s">
        <v>10716</v>
      </c>
      <c r="I1618" s="849"/>
      <c r="J1618" s="851">
        <v>2540.1999999999998</v>
      </c>
      <c r="K1618" s="848" t="s">
        <v>11687</v>
      </c>
    </row>
    <row r="1619" spans="2:11">
      <c r="B1619" s="848">
        <v>1616</v>
      </c>
      <c r="C1619" s="848" t="s">
        <v>1276</v>
      </c>
      <c r="D1619" s="849" t="s">
        <v>13893</v>
      </c>
      <c r="E1619" s="848" t="s">
        <v>3393</v>
      </c>
      <c r="F1619" s="848" t="s">
        <v>13895</v>
      </c>
      <c r="G1619" s="850" t="s">
        <v>13231</v>
      </c>
      <c r="H1619" s="849" t="s">
        <v>10716</v>
      </c>
      <c r="I1619" s="849"/>
      <c r="J1619" s="851">
        <v>2618</v>
      </c>
      <c r="K1619" s="848" t="s">
        <v>11884</v>
      </c>
    </row>
    <row r="1620" spans="2:11">
      <c r="B1620" s="848">
        <v>1617</v>
      </c>
      <c r="C1620" s="848" t="s">
        <v>13896</v>
      </c>
      <c r="D1620" s="849" t="s">
        <v>13893</v>
      </c>
      <c r="E1620" s="848" t="s">
        <v>3101</v>
      </c>
      <c r="F1620" s="848" t="s">
        <v>13897</v>
      </c>
      <c r="G1620" s="850" t="s">
        <v>13898</v>
      </c>
      <c r="H1620" s="849" t="s">
        <v>10716</v>
      </c>
      <c r="I1620" s="849"/>
      <c r="J1620" s="851">
        <v>855.72</v>
      </c>
      <c r="K1620" s="848" t="s">
        <v>5955</v>
      </c>
    </row>
    <row r="1621" spans="2:11">
      <c r="B1621" s="848">
        <v>1618</v>
      </c>
      <c r="C1621" s="848" t="s">
        <v>1276</v>
      </c>
      <c r="D1621" s="849" t="s">
        <v>13893</v>
      </c>
      <c r="E1621" s="848" t="s">
        <v>3270</v>
      </c>
      <c r="F1621" s="848" t="s">
        <v>13899</v>
      </c>
      <c r="G1621" s="850" t="s">
        <v>12600</v>
      </c>
      <c r="H1621" s="849" t="s">
        <v>10716</v>
      </c>
      <c r="I1621" s="849"/>
      <c r="J1621" s="851">
        <v>3790.76</v>
      </c>
      <c r="K1621" s="848" t="s">
        <v>11832</v>
      </c>
    </row>
    <row r="1622" spans="2:11">
      <c r="B1622" s="848">
        <v>1619</v>
      </c>
      <c r="C1622" s="848" t="s">
        <v>1276</v>
      </c>
      <c r="D1622" s="849" t="s">
        <v>13893</v>
      </c>
      <c r="E1622" s="848" t="s">
        <v>3270</v>
      </c>
      <c r="F1622" s="848" t="s">
        <v>13900</v>
      </c>
      <c r="G1622" s="850" t="s">
        <v>12604</v>
      </c>
      <c r="H1622" s="849" t="s">
        <v>10716</v>
      </c>
      <c r="I1622" s="849"/>
      <c r="J1622" s="851">
        <v>3439.04</v>
      </c>
      <c r="K1622" s="848" t="s">
        <v>11696</v>
      </c>
    </row>
    <row r="1623" spans="2:11">
      <c r="B1623" s="848">
        <v>1620</v>
      </c>
      <c r="C1623" s="848" t="s">
        <v>1276</v>
      </c>
      <c r="D1623" s="849" t="s">
        <v>13893</v>
      </c>
      <c r="E1623" s="848" t="s">
        <v>13901</v>
      </c>
      <c r="F1623" s="848" t="s">
        <v>13902</v>
      </c>
      <c r="G1623" s="850" t="s">
        <v>12607</v>
      </c>
      <c r="H1623" s="849" t="s">
        <v>10716</v>
      </c>
      <c r="I1623" s="849"/>
      <c r="J1623" s="851">
        <v>1797.68</v>
      </c>
      <c r="K1623" s="848" t="s">
        <v>10946</v>
      </c>
    </row>
    <row r="1624" spans="2:11">
      <c r="B1624" s="848">
        <v>1621</v>
      </c>
      <c r="C1624" s="848" t="s">
        <v>1316</v>
      </c>
      <c r="D1624" s="849" t="s">
        <v>378</v>
      </c>
      <c r="E1624" s="848" t="s">
        <v>8582</v>
      </c>
      <c r="F1624" s="848" t="s">
        <v>13903</v>
      </c>
      <c r="G1624" s="850" t="s">
        <v>11843</v>
      </c>
      <c r="H1624" s="849" t="s">
        <v>10716</v>
      </c>
      <c r="I1624" s="849"/>
      <c r="J1624" s="851">
        <v>45.9</v>
      </c>
      <c r="K1624" s="848" t="s">
        <v>6613</v>
      </c>
    </row>
    <row r="1625" spans="2:11">
      <c r="B1625" s="848">
        <v>1622</v>
      </c>
      <c r="C1625" s="848" t="s">
        <v>1316</v>
      </c>
      <c r="D1625" s="849" t="s">
        <v>378</v>
      </c>
      <c r="E1625" s="848" t="s">
        <v>8582</v>
      </c>
      <c r="F1625" s="848" t="s">
        <v>11147</v>
      </c>
      <c r="G1625" s="850" t="s">
        <v>11837</v>
      </c>
      <c r="H1625" s="849" t="s">
        <v>10716</v>
      </c>
      <c r="I1625" s="849"/>
      <c r="J1625" s="851">
        <v>27.54</v>
      </c>
      <c r="K1625" s="848" t="s">
        <v>6153</v>
      </c>
    </row>
    <row r="1626" spans="2:11">
      <c r="B1626" s="848">
        <v>1623</v>
      </c>
      <c r="C1626" s="848" t="s">
        <v>1316</v>
      </c>
      <c r="D1626" s="849" t="s">
        <v>378</v>
      </c>
      <c r="E1626" s="848" t="s">
        <v>8582</v>
      </c>
      <c r="F1626" s="848" t="s">
        <v>11609</v>
      </c>
      <c r="G1626" s="850" t="s">
        <v>11794</v>
      </c>
      <c r="H1626" s="849" t="s">
        <v>10716</v>
      </c>
      <c r="I1626" s="849"/>
      <c r="J1626" s="851">
        <v>36.72</v>
      </c>
      <c r="K1626" s="848" t="s">
        <v>5991</v>
      </c>
    </row>
    <row r="1627" spans="2:11">
      <c r="B1627" s="848">
        <v>1624</v>
      </c>
      <c r="C1627" s="848" t="s">
        <v>13904</v>
      </c>
      <c r="D1627" s="849" t="s">
        <v>1766</v>
      </c>
      <c r="E1627" s="848" t="s">
        <v>3220</v>
      </c>
      <c r="F1627" s="848" t="s">
        <v>13905</v>
      </c>
      <c r="G1627" s="850" t="s">
        <v>12374</v>
      </c>
      <c r="H1627" s="849" t="s">
        <v>10716</v>
      </c>
      <c r="I1627" s="849"/>
      <c r="J1627" s="851">
        <v>15.97</v>
      </c>
      <c r="K1627" s="848" t="s">
        <v>6273</v>
      </c>
    </row>
    <row r="1628" spans="2:11">
      <c r="B1628" s="848">
        <v>1625</v>
      </c>
      <c r="C1628" s="848" t="s">
        <v>13904</v>
      </c>
      <c r="D1628" s="849" t="s">
        <v>1766</v>
      </c>
      <c r="E1628" s="848" t="s">
        <v>3220</v>
      </c>
      <c r="F1628" s="848" t="s">
        <v>13906</v>
      </c>
      <c r="G1628" s="850" t="s">
        <v>12477</v>
      </c>
      <c r="H1628" s="849" t="s">
        <v>10716</v>
      </c>
      <c r="I1628" s="849"/>
      <c r="J1628" s="851">
        <v>15.97</v>
      </c>
      <c r="K1628" s="848" t="s">
        <v>6274</v>
      </c>
    </row>
    <row r="1629" spans="2:11">
      <c r="B1629" s="848">
        <v>1626</v>
      </c>
      <c r="C1629" s="848" t="s">
        <v>13907</v>
      </c>
      <c r="D1629" s="849" t="s">
        <v>13908</v>
      </c>
      <c r="E1629" s="848" t="s">
        <v>3335</v>
      </c>
      <c r="F1629" s="848" t="s">
        <v>11572</v>
      </c>
      <c r="G1629" s="850" t="s">
        <v>13909</v>
      </c>
      <c r="H1629" s="849" t="s">
        <v>10716</v>
      </c>
      <c r="I1629" s="849"/>
      <c r="J1629" s="851">
        <v>10.5223455</v>
      </c>
      <c r="K1629" s="848" t="s">
        <v>6744</v>
      </c>
    </row>
    <row r="1630" spans="2:11">
      <c r="B1630" s="848">
        <v>1627</v>
      </c>
      <c r="C1630" s="848" t="s">
        <v>13907</v>
      </c>
      <c r="D1630" s="849" t="s">
        <v>13908</v>
      </c>
      <c r="E1630" s="848" t="s">
        <v>3335</v>
      </c>
      <c r="F1630" s="848" t="s">
        <v>13002</v>
      </c>
      <c r="G1630" s="850" t="s">
        <v>13910</v>
      </c>
      <c r="H1630" s="849" t="s">
        <v>10716</v>
      </c>
      <c r="I1630" s="849"/>
      <c r="J1630" s="851">
        <v>9.1646235000000011</v>
      </c>
      <c r="K1630" s="848" t="s">
        <v>6165</v>
      </c>
    </row>
    <row r="1631" spans="2:11">
      <c r="B1631" s="848">
        <v>1628</v>
      </c>
      <c r="C1631" s="848" t="s">
        <v>13907</v>
      </c>
      <c r="D1631" s="849" t="s">
        <v>13908</v>
      </c>
      <c r="E1631" s="848" t="s">
        <v>3335</v>
      </c>
      <c r="F1631" s="848" t="s">
        <v>13911</v>
      </c>
      <c r="G1631" s="850" t="s">
        <v>13912</v>
      </c>
      <c r="H1631" s="849" t="s">
        <v>10716</v>
      </c>
      <c r="I1631" s="849"/>
      <c r="J1631" s="851">
        <v>10.861776000000001</v>
      </c>
      <c r="K1631" s="848" t="s">
        <v>6627</v>
      </c>
    </row>
    <row r="1632" spans="2:11">
      <c r="B1632" s="848">
        <v>1629</v>
      </c>
      <c r="C1632" s="848" t="s">
        <v>1306</v>
      </c>
      <c r="D1632" s="849" t="s">
        <v>8065</v>
      </c>
      <c r="E1632" s="848" t="s">
        <v>3235</v>
      </c>
      <c r="F1632" s="848" t="s">
        <v>12590</v>
      </c>
      <c r="G1632" s="850" t="s">
        <v>12468</v>
      </c>
      <c r="H1632" s="849" t="s">
        <v>10716</v>
      </c>
      <c r="I1632" s="849"/>
      <c r="J1632" s="851">
        <v>77823.100000000006</v>
      </c>
      <c r="K1632" s="848" t="s">
        <v>11290</v>
      </c>
    </row>
    <row r="1633" spans="2:11">
      <c r="B1633" s="848">
        <v>1630</v>
      </c>
      <c r="C1633" s="848" t="s">
        <v>13913</v>
      </c>
      <c r="D1633" s="849" t="s">
        <v>13914</v>
      </c>
      <c r="E1633" s="848" t="s">
        <v>9292</v>
      </c>
      <c r="F1633" s="848" t="s">
        <v>11844</v>
      </c>
      <c r="G1633" s="850" t="s">
        <v>10749</v>
      </c>
      <c r="H1633" s="849" t="s">
        <v>10716</v>
      </c>
      <c r="I1633" s="849"/>
      <c r="J1633" s="851">
        <v>848.97</v>
      </c>
      <c r="K1633" s="848" t="s">
        <v>13915</v>
      </c>
    </row>
    <row r="1634" spans="2:11">
      <c r="B1634" s="848">
        <v>1631</v>
      </c>
      <c r="C1634" s="848" t="s">
        <v>13913</v>
      </c>
      <c r="D1634" s="849" t="s">
        <v>13914</v>
      </c>
      <c r="E1634" s="848" t="s">
        <v>3761</v>
      </c>
      <c r="F1634" s="848" t="s">
        <v>13648</v>
      </c>
      <c r="G1634" s="850" t="s">
        <v>13916</v>
      </c>
      <c r="H1634" s="849" t="s">
        <v>10716</v>
      </c>
      <c r="I1634" s="849"/>
      <c r="J1634" s="851">
        <v>163.85</v>
      </c>
      <c r="K1634" s="848" t="s">
        <v>13915</v>
      </c>
    </row>
    <row r="1635" spans="2:11">
      <c r="B1635" s="848">
        <v>1632</v>
      </c>
      <c r="C1635" s="848" t="s">
        <v>1403</v>
      </c>
      <c r="D1635" s="849" t="s">
        <v>8079</v>
      </c>
      <c r="E1635" s="848" t="s">
        <v>10754</v>
      </c>
      <c r="F1635" s="848" t="s">
        <v>13917</v>
      </c>
      <c r="G1635" s="850" t="s">
        <v>10814</v>
      </c>
      <c r="H1635" s="849" t="s">
        <v>10716</v>
      </c>
      <c r="I1635" s="849"/>
      <c r="J1635" s="851">
        <v>142.62</v>
      </c>
      <c r="K1635" s="848" t="s">
        <v>13918</v>
      </c>
    </row>
    <row r="1636" spans="2:11">
      <c r="B1636" s="848">
        <v>1633</v>
      </c>
      <c r="C1636" s="848" t="s">
        <v>1403</v>
      </c>
      <c r="D1636" s="849" t="s">
        <v>8079</v>
      </c>
      <c r="E1636" s="848" t="s">
        <v>10754</v>
      </c>
      <c r="F1636" s="848" t="s">
        <v>13919</v>
      </c>
      <c r="G1636" s="850" t="s">
        <v>10812</v>
      </c>
      <c r="H1636" s="849" t="s">
        <v>10716</v>
      </c>
      <c r="I1636" s="849"/>
      <c r="J1636" s="851">
        <v>142.22999999999999</v>
      </c>
      <c r="K1636" s="848" t="s">
        <v>13918</v>
      </c>
    </row>
    <row r="1637" spans="2:11">
      <c r="B1637" s="848">
        <v>1634</v>
      </c>
      <c r="C1637" s="848" t="s">
        <v>1403</v>
      </c>
      <c r="D1637" s="849" t="s">
        <v>8079</v>
      </c>
      <c r="E1637" s="848" t="s">
        <v>10754</v>
      </c>
      <c r="F1637" s="848" t="s">
        <v>12204</v>
      </c>
      <c r="G1637" s="850" t="s">
        <v>10822</v>
      </c>
      <c r="H1637" s="849" t="s">
        <v>10716</v>
      </c>
      <c r="I1637" s="849"/>
      <c r="J1637" s="851">
        <v>309.01</v>
      </c>
      <c r="K1637" s="848" t="s">
        <v>13920</v>
      </c>
    </row>
    <row r="1638" spans="2:11">
      <c r="B1638" s="848">
        <v>1635</v>
      </c>
      <c r="C1638" s="848" t="s">
        <v>1403</v>
      </c>
      <c r="D1638" s="849" t="s">
        <v>8079</v>
      </c>
      <c r="E1638" s="848" t="s">
        <v>10754</v>
      </c>
      <c r="F1638" s="848" t="s">
        <v>11615</v>
      </c>
      <c r="G1638" s="850" t="s">
        <v>10835</v>
      </c>
      <c r="H1638" s="849" t="s">
        <v>10716</v>
      </c>
      <c r="I1638" s="849"/>
      <c r="J1638" s="851">
        <v>71.31</v>
      </c>
      <c r="K1638" s="848" t="s">
        <v>13921</v>
      </c>
    </row>
    <row r="1639" spans="2:11">
      <c r="B1639" s="848">
        <v>1636</v>
      </c>
      <c r="C1639" s="848" t="s">
        <v>1403</v>
      </c>
      <c r="D1639" s="849" t="s">
        <v>8079</v>
      </c>
      <c r="E1639" s="848" t="s">
        <v>10754</v>
      </c>
      <c r="F1639" s="848" t="s">
        <v>13922</v>
      </c>
      <c r="G1639" s="850" t="s">
        <v>10820</v>
      </c>
      <c r="H1639" s="849" t="s">
        <v>10716</v>
      </c>
      <c r="I1639" s="849"/>
      <c r="J1639" s="851">
        <v>95.08</v>
      </c>
      <c r="K1639" s="848" t="s">
        <v>13923</v>
      </c>
    </row>
    <row r="1640" spans="2:11">
      <c r="B1640" s="848">
        <v>1637</v>
      </c>
      <c r="C1640" s="848" t="s">
        <v>1403</v>
      </c>
      <c r="D1640" s="849" t="s">
        <v>8079</v>
      </c>
      <c r="E1640" s="848" t="s">
        <v>10754</v>
      </c>
      <c r="F1640" s="848" t="s">
        <v>11607</v>
      </c>
      <c r="G1640" s="850" t="s">
        <v>10837</v>
      </c>
      <c r="H1640" s="849" t="s">
        <v>10716</v>
      </c>
      <c r="I1640" s="849"/>
      <c r="J1640" s="851">
        <v>47.54</v>
      </c>
      <c r="K1640" s="848" t="s">
        <v>13924</v>
      </c>
    </row>
    <row r="1641" spans="2:11">
      <c r="B1641" s="848">
        <v>1638</v>
      </c>
      <c r="C1641" s="848" t="s">
        <v>13925</v>
      </c>
      <c r="D1641" s="849" t="s">
        <v>5732</v>
      </c>
      <c r="E1641" s="848" t="s">
        <v>3278</v>
      </c>
      <c r="F1641" s="848" t="s">
        <v>12209</v>
      </c>
      <c r="G1641" s="850" t="s">
        <v>13926</v>
      </c>
      <c r="H1641" s="849" t="s">
        <v>10716</v>
      </c>
      <c r="I1641" s="849"/>
      <c r="J1641" s="851">
        <v>3.64</v>
      </c>
      <c r="K1641" s="848" t="s">
        <v>6631</v>
      </c>
    </row>
    <row r="1642" spans="2:11">
      <c r="B1642" s="848">
        <v>1639</v>
      </c>
      <c r="C1642" s="848" t="s">
        <v>1446</v>
      </c>
      <c r="D1642" s="849" t="s">
        <v>10195</v>
      </c>
      <c r="E1642" s="848" t="s">
        <v>10778</v>
      </c>
      <c r="F1642" s="848" t="s">
        <v>13753</v>
      </c>
      <c r="G1642" s="850" t="s">
        <v>12744</v>
      </c>
      <c r="H1642" s="849" t="s">
        <v>10716</v>
      </c>
      <c r="I1642" s="849"/>
      <c r="J1642" s="851">
        <v>9.18</v>
      </c>
      <c r="K1642" s="848" t="s">
        <v>5982</v>
      </c>
    </row>
    <row r="1643" spans="2:11">
      <c r="B1643" s="848">
        <v>1640</v>
      </c>
      <c r="C1643" s="848" t="s">
        <v>1446</v>
      </c>
      <c r="D1643" s="849" t="s">
        <v>10195</v>
      </c>
      <c r="E1643" s="848" t="s">
        <v>10778</v>
      </c>
      <c r="F1643" s="848" t="s">
        <v>11612</v>
      </c>
      <c r="G1643" s="850" t="s">
        <v>12758</v>
      </c>
      <c r="H1643" s="849" t="s">
        <v>10716</v>
      </c>
      <c r="I1643" s="849"/>
      <c r="J1643" s="851">
        <v>9.18</v>
      </c>
      <c r="K1643" s="848" t="s">
        <v>5983</v>
      </c>
    </row>
    <row r="1644" spans="2:11">
      <c r="B1644" s="848">
        <v>1641</v>
      </c>
      <c r="C1644" s="848" t="s">
        <v>13927</v>
      </c>
      <c r="D1644" s="849" t="s">
        <v>13928</v>
      </c>
      <c r="E1644" s="848" t="s">
        <v>10778</v>
      </c>
      <c r="F1644" s="848" t="s">
        <v>11602</v>
      </c>
      <c r="G1644" s="850" t="s">
        <v>13929</v>
      </c>
      <c r="H1644" s="849" t="s">
        <v>10716</v>
      </c>
      <c r="I1644" s="849"/>
      <c r="J1644" s="851">
        <v>522.94000000000005</v>
      </c>
      <c r="K1644" s="848" t="s">
        <v>6428</v>
      </c>
    </row>
    <row r="1645" spans="2:11">
      <c r="B1645" s="848">
        <v>1642</v>
      </c>
      <c r="C1645" s="848" t="s">
        <v>13927</v>
      </c>
      <c r="D1645" s="849" t="s">
        <v>13928</v>
      </c>
      <c r="E1645" s="848" t="s">
        <v>10778</v>
      </c>
      <c r="F1645" s="848" t="s">
        <v>11707</v>
      </c>
      <c r="G1645" s="850" t="s">
        <v>13285</v>
      </c>
      <c r="H1645" s="849" t="s">
        <v>10716</v>
      </c>
      <c r="I1645" s="849"/>
      <c r="J1645" s="851">
        <v>665.56</v>
      </c>
      <c r="K1645" s="848" t="s">
        <v>6429</v>
      </c>
    </row>
    <row r="1646" spans="2:11">
      <c r="B1646" s="848">
        <v>1643</v>
      </c>
      <c r="C1646" s="848" t="s">
        <v>1435</v>
      </c>
      <c r="D1646" s="849" t="s">
        <v>313</v>
      </c>
      <c r="E1646" s="848" t="s">
        <v>13930</v>
      </c>
      <c r="F1646" s="848" t="s">
        <v>11604</v>
      </c>
      <c r="G1646" s="850" t="s">
        <v>13931</v>
      </c>
      <c r="H1646" s="849" t="s">
        <v>10716</v>
      </c>
      <c r="I1646" s="849"/>
      <c r="J1646" s="851">
        <v>318.89</v>
      </c>
      <c r="K1646" s="848" t="s">
        <v>6720</v>
      </c>
    </row>
    <row r="1647" spans="2:11">
      <c r="B1647" s="848">
        <v>1644</v>
      </c>
      <c r="C1647" s="848" t="s">
        <v>1425</v>
      </c>
      <c r="D1647" s="849" t="s">
        <v>235</v>
      </c>
      <c r="E1647" s="848" t="s">
        <v>3344</v>
      </c>
      <c r="F1647" s="848" t="s">
        <v>13932</v>
      </c>
      <c r="G1647" s="850" t="s">
        <v>12782</v>
      </c>
      <c r="H1647" s="849" t="s">
        <v>10716</v>
      </c>
      <c r="I1647" s="849"/>
      <c r="J1647" s="851">
        <v>47.54</v>
      </c>
      <c r="K1647" s="848" t="s">
        <v>6311</v>
      </c>
    </row>
    <row r="1648" spans="2:11">
      <c r="B1648" s="848">
        <v>1645</v>
      </c>
      <c r="C1648" s="848" t="s">
        <v>1425</v>
      </c>
      <c r="D1648" s="849" t="s">
        <v>235</v>
      </c>
      <c r="E1648" s="848" t="s">
        <v>3344</v>
      </c>
      <c r="F1648" s="848" t="s">
        <v>13933</v>
      </c>
      <c r="G1648" s="850" t="s">
        <v>12786</v>
      </c>
      <c r="H1648" s="849" t="s">
        <v>10716</v>
      </c>
      <c r="I1648" s="849"/>
      <c r="J1648" s="851">
        <v>95.08</v>
      </c>
      <c r="K1648" s="848" t="s">
        <v>6312</v>
      </c>
    </row>
    <row r="1649" spans="2:11">
      <c r="B1649" s="848">
        <v>1646</v>
      </c>
      <c r="C1649" s="848" t="s">
        <v>13934</v>
      </c>
      <c r="D1649" s="849" t="s">
        <v>13935</v>
      </c>
      <c r="E1649" s="848" t="s">
        <v>13728</v>
      </c>
      <c r="F1649" s="848" t="s">
        <v>12824</v>
      </c>
      <c r="G1649" s="850" t="s">
        <v>11808</v>
      </c>
      <c r="H1649" s="849" t="s">
        <v>10716</v>
      </c>
      <c r="I1649" s="849"/>
      <c r="J1649" s="851">
        <v>31</v>
      </c>
      <c r="K1649" s="848" t="s">
        <v>13936</v>
      </c>
    </row>
    <row r="1650" spans="2:11">
      <c r="B1650" s="848">
        <v>1647</v>
      </c>
      <c r="C1650" s="848" t="s">
        <v>13934</v>
      </c>
      <c r="D1650" s="849" t="s">
        <v>13935</v>
      </c>
      <c r="E1650" s="848" t="s">
        <v>13728</v>
      </c>
      <c r="F1650" s="848" t="s">
        <v>12828</v>
      </c>
      <c r="G1650" s="850" t="s">
        <v>11806</v>
      </c>
      <c r="H1650" s="849" t="s">
        <v>10716</v>
      </c>
      <c r="I1650" s="849"/>
      <c r="J1650" s="851">
        <v>31</v>
      </c>
      <c r="K1650" s="848" t="s">
        <v>13937</v>
      </c>
    </row>
    <row r="1651" spans="2:11">
      <c r="B1651" s="848">
        <v>1648</v>
      </c>
      <c r="C1651" s="848" t="s">
        <v>13938</v>
      </c>
      <c r="D1651" s="849" t="s">
        <v>13939</v>
      </c>
      <c r="E1651" s="848" t="s">
        <v>9469</v>
      </c>
      <c r="F1651" s="848" t="s">
        <v>11289</v>
      </c>
      <c r="G1651" s="850" t="s">
        <v>13748</v>
      </c>
      <c r="H1651" s="849" t="s">
        <v>10716</v>
      </c>
      <c r="I1651" s="849"/>
      <c r="J1651" s="851">
        <v>7863.29</v>
      </c>
      <c r="K1651" s="848" t="s">
        <v>13940</v>
      </c>
    </row>
    <row r="1652" spans="2:11">
      <c r="B1652" s="848">
        <v>1649</v>
      </c>
      <c r="C1652" s="848" t="s">
        <v>13938</v>
      </c>
      <c r="D1652" s="849" t="s">
        <v>13939</v>
      </c>
      <c r="E1652" s="848" t="s">
        <v>9469</v>
      </c>
      <c r="F1652" s="848" t="s">
        <v>13941</v>
      </c>
      <c r="G1652" s="850" t="s">
        <v>13652</v>
      </c>
      <c r="H1652" s="849" t="s">
        <v>10716</v>
      </c>
      <c r="I1652" s="849"/>
      <c r="J1652" s="851">
        <v>4611.4399999999996</v>
      </c>
      <c r="K1652" s="848" t="s">
        <v>13942</v>
      </c>
    </row>
    <row r="1653" spans="2:11">
      <c r="B1653" s="848">
        <v>1650</v>
      </c>
      <c r="C1653" s="848" t="s">
        <v>13938</v>
      </c>
      <c r="D1653" s="849" t="s">
        <v>13939</v>
      </c>
      <c r="E1653" s="848" t="s">
        <v>9469</v>
      </c>
      <c r="F1653" s="848" t="s">
        <v>11290</v>
      </c>
      <c r="G1653" s="850" t="s">
        <v>13679</v>
      </c>
      <c r="H1653" s="849" t="s">
        <v>10716</v>
      </c>
      <c r="I1653" s="849"/>
      <c r="J1653" s="851">
        <v>4069.6</v>
      </c>
      <c r="K1653" s="848" t="s">
        <v>13942</v>
      </c>
    </row>
    <row r="1654" spans="2:11">
      <c r="B1654" s="848">
        <v>1651</v>
      </c>
      <c r="C1654" s="848" t="s">
        <v>13938</v>
      </c>
      <c r="D1654" s="849" t="s">
        <v>13939</v>
      </c>
      <c r="E1654" s="848" t="s">
        <v>9469</v>
      </c>
      <c r="F1654" s="848" t="s">
        <v>13943</v>
      </c>
      <c r="G1654" s="850" t="s">
        <v>13716</v>
      </c>
      <c r="H1654" s="849" t="s">
        <v>10716</v>
      </c>
      <c r="I1654" s="849"/>
      <c r="J1654" s="851">
        <v>4181.5600000000004</v>
      </c>
      <c r="K1654" s="848" t="s">
        <v>13944</v>
      </c>
    </row>
    <row r="1655" spans="2:11">
      <c r="B1655" s="848">
        <v>1652</v>
      </c>
      <c r="C1655" s="848" t="s">
        <v>13938</v>
      </c>
      <c r="D1655" s="849" t="s">
        <v>13939</v>
      </c>
      <c r="E1655" s="848" t="s">
        <v>9469</v>
      </c>
      <c r="F1655" s="848" t="s">
        <v>11301</v>
      </c>
      <c r="G1655" s="850" t="s">
        <v>13681</v>
      </c>
      <c r="H1655" s="849" t="s">
        <v>10716</v>
      </c>
      <c r="I1655" s="849"/>
      <c r="J1655" s="851">
        <v>4107.08</v>
      </c>
      <c r="K1655" s="848" t="s">
        <v>13945</v>
      </c>
    </row>
    <row r="1656" spans="2:11">
      <c r="B1656" s="848">
        <v>1653</v>
      </c>
      <c r="C1656" s="848" t="s">
        <v>13938</v>
      </c>
      <c r="D1656" s="849" t="s">
        <v>13939</v>
      </c>
      <c r="E1656" s="848" t="s">
        <v>9469</v>
      </c>
      <c r="F1656" s="848" t="s">
        <v>11426</v>
      </c>
      <c r="G1656" s="850" t="s">
        <v>13647</v>
      </c>
      <c r="H1656" s="849" t="s">
        <v>10716</v>
      </c>
      <c r="I1656" s="849"/>
      <c r="J1656" s="851">
        <v>5276.68</v>
      </c>
      <c r="K1656" s="848" t="s">
        <v>13946</v>
      </c>
    </row>
    <row r="1657" spans="2:11">
      <c r="B1657" s="848">
        <v>1654</v>
      </c>
      <c r="C1657" s="848" t="s">
        <v>13938</v>
      </c>
      <c r="D1657" s="849" t="s">
        <v>13939</v>
      </c>
      <c r="E1657" s="848" t="s">
        <v>9469</v>
      </c>
      <c r="F1657" s="848" t="s">
        <v>11334</v>
      </c>
      <c r="G1657" s="850" t="s">
        <v>13650</v>
      </c>
      <c r="H1657" s="849" t="s">
        <v>10716</v>
      </c>
      <c r="I1657" s="849"/>
      <c r="J1657" s="851">
        <v>4650.5200000000004</v>
      </c>
      <c r="K1657" s="848" t="s">
        <v>13947</v>
      </c>
    </row>
    <row r="1658" spans="2:11">
      <c r="B1658" s="848">
        <v>1655</v>
      </c>
      <c r="C1658" s="848" t="s">
        <v>13938</v>
      </c>
      <c r="D1658" s="849" t="s">
        <v>13939</v>
      </c>
      <c r="E1658" s="848" t="s">
        <v>9469</v>
      </c>
      <c r="F1658" s="848" t="s">
        <v>11430</v>
      </c>
      <c r="G1658" s="850" t="s">
        <v>13713</v>
      </c>
      <c r="H1658" s="849" t="s">
        <v>10716</v>
      </c>
      <c r="I1658" s="849"/>
      <c r="J1658" s="851">
        <v>4104.08</v>
      </c>
      <c r="K1658" s="848" t="s">
        <v>13947</v>
      </c>
    </row>
    <row r="1659" spans="2:11">
      <c r="B1659" s="848">
        <v>1656</v>
      </c>
      <c r="C1659" s="848" t="s">
        <v>13938</v>
      </c>
      <c r="D1659" s="849" t="s">
        <v>13939</v>
      </c>
      <c r="E1659" s="848" t="s">
        <v>9469</v>
      </c>
      <c r="F1659" s="848" t="s">
        <v>11434</v>
      </c>
      <c r="G1659" s="850" t="s">
        <v>13750</v>
      </c>
      <c r="H1659" s="849" t="s">
        <v>10716</v>
      </c>
      <c r="I1659" s="849"/>
      <c r="J1659" s="851">
        <v>6863.13</v>
      </c>
      <c r="K1659" s="848" t="s">
        <v>13948</v>
      </c>
    </row>
    <row r="1660" spans="2:11">
      <c r="B1660" s="848">
        <v>1657</v>
      </c>
      <c r="C1660" s="848" t="s">
        <v>13938</v>
      </c>
      <c r="D1660" s="849" t="s">
        <v>13939</v>
      </c>
      <c r="E1660" s="848" t="s">
        <v>3758</v>
      </c>
      <c r="F1660" s="848" t="s">
        <v>11293</v>
      </c>
      <c r="G1660" s="850" t="s">
        <v>13949</v>
      </c>
      <c r="H1660" s="849" t="s">
        <v>10716</v>
      </c>
      <c r="I1660" s="849"/>
      <c r="J1660" s="851">
        <v>3690.23</v>
      </c>
      <c r="K1660" s="848" t="s">
        <v>13944</v>
      </c>
    </row>
    <row r="1661" spans="2:11">
      <c r="B1661" s="848">
        <v>1658</v>
      </c>
      <c r="C1661" s="848" t="s">
        <v>13938</v>
      </c>
      <c r="D1661" s="849" t="s">
        <v>13939</v>
      </c>
      <c r="E1661" s="848" t="s">
        <v>11310</v>
      </c>
      <c r="F1661" s="848" t="s">
        <v>13950</v>
      </c>
      <c r="G1661" s="850" t="s">
        <v>13932</v>
      </c>
      <c r="H1661" s="849" t="s">
        <v>10716</v>
      </c>
      <c r="I1661" s="849"/>
      <c r="J1661" s="851">
        <v>8910.24</v>
      </c>
      <c r="K1661" s="848" t="s">
        <v>13940</v>
      </c>
    </row>
    <row r="1662" spans="2:11">
      <c r="B1662" s="848">
        <v>1659</v>
      </c>
      <c r="C1662" s="848" t="s">
        <v>13938</v>
      </c>
      <c r="D1662" s="849" t="s">
        <v>13939</v>
      </c>
      <c r="E1662" s="848" t="s">
        <v>11310</v>
      </c>
      <c r="F1662" s="848" t="s">
        <v>13951</v>
      </c>
      <c r="G1662" s="850" t="s">
        <v>13951</v>
      </c>
      <c r="H1662" s="849" t="s">
        <v>10716</v>
      </c>
      <c r="I1662" s="849"/>
      <c r="J1662" s="851">
        <v>4650.5200000000004</v>
      </c>
      <c r="K1662" s="848" t="s">
        <v>13945</v>
      </c>
    </row>
    <row r="1663" spans="2:11">
      <c r="B1663" s="848">
        <v>1660</v>
      </c>
      <c r="C1663" s="848" t="s">
        <v>13938</v>
      </c>
      <c r="D1663" s="849" t="s">
        <v>13939</v>
      </c>
      <c r="E1663" s="848" t="s">
        <v>11310</v>
      </c>
      <c r="F1663" s="848" t="s">
        <v>11340</v>
      </c>
      <c r="G1663" s="850" t="s">
        <v>13950</v>
      </c>
      <c r="H1663" s="849" t="s">
        <v>10716</v>
      </c>
      <c r="I1663" s="849"/>
      <c r="J1663" s="851">
        <v>5979.24</v>
      </c>
      <c r="K1663" s="848" t="s">
        <v>13946</v>
      </c>
    </row>
    <row r="1664" spans="2:11">
      <c r="B1664" s="848">
        <v>1661</v>
      </c>
      <c r="C1664" s="848" t="s">
        <v>13938</v>
      </c>
      <c r="D1664" s="849" t="s">
        <v>13939</v>
      </c>
      <c r="E1664" s="848" t="s">
        <v>11310</v>
      </c>
      <c r="F1664" s="848" t="s">
        <v>12284</v>
      </c>
      <c r="G1664" s="850" t="s">
        <v>13933</v>
      </c>
      <c r="H1664" s="849" t="s">
        <v>10716</v>
      </c>
      <c r="I1664" s="849"/>
      <c r="J1664" s="851">
        <v>7776.92</v>
      </c>
      <c r="K1664" s="848" t="s">
        <v>13948</v>
      </c>
    </row>
    <row r="1665" spans="2:11">
      <c r="B1665" s="848">
        <v>1662</v>
      </c>
      <c r="C1665" s="848" t="s">
        <v>13938</v>
      </c>
      <c r="D1665" s="849" t="s">
        <v>13939</v>
      </c>
      <c r="E1665" s="848" t="s">
        <v>11310</v>
      </c>
      <c r="F1665" s="848" t="s">
        <v>11436</v>
      </c>
      <c r="G1665" s="850" t="s">
        <v>13943</v>
      </c>
      <c r="H1665" s="849" t="s">
        <v>10716</v>
      </c>
      <c r="I1665" s="849"/>
      <c r="J1665" s="851">
        <v>4897.3100000000004</v>
      </c>
      <c r="K1665" s="848" t="s">
        <v>13952</v>
      </c>
    </row>
    <row r="1666" spans="2:11">
      <c r="B1666" s="848">
        <v>1663</v>
      </c>
      <c r="C1666" s="848" t="s">
        <v>13938</v>
      </c>
      <c r="D1666" s="849" t="s">
        <v>13939</v>
      </c>
      <c r="E1666" s="848" t="s">
        <v>11310</v>
      </c>
      <c r="F1666" s="848" t="s">
        <v>11338</v>
      </c>
      <c r="G1666" s="850" t="s">
        <v>13941</v>
      </c>
      <c r="H1666" s="849" t="s">
        <v>10716</v>
      </c>
      <c r="I1666" s="849"/>
      <c r="J1666" s="851">
        <v>5549.36</v>
      </c>
      <c r="K1666" s="848" t="s">
        <v>13952</v>
      </c>
    </row>
    <row r="1667" spans="2:11">
      <c r="B1667" s="848">
        <v>1664</v>
      </c>
      <c r="C1667" s="848" t="s">
        <v>13953</v>
      </c>
      <c r="D1667" s="849" t="s">
        <v>13939</v>
      </c>
      <c r="E1667" s="848" t="s">
        <v>13954</v>
      </c>
      <c r="F1667" s="848" t="s">
        <v>12354</v>
      </c>
      <c r="G1667" s="850" t="s">
        <v>13955</v>
      </c>
      <c r="H1667" s="849" t="s">
        <v>10716</v>
      </c>
      <c r="I1667" s="849"/>
      <c r="J1667" s="851">
        <v>301.27841999999998</v>
      </c>
      <c r="K1667" s="848" t="s">
        <v>6017</v>
      </c>
    </row>
    <row r="1668" spans="2:11">
      <c r="B1668" s="848">
        <v>1665</v>
      </c>
      <c r="C1668" s="848" t="s">
        <v>13953</v>
      </c>
      <c r="D1668" s="849" t="s">
        <v>13939</v>
      </c>
      <c r="E1668" s="848" t="s">
        <v>13954</v>
      </c>
      <c r="F1668" s="848" t="s">
        <v>12352</v>
      </c>
      <c r="G1668" s="850" t="s">
        <v>13956</v>
      </c>
      <c r="H1668" s="849" t="s">
        <v>10716</v>
      </c>
      <c r="I1668" s="849"/>
      <c r="J1668" s="851">
        <v>247.53686399999998</v>
      </c>
      <c r="K1668" s="848" t="s">
        <v>6018</v>
      </c>
    </row>
    <row r="1669" spans="2:11">
      <c r="B1669" s="848">
        <v>1666</v>
      </c>
      <c r="C1669" s="848" t="s">
        <v>1383</v>
      </c>
      <c r="D1669" s="849" t="s">
        <v>344</v>
      </c>
      <c r="E1669" s="848" t="s">
        <v>8582</v>
      </c>
      <c r="F1669" s="848" t="s">
        <v>11332</v>
      </c>
      <c r="G1669" s="850" t="s">
        <v>13017</v>
      </c>
      <c r="H1669" s="849" t="s">
        <v>10716</v>
      </c>
      <c r="I1669" s="849"/>
      <c r="J1669" s="851">
        <v>11.48</v>
      </c>
      <c r="K1669" s="848" t="s">
        <v>6514</v>
      </c>
    </row>
    <row r="1670" spans="2:11">
      <c r="B1670" s="848">
        <v>1667</v>
      </c>
      <c r="C1670" s="848" t="s">
        <v>1383</v>
      </c>
      <c r="D1670" s="849" t="s">
        <v>344</v>
      </c>
      <c r="E1670" s="848" t="s">
        <v>8582</v>
      </c>
      <c r="F1670" s="848" t="s">
        <v>11330</v>
      </c>
      <c r="G1670" s="850" t="s">
        <v>13022</v>
      </c>
      <c r="H1670" s="849" t="s">
        <v>10716</v>
      </c>
      <c r="I1670" s="849"/>
      <c r="J1670" s="851">
        <v>4.59</v>
      </c>
      <c r="K1670" s="848" t="s">
        <v>6515</v>
      </c>
    </row>
    <row r="1671" spans="2:11">
      <c r="B1671" s="848">
        <v>1668</v>
      </c>
      <c r="C1671" s="848" t="s">
        <v>1383</v>
      </c>
      <c r="D1671" s="849" t="s">
        <v>344</v>
      </c>
      <c r="E1671" s="848" t="s">
        <v>8582</v>
      </c>
      <c r="F1671" s="848" t="s">
        <v>13106</v>
      </c>
      <c r="G1671" s="850" t="s">
        <v>13026</v>
      </c>
      <c r="H1671" s="849" t="s">
        <v>10716</v>
      </c>
      <c r="I1671" s="849"/>
      <c r="J1671" s="851">
        <v>6.89</v>
      </c>
      <c r="K1671" s="848" t="s">
        <v>6516</v>
      </c>
    </row>
    <row r="1672" spans="2:11">
      <c r="B1672" s="848">
        <v>1669</v>
      </c>
      <c r="C1672" s="848" t="s">
        <v>1383</v>
      </c>
      <c r="D1672" s="849" t="s">
        <v>344</v>
      </c>
      <c r="E1672" s="848" t="s">
        <v>8582</v>
      </c>
      <c r="F1672" s="848" t="s">
        <v>12820</v>
      </c>
      <c r="G1672" s="850" t="s">
        <v>13023</v>
      </c>
      <c r="H1672" s="849" t="s">
        <v>10716</v>
      </c>
      <c r="I1672" s="849"/>
      <c r="J1672" s="851">
        <v>0.33</v>
      </c>
      <c r="K1672" s="848" t="s">
        <v>13957</v>
      </c>
    </row>
    <row r="1673" spans="2:11">
      <c r="B1673" s="848">
        <v>1670</v>
      </c>
      <c r="C1673" s="848" t="s">
        <v>1345</v>
      </c>
      <c r="D1673" s="849" t="s">
        <v>261</v>
      </c>
      <c r="E1673" s="848" t="s">
        <v>8582</v>
      </c>
      <c r="F1673" s="848" t="s">
        <v>11312</v>
      </c>
      <c r="G1673" s="850" t="s">
        <v>12379</v>
      </c>
      <c r="H1673" s="849" t="s">
        <v>10716</v>
      </c>
      <c r="I1673" s="849"/>
      <c r="J1673" s="851">
        <v>3517.96</v>
      </c>
      <c r="K1673" s="848" t="s">
        <v>5917</v>
      </c>
    </row>
    <row r="1674" spans="2:11">
      <c r="B1674" s="848">
        <v>1671</v>
      </c>
      <c r="C1674" s="848" t="s">
        <v>1345</v>
      </c>
      <c r="D1674" s="849" t="s">
        <v>261</v>
      </c>
      <c r="E1674" s="848" t="s">
        <v>8582</v>
      </c>
      <c r="F1674" s="848" t="s">
        <v>11315</v>
      </c>
      <c r="G1674" s="850" t="s">
        <v>12391</v>
      </c>
      <c r="H1674" s="849" t="s">
        <v>10716</v>
      </c>
      <c r="I1674" s="849"/>
      <c r="J1674" s="851">
        <v>2091.7600000000002</v>
      </c>
      <c r="K1674" s="848" t="s">
        <v>6449</v>
      </c>
    </row>
    <row r="1675" spans="2:11">
      <c r="B1675" s="848">
        <v>1672</v>
      </c>
      <c r="C1675" s="848" t="s">
        <v>1345</v>
      </c>
      <c r="D1675" s="849" t="s">
        <v>261</v>
      </c>
      <c r="E1675" s="848" t="s">
        <v>8582</v>
      </c>
      <c r="F1675" s="848" t="s">
        <v>11326</v>
      </c>
      <c r="G1675" s="850" t="s">
        <v>12377</v>
      </c>
      <c r="H1675" s="849" t="s">
        <v>10716</v>
      </c>
      <c r="I1675" s="849"/>
      <c r="J1675" s="851">
        <v>689.33</v>
      </c>
      <c r="K1675" s="848" t="s">
        <v>6450</v>
      </c>
    </row>
    <row r="1676" spans="2:11">
      <c r="B1676" s="848">
        <v>1673</v>
      </c>
      <c r="C1676" s="848" t="s">
        <v>13958</v>
      </c>
      <c r="D1676" s="849" t="s">
        <v>13959</v>
      </c>
      <c r="E1676" s="848" t="s">
        <v>10778</v>
      </c>
      <c r="F1676" s="848" t="s">
        <v>12826</v>
      </c>
      <c r="G1676" s="850" t="s">
        <v>13960</v>
      </c>
      <c r="H1676" s="849" t="s">
        <v>10716</v>
      </c>
      <c r="I1676" s="849"/>
      <c r="J1676" s="851">
        <v>15.34</v>
      </c>
      <c r="K1676" s="848" t="s">
        <v>5919</v>
      </c>
    </row>
    <row r="1677" spans="2:11">
      <c r="B1677" s="848">
        <v>1674</v>
      </c>
      <c r="C1677" s="848" t="s">
        <v>13958</v>
      </c>
      <c r="D1677" s="849" t="s">
        <v>13959</v>
      </c>
      <c r="E1677" s="848" t="s">
        <v>9472</v>
      </c>
      <c r="F1677" s="848" t="s">
        <v>11318</v>
      </c>
      <c r="G1677" s="850" t="s">
        <v>13961</v>
      </c>
      <c r="H1677" s="849" t="s">
        <v>10716</v>
      </c>
      <c r="I1677" s="849"/>
      <c r="J1677" s="851">
        <v>713.1</v>
      </c>
      <c r="K1677" s="848" t="s">
        <v>13962</v>
      </c>
    </row>
    <row r="1678" spans="2:11">
      <c r="B1678" s="848">
        <v>1675</v>
      </c>
      <c r="C1678" s="848" t="s">
        <v>13958</v>
      </c>
      <c r="D1678" s="849" t="s">
        <v>13959</v>
      </c>
      <c r="E1678" s="848" t="s">
        <v>3233</v>
      </c>
      <c r="F1678" s="848" t="s">
        <v>13551</v>
      </c>
      <c r="G1678" s="850" t="s">
        <v>13394</v>
      </c>
      <c r="H1678" s="849" t="s">
        <v>10716</v>
      </c>
      <c r="I1678" s="849"/>
      <c r="J1678" s="851">
        <v>424.37</v>
      </c>
      <c r="K1678" s="848" t="s">
        <v>5919</v>
      </c>
    </row>
    <row r="1679" spans="2:11">
      <c r="B1679" s="848">
        <v>1676</v>
      </c>
      <c r="C1679" s="848" t="s">
        <v>1439</v>
      </c>
      <c r="D1679" s="849" t="s">
        <v>13963</v>
      </c>
      <c r="E1679" s="848" t="s">
        <v>13524</v>
      </c>
      <c r="F1679" s="848" t="s">
        <v>13964</v>
      </c>
      <c r="G1679" s="850" t="s">
        <v>13965</v>
      </c>
      <c r="H1679" s="849" t="s">
        <v>10716</v>
      </c>
      <c r="I1679" s="849"/>
      <c r="J1679" s="851">
        <v>146.62</v>
      </c>
      <c r="K1679" s="848" t="s">
        <v>5961</v>
      </c>
    </row>
    <row r="1680" spans="2:11">
      <c r="B1680" s="848">
        <v>1677</v>
      </c>
      <c r="C1680" s="848" t="s">
        <v>13966</v>
      </c>
      <c r="D1680" s="849" t="s">
        <v>13967</v>
      </c>
      <c r="E1680" s="848" t="s">
        <v>9469</v>
      </c>
      <c r="F1680" s="848" t="s">
        <v>11431</v>
      </c>
      <c r="G1680" s="850" t="s">
        <v>13758</v>
      </c>
      <c r="H1680" s="849" t="s">
        <v>10716</v>
      </c>
      <c r="I1680" s="849"/>
      <c r="J1680" s="851">
        <v>766.73</v>
      </c>
      <c r="K1680" s="848" t="s">
        <v>13968</v>
      </c>
    </row>
    <row r="1681" spans="2:11">
      <c r="B1681" s="848">
        <v>1678</v>
      </c>
      <c r="C1681" s="848" t="s">
        <v>13966</v>
      </c>
      <c r="D1681" s="849" t="s">
        <v>13967</v>
      </c>
      <c r="E1681" s="848" t="s">
        <v>9469</v>
      </c>
      <c r="F1681" s="848" t="s">
        <v>10748</v>
      </c>
      <c r="G1681" s="850" t="s">
        <v>13760</v>
      </c>
      <c r="H1681" s="849" t="s">
        <v>10716</v>
      </c>
      <c r="I1681" s="849"/>
      <c r="J1681" s="851">
        <v>766.73</v>
      </c>
      <c r="K1681" s="848" t="s">
        <v>13969</v>
      </c>
    </row>
    <row r="1682" spans="2:11">
      <c r="B1682" s="848">
        <v>1679</v>
      </c>
      <c r="C1682" s="848" t="s">
        <v>13966</v>
      </c>
      <c r="D1682" s="849" t="s">
        <v>13967</v>
      </c>
      <c r="E1682" s="848" t="s">
        <v>9469</v>
      </c>
      <c r="F1682" s="848" t="s">
        <v>11699</v>
      </c>
      <c r="G1682" s="850" t="s">
        <v>13765</v>
      </c>
      <c r="H1682" s="849" t="s">
        <v>10716</v>
      </c>
      <c r="I1682" s="849"/>
      <c r="J1682" s="851">
        <v>766.73</v>
      </c>
      <c r="K1682" s="848" t="s">
        <v>13970</v>
      </c>
    </row>
    <row r="1683" spans="2:11">
      <c r="B1683" s="848">
        <v>1680</v>
      </c>
      <c r="C1683" s="848" t="s">
        <v>13966</v>
      </c>
      <c r="D1683" s="849" t="s">
        <v>13967</v>
      </c>
      <c r="E1683" s="848" t="s">
        <v>9469</v>
      </c>
      <c r="F1683" s="848" t="s">
        <v>12496</v>
      </c>
      <c r="G1683" s="850" t="s">
        <v>13775</v>
      </c>
      <c r="H1683" s="849" t="s">
        <v>10716</v>
      </c>
      <c r="I1683" s="849"/>
      <c r="J1683" s="851">
        <v>613.38</v>
      </c>
      <c r="K1683" s="848" t="s">
        <v>13971</v>
      </c>
    </row>
    <row r="1684" spans="2:11">
      <c r="B1684" s="848">
        <v>1681</v>
      </c>
      <c r="C1684" s="848" t="s">
        <v>13966</v>
      </c>
      <c r="D1684" s="849" t="s">
        <v>13967</v>
      </c>
      <c r="E1684" s="848" t="s">
        <v>9469</v>
      </c>
      <c r="F1684" s="848" t="s">
        <v>10751</v>
      </c>
      <c r="G1684" s="850" t="s">
        <v>13778</v>
      </c>
      <c r="H1684" s="849" t="s">
        <v>10716</v>
      </c>
      <c r="I1684" s="849"/>
      <c r="J1684" s="851">
        <v>766.73</v>
      </c>
      <c r="K1684" s="848" t="s">
        <v>13972</v>
      </c>
    </row>
    <row r="1685" spans="2:11">
      <c r="B1685" s="848">
        <v>1682</v>
      </c>
      <c r="C1685" s="848" t="s">
        <v>13966</v>
      </c>
      <c r="D1685" s="849" t="s">
        <v>13967</v>
      </c>
      <c r="E1685" s="848" t="s">
        <v>9469</v>
      </c>
      <c r="F1685" s="848" t="s">
        <v>12501</v>
      </c>
      <c r="G1685" s="850" t="s">
        <v>13784</v>
      </c>
      <c r="H1685" s="849" t="s">
        <v>10716</v>
      </c>
      <c r="I1685" s="849"/>
      <c r="J1685" s="851">
        <v>766.73</v>
      </c>
      <c r="K1685" s="848" t="s">
        <v>13973</v>
      </c>
    </row>
    <row r="1686" spans="2:11">
      <c r="B1686" s="848">
        <v>1683</v>
      </c>
      <c r="C1686" s="848" t="s">
        <v>13966</v>
      </c>
      <c r="D1686" s="849" t="s">
        <v>13967</v>
      </c>
      <c r="E1686" s="848" t="s">
        <v>9469</v>
      </c>
      <c r="F1686" s="848" t="s">
        <v>12294</v>
      </c>
      <c r="G1686" s="850" t="s">
        <v>13788</v>
      </c>
      <c r="H1686" s="849" t="s">
        <v>10716</v>
      </c>
      <c r="I1686" s="849"/>
      <c r="J1686" s="851">
        <v>766.73</v>
      </c>
      <c r="K1686" s="848" t="s">
        <v>13974</v>
      </c>
    </row>
    <row r="1687" spans="2:11">
      <c r="B1687" s="848">
        <v>1684</v>
      </c>
      <c r="C1687" s="848" t="s">
        <v>13966</v>
      </c>
      <c r="D1687" s="849" t="s">
        <v>13967</v>
      </c>
      <c r="E1687" s="848" t="s">
        <v>9469</v>
      </c>
      <c r="F1687" s="848" t="s">
        <v>12297</v>
      </c>
      <c r="G1687" s="850" t="s">
        <v>13975</v>
      </c>
      <c r="H1687" s="849" t="s">
        <v>10716</v>
      </c>
      <c r="I1687" s="849"/>
      <c r="J1687" s="851">
        <v>766.73</v>
      </c>
      <c r="K1687" s="848" t="s">
        <v>13976</v>
      </c>
    </row>
    <row r="1688" spans="2:11">
      <c r="B1688" s="848">
        <v>1685</v>
      </c>
      <c r="C1688" s="848" t="s">
        <v>13966</v>
      </c>
      <c r="D1688" s="849" t="s">
        <v>13967</v>
      </c>
      <c r="E1688" s="848" t="s">
        <v>9469</v>
      </c>
      <c r="F1688" s="848" t="s">
        <v>12440</v>
      </c>
      <c r="G1688" s="850" t="s">
        <v>13977</v>
      </c>
      <c r="H1688" s="849" t="s">
        <v>10716</v>
      </c>
      <c r="I1688" s="849"/>
      <c r="J1688" s="851">
        <v>766.73</v>
      </c>
      <c r="K1688" s="848" t="s">
        <v>13978</v>
      </c>
    </row>
    <row r="1689" spans="2:11">
      <c r="B1689" s="848">
        <v>1686</v>
      </c>
      <c r="C1689" s="848" t="s">
        <v>13979</v>
      </c>
      <c r="D1689" s="849" t="s">
        <v>460</v>
      </c>
      <c r="E1689" s="848" t="s">
        <v>3220</v>
      </c>
      <c r="F1689" s="848" t="s">
        <v>13282</v>
      </c>
      <c r="G1689" s="850" t="s">
        <v>12151</v>
      </c>
      <c r="H1689" s="849" t="s">
        <v>10716</v>
      </c>
      <c r="I1689" s="849"/>
      <c r="J1689" s="851">
        <v>15.34</v>
      </c>
      <c r="K1689" s="848" t="s">
        <v>13980</v>
      </c>
    </row>
    <row r="1690" spans="2:11">
      <c r="B1690" s="848">
        <v>1687</v>
      </c>
      <c r="C1690" s="848" t="s">
        <v>13979</v>
      </c>
      <c r="D1690" s="849" t="s">
        <v>460</v>
      </c>
      <c r="E1690" s="848" t="s">
        <v>3220</v>
      </c>
      <c r="F1690" s="848" t="s">
        <v>13281</v>
      </c>
      <c r="G1690" s="850" t="s">
        <v>12149</v>
      </c>
      <c r="H1690" s="849" t="s">
        <v>10716</v>
      </c>
      <c r="I1690" s="849"/>
      <c r="J1690" s="851">
        <v>6.9</v>
      </c>
      <c r="K1690" s="848" t="s">
        <v>13981</v>
      </c>
    </row>
    <row r="1691" spans="2:11">
      <c r="B1691" s="848">
        <v>1688</v>
      </c>
      <c r="C1691" s="848" t="s">
        <v>13979</v>
      </c>
      <c r="D1691" s="849" t="s">
        <v>460</v>
      </c>
      <c r="E1691" s="848" t="s">
        <v>3220</v>
      </c>
      <c r="F1691" s="848" t="s">
        <v>12132</v>
      </c>
      <c r="G1691" s="850" t="s">
        <v>12135</v>
      </c>
      <c r="H1691" s="849" t="s">
        <v>10716</v>
      </c>
      <c r="I1691" s="849"/>
      <c r="J1691" s="851">
        <v>6.9</v>
      </c>
      <c r="K1691" s="848" t="s">
        <v>13982</v>
      </c>
    </row>
    <row r="1692" spans="2:11">
      <c r="B1692" s="848">
        <v>1689</v>
      </c>
      <c r="C1692" s="848" t="s">
        <v>1378</v>
      </c>
      <c r="D1692" s="849" t="s">
        <v>243</v>
      </c>
      <c r="E1692" s="848" t="s">
        <v>13983</v>
      </c>
      <c r="F1692" s="848" t="s">
        <v>13389</v>
      </c>
      <c r="G1692" s="850" t="s">
        <v>13984</v>
      </c>
      <c r="H1692" s="849" t="s">
        <v>10716</v>
      </c>
      <c r="I1692" s="849"/>
      <c r="J1692" s="851">
        <v>1236.04</v>
      </c>
      <c r="K1692" s="848" t="s">
        <v>6134</v>
      </c>
    </row>
    <row r="1693" spans="2:11">
      <c r="B1693" s="848">
        <v>1690</v>
      </c>
      <c r="C1693" s="848" t="s">
        <v>1378</v>
      </c>
      <c r="D1693" s="849" t="s">
        <v>243</v>
      </c>
      <c r="E1693" s="848" t="s">
        <v>12118</v>
      </c>
      <c r="F1693" s="848" t="s">
        <v>11324</v>
      </c>
      <c r="G1693" s="850" t="s">
        <v>13985</v>
      </c>
      <c r="H1693" s="849" t="s">
        <v>10716</v>
      </c>
      <c r="I1693" s="849"/>
      <c r="J1693" s="851">
        <v>760.64</v>
      </c>
      <c r="K1693" s="848" t="s">
        <v>5898</v>
      </c>
    </row>
    <row r="1694" spans="2:11">
      <c r="B1694" s="848">
        <v>1691</v>
      </c>
      <c r="C1694" s="848" t="s">
        <v>1378</v>
      </c>
      <c r="D1694" s="849" t="s">
        <v>243</v>
      </c>
      <c r="E1694" s="848" t="s">
        <v>12118</v>
      </c>
      <c r="F1694" s="848" t="s">
        <v>13755</v>
      </c>
      <c r="G1694" s="850" t="s">
        <v>13986</v>
      </c>
      <c r="H1694" s="849" t="s">
        <v>10716</v>
      </c>
      <c r="I1694" s="849"/>
      <c r="J1694" s="851">
        <v>499.17</v>
      </c>
      <c r="K1694" s="848" t="s">
        <v>6696</v>
      </c>
    </row>
    <row r="1695" spans="2:11">
      <c r="B1695" s="848">
        <v>1692</v>
      </c>
      <c r="C1695" s="848" t="s">
        <v>13987</v>
      </c>
      <c r="D1695" s="849" t="s">
        <v>318</v>
      </c>
      <c r="E1695" s="848" t="s">
        <v>3220</v>
      </c>
      <c r="F1695" s="848" t="s">
        <v>11068</v>
      </c>
      <c r="G1695" s="850" t="s">
        <v>12742</v>
      </c>
      <c r="H1695" s="849" t="s">
        <v>10716</v>
      </c>
      <c r="I1695" s="849"/>
      <c r="J1695" s="851">
        <v>61.9</v>
      </c>
      <c r="K1695" s="848" t="s">
        <v>6498</v>
      </c>
    </row>
    <row r="1696" spans="2:11">
      <c r="B1696" s="848">
        <v>1693</v>
      </c>
      <c r="C1696" s="848" t="s">
        <v>7149</v>
      </c>
      <c r="D1696" s="849" t="s">
        <v>8020</v>
      </c>
      <c r="E1696" s="848" t="s">
        <v>9420</v>
      </c>
      <c r="F1696" s="848" t="s">
        <v>13988</v>
      </c>
      <c r="G1696" s="850" t="s">
        <v>11700</v>
      </c>
      <c r="H1696" s="849" t="s">
        <v>10716</v>
      </c>
      <c r="I1696" s="849"/>
      <c r="J1696" s="851">
        <v>5.73</v>
      </c>
      <c r="K1696" s="848" t="s">
        <v>6011</v>
      </c>
    </row>
    <row r="1697" spans="2:11">
      <c r="B1697" s="848">
        <v>1694</v>
      </c>
      <c r="C1697" s="848" t="s">
        <v>7149</v>
      </c>
      <c r="D1697" s="849" t="s">
        <v>8020</v>
      </c>
      <c r="E1697" s="848" t="s">
        <v>11161</v>
      </c>
      <c r="F1697" s="848" t="s">
        <v>13989</v>
      </c>
      <c r="G1697" s="850" t="s">
        <v>11916</v>
      </c>
      <c r="H1697" s="849" t="s">
        <v>10716</v>
      </c>
      <c r="I1697" s="849"/>
      <c r="J1697" s="851">
        <v>13</v>
      </c>
      <c r="K1697" s="848" t="s">
        <v>6104</v>
      </c>
    </row>
    <row r="1698" spans="2:11">
      <c r="B1698" s="848">
        <v>1695</v>
      </c>
      <c r="C1698" s="848" t="s">
        <v>7149</v>
      </c>
      <c r="D1698" s="849" t="s">
        <v>8020</v>
      </c>
      <c r="E1698" s="848" t="s">
        <v>9471</v>
      </c>
      <c r="F1698" s="848" t="s">
        <v>13739</v>
      </c>
      <c r="G1698" s="850" t="s">
        <v>13990</v>
      </c>
      <c r="H1698" s="849" t="s">
        <v>10716</v>
      </c>
      <c r="I1698" s="849"/>
      <c r="J1698" s="851">
        <v>15</v>
      </c>
      <c r="K1698" s="848" t="s">
        <v>5750</v>
      </c>
    </row>
    <row r="1699" spans="2:11">
      <c r="B1699" s="848">
        <v>1696</v>
      </c>
      <c r="C1699" s="848" t="s">
        <v>7149</v>
      </c>
      <c r="D1699" s="849" t="s">
        <v>8020</v>
      </c>
      <c r="E1699" s="848" t="s">
        <v>9471</v>
      </c>
      <c r="F1699" s="848" t="s">
        <v>13740</v>
      </c>
      <c r="G1699" s="850" t="s">
        <v>13991</v>
      </c>
      <c r="H1699" s="849" t="s">
        <v>10716</v>
      </c>
      <c r="I1699" s="849"/>
      <c r="J1699" s="851">
        <v>22</v>
      </c>
      <c r="K1699" s="848" t="s">
        <v>5751</v>
      </c>
    </row>
    <row r="1700" spans="2:11">
      <c r="B1700" s="848">
        <v>1697</v>
      </c>
      <c r="C1700" s="848" t="s">
        <v>7149</v>
      </c>
      <c r="D1700" s="849" t="s">
        <v>8020</v>
      </c>
      <c r="E1700" s="848" t="s">
        <v>9471</v>
      </c>
      <c r="F1700" s="848" t="s">
        <v>11644</v>
      </c>
      <c r="G1700" s="850" t="s">
        <v>13992</v>
      </c>
      <c r="H1700" s="849" t="s">
        <v>10716</v>
      </c>
      <c r="I1700" s="849"/>
      <c r="J1700" s="851">
        <v>18</v>
      </c>
      <c r="K1700" s="848" t="s">
        <v>6236</v>
      </c>
    </row>
    <row r="1701" spans="2:11">
      <c r="B1701" s="848">
        <v>1698</v>
      </c>
      <c r="C1701" s="848" t="s">
        <v>7149</v>
      </c>
      <c r="D1701" s="849" t="s">
        <v>8020</v>
      </c>
      <c r="E1701" s="848" t="s">
        <v>11752</v>
      </c>
      <c r="F1701" s="848" t="s">
        <v>13993</v>
      </c>
      <c r="G1701" s="850" t="s">
        <v>13994</v>
      </c>
      <c r="H1701" s="849" t="s">
        <v>10716</v>
      </c>
      <c r="I1701" s="849"/>
      <c r="J1701" s="851">
        <v>21.58</v>
      </c>
      <c r="K1701" s="848" t="s">
        <v>5749</v>
      </c>
    </row>
    <row r="1702" spans="2:11">
      <c r="B1702" s="848">
        <v>1699</v>
      </c>
      <c r="C1702" s="848" t="s">
        <v>711</v>
      </c>
      <c r="D1702" s="849" t="s">
        <v>13995</v>
      </c>
      <c r="E1702" s="848" t="s">
        <v>3746</v>
      </c>
      <c r="F1702" s="848" t="s">
        <v>12593</v>
      </c>
      <c r="G1702" s="850" t="s">
        <v>12913</v>
      </c>
      <c r="H1702" s="849" t="s">
        <v>10716</v>
      </c>
      <c r="I1702" s="849"/>
      <c r="J1702" s="851">
        <v>4601</v>
      </c>
      <c r="K1702" s="848" t="s">
        <v>13996</v>
      </c>
    </row>
    <row r="1703" spans="2:11">
      <c r="B1703" s="848">
        <v>1700</v>
      </c>
      <c r="C1703" s="848" t="s">
        <v>7058</v>
      </c>
      <c r="D1703" s="849" t="s">
        <v>6888</v>
      </c>
      <c r="E1703" s="848" t="s">
        <v>12328</v>
      </c>
      <c r="F1703" s="848" t="s">
        <v>12489</v>
      </c>
      <c r="G1703" s="850" t="s">
        <v>13997</v>
      </c>
      <c r="H1703" s="849" t="s">
        <v>10716</v>
      </c>
      <c r="I1703" s="849"/>
      <c r="J1703" s="851">
        <v>7.73</v>
      </c>
      <c r="K1703" s="848" t="s">
        <v>6906</v>
      </c>
    </row>
    <row r="1704" spans="2:11">
      <c r="B1704" s="848">
        <v>1701</v>
      </c>
      <c r="C1704" s="848" t="s">
        <v>1443</v>
      </c>
      <c r="D1704" s="849" t="s">
        <v>13998</v>
      </c>
      <c r="E1704" s="848" t="s">
        <v>8582</v>
      </c>
      <c r="F1704" s="848" t="s">
        <v>13387</v>
      </c>
      <c r="G1704" s="850" t="s">
        <v>13013</v>
      </c>
      <c r="H1704" s="849" t="s">
        <v>10716</v>
      </c>
      <c r="I1704" s="849"/>
      <c r="J1704" s="851">
        <v>34.43</v>
      </c>
      <c r="K1704" s="848" t="s">
        <v>5984</v>
      </c>
    </row>
    <row r="1705" spans="2:11">
      <c r="B1705" s="848">
        <v>1702</v>
      </c>
      <c r="C1705" s="848" t="s">
        <v>1443</v>
      </c>
      <c r="D1705" s="849" t="s">
        <v>13998</v>
      </c>
      <c r="E1705" s="848" t="s">
        <v>9499</v>
      </c>
      <c r="F1705" s="848" t="s">
        <v>13999</v>
      </c>
      <c r="G1705" s="850" t="s">
        <v>14000</v>
      </c>
      <c r="H1705" s="849" t="s">
        <v>10716</v>
      </c>
      <c r="I1705" s="849"/>
      <c r="J1705" s="851">
        <v>11.48</v>
      </c>
      <c r="K1705" s="848" t="s">
        <v>5985</v>
      </c>
    </row>
    <row r="1706" spans="2:11">
      <c r="B1706" s="848">
        <v>1703</v>
      </c>
      <c r="C1706" s="848" t="s">
        <v>1443</v>
      </c>
      <c r="D1706" s="849" t="s">
        <v>13998</v>
      </c>
      <c r="E1706" s="848" t="s">
        <v>9499</v>
      </c>
      <c r="F1706" s="848" t="s">
        <v>14001</v>
      </c>
      <c r="G1706" s="850" t="s">
        <v>14002</v>
      </c>
      <c r="H1706" s="849" t="s">
        <v>10716</v>
      </c>
      <c r="I1706" s="849"/>
      <c r="J1706" s="851">
        <v>18.36</v>
      </c>
      <c r="K1706" s="848" t="s">
        <v>5986</v>
      </c>
    </row>
    <row r="1707" spans="2:11" ht="25">
      <c r="B1707" s="848">
        <v>1704</v>
      </c>
      <c r="C1707" s="848" t="s">
        <v>1300</v>
      </c>
      <c r="D1707" s="849" t="s">
        <v>14003</v>
      </c>
      <c r="E1707" s="848" t="s">
        <v>9418</v>
      </c>
      <c r="F1707" s="848" t="s">
        <v>14004</v>
      </c>
      <c r="G1707" s="850" t="s">
        <v>11576</v>
      </c>
      <c r="H1707" s="849" t="s">
        <v>10716</v>
      </c>
      <c r="I1707" s="849"/>
      <c r="J1707" s="851">
        <v>124.84</v>
      </c>
      <c r="K1707" s="848" t="s">
        <v>6220</v>
      </c>
    </row>
    <row r="1708" spans="2:11" ht="25">
      <c r="B1708" s="848">
        <v>1705</v>
      </c>
      <c r="C1708" s="848" t="s">
        <v>1300</v>
      </c>
      <c r="D1708" s="849" t="s">
        <v>14003</v>
      </c>
      <c r="E1708" s="848" t="s">
        <v>9418</v>
      </c>
      <c r="F1708" s="848" t="s">
        <v>14005</v>
      </c>
      <c r="G1708" s="850" t="s">
        <v>11585</v>
      </c>
      <c r="H1708" s="849" t="s">
        <v>10716</v>
      </c>
      <c r="I1708" s="849"/>
      <c r="J1708" s="851">
        <v>102.14</v>
      </c>
      <c r="K1708" s="848" t="s">
        <v>6221</v>
      </c>
    </row>
    <row r="1709" spans="2:11" ht="25">
      <c r="B1709" s="848">
        <v>1706</v>
      </c>
      <c r="C1709" s="848" t="s">
        <v>1300</v>
      </c>
      <c r="D1709" s="849" t="s">
        <v>14003</v>
      </c>
      <c r="E1709" s="848" t="s">
        <v>12948</v>
      </c>
      <c r="F1709" s="848" t="s">
        <v>13386</v>
      </c>
      <c r="G1709" s="850" t="s">
        <v>14006</v>
      </c>
      <c r="H1709" s="849" t="s">
        <v>10716</v>
      </c>
      <c r="I1709" s="849"/>
      <c r="J1709" s="851">
        <v>950.8</v>
      </c>
      <c r="K1709" s="848" t="s">
        <v>6189</v>
      </c>
    </row>
    <row r="1710" spans="2:11" ht="25">
      <c r="B1710" s="848">
        <v>1707</v>
      </c>
      <c r="C1710" s="848" t="s">
        <v>1300</v>
      </c>
      <c r="D1710" s="849" t="s">
        <v>14003</v>
      </c>
      <c r="E1710" s="848" t="s">
        <v>12948</v>
      </c>
      <c r="F1710" s="848" t="s">
        <v>13390</v>
      </c>
      <c r="G1710" s="850" t="s">
        <v>10749</v>
      </c>
      <c r="H1710" s="849" t="s">
        <v>10716</v>
      </c>
      <c r="I1710" s="849"/>
      <c r="J1710" s="851">
        <v>618.02</v>
      </c>
      <c r="K1710" s="848" t="s">
        <v>6190</v>
      </c>
    </row>
    <row r="1711" spans="2:11" ht="25">
      <c r="B1711" s="848">
        <v>1708</v>
      </c>
      <c r="C1711" s="848" t="s">
        <v>1300</v>
      </c>
      <c r="D1711" s="849" t="s">
        <v>14003</v>
      </c>
      <c r="E1711" s="848" t="s">
        <v>12948</v>
      </c>
      <c r="F1711" s="848" t="s">
        <v>12008</v>
      </c>
      <c r="G1711" s="850" t="s">
        <v>14007</v>
      </c>
      <c r="H1711" s="849" t="s">
        <v>10716</v>
      </c>
      <c r="I1711" s="849"/>
      <c r="J1711" s="851">
        <v>451.63</v>
      </c>
      <c r="K1711" s="848" t="s">
        <v>6839</v>
      </c>
    </row>
    <row r="1712" spans="2:11" ht="25">
      <c r="B1712" s="848">
        <v>1709</v>
      </c>
      <c r="C1712" s="848" t="s">
        <v>1300</v>
      </c>
      <c r="D1712" s="849" t="s">
        <v>14003</v>
      </c>
      <c r="E1712" s="848" t="s">
        <v>12948</v>
      </c>
      <c r="F1712" s="848" t="s">
        <v>11885</v>
      </c>
      <c r="G1712" s="850" t="s">
        <v>14008</v>
      </c>
      <c r="H1712" s="849" t="s">
        <v>10716</v>
      </c>
      <c r="I1712" s="849"/>
      <c r="J1712" s="851">
        <v>903.26</v>
      </c>
      <c r="K1712" s="848" t="s">
        <v>14009</v>
      </c>
    </row>
    <row r="1713" spans="2:11" ht="25">
      <c r="B1713" s="848">
        <v>1710</v>
      </c>
      <c r="C1713" s="848" t="s">
        <v>1300</v>
      </c>
      <c r="D1713" s="849" t="s">
        <v>14003</v>
      </c>
      <c r="E1713" s="848" t="s">
        <v>12948</v>
      </c>
      <c r="F1713" s="848" t="s">
        <v>11883</v>
      </c>
      <c r="G1713" s="850" t="s">
        <v>14010</v>
      </c>
      <c r="H1713" s="849" t="s">
        <v>10716</v>
      </c>
      <c r="I1713" s="849"/>
      <c r="J1713" s="851">
        <v>332.78</v>
      </c>
      <c r="K1713" s="848" t="s">
        <v>6191</v>
      </c>
    </row>
    <row r="1714" spans="2:11" ht="25">
      <c r="B1714" s="848">
        <v>1711</v>
      </c>
      <c r="C1714" s="848" t="s">
        <v>1300</v>
      </c>
      <c r="D1714" s="849" t="s">
        <v>14003</v>
      </c>
      <c r="E1714" s="848" t="s">
        <v>12948</v>
      </c>
      <c r="F1714" s="848" t="s">
        <v>13795</v>
      </c>
      <c r="G1714" s="850" t="s">
        <v>14011</v>
      </c>
      <c r="H1714" s="849" t="s">
        <v>10716</v>
      </c>
      <c r="I1714" s="849"/>
      <c r="J1714" s="851">
        <v>855.72</v>
      </c>
      <c r="K1714" s="848" t="s">
        <v>6192</v>
      </c>
    </row>
    <row r="1715" spans="2:11" ht="25">
      <c r="B1715" s="848">
        <v>1712</v>
      </c>
      <c r="C1715" s="848" t="s">
        <v>1300</v>
      </c>
      <c r="D1715" s="849" t="s">
        <v>14003</v>
      </c>
      <c r="E1715" s="848" t="s">
        <v>12948</v>
      </c>
      <c r="F1715" s="848" t="s">
        <v>13796</v>
      </c>
      <c r="G1715" s="850" t="s">
        <v>14012</v>
      </c>
      <c r="H1715" s="849" t="s">
        <v>10716</v>
      </c>
      <c r="I1715" s="849"/>
      <c r="J1715" s="851">
        <v>594.25</v>
      </c>
      <c r="K1715" s="848" t="s">
        <v>6193</v>
      </c>
    </row>
    <row r="1716" spans="2:11" ht="25">
      <c r="B1716" s="848">
        <v>1713</v>
      </c>
      <c r="C1716" s="848" t="s">
        <v>1300</v>
      </c>
      <c r="D1716" s="849" t="s">
        <v>14003</v>
      </c>
      <c r="E1716" s="848" t="s">
        <v>12948</v>
      </c>
      <c r="F1716" s="848" t="s">
        <v>13794</v>
      </c>
      <c r="G1716" s="850" t="s">
        <v>14013</v>
      </c>
      <c r="H1716" s="849" t="s">
        <v>10716</v>
      </c>
      <c r="I1716" s="849"/>
      <c r="J1716" s="851">
        <v>903.26</v>
      </c>
      <c r="K1716" s="848" t="s">
        <v>6194</v>
      </c>
    </row>
    <row r="1717" spans="2:11" ht="25">
      <c r="B1717" s="848">
        <v>1714</v>
      </c>
      <c r="C1717" s="848" t="s">
        <v>1300</v>
      </c>
      <c r="D1717" s="849" t="s">
        <v>14003</v>
      </c>
      <c r="E1717" s="848" t="s">
        <v>12948</v>
      </c>
      <c r="F1717" s="848" t="s">
        <v>12388</v>
      </c>
      <c r="G1717" s="850" t="s">
        <v>14014</v>
      </c>
      <c r="H1717" s="849" t="s">
        <v>10716</v>
      </c>
      <c r="I1717" s="849"/>
      <c r="J1717" s="851">
        <v>1925.37</v>
      </c>
      <c r="K1717" s="848" t="s">
        <v>6195</v>
      </c>
    </row>
    <row r="1718" spans="2:11" ht="25">
      <c r="B1718" s="848">
        <v>1715</v>
      </c>
      <c r="C1718" s="848" t="s">
        <v>1300</v>
      </c>
      <c r="D1718" s="849" t="s">
        <v>14003</v>
      </c>
      <c r="E1718" s="848" t="s">
        <v>12948</v>
      </c>
      <c r="F1718" s="848" t="s">
        <v>12389</v>
      </c>
      <c r="G1718" s="850" t="s">
        <v>14015</v>
      </c>
      <c r="H1718" s="849" t="s">
        <v>10716</v>
      </c>
      <c r="I1718" s="849"/>
      <c r="J1718" s="851">
        <v>641.79</v>
      </c>
      <c r="K1718" s="848" t="s">
        <v>6708</v>
      </c>
    </row>
    <row r="1719" spans="2:11" ht="25">
      <c r="B1719" s="848">
        <v>1716</v>
      </c>
      <c r="C1719" s="848" t="s">
        <v>1300</v>
      </c>
      <c r="D1719" s="849" t="s">
        <v>14003</v>
      </c>
      <c r="E1719" s="848" t="s">
        <v>12948</v>
      </c>
      <c r="F1719" s="848" t="s">
        <v>12396</v>
      </c>
      <c r="G1719" s="850" t="s">
        <v>14016</v>
      </c>
      <c r="H1719" s="849" t="s">
        <v>10716</v>
      </c>
      <c r="I1719" s="849"/>
      <c r="J1719" s="851">
        <v>427.86</v>
      </c>
      <c r="K1719" s="848" t="s">
        <v>6710</v>
      </c>
    </row>
    <row r="1720" spans="2:11" ht="25">
      <c r="B1720" s="848">
        <v>1717</v>
      </c>
      <c r="C1720" s="848" t="s">
        <v>1300</v>
      </c>
      <c r="D1720" s="849" t="s">
        <v>14003</v>
      </c>
      <c r="E1720" s="848" t="s">
        <v>12948</v>
      </c>
      <c r="F1720" s="848" t="s">
        <v>12392</v>
      </c>
      <c r="G1720" s="850" t="s">
        <v>14017</v>
      </c>
      <c r="H1720" s="849" t="s">
        <v>10716</v>
      </c>
      <c r="I1720" s="849"/>
      <c r="J1720" s="851">
        <v>1307.3499999999999</v>
      </c>
      <c r="K1720" s="848" t="s">
        <v>6200</v>
      </c>
    </row>
    <row r="1721" spans="2:11" ht="25">
      <c r="B1721" s="848">
        <v>1718</v>
      </c>
      <c r="C1721" s="848" t="s">
        <v>1300</v>
      </c>
      <c r="D1721" s="849" t="s">
        <v>14003</v>
      </c>
      <c r="E1721" s="848" t="s">
        <v>12948</v>
      </c>
      <c r="F1721" s="848" t="s">
        <v>14018</v>
      </c>
      <c r="G1721" s="850" t="s">
        <v>14019</v>
      </c>
      <c r="H1721" s="849" t="s">
        <v>10716</v>
      </c>
      <c r="I1721" s="849"/>
      <c r="J1721" s="851">
        <v>1212.27</v>
      </c>
      <c r="K1721" s="848" t="s">
        <v>6201</v>
      </c>
    </row>
    <row r="1722" spans="2:11" ht="25">
      <c r="B1722" s="848">
        <v>1719</v>
      </c>
      <c r="C1722" s="848" t="s">
        <v>1300</v>
      </c>
      <c r="D1722" s="849" t="s">
        <v>14003</v>
      </c>
      <c r="E1722" s="848" t="s">
        <v>12948</v>
      </c>
      <c r="F1722" s="848" t="s">
        <v>11267</v>
      </c>
      <c r="G1722" s="850" t="s">
        <v>14020</v>
      </c>
      <c r="H1722" s="849" t="s">
        <v>10716</v>
      </c>
      <c r="I1722" s="849"/>
      <c r="J1722" s="851">
        <v>570.48</v>
      </c>
      <c r="K1722" s="848" t="s">
        <v>6202</v>
      </c>
    </row>
    <row r="1723" spans="2:11" ht="25">
      <c r="B1723" s="848">
        <v>1720</v>
      </c>
      <c r="C1723" s="848" t="s">
        <v>1300</v>
      </c>
      <c r="D1723" s="849" t="s">
        <v>14003</v>
      </c>
      <c r="E1723" s="848" t="s">
        <v>12948</v>
      </c>
      <c r="F1723" s="848" t="s">
        <v>11818</v>
      </c>
      <c r="G1723" s="850" t="s">
        <v>14021</v>
      </c>
      <c r="H1723" s="849" t="s">
        <v>10716</v>
      </c>
      <c r="I1723" s="849"/>
      <c r="J1723" s="851">
        <v>2020.45</v>
      </c>
      <c r="K1723" s="848" t="s">
        <v>6841</v>
      </c>
    </row>
    <row r="1724" spans="2:11" ht="25">
      <c r="B1724" s="848">
        <v>1721</v>
      </c>
      <c r="C1724" s="848" t="s">
        <v>1300</v>
      </c>
      <c r="D1724" s="849" t="s">
        <v>14003</v>
      </c>
      <c r="E1724" s="848" t="s">
        <v>3233</v>
      </c>
      <c r="F1724" s="848" t="s">
        <v>12394</v>
      </c>
      <c r="G1724" s="850" t="s">
        <v>13199</v>
      </c>
      <c r="H1724" s="849" t="s">
        <v>10716</v>
      </c>
      <c r="I1724" s="849"/>
      <c r="J1724" s="851">
        <v>7368.7</v>
      </c>
      <c r="K1724" s="848" t="s">
        <v>6707</v>
      </c>
    </row>
    <row r="1725" spans="2:11" ht="25">
      <c r="B1725" s="848">
        <v>1722</v>
      </c>
      <c r="C1725" s="848" t="s">
        <v>1300</v>
      </c>
      <c r="D1725" s="849" t="s">
        <v>14003</v>
      </c>
      <c r="E1725" s="848" t="s">
        <v>3233</v>
      </c>
      <c r="F1725" s="848" t="s">
        <v>12386</v>
      </c>
      <c r="G1725" s="850" t="s">
        <v>13169</v>
      </c>
      <c r="H1725" s="849" t="s">
        <v>10716</v>
      </c>
      <c r="I1725" s="849"/>
      <c r="J1725" s="851">
        <v>6703.14</v>
      </c>
      <c r="K1725" s="848" t="s">
        <v>6709</v>
      </c>
    </row>
    <row r="1726" spans="2:11" ht="25">
      <c r="B1726" s="848">
        <v>1723</v>
      </c>
      <c r="C1726" s="848" t="s">
        <v>1300</v>
      </c>
      <c r="D1726" s="849" t="s">
        <v>14003</v>
      </c>
      <c r="E1726" s="848" t="s">
        <v>9496</v>
      </c>
      <c r="F1726" s="848" t="s">
        <v>13563</v>
      </c>
      <c r="G1726" s="850" t="s">
        <v>13708</v>
      </c>
      <c r="H1726" s="849" t="s">
        <v>10716</v>
      </c>
      <c r="I1726" s="849"/>
      <c r="J1726" s="851">
        <v>8350.4850000000006</v>
      </c>
      <c r="K1726" s="848" t="s">
        <v>6190</v>
      </c>
    </row>
    <row r="1727" spans="2:11" ht="25">
      <c r="B1727" s="848">
        <v>1724</v>
      </c>
      <c r="C1727" s="848" t="s">
        <v>1300</v>
      </c>
      <c r="D1727" s="849" t="s">
        <v>14003</v>
      </c>
      <c r="E1727" s="848" t="s">
        <v>9496</v>
      </c>
      <c r="F1727" s="848" t="s">
        <v>13564</v>
      </c>
      <c r="G1727" s="850" t="s">
        <v>13593</v>
      </c>
      <c r="H1727" s="849" t="s">
        <v>10716</v>
      </c>
      <c r="I1727" s="849"/>
      <c r="J1727" s="851">
        <v>6102.28</v>
      </c>
      <c r="K1727" s="848" t="s">
        <v>6839</v>
      </c>
    </row>
    <row r="1728" spans="2:11" ht="25">
      <c r="B1728" s="848">
        <v>1725</v>
      </c>
      <c r="C1728" s="848" t="s">
        <v>1300</v>
      </c>
      <c r="D1728" s="849" t="s">
        <v>14003</v>
      </c>
      <c r="E1728" s="848" t="s">
        <v>9496</v>
      </c>
      <c r="F1728" s="848" t="s">
        <v>14022</v>
      </c>
      <c r="G1728" s="850" t="s">
        <v>13702</v>
      </c>
      <c r="H1728" s="849" t="s">
        <v>10716</v>
      </c>
      <c r="I1728" s="849"/>
      <c r="J1728" s="851">
        <v>8029.3149999999996</v>
      </c>
      <c r="K1728" s="848" t="s">
        <v>6193</v>
      </c>
    </row>
    <row r="1729" spans="2:11" ht="25">
      <c r="B1729" s="848">
        <v>1726</v>
      </c>
      <c r="C1729" s="848" t="s">
        <v>1300</v>
      </c>
      <c r="D1729" s="849" t="s">
        <v>14003</v>
      </c>
      <c r="E1729" s="848" t="s">
        <v>9496</v>
      </c>
      <c r="F1729" s="848" t="s">
        <v>12320</v>
      </c>
      <c r="G1729" s="850" t="s">
        <v>13704</v>
      </c>
      <c r="H1729" s="849" t="s">
        <v>10716</v>
      </c>
      <c r="I1729" s="849"/>
      <c r="J1729" s="851">
        <v>12204.555</v>
      </c>
      <c r="K1729" s="848" t="s">
        <v>6194</v>
      </c>
    </row>
    <row r="1730" spans="2:11" ht="25">
      <c r="B1730" s="848">
        <v>1727</v>
      </c>
      <c r="C1730" s="848" t="s">
        <v>1300</v>
      </c>
      <c r="D1730" s="849" t="s">
        <v>14003</v>
      </c>
      <c r="E1730" s="848" t="s">
        <v>9496</v>
      </c>
      <c r="F1730" s="848" t="s">
        <v>12318</v>
      </c>
      <c r="G1730" s="850" t="s">
        <v>13706</v>
      </c>
      <c r="H1730" s="849" t="s">
        <v>10716</v>
      </c>
      <c r="I1730" s="849"/>
      <c r="J1730" s="851">
        <v>8671.66</v>
      </c>
      <c r="K1730" s="848" t="s">
        <v>6708</v>
      </c>
    </row>
    <row r="1731" spans="2:11" ht="25">
      <c r="B1731" s="848">
        <v>1728</v>
      </c>
      <c r="C1731" s="848" t="s">
        <v>1300</v>
      </c>
      <c r="D1731" s="849" t="s">
        <v>14003</v>
      </c>
      <c r="E1731" s="848" t="s">
        <v>3248</v>
      </c>
      <c r="F1731" s="848" t="s">
        <v>14023</v>
      </c>
      <c r="G1731" s="850" t="s">
        <v>12012</v>
      </c>
      <c r="H1731" s="849" t="s">
        <v>10716</v>
      </c>
      <c r="I1731" s="849"/>
      <c r="J1731" s="851">
        <v>12204.56</v>
      </c>
      <c r="K1731" s="848" t="s">
        <v>14009</v>
      </c>
    </row>
    <row r="1732" spans="2:11" ht="25">
      <c r="B1732" s="848">
        <v>1729</v>
      </c>
      <c r="C1732" s="848" t="s">
        <v>1300</v>
      </c>
      <c r="D1732" s="849" t="s">
        <v>14003</v>
      </c>
      <c r="E1732" s="848" t="s">
        <v>3267</v>
      </c>
      <c r="F1732" s="848" t="s">
        <v>13643</v>
      </c>
      <c r="G1732" s="850" t="s">
        <v>14024</v>
      </c>
      <c r="H1732" s="849" t="s">
        <v>10716</v>
      </c>
      <c r="I1732" s="849"/>
      <c r="J1732" s="851">
        <v>12</v>
      </c>
      <c r="K1732" s="848" t="s">
        <v>14025</v>
      </c>
    </row>
    <row r="1733" spans="2:11">
      <c r="B1733" s="848">
        <v>1730</v>
      </c>
      <c r="C1733" s="848" t="s">
        <v>14026</v>
      </c>
      <c r="D1733" s="849" t="s">
        <v>14027</v>
      </c>
      <c r="E1733" s="848" t="s">
        <v>9471</v>
      </c>
      <c r="F1733" s="848" t="s">
        <v>14028</v>
      </c>
      <c r="G1733" s="850" t="s">
        <v>14029</v>
      </c>
      <c r="H1733" s="849" t="s">
        <v>10716</v>
      </c>
      <c r="I1733" s="849"/>
      <c r="J1733" s="851">
        <v>58.85</v>
      </c>
      <c r="K1733" s="848" t="s">
        <v>6101</v>
      </c>
    </row>
    <row r="1734" spans="2:11">
      <c r="B1734" s="848">
        <v>1731</v>
      </c>
      <c r="C1734" s="848" t="s">
        <v>1310</v>
      </c>
      <c r="D1734" s="849" t="s">
        <v>357</v>
      </c>
      <c r="E1734" s="848" t="s">
        <v>13630</v>
      </c>
      <c r="F1734" s="848" t="s">
        <v>12325</v>
      </c>
      <c r="G1734" s="850" t="s">
        <v>11650</v>
      </c>
      <c r="H1734" s="849" t="s">
        <v>10716</v>
      </c>
      <c r="I1734" s="849"/>
      <c r="J1734" s="851">
        <v>104.38</v>
      </c>
      <c r="K1734" s="848" t="s">
        <v>6798</v>
      </c>
    </row>
    <row r="1735" spans="2:11">
      <c r="B1735" s="848">
        <v>1732</v>
      </c>
      <c r="C1735" s="848" t="s">
        <v>1310</v>
      </c>
      <c r="D1735" s="849" t="s">
        <v>357</v>
      </c>
      <c r="E1735" s="848" t="s">
        <v>10778</v>
      </c>
      <c r="F1735" s="848" t="s">
        <v>12380</v>
      </c>
      <c r="G1735" s="850" t="s">
        <v>13734</v>
      </c>
      <c r="H1735" s="849" t="s">
        <v>10716</v>
      </c>
      <c r="I1735" s="849"/>
      <c r="J1735" s="851">
        <v>29.12</v>
      </c>
      <c r="K1735" s="848" t="s">
        <v>14030</v>
      </c>
    </row>
    <row r="1736" spans="2:11">
      <c r="B1736" s="848">
        <v>1733</v>
      </c>
      <c r="C1736" s="848" t="s">
        <v>14031</v>
      </c>
      <c r="D1736" s="849" t="s">
        <v>7191</v>
      </c>
      <c r="E1736" s="848" t="s">
        <v>9487</v>
      </c>
      <c r="F1736" s="848" t="s">
        <v>14032</v>
      </c>
      <c r="G1736" s="850" t="s">
        <v>14033</v>
      </c>
      <c r="H1736" s="849" t="s">
        <v>10716</v>
      </c>
      <c r="I1736" s="849"/>
      <c r="J1736" s="851">
        <v>6.15</v>
      </c>
      <c r="K1736" s="848" t="s">
        <v>5997</v>
      </c>
    </row>
    <row r="1737" spans="2:11">
      <c r="B1737" s="848">
        <v>1734</v>
      </c>
      <c r="C1737" s="848" t="s">
        <v>7147</v>
      </c>
      <c r="D1737" s="849" t="s">
        <v>6878</v>
      </c>
      <c r="E1737" s="848" t="s">
        <v>3327</v>
      </c>
      <c r="F1737" s="848" t="s">
        <v>11434</v>
      </c>
      <c r="G1737" s="850" t="s">
        <v>14034</v>
      </c>
      <c r="H1737" s="849" t="s">
        <v>10716</v>
      </c>
      <c r="I1737" s="849"/>
      <c r="J1737" s="851">
        <v>19.226772499999999</v>
      </c>
      <c r="K1737" s="848" t="s">
        <v>14035</v>
      </c>
    </row>
    <row r="1738" spans="2:11">
      <c r="B1738" s="848">
        <v>1735</v>
      </c>
      <c r="C1738" s="848" t="s">
        <v>7147</v>
      </c>
      <c r="D1738" s="849" t="s">
        <v>6878</v>
      </c>
      <c r="E1738" s="848" t="s">
        <v>3327</v>
      </c>
      <c r="F1738" s="848" t="s">
        <v>10943</v>
      </c>
      <c r="G1738" s="850" t="s">
        <v>10749</v>
      </c>
      <c r="H1738" s="849" t="s">
        <v>10716</v>
      </c>
      <c r="I1738" s="849"/>
      <c r="J1738" s="851">
        <v>19.175000000000001</v>
      </c>
      <c r="K1738" s="848" t="s">
        <v>14035</v>
      </c>
    </row>
    <row r="1739" spans="2:11">
      <c r="B1739" s="848">
        <v>1736</v>
      </c>
      <c r="C1739" s="848" t="s">
        <v>7147</v>
      </c>
      <c r="D1739" s="849" t="s">
        <v>6878</v>
      </c>
      <c r="E1739" s="848" t="s">
        <v>3327</v>
      </c>
      <c r="F1739" s="848" t="s">
        <v>11592</v>
      </c>
      <c r="G1739" s="850" t="s">
        <v>14036</v>
      </c>
      <c r="H1739" s="849" t="s">
        <v>10716</v>
      </c>
      <c r="I1739" s="849"/>
      <c r="J1739" s="851">
        <v>19.175000000000001</v>
      </c>
      <c r="K1739" s="848" t="s">
        <v>14035</v>
      </c>
    </row>
    <row r="1740" spans="2:11">
      <c r="B1740" s="848">
        <v>1737</v>
      </c>
      <c r="C1740" s="848" t="s">
        <v>7147</v>
      </c>
      <c r="D1740" s="849" t="s">
        <v>6878</v>
      </c>
      <c r="E1740" s="848" t="s">
        <v>3327</v>
      </c>
      <c r="F1740" s="848" t="s">
        <v>11994</v>
      </c>
      <c r="G1740" s="850" t="s">
        <v>14037</v>
      </c>
      <c r="H1740" s="849" t="s">
        <v>10716</v>
      </c>
      <c r="I1740" s="849"/>
      <c r="J1740" s="851">
        <v>19.175000000000001</v>
      </c>
      <c r="K1740" s="848" t="s">
        <v>14035</v>
      </c>
    </row>
    <row r="1741" spans="2:11">
      <c r="B1741" s="848">
        <v>1738</v>
      </c>
      <c r="C1741" s="848" t="s">
        <v>7147</v>
      </c>
      <c r="D1741" s="849" t="s">
        <v>6878</v>
      </c>
      <c r="E1741" s="848" t="s">
        <v>3327</v>
      </c>
      <c r="F1741" s="848" t="s">
        <v>10945</v>
      </c>
      <c r="G1741" s="850" t="s">
        <v>14038</v>
      </c>
      <c r="H1741" s="849" t="s">
        <v>10716</v>
      </c>
      <c r="I1741" s="849"/>
      <c r="J1741" s="851">
        <v>19.175000000000001</v>
      </c>
      <c r="K1741" s="848" t="s">
        <v>14035</v>
      </c>
    </row>
    <row r="1742" spans="2:11">
      <c r="B1742" s="848">
        <v>1739</v>
      </c>
      <c r="C1742" s="848" t="s">
        <v>7147</v>
      </c>
      <c r="D1742" s="849" t="s">
        <v>6878</v>
      </c>
      <c r="E1742" s="848" t="s">
        <v>3327</v>
      </c>
      <c r="F1742" s="848" t="s">
        <v>11500</v>
      </c>
      <c r="G1742" s="850" t="s">
        <v>14039</v>
      </c>
      <c r="H1742" s="849" t="s">
        <v>10716</v>
      </c>
      <c r="I1742" s="849"/>
      <c r="J1742" s="851">
        <v>19.175000000000001</v>
      </c>
      <c r="K1742" s="848" t="s">
        <v>14035</v>
      </c>
    </row>
    <row r="1743" spans="2:11">
      <c r="B1743" s="848">
        <v>1740</v>
      </c>
      <c r="C1743" s="848" t="s">
        <v>7147</v>
      </c>
      <c r="D1743" s="849" t="s">
        <v>6878</v>
      </c>
      <c r="E1743" s="848" t="s">
        <v>3327</v>
      </c>
      <c r="F1743" s="848" t="s">
        <v>11873</v>
      </c>
      <c r="G1743" s="850" t="s">
        <v>14040</v>
      </c>
      <c r="H1743" s="849" t="s">
        <v>10716</v>
      </c>
      <c r="I1743" s="849"/>
      <c r="J1743" s="851">
        <v>19.175000000000001</v>
      </c>
      <c r="K1743" s="848" t="s">
        <v>14041</v>
      </c>
    </row>
    <row r="1744" spans="2:11">
      <c r="B1744" s="848">
        <v>1741</v>
      </c>
      <c r="C1744" s="848" t="s">
        <v>7147</v>
      </c>
      <c r="D1744" s="849" t="s">
        <v>6878</v>
      </c>
      <c r="E1744" s="848" t="s">
        <v>3327</v>
      </c>
      <c r="F1744" s="848" t="s">
        <v>11497</v>
      </c>
      <c r="G1744" s="850" t="s">
        <v>14042</v>
      </c>
      <c r="H1744" s="849" t="s">
        <v>10716</v>
      </c>
      <c r="I1744" s="849"/>
      <c r="J1744" s="851">
        <v>19.175000000000001</v>
      </c>
      <c r="K1744" s="848" t="s">
        <v>14041</v>
      </c>
    </row>
    <row r="1745" spans="2:11">
      <c r="B1745" s="848">
        <v>1742</v>
      </c>
      <c r="C1745" s="848" t="s">
        <v>7147</v>
      </c>
      <c r="D1745" s="849" t="s">
        <v>6878</v>
      </c>
      <c r="E1745" s="848" t="s">
        <v>3327</v>
      </c>
      <c r="F1745" s="848" t="s">
        <v>11430</v>
      </c>
      <c r="G1745" s="850" t="s">
        <v>14043</v>
      </c>
      <c r="H1745" s="849" t="s">
        <v>10716</v>
      </c>
      <c r="I1745" s="849"/>
      <c r="J1745" s="851">
        <v>19.226772499999999</v>
      </c>
      <c r="K1745" s="848" t="s">
        <v>14041</v>
      </c>
    </row>
    <row r="1746" spans="2:11">
      <c r="B1746" s="848">
        <v>1743</v>
      </c>
      <c r="C1746" s="848" t="s">
        <v>7147</v>
      </c>
      <c r="D1746" s="849" t="s">
        <v>6878</v>
      </c>
      <c r="E1746" s="848" t="s">
        <v>3327</v>
      </c>
      <c r="F1746" s="848" t="s">
        <v>10943</v>
      </c>
      <c r="G1746" s="850" t="s">
        <v>14044</v>
      </c>
      <c r="H1746" s="849" t="s">
        <v>10716</v>
      </c>
      <c r="I1746" s="849"/>
      <c r="J1746" s="851">
        <v>19.175000000000001</v>
      </c>
      <c r="K1746" s="848" t="s">
        <v>14041</v>
      </c>
    </row>
    <row r="1747" spans="2:11">
      <c r="B1747" s="848">
        <v>1744</v>
      </c>
      <c r="C1747" s="848" t="s">
        <v>7147</v>
      </c>
      <c r="D1747" s="849" t="s">
        <v>6878</v>
      </c>
      <c r="E1747" s="848" t="s">
        <v>3327</v>
      </c>
      <c r="F1747" s="848" t="s">
        <v>10941</v>
      </c>
      <c r="G1747" s="850" t="s">
        <v>14045</v>
      </c>
      <c r="H1747" s="849" t="s">
        <v>10716</v>
      </c>
      <c r="I1747" s="849"/>
      <c r="J1747" s="851">
        <v>19.175000000000001</v>
      </c>
      <c r="K1747" s="848" t="s">
        <v>14041</v>
      </c>
    </row>
    <row r="1748" spans="2:11">
      <c r="B1748" s="848">
        <v>1745</v>
      </c>
      <c r="C1748" s="848" t="s">
        <v>7147</v>
      </c>
      <c r="D1748" s="849" t="s">
        <v>6878</v>
      </c>
      <c r="E1748" s="848" t="s">
        <v>3327</v>
      </c>
      <c r="F1748" s="848" t="s">
        <v>12342</v>
      </c>
      <c r="G1748" s="850" t="s">
        <v>14046</v>
      </c>
      <c r="H1748" s="849" t="s">
        <v>10716</v>
      </c>
      <c r="I1748" s="849"/>
      <c r="J1748" s="851">
        <v>19.175000000000001</v>
      </c>
      <c r="K1748" s="848" t="s">
        <v>14041</v>
      </c>
    </row>
    <row r="1749" spans="2:11">
      <c r="B1749" s="848">
        <v>1746</v>
      </c>
      <c r="C1749" s="848" t="s">
        <v>7147</v>
      </c>
      <c r="D1749" s="849" t="s">
        <v>5713</v>
      </c>
      <c r="E1749" s="848" t="s">
        <v>10829</v>
      </c>
      <c r="F1749" s="848" t="s">
        <v>13715</v>
      </c>
      <c r="G1749" s="850" t="s">
        <v>13325</v>
      </c>
      <c r="H1749" s="849" t="s">
        <v>10716</v>
      </c>
      <c r="I1749" s="849"/>
      <c r="J1749" s="851">
        <v>3</v>
      </c>
      <c r="K1749" s="848" t="s">
        <v>6160</v>
      </c>
    </row>
    <row r="1750" spans="2:11">
      <c r="B1750" s="848">
        <v>1747</v>
      </c>
      <c r="C1750" s="848" t="s">
        <v>1368</v>
      </c>
      <c r="D1750" s="849" t="s">
        <v>8022</v>
      </c>
      <c r="E1750" s="848" t="s">
        <v>8582</v>
      </c>
      <c r="F1750" s="848" t="s">
        <v>13131</v>
      </c>
      <c r="G1750" s="850" t="s">
        <v>12905</v>
      </c>
      <c r="H1750" s="849" t="s">
        <v>10716</v>
      </c>
      <c r="I1750" s="849"/>
      <c r="J1750" s="851">
        <v>68.849999999999994</v>
      </c>
      <c r="K1750" s="848" t="s">
        <v>6150</v>
      </c>
    </row>
    <row r="1751" spans="2:11">
      <c r="B1751" s="848">
        <v>1748</v>
      </c>
      <c r="C1751" s="848" t="s">
        <v>1368</v>
      </c>
      <c r="D1751" s="849" t="s">
        <v>8022</v>
      </c>
      <c r="E1751" s="848" t="s">
        <v>8582</v>
      </c>
      <c r="F1751" s="848" t="s">
        <v>13128</v>
      </c>
      <c r="G1751" s="850" t="s">
        <v>12906</v>
      </c>
      <c r="H1751" s="849" t="s">
        <v>10716</v>
      </c>
      <c r="I1751" s="849"/>
      <c r="J1751" s="851">
        <v>9.18</v>
      </c>
      <c r="K1751" s="848" t="s">
        <v>6530</v>
      </c>
    </row>
    <row r="1752" spans="2:11">
      <c r="B1752" s="848">
        <v>1749</v>
      </c>
      <c r="C1752" s="848" t="s">
        <v>14047</v>
      </c>
      <c r="D1752" s="849" t="s">
        <v>5725</v>
      </c>
      <c r="E1752" s="848" t="s">
        <v>3758</v>
      </c>
      <c r="F1752" s="848" t="s">
        <v>11344</v>
      </c>
      <c r="G1752" s="850" t="s">
        <v>13799</v>
      </c>
      <c r="H1752" s="849" t="s">
        <v>10716</v>
      </c>
      <c r="I1752" s="849"/>
      <c r="J1752" s="851">
        <v>13.11</v>
      </c>
      <c r="K1752" s="848" t="s">
        <v>6536</v>
      </c>
    </row>
    <row r="1753" spans="2:11">
      <c r="B1753" s="848">
        <v>1750</v>
      </c>
      <c r="C1753" s="848" t="s">
        <v>14047</v>
      </c>
      <c r="D1753" s="849" t="s">
        <v>5725</v>
      </c>
      <c r="E1753" s="848" t="s">
        <v>3758</v>
      </c>
      <c r="F1753" s="848" t="s">
        <v>14048</v>
      </c>
      <c r="G1753" s="850" t="s">
        <v>13801</v>
      </c>
      <c r="H1753" s="849" t="s">
        <v>10716</v>
      </c>
      <c r="I1753" s="849"/>
      <c r="J1753" s="851">
        <v>13.11</v>
      </c>
      <c r="K1753" s="848" t="s">
        <v>6537</v>
      </c>
    </row>
    <row r="1754" spans="2:11">
      <c r="B1754" s="848">
        <v>1751</v>
      </c>
      <c r="C1754" s="848" t="s">
        <v>14047</v>
      </c>
      <c r="D1754" s="849" t="s">
        <v>5725</v>
      </c>
      <c r="E1754" s="848" t="s">
        <v>3758</v>
      </c>
      <c r="F1754" s="848" t="s">
        <v>10721</v>
      </c>
      <c r="G1754" s="850" t="s">
        <v>13860</v>
      </c>
      <c r="H1754" s="849" t="s">
        <v>10716</v>
      </c>
      <c r="I1754" s="849"/>
      <c r="J1754" s="851">
        <v>13.11</v>
      </c>
      <c r="K1754" s="848" t="s">
        <v>6538</v>
      </c>
    </row>
    <row r="1755" spans="2:11">
      <c r="B1755" s="848">
        <v>1752</v>
      </c>
      <c r="C1755" s="848" t="s">
        <v>14047</v>
      </c>
      <c r="D1755" s="849" t="s">
        <v>5725</v>
      </c>
      <c r="E1755" s="848" t="s">
        <v>3758</v>
      </c>
      <c r="F1755" s="848" t="s">
        <v>11346</v>
      </c>
      <c r="G1755" s="850" t="s">
        <v>13843</v>
      </c>
      <c r="H1755" s="849" t="s">
        <v>10716</v>
      </c>
      <c r="I1755" s="849"/>
      <c r="J1755" s="851">
        <v>13.11</v>
      </c>
      <c r="K1755" s="848" t="s">
        <v>6539</v>
      </c>
    </row>
    <row r="1756" spans="2:11">
      <c r="B1756" s="848">
        <v>1753</v>
      </c>
      <c r="C1756" s="848" t="s">
        <v>14047</v>
      </c>
      <c r="D1756" s="849" t="s">
        <v>5725</v>
      </c>
      <c r="E1756" s="848" t="s">
        <v>3758</v>
      </c>
      <c r="F1756" s="848" t="s">
        <v>11342</v>
      </c>
      <c r="G1756" s="850" t="s">
        <v>13815</v>
      </c>
      <c r="H1756" s="849" t="s">
        <v>10716</v>
      </c>
      <c r="I1756" s="849"/>
      <c r="J1756" s="851">
        <v>13.11</v>
      </c>
      <c r="K1756" s="848" t="s">
        <v>6540</v>
      </c>
    </row>
    <row r="1757" spans="2:11">
      <c r="B1757" s="848">
        <v>1754</v>
      </c>
      <c r="C1757" s="848" t="s">
        <v>14047</v>
      </c>
      <c r="D1757" s="849" t="s">
        <v>5725</v>
      </c>
      <c r="E1757" s="848" t="s">
        <v>3758</v>
      </c>
      <c r="F1757" s="848" t="s">
        <v>10867</v>
      </c>
      <c r="G1757" s="850" t="s">
        <v>13812</v>
      </c>
      <c r="H1757" s="849" t="s">
        <v>10716</v>
      </c>
      <c r="I1757" s="849"/>
      <c r="J1757" s="851">
        <v>13.11</v>
      </c>
      <c r="K1757" s="848" t="s">
        <v>6541</v>
      </c>
    </row>
    <row r="1758" spans="2:11">
      <c r="B1758" s="848">
        <v>1755</v>
      </c>
      <c r="C1758" s="848" t="s">
        <v>14047</v>
      </c>
      <c r="D1758" s="849" t="s">
        <v>5725</v>
      </c>
      <c r="E1758" s="848" t="s">
        <v>3758</v>
      </c>
      <c r="F1758" s="848" t="s">
        <v>10865</v>
      </c>
      <c r="G1758" s="850" t="s">
        <v>13800</v>
      </c>
      <c r="H1758" s="849" t="s">
        <v>10716</v>
      </c>
      <c r="I1758" s="849"/>
      <c r="J1758" s="851">
        <v>13.11</v>
      </c>
      <c r="K1758" s="848" t="s">
        <v>6542</v>
      </c>
    </row>
    <row r="1759" spans="2:11">
      <c r="B1759" s="848">
        <v>1756</v>
      </c>
      <c r="C1759" s="848" t="s">
        <v>14047</v>
      </c>
      <c r="D1759" s="849" t="s">
        <v>5725</v>
      </c>
      <c r="E1759" s="848" t="s">
        <v>3758</v>
      </c>
      <c r="F1759" s="848" t="s">
        <v>14049</v>
      </c>
      <c r="G1759" s="850" t="s">
        <v>13864</v>
      </c>
      <c r="H1759" s="849" t="s">
        <v>10716</v>
      </c>
      <c r="I1759" s="849"/>
      <c r="J1759" s="851">
        <v>26.22</v>
      </c>
      <c r="K1759" s="848" t="s">
        <v>6543</v>
      </c>
    </row>
    <row r="1760" spans="2:11">
      <c r="B1760" s="848">
        <v>1757</v>
      </c>
      <c r="C1760" s="848" t="s">
        <v>14047</v>
      </c>
      <c r="D1760" s="849" t="s">
        <v>5725</v>
      </c>
      <c r="E1760" s="848" t="s">
        <v>3758</v>
      </c>
      <c r="F1760" s="848" t="s">
        <v>10869</v>
      </c>
      <c r="G1760" s="850" t="s">
        <v>13837</v>
      </c>
      <c r="H1760" s="849" t="s">
        <v>10716</v>
      </c>
      <c r="I1760" s="849"/>
      <c r="J1760" s="851">
        <v>13.11</v>
      </c>
      <c r="K1760" s="848" t="s">
        <v>6544</v>
      </c>
    </row>
    <row r="1761" spans="2:11" ht="25">
      <c r="B1761" s="848">
        <v>1758</v>
      </c>
      <c r="C1761" s="848" t="s">
        <v>14050</v>
      </c>
      <c r="D1761" s="849" t="s">
        <v>7021</v>
      </c>
      <c r="E1761" s="848" t="s">
        <v>10736</v>
      </c>
      <c r="F1761" s="848" t="s">
        <v>13688</v>
      </c>
      <c r="G1761" s="850" t="s">
        <v>14051</v>
      </c>
      <c r="H1761" s="849" t="s">
        <v>10716</v>
      </c>
      <c r="I1761" s="849"/>
      <c r="J1761" s="851">
        <v>98.14</v>
      </c>
      <c r="K1761" s="848" t="s">
        <v>6828</v>
      </c>
    </row>
    <row r="1762" spans="2:11">
      <c r="B1762" s="848">
        <v>1759</v>
      </c>
      <c r="C1762" s="848" t="s">
        <v>14052</v>
      </c>
      <c r="D1762" s="849" t="s">
        <v>312</v>
      </c>
      <c r="E1762" s="848" t="s">
        <v>9472</v>
      </c>
      <c r="F1762" s="848" t="s">
        <v>11735</v>
      </c>
      <c r="G1762" s="850" t="s">
        <v>14053</v>
      </c>
      <c r="H1762" s="849" t="s">
        <v>10716</v>
      </c>
      <c r="I1762" s="849"/>
      <c r="J1762" s="851">
        <v>101</v>
      </c>
      <c r="K1762" s="848" t="s">
        <v>5953</v>
      </c>
    </row>
    <row r="1763" spans="2:11">
      <c r="B1763" s="848">
        <v>1760</v>
      </c>
      <c r="C1763" s="848" t="s">
        <v>14052</v>
      </c>
      <c r="D1763" s="849" t="s">
        <v>312</v>
      </c>
      <c r="E1763" s="848" t="s">
        <v>9472</v>
      </c>
      <c r="F1763" s="848" t="s">
        <v>11053</v>
      </c>
      <c r="G1763" s="850" t="s">
        <v>14054</v>
      </c>
      <c r="H1763" s="849" t="s">
        <v>10716</v>
      </c>
      <c r="I1763" s="849"/>
      <c r="J1763" s="851">
        <v>88.84</v>
      </c>
      <c r="K1763" s="848" t="s">
        <v>6303</v>
      </c>
    </row>
    <row r="1764" spans="2:11">
      <c r="B1764" s="848">
        <v>1761</v>
      </c>
      <c r="C1764" s="848" t="s">
        <v>14052</v>
      </c>
      <c r="D1764" s="849" t="s">
        <v>312</v>
      </c>
      <c r="E1764" s="848" t="s">
        <v>9472</v>
      </c>
      <c r="F1764" s="848" t="s">
        <v>14055</v>
      </c>
      <c r="G1764" s="850" t="s">
        <v>14056</v>
      </c>
      <c r="H1764" s="849" t="s">
        <v>10716</v>
      </c>
      <c r="I1764" s="849"/>
      <c r="J1764" s="851">
        <v>89</v>
      </c>
      <c r="K1764" s="848" t="s">
        <v>6304</v>
      </c>
    </row>
    <row r="1765" spans="2:11">
      <c r="B1765" s="848">
        <v>1762</v>
      </c>
      <c r="C1765" s="848" t="s">
        <v>14052</v>
      </c>
      <c r="D1765" s="849" t="s">
        <v>312</v>
      </c>
      <c r="E1765" s="848" t="s">
        <v>9472</v>
      </c>
      <c r="F1765" s="848" t="s">
        <v>14057</v>
      </c>
      <c r="G1765" s="850" t="s">
        <v>14058</v>
      </c>
      <c r="H1765" s="849" t="s">
        <v>10716</v>
      </c>
      <c r="I1765" s="849"/>
      <c r="J1765" s="851">
        <v>88.84</v>
      </c>
      <c r="K1765" s="848" t="s">
        <v>6305</v>
      </c>
    </row>
    <row r="1766" spans="2:11">
      <c r="B1766" s="848">
        <v>1763</v>
      </c>
      <c r="C1766" s="848" t="s">
        <v>14052</v>
      </c>
      <c r="D1766" s="849" t="s">
        <v>312</v>
      </c>
      <c r="E1766" s="848" t="s">
        <v>9472</v>
      </c>
      <c r="F1766" s="848" t="s">
        <v>12131</v>
      </c>
      <c r="G1766" s="850" t="s">
        <v>14059</v>
      </c>
      <c r="H1766" s="849" t="s">
        <v>10716</v>
      </c>
      <c r="I1766" s="849"/>
      <c r="J1766" s="851">
        <v>5.27</v>
      </c>
      <c r="K1766" s="848" t="s">
        <v>14060</v>
      </c>
    </row>
    <row r="1767" spans="2:11">
      <c r="B1767" s="848">
        <v>1764</v>
      </c>
      <c r="C1767" s="848" t="s">
        <v>14052</v>
      </c>
      <c r="D1767" s="849" t="s">
        <v>312</v>
      </c>
      <c r="E1767" s="848" t="s">
        <v>9472</v>
      </c>
      <c r="F1767" s="848" t="s">
        <v>12130</v>
      </c>
      <c r="G1767" s="850" t="s">
        <v>14061</v>
      </c>
      <c r="H1767" s="849" t="s">
        <v>10716</v>
      </c>
      <c r="I1767" s="849"/>
      <c r="J1767" s="851">
        <v>6</v>
      </c>
      <c r="K1767" s="848" t="s">
        <v>14062</v>
      </c>
    </row>
    <row r="1768" spans="2:11">
      <c r="B1768" s="848">
        <v>1765</v>
      </c>
      <c r="C1768" s="848" t="s">
        <v>14063</v>
      </c>
      <c r="D1768" s="849" t="s">
        <v>1046</v>
      </c>
      <c r="E1768" s="848" t="s">
        <v>3393</v>
      </c>
      <c r="F1768" s="848" t="s">
        <v>12596</v>
      </c>
      <c r="G1768" s="850" t="s">
        <v>13112</v>
      </c>
      <c r="H1768" s="849" t="s">
        <v>10716</v>
      </c>
      <c r="I1768" s="849"/>
      <c r="J1768" s="851">
        <v>766.73</v>
      </c>
      <c r="K1768" s="848" t="s">
        <v>5835</v>
      </c>
    </row>
    <row r="1769" spans="2:11">
      <c r="B1769" s="848">
        <v>1766</v>
      </c>
      <c r="C1769" s="848" t="s">
        <v>14064</v>
      </c>
      <c r="D1769" s="849" t="s">
        <v>422</v>
      </c>
      <c r="E1769" s="848" t="s">
        <v>9429</v>
      </c>
      <c r="F1769" s="848" t="s">
        <v>13781</v>
      </c>
      <c r="G1769" s="850" t="s">
        <v>11530</v>
      </c>
      <c r="H1769" s="849" t="s">
        <v>10716</v>
      </c>
      <c r="I1769" s="849"/>
      <c r="J1769" s="851">
        <v>766.73</v>
      </c>
      <c r="K1769" s="848" t="s">
        <v>14065</v>
      </c>
    </row>
    <row r="1770" spans="2:11">
      <c r="B1770" s="848">
        <v>1767</v>
      </c>
      <c r="C1770" s="848" t="s">
        <v>1276</v>
      </c>
      <c r="D1770" s="849" t="s">
        <v>8024</v>
      </c>
      <c r="E1770" s="848" t="s">
        <v>10926</v>
      </c>
      <c r="F1770" s="848" t="s">
        <v>14066</v>
      </c>
      <c r="G1770" s="850" t="s">
        <v>13899</v>
      </c>
      <c r="H1770" s="849" t="s">
        <v>10716</v>
      </c>
      <c r="I1770" s="849"/>
      <c r="J1770" s="851">
        <v>3751.68</v>
      </c>
      <c r="K1770" s="848" t="s">
        <v>11830</v>
      </c>
    </row>
    <row r="1771" spans="2:11">
      <c r="B1771" s="848">
        <v>1768</v>
      </c>
      <c r="C1771" s="848" t="s">
        <v>1276</v>
      </c>
      <c r="D1771" s="849" t="s">
        <v>8024</v>
      </c>
      <c r="E1771" s="848" t="s">
        <v>10926</v>
      </c>
      <c r="F1771" s="848" t="s">
        <v>14067</v>
      </c>
      <c r="G1771" s="850" t="s">
        <v>10749</v>
      </c>
      <c r="H1771" s="849" t="s">
        <v>10716</v>
      </c>
      <c r="I1771" s="849"/>
      <c r="J1771" s="851">
        <v>2911</v>
      </c>
      <c r="K1771" s="848" t="s">
        <v>10953</v>
      </c>
    </row>
    <row r="1772" spans="2:11">
      <c r="B1772" s="848">
        <v>1769</v>
      </c>
      <c r="C1772" s="848" t="s">
        <v>1276</v>
      </c>
      <c r="D1772" s="849" t="s">
        <v>8024</v>
      </c>
      <c r="E1772" s="848" t="s">
        <v>13324</v>
      </c>
      <c r="F1772" s="848" t="s">
        <v>13615</v>
      </c>
      <c r="G1772" s="850" t="s">
        <v>10749</v>
      </c>
      <c r="H1772" s="849" t="s">
        <v>10716</v>
      </c>
      <c r="I1772" s="849"/>
      <c r="J1772" s="851">
        <v>6097</v>
      </c>
      <c r="K1772" s="848" t="s">
        <v>11830</v>
      </c>
    </row>
    <row r="1773" spans="2:11">
      <c r="B1773" s="848">
        <v>1770</v>
      </c>
      <c r="C1773" s="848" t="s">
        <v>1276</v>
      </c>
      <c r="D1773" s="849" t="s">
        <v>8024</v>
      </c>
      <c r="E1773" s="848" t="s">
        <v>13324</v>
      </c>
      <c r="F1773" s="848" t="s">
        <v>14068</v>
      </c>
      <c r="G1773" s="850" t="s">
        <v>10749</v>
      </c>
      <c r="H1773" s="849" t="s">
        <v>10716</v>
      </c>
      <c r="I1773" s="849"/>
      <c r="J1773" s="851">
        <v>4763</v>
      </c>
      <c r="K1773" s="848" t="s">
        <v>10953</v>
      </c>
    </row>
    <row r="1774" spans="2:11">
      <c r="B1774" s="848">
        <v>1771</v>
      </c>
      <c r="C1774" s="848" t="s">
        <v>14069</v>
      </c>
      <c r="D1774" s="849" t="s">
        <v>1832</v>
      </c>
      <c r="E1774" s="848" t="s">
        <v>12464</v>
      </c>
      <c r="F1774" s="848" t="s">
        <v>13415</v>
      </c>
      <c r="G1774" s="850" t="s">
        <v>14070</v>
      </c>
      <c r="H1774" s="849" t="s">
        <v>10716</v>
      </c>
      <c r="I1774" s="849"/>
      <c r="J1774" s="851">
        <v>4040.9</v>
      </c>
      <c r="K1774" s="848" t="s">
        <v>14071</v>
      </c>
    </row>
    <row r="1775" spans="2:11">
      <c r="B1775" s="848">
        <v>1772</v>
      </c>
      <c r="C1775" s="848" t="s">
        <v>14069</v>
      </c>
      <c r="D1775" s="849" t="s">
        <v>14072</v>
      </c>
      <c r="E1775" s="848" t="s">
        <v>3393</v>
      </c>
      <c r="F1775" s="848" t="s">
        <v>13653</v>
      </c>
      <c r="G1775" s="850" t="s">
        <v>10749</v>
      </c>
      <c r="H1775" s="849" t="s">
        <v>10716</v>
      </c>
      <c r="I1775" s="849"/>
      <c r="J1775" s="851">
        <v>3900.65</v>
      </c>
      <c r="K1775" s="848" t="s">
        <v>14071</v>
      </c>
    </row>
    <row r="1776" spans="2:11">
      <c r="B1776" s="848">
        <v>1773</v>
      </c>
      <c r="C1776" s="848" t="s">
        <v>14073</v>
      </c>
      <c r="D1776" s="849" t="s">
        <v>466</v>
      </c>
      <c r="E1776" s="848" t="s">
        <v>9420</v>
      </c>
      <c r="F1776" s="848" t="s">
        <v>13916</v>
      </c>
      <c r="G1776" s="850" t="s">
        <v>13154</v>
      </c>
      <c r="H1776" s="849" t="s">
        <v>10716</v>
      </c>
      <c r="I1776" s="849"/>
      <c r="J1776" s="851">
        <v>17.149999999999999</v>
      </c>
      <c r="K1776" s="848" t="s">
        <v>6004</v>
      </c>
    </row>
    <row r="1777" spans="2:11">
      <c r="B1777" s="848">
        <v>1774</v>
      </c>
      <c r="C1777" s="848" t="s">
        <v>14073</v>
      </c>
      <c r="D1777" s="849" t="s">
        <v>466</v>
      </c>
      <c r="E1777" s="848" t="s">
        <v>9420</v>
      </c>
      <c r="F1777" s="848" t="s">
        <v>14074</v>
      </c>
      <c r="G1777" s="850" t="s">
        <v>12403</v>
      </c>
      <c r="H1777" s="849" t="s">
        <v>10716</v>
      </c>
      <c r="I1777" s="849"/>
      <c r="J1777" s="851">
        <v>21.44</v>
      </c>
      <c r="K1777" s="848" t="s">
        <v>6005</v>
      </c>
    </row>
    <row r="1778" spans="2:11">
      <c r="B1778" s="848">
        <v>1775</v>
      </c>
      <c r="C1778" s="848" t="s">
        <v>14073</v>
      </c>
      <c r="D1778" s="849" t="s">
        <v>466</v>
      </c>
      <c r="E1778" s="848" t="s">
        <v>9420</v>
      </c>
      <c r="F1778" s="848" t="s">
        <v>11039</v>
      </c>
      <c r="G1778" s="850" t="s">
        <v>13130</v>
      </c>
      <c r="H1778" s="849" t="s">
        <v>10716</v>
      </c>
      <c r="I1778" s="849"/>
      <c r="J1778" s="851">
        <v>25.73</v>
      </c>
      <c r="K1778" s="848" t="s">
        <v>6006</v>
      </c>
    </row>
    <row r="1779" spans="2:11">
      <c r="B1779" s="848">
        <v>1776</v>
      </c>
      <c r="C1779" s="848" t="s">
        <v>1436</v>
      </c>
      <c r="D1779" s="849" t="s">
        <v>1900</v>
      </c>
      <c r="E1779" s="848" t="s">
        <v>3270</v>
      </c>
      <c r="F1779" s="848" t="s">
        <v>14075</v>
      </c>
      <c r="G1779" s="850" t="s">
        <v>12597</v>
      </c>
      <c r="H1779" s="849" t="s">
        <v>10716</v>
      </c>
      <c r="I1779" s="849"/>
      <c r="J1779" s="851">
        <v>691</v>
      </c>
      <c r="K1779" s="848" t="s">
        <v>6723</v>
      </c>
    </row>
    <row r="1780" spans="2:11">
      <c r="B1780" s="848">
        <v>1777</v>
      </c>
      <c r="C1780" s="848" t="s">
        <v>14076</v>
      </c>
      <c r="D1780" s="849" t="s">
        <v>14077</v>
      </c>
      <c r="E1780" s="848" t="s">
        <v>9418</v>
      </c>
      <c r="F1780" s="848" t="s">
        <v>14078</v>
      </c>
      <c r="G1780" s="850" t="s">
        <v>12338</v>
      </c>
      <c r="H1780" s="849" t="s">
        <v>10716</v>
      </c>
      <c r="I1780" s="849"/>
      <c r="J1780" s="851">
        <v>385.86</v>
      </c>
      <c r="K1780" s="848" t="s">
        <v>6215</v>
      </c>
    </row>
    <row r="1781" spans="2:11">
      <c r="B1781" s="848">
        <v>1778</v>
      </c>
      <c r="C1781" s="848" t="s">
        <v>14076</v>
      </c>
      <c r="D1781" s="849" t="s">
        <v>14077</v>
      </c>
      <c r="E1781" s="848" t="s">
        <v>9418</v>
      </c>
      <c r="F1781" s="848" t="s">
        <v>14079</v>
      </c>
      <c r="G1781" s="850" t="s">
        <v>12342</v>
      </c>
      <c r="H1781" s="849" t="s">
        <v>10716</v>
      </c>
      <c r="I1781" s="849"/>
      <c r="J1781" s="851">
        <v>68.09</v>
      </c>
      <c r="K1781" s="848" t="s">
        <v>6216</v>
      </c>
    </row>
    <row r="1782" spans="2:11">
      <c r="B1782" s="848">
        <v>1779</v>
      </c>
      <c r="C1782" s="848" t="s">
        <v>14076</v>
      </c>
      <c r="D1782" s="849" t="s">
        <v>14077</v>
      </c>
      <c r="E1782" s="848" t="s">
        <v>9418</v>
      </c>
      <c r="F1782" s="848" t="s">
        <v>12183</v>
      </c>
      <c r="G1782" s="850" t="s">
        <v>11994</v>
      </c>
      <c r="H1782" s="849" t="s">
        <v>10716</v>
      </c>
      <c r="I1782" s="849"/>
      <c r="J1782" s="851">
        <v>345</v>
      </c>
      <c r="K1782" s="848" t="s">
        <v>6217</v>
      </c>
    </row>
    <row r="1783" spans="2:11">
      <c r="B1783" s="848">
        <v>1780</v>
      </c>
      <c r="C1783" s="848" t="s">
        <v>14076</v>
      </c>
      <c r="D1783" s="849" t="s">
        <v>14077</v>
      </c>
      <c r="E1783" s="848" t="s">
        <v>9418</v>
      </c>
      <c r="F1783" s="848" t="s">
        <v>14080</v>
      </c>
      <c r="G1783" s="850" t="s">
        <v>12340</v>
      </c>
      <c r="H1783" s="849" t="s">
        <v>10716</v>
      </c>
      <c r="I1783" s="849"/>
      <c r="J1783" s="851">
        <v>147.53</v>
      </c>
      <c r="K1783" s="848" t="s">
        <v>6614</v>
      </c>
    </row>
    <row r="1784" spans="2:11">
      <c r="B1784" s="848">
        <v>1781</v>
      </c>
      <c r="C1784" s="848" t="s">
        <v>14076</v>
      </c>
      <c r="D1784" s="849" t="s">
        <v>14077</v>
      </c>
      <c r="E1784" s="848" t="s">
        <v>12948</v>
      </c>
      <c r="F1784" s="848" t="s">
        <v>14081</v>
      </c>
      <c r="G1784" s="850" t="s">
        <v>13518</v>
      </c>
      <c r="H1784" s="849" t="s">
        <v>10716</v>
      </c>
      <c r="I1784" s="849"/>
      <c r="J1784" s="851">
        <v>245.57</v>
      </c>
      <c r="K1784" s="848" t="s">
        <v>14082</v>
      </c>
    </row>
    <row r="1785" spans="2:11">
      <c r="B1785" s="848">
        <v>1782</v>
      </c>
      <c r="C1785" s="848" t="s">
        <v>14076</v>
      </c>
      <c r="D1785" s="849" t="s">
        <v>14077</v>
      </c>
      <c r="E1785" s="848" t="s">
        <v>12948</v>
      </c>
      <c r="F1785" s="848" t="s">
        <v>14083</v>
      </c>
      <c r="G1785" s="850" t="s">
        <v>14084</v>
      </c>
      <c r="H1785" s="849" t="s">
        <v>10716</v>
      </c>
      <c r="I1785" s="849"/>
      <c r="J1785" s="851">
        <v>204.26</v>
      </c>
      <c r="K1785" s="848" t="s">
        <v>6738</v>
      </c>
    </row>
    <row r="1786" spans="2:11">
      <c r="B1786" s="848">
        <v>1783</v>
      </c>
      <c r="C1786" s="848" t="s">
        <v>14076</v>
      </c>
      <c r="D1786" s="849" t="s">
        <v>14077</v>
      </c>
      <c r="E1786" s="848" t="s">
        <v>12948</v>
      </c>
      <c r="F1786" s="848" t="s">
        <v>14085</v>
      </c>
      <c r="G1786" s="850" t="s">
        <v>14086</v>
      </c>
      <c r="H1786" s="849" t="s">
        <v>10716</v>
      </c>
      <c r="I1786" s="849"/>
      <c r="J1786" s="851">
        <v>98.69</v>
      </c>
      <c r="K1786" s="848" t="s">
        <v>6739</v>
      </c>
    </row>
    <row r="1787" spans="2:11">
      <c r="B1787" s="848">
        <v>1784</v>
      </c>
      <c r="C1787" s="848" t="s">
        <v>14076</v>
      </c>
      <c r="D1787" s="849" t="s">
        <v>14077</v>
      </c>
      <c r="E1787" s="848" t="s">
        <v>12948</v>
      </c>
      <c r="F1787" s="848" t="s">
        <v>14087</v>
      </c>
      <c r="G1787" s="850" t="s">
        <v>11371</v>
      </c>
      <c r="H1787" s="849" t="s">
        <v>10716</v>
      </c>
      <c r="I1787" s="849"/>
      <c r="J1787" s="851">
        <v>16.07</v>
      </c>
      <c r="K1787" s="848" t="s">
        <v>6740</v>
      </c>
    </row>
    <row r="1788" spans="2:11">
      <c r="B1788" s="848">
        <v>1785</v>
      </c>
      <c r="C1788" s="848" t="s">
        <v>14076</v>
      </c>
      <c r="D1788" s="849" t="s">
        <v>14077</v>
      </c>
      <c r="E1788" s="848" t="s">
        <v>12948</v>
      </c>
      <c r="F1788" s="848" t="s">
        <v>12722</v>
      </c>
      <c r="G1788" s="850" t="s">
        <v>14088</v>
      </c>
      <c r="H1788" s="849" t="s">
        <v>10716</v>
      </c>
      <c r="I1788" s="849"/>
      <c r="J1788" s="851">
        <v>107.87</v>
      </c>
      <c r="K1788" s="848" t="s">
        <v>6218</v>
      </c>
    </row>
    <row r="1789" spans="2:11">
      <c r="B1789" s="848">
        <v>1786</v>
      </c>
      <c r="C1789" s="848" t="s">
        <v>14089</v>
      </c>
      <c r="D1789" s="849" t="s">
        <v>14077</v>
      </c>
      <c r="E1789" s="848" t="s">
        <v>3233</v>
      </c>
      <c r="F1789" s="848" t="s">
        <v>12747</v>
      </c>
      <c r="G1789" s="850" t="s">
        <v>13171</v>
      </c>
      <c r="H1789" s="849" t="s">
        <v>10716</v>
      </c>
      <c r="I1789" s="849"/>
      <c r="J1789" s="851">
        <v>22572.16</v>
      </c>
      <c r="K1789" s="848" t="s">
        <v>14090</v>
      </c>
    </row>
    <row r="1790" spans="2:11">
      <c r="B1790" s="848">
        <v>1787</v>
      </c>
      <c r="C1790" s="848" t="s">
        <v>14089</v>
      </c>
      <c r="D1790" s="849" t="s">
        <v>14077</v>
      </c>
      <c r="E1790" s="848" t="s">
        <v>3233</v>
      </c>
      <c r="F1790" s="848" t="s">
        <v>12758</v>
      </c>
      <c r="G1790" s="850" t="s">
        <v>11482</v>
      </c>
      <c r="H1790" s="849" t="s">
        <v>10716</v>
      </c>
      <c r="I1790" s="849"/>
      <c r="J1790" s="851">
        <v>17458.16</v>
      </c>
      <c r="K1790" s="848" t="s">
        <v>14091</v>
      </c>
    </row>
    <row r="1791" spans="2:11">
      <c r="B1791" s="848">
        <v>1788</v>
      </c>
      <c r="C1791" s="848" t="s">
        <v>14076</v>
      </c>
      <c r="D1791" s="849" t="s">
        <v>14077</v>
      </c>
      <c r="E1791" s="848" t="s">
        <v>9499</v>
      </c>
      <c r="F1791" s="848" t="s">
        <v>11108</v>
      </c>
      <c r="G1791" s="850" t="s">
        <v>14092</v>
      </c>
      <c r="H1791" s="849" t="s">
        <v>10716</v>
      </c>
      <c r="I1791" s="849"/>
      <c r="J1791" s="851">
        <v>19.71</v>
      </c>
      <c r="K1791" s="848" t="s">
        <v>6219</v>
      </c>
    </row>
    <row r="1792" spans="2:11">
      <c r="B1792" s="848">
        <v>1789</v>
      </c>
      <c r="C1792" s="848" t="s">
        <v>14076</v>
      </c>
      <c r="D1792" s="849" t="s">
        <v>14077</v>
      </c>
      <c r="E1792" s="848" t="s">
        <v>11562</v>
      </c>
      <c r="F1792" s="848" t="s">
        <v>13582</v>
      </c>
      <c r="G1792" s="850" t="s">
        <v>11589</v>
      </c>
      <c r="H1792" s="849" t="s">
        <v>10716</v>
      </c>
      <c r="I1792" s="849"/>
      <c r="J1792" s="851">
        <v>52</v>
      </c>
      <c r="K1792" s="848" t="s">
        <v>6237</v>
      </c>
    </row>
    <row r="1793" spans="2:11">
      <c r="B1793" s="848">
        <v>1790</v>
      </c>
      <c r="C1793" s="848" t="s">
        <v>14093</v>
      </c>
      <c r="D1793" s="849" t="s">
        <v>14094</v>
      </c>
      <c r="E1793" s="848" t="s">
        <v>9420</v>
      </c>
      <c r="F1793" s="848" t="s">
        <v>14095</v>
      </c>
      <c r="G1793" s="850" t="s">
        <v>10782</v>
      </c>
      <c r="H1793" s="849" t="s">
        <v>10716</v>
      </c>
      <c r="I1793" s="849"/>
      <c r="J1793" s="851">
        <v>504.64</v>
      </c>
      <c r="K1793" s="848" t="s">
        <v>6563</v>
      </c>
    </row>
    <row r="1794" spans="2:11">
      <c r="B1794" s="848">
        <v>1791</v>
      </c>
      <c r="C1794" s="848" t="s">
        <v>14093</v>
      </c>
      <c r="D1794" s="849" t="s">
        <v>14094</v>
      </c>
      <c r="E1794" s="848" t="s">
        <v>3233</v>
      </c>
      <c r="F1794" s="848" t="s">
        <v>10725</v>
      </c>
      <c r="G1794" s="850" t="s">
        <v>14096</v>
      </c>
      <c r="H1794" s="849" t="s">
        <v>10716</v>
      </c>
      <c r="I1794" s="849"/>
      <c r="J1794" s="851">
        <v>87</v>
      </c>
      <c r="K1794" s="848" t="s">
        <v>6029</v>
      </c>
    </row>
    <row r="1795" spans="2:11">
      <c r="B1795" s="848">
        <v>1792</v>
      </c>
      <c r="C1795" s="848" t="s">
        <v>1270</v>
      </c>
      <c r="D1795" s="849" t="s">
        <v>986</v>
      </c>
      <c r="E1795" s="848" t="s">
        <v>9420</v>
      </c>
      <c r="F1795" s="848" t="s">
        <v>13956</v>
      </c>
      <c r="G1795" s="850" t="s">
        <v>11601</v>
      </c>
      <c r="H1795" s="849" t="s">
        <v>10716</v>
      </c>
      <c r="I1795" s="849"/>
      <c r="J1795" s="851">
        <v>276.74</v>
      </c>
      <c r="K1795" s="848" t="s">
        <v>6535</v>
      </c>
    </row>
    <row r="1796" spans="2:11">
      <c r="B1796" s="848">
        <v>1793</v>
      </c>
      <c r="C1796" s="848" t="s">
        <v>1270</v>
      </c>
      <c r="D1796" s="849" t="s">
        <v>986</v>
      </c>
      <c r="E1796" s="848" t="s">
        <v>3354</v>
      </c>
      <c r="F1796" s="848" t="s">
        <v>10957</v>
      </c>
      <c r="G1796" s="850" t="s">
        <v>14097</v>
      </c>
      <c r="H1796" s="849" t="s">
        <v>10716</v>
      </c>
      <c r="I1796" s="849"/>
      <c r="J1796" s="851">
        <v>179</v>
      </c>
      <c r="K1796" s="848" t="s">
        <v>6046</v>
      </c>
    </row>
    <row r="1797" spans="2:11">
      <c r="B1797" s="848">
        <v>1794</v>
      </c>
      <c r="C1797" s="848" t="s">
        <v>14098</v>
      </c>
      <c r="D1797" s="849" t="s">
        <v>5706</v>
      </c>
      <c r="E1797" s="848" t="s">
        <v>12121</v>
      </c>
      <c r="F1797" s="848" t="s">
        <v>11049</v>
      </c>
      <c r="G1797" s="850" t="s">
        <v>14099</v>
      </c>
      <c r="H1797" s="849" t="s">
        <v>10716</v>
      </c>
      <c r="I1797" s="849"/>
      <c r="J1797" s="851">
        <v>80</v>
      </c>
      <c r="K1797" s="848" t="s">
        <v>6062</v>
      </c>
    </row>
    <row r="1798" spans="2:11">
      <c r="B1798" s="848">
        <v>1795</v>
      </c>
      <c r="C1798" s="848" t="s">
        <v>12479</v>
      </c>
      <c r="D1798" s="849" t="s">
        <v>79</v>
      </c>
      <c r="E1798" s="848" t="s">
        <v>8582</v>
      </c>
      <c r="F1798" s="848" t="s">
        <v>12599</v>
      </c>
      <c r="G1798" s="850" t="s">
        <v>14100</v>
      </c>
      <c r="H1798" s="849" t="s">
        <v>10716</v>
      </c>
      <c r="I1798" s="849"/>
      <c r="J1798" s="851">
        <v>42936.88</v>
      </c>
      <c r="K1798" s="848" t="s">
        <v>11227</v>
      </c>
    </row>
    <row r="1799" spans="2:11">
      <c r="B1799" s="848">
        <v>1796</v>
      </c>
      <c r="C1799" s="848" t="s">
        <v>12479</v>
      </c>
      <c r="D1799" s="849" t="s">
        <v>79</v>
      </c>
      <c r="E1799" s="848" t="s">
        <v>8582</v>
      </c>
      <c r="F1799" s="848" t="s">
        <v>12602</v>
      </c>
      <c r="G1799" s="850" t="s">
        <v>12075</v>
      </c>
      <c r="H1799" s="849" t="s">
        <v>10716</v>
      </c>
      <c r="I1799" s="849"/>
      <c r="J1799" s="851">
        <v>36803.040000000001</v>
      </c>
      <c r="K1799" s="848" t="s">
        <v>11229</v>
      </c>
    </row>
    <row r="1800" spans="2:11">
      <c r="B1800" s="848">
        <v>1797</v>
      </c>
      <c r="C1800" s="848" t="s">
        <v>559</v>
      </c>
      <c r="D1800" s="849" t="s">
        <v>79</v>
      </c>
      <c r="E1800" s="848" t="s">
        <v>8582</v>
      </c>
      <c r="F1800" s="848" t="s">
        <v>12603</v>
      </c>
      <c r="G1800" s="850" t="s">
        <v>12003</v>
      </c>
      <c r="H1800" s="849" t="s">
        <v>10716</v>
      </c>
      <c r="I1800" s="849"/>
      <c r="J1800" s="851">
        <v>32969.39</v>
      </c>
      <c r="K1800" s="848" t="s">
        <v>11323</v>
      </c>
    </row>
    <row r="1801" spans="2:11">
      <c r="B1801" s="848">
        <v>1798</v>
      </c>
      <c r="C1801" s="848" t="s">
        <v>14101</v>
      </c>
      <c r="D1801" s="849" t="s">
        <v>79</v>
      </c>
      <c r="E1801" s="848" t="s">
        <v>8582</v>
      </c>
      <c r="F1801" s="848" t="s">
        <v>12606</v>
      </c>
      <c r="G1801" s="850" t="s">
        <v>11327</v>
      </c>
      <c r="H1801" s="849" t="s">
        <v>10716</v>
      </c>
      <c r="I1801" s="849"/>
      <c r="J1801" s="851">
        <v>18018.16</v>
      </c>
      <c r="K1801" s="848" t="s">
        <v>6465</v>
      </c>
    </row>
    <row r="1802" spans="2:11">
      <c r="B1802" s="848">
        <v>1799</v>
      </c>
      <c r="C1802" s="848" t="s">
        <v>14101</v>
      </c>
      <c r="D1802" s="849" t="s">
        <v>79</v>
      </c>
      <c r="E1802" s="848" t="s">
        <v>8582</v>
      </c>
      <c r="F1802" s="848" t="s">
        <v>12609</v>
      </c>
      <c r="G1802" s="850" t="s">
        <v>11980</v>
      </c>
      <c r="H1802" s="849" t="s">
        <v>10716</v>
      </c>
      <c r="I1802" s="849"/>
      <c r="J1802" s="851">
        <v>24152</v>
      </c>
      <c r="K1802" s="848" t="s">
        <v>6466</v>
      </c>
    </row>
    <row r="1803" spans="2:11">
      <c r="B1803" s="848">
        <v>1800</v>
      </c>
      <c r="C1803" s="848" t="s">
        <v>1347</v>
      </c>
      <c r="D1803" s="849" t="s">
        <v>1022</v>
      </c>
      <c r="E1803" s="848" t="s">
        <v>3321</v>
      </c>
      <c r="F1803" s="848" t="s">
        <v>14102</v>
      </c>
      <c r="G1803" s="850" t="s">
        <v>10749</v>
      </c>
      <c r="H1803" s="849" t="s">
        <v>10716</v>
      </c>
      <c r="I1803" s="849"/>
      <c r="J1803" s="851">
        <v>1362.04</v>
      </c>
      <c r="K1803" s="848" t="s">
        <v>14103</v>
      </c>
    </row>
    <row r="1804" spans="2:11">
      <c r="B1804" s="848">
        <v>1801</v>
      </c>
      <c r="C1804" s="848" t="s">
        <v>1327</v>
      </c>
      <c r="D1804" s="849" t="s">
        <v>380</v>
      </c>
      <c r="E1804" s="848" t="s">
        <v>10754</v>
      </c>
      <c r="F1804" s="848" t="s">
        <v>11510</v>
      </c>
      <c r="G1804" s="850" t="s">
        <v>10955</v>
      </c>
      <c r="H1804" s="849" t="s">
        <v>10716</v>
      </c>
      <c r="I1804" s="849"/>
      <c r="J1804" s="851">
        <v>27.54</v>
      </c>
      <c r="K1804" s="848" t="s">
        <v>14104</v>
      </c>
    </row>
    <row r="1805" spans="2:11">
      <c r="B1805" s="848">
        <v>1802</v>
      </c>
      <c r="C1805" s="848" t="s">
        <v>1327</v>
      </c>
      <c r="D1805" s="849" t="s">
        <v>380</v>
      </c>
      <c r="E1805" s="848" t="s">
        <v>10754</v>
      </c>
      <c r="F1805" s="848" t="s">
        <v>11507</v>
      </c>
      <c r="G1805" s="850" t="s">
        <v>10958</v>
      </c>
      <c r="H1805" s="849" t="s">
        <v>10716</v>
      </c>
      <c r="I1805" s="849"/>
      <c r="J1805" s="851">
        <v>29.84</v>
      </c>
      <c r="K1805" s="848" t="s">
        <v>14105</v>
      </c>
    </row>
    <row r="1806" spans="2:11">
      <c r="B1806" s="848">
        <v>1803</v>
      </c>
      <c r="C1806" s="848" t="s">
        <v>1276</v>
      </c>
      <c r="D1806" s="849" t="s">
        <v>8026</v>
      </c>
      <c r="E1806" s="848" t="s">
        <v>11816</v>
      </c>
      <c r="F1806" s="848" t="s">
        <v>11501</v>
      </c>
      <c r="G1806" s="850" t="s">
        <v>10749</v>
      </c>
      <c r="H1806" s="849" t="s">
        <v>10716</v>
      </c>
      <c r="I1806" s="849"/>
      <c r="J1806" s="851">
        <v>2324.8000000000002</v>
      </c>
      <c r="K1806" s="848" t="s">
        <v>11843</v>
      </c>
    </row>
    <row r="1807" spans="2:11">
      <c r="B1807" s="848">
        <v>1804</v>
      </c>
      <c r="C1807" s="848" t="s">
        <v>14106</v>
      </c>
      <c r="D1807" s="849" t="s">
        <v>1051</v>
      </c>
      <c r="E1807" s="848" t="s">
        <v>11991</v>
      </c>
      <c r="F1807" s="848" t="s">
        <v>11460</v>
      </c>
      <c r="G1807" s="850" t="s">
        <v>13591</v>
      </c>
      <c r="H1807" s="849" t="s">
        <v>10716</v>
      </c>
      <c r="I1807" s="849"/>
      <c r="J1807" s="851">
        <v>381</v>
      </c>
      <c r="K1807" s="848" t="s">
        <v>14107</v>
      </c>
    </row>
    <row r="1808" spans="2:11">
      <c r="B1808" s="848">
        <v>1805</v>
      </c>
      <c r="C1808" s="848" t="s">
        <v>609</v>
      </c>
      <c r="D1808" s="849" t="s">
        <v>14108</v>
      </c>
      <c r="E1808" s="848" t="s">
        <v>3393</v>
      </c>
      <c r="F1808" s="848" t="s">
        <v>12612</v>
      </c>
      <c r="G1808" s="850" t="s">
        <v>12491</v>
      </c>
      <c r="H1808" s="849" t="s">
        <v>10716</v>
      </c>
      <c r="I1808" s="849"/>
      <c r="J1808" s="851">
        <v>3066.92</v>
      </c>
      <c r="K1808" s="848" t="s">
        <v>10784</v>
      </c>
    </row>
    <row r="1809" spans="2:11">
      <c r="B1809" s="848">
        <v>1806</v>
      </c>
      <c r="C1809" s="848" t="s">
        <v>609</v>
      </c>
      <c r="D1809" s="849" t="s">
        <v>14108</v>
      </c>
      <c r="E1809" s="848" t="s">
        <v>3393</v>
      </c>
      <c r="F1809" s="848" t="s">
        <v>12614</v>
      </c>
      <c r="G1809" s="850" t="s">
        <v>13451</v>
      </c>
      <c r="H1809" s="849" t="s">
        <v>10716</v>
      </c>
      <c r="I1809" s="849"/>
      <c r="J1809" s="851">
        <v>1916.83</v>
      </c>
      <c r="K1809" s="848" t="s">
        <v>5827</v>
      </c>
    </row>
    <row r="1810" spans="2:11">
      <c r="B1810" s="848">
        <v>1807</v>
      </c>
      <c r="C1810" s="848" t="s">
        <v>609</v>
      </c>
      <c r="D1810" s="849" t="s">
        <v>14108</v>
      </c>
      <c r="E1810" s="848" t="s">
        <v>3393</v>
      </c>
      <c r="F1810" s="848" t="s">
        <v>12615</v>
      </c>
      <c r="G1810" s="850" t="s">
        <v>13456</v>
      </c>
      <c r="H1810" s="849" t="s">
        <v>10716</v>
      </c>
      <c r="I1810" s="849"/>
      <c r="J1810" s="851">
        <v>1533.46</v>
      </c>
      <c r="K1810" s="848" t="s">
        <v>14109</v>
      </c>
    </row>
    <row r="1811" spans="2:11">
      <c r="B1811" s="848">
        <v>1808</v>
      </c>
      <c r="C1811" s="848" t="s">
        <v>711</v>
      </c>
      <c r="D1811" s="849" t="s">
        <v>14110</v>
      </c>
      <c r="E1811" s="848" t="s">
        <v>8582</v>
      </c>
      <c r="F1811" s="848" t="s">
        <v>14111</v>
      </c>
      <c r="G1811" s="850" t="s">
        <v>12972</v>
      </c>
      <c r="H1811" s="849" t="s">
        <v>10716</v>
      </c>
      <c r="I1811" s="849"/>
      <c r="J1811" s="851">
        <v>2284.62</v>
      </c>
      <c r="K1811" s="848" t="s">
        <v>14112</v>
      </c>
    </row>
    <row r="1812" spans="2:11">
      <c r="B1812" s="848">
        <v>1809</v>
      </c>
      <c r="C1812" s="848" t="s">
        <v>711</v>
      </c>
      <c r="D1812" s="849" t="s">
        <v>14110</v>
      </c>
      <c r="E1812" s="848" t="s">
        <v>8582</v>
      </c>
      <c r="F1812" s="848" t="s">
        <v>14113</v>
      </c>
      <c r="G1812" s="850" t="s">
        <v>12963</v>
      </c>
      <c r="H1812" s="849" t="s">
        <v>10716</v>
      </c>
      <c r="I1812" s="849"/>
      <c r="J1812" s="851">
        <v>7816</v>
      </c>
      <c r="K1812" s="848" t="s">
        <v>14112</v>
      </c>
    </row>
    <row r="1813" spans="2:11">
      <c r="B1813" s="848">
        <v>1810</v>
      </c>
      <c r="C1813" s="848" t="s">
        <v>711</v>
      </c>
      <c r="D1813" s="849" t="s">
        <v>14110</v>
      </c>
      <c r="E1813" s="848" t="s">
        <v>8582</v>
      </c>
      <c r="F1813" s="848" t="s">
        <v>11455</v>
      </c>
      <c r="G1813" s="850" t="s">
        <v>12964</v>
      </c>
      <c r="H1813" s="849" t="s">
        <v>10716</v>
      </c>
      <c r="I1813" s="849"/>
      <c r="J1813" s="851">
        <v>213.93</v>
      </c>
      <c r="K1813" s="848" t="s">
        <v>14114</v>
      </c>
    </row>
    <row r="1814" spans="2:11">
      <c r="B1814" s="848">
        <v>1811</v>
      </c>
      <c r="C1814" s="848" t="s">
        <v>711</v>
      </c>
      <c r="D1814" s="849" t="s">
        <v>14110</v>
      </c>
      <c r="E1814" s="848" t="s">
        <v>8582</v>
      </c>
      <c r="F1814" s="848" t="s">
        <v>11469</v>
      </c>
      <c r="G1814" s="850" t="s">
        <v>12966</v>
      </c>
      <c r="H1814" s="849" t="s">
        <v>10716</v>
      </c>
      <c r="I1814" s="849"/>
      <c r="J1814" s="851">
        <v>831.95</v>
      </c>
      <c r="K1814" s="848" t="s">
        <v>14115</v>
      </c>
    </row>
    <row r="1815" spans="2:11">
      <c r="B1815" s="848">
        <v>1812</v>
      </c>
      <c r="C1815" s="848" t="s">
        <v>711</v>
      </c>
      <c r="D1815" s="849" t="s">
        <v>14110</v>
      </c>
      <c r="E1815" s="848" t="s">
        <v>8582</v>
      </c>
      <c r="F1815" s="848" t="s">
        <v>11466</v>
      </c>
      <c r="G1815" s="850" t="s">
        <v>12949</v>
      </c>
      <c r="H1815" s="849" t="s">
        <v>10716</v>
      </c>
      <c r="I1815" s="849"/>
      <c r="J1815" s="851">
        <v>1735.21</v>
      </c>
      <c r="K1815" s="848" t="s">
        <v>14116</v>
      </c>
    </row>
    <row r="1816" spans="2:11">
      <c r="B1816" s="848">
        <v>1813</v>
      </c>
      <c r="C1816" s="848" t="s">
        <v>711</v>
      </c>
      <c r="D1816" s="849" t="s">
        <v>14110</v>
      </c>
      <c r="E1816" s="848" t="s">
        <v>8582</v>
      </c>
      <c r="F1816" s="848" t="s">
        <v>11516</v>
      </c>
      <c r="G1816" s="850" t="s">
        <v>12968</v>
      </c>
      <c r="H1816" s="849" t="s">
        <v>10716</v>
      </c>
      <c r="I1816" s="849"/>
      <c r="J1816" s="851">
        <v>760.64</v>
      </c>
      <c r="K1816" s="848" t="s">
        <v>14117</v>
      </c>
    </row>
    <row r="1817" spans="2:11">
      <c r="B1817" s="848">
        <v>1814</v>
      </c>
      <c r="C1817" s="848" t="s">
        <v>711</v>
      </c>
      <c r="D1817" s="849" t="s">
        <v>14110</v>
      </c>
      <c r="E1817" s="848" t="s">
        <v>8582</v>
      </c>
      <c r="F1817" s="848" t="s">
        <v>11457</v>
      </c>
      <c r="G1817" s="850" t="s">
        <v>12969</v>
      </c>
      <c r="H1817" s="849" t="s">
        <v>10716</v>
      </c>
      <c r="I1817" s="849"/>
      <c r="J1817" s="851">
        <v>1925.37</v>
      </c>
      <c r="K1817" s="848" t="s">
        <v>6091</v>
      </c>
    </row>
    <row r="1818" spans="2:11">
      <c r="B1818" s="848">
        <v>1815</v>
      </c>
      <c r="C1818" s="848" t="s">
        <v>711</v>
      </c>
      <c r="D1818" s="849" t="s">
        <v>14110</v>
      </c>
      <c r="E1818" s="848" t="s">
        <v>8582</v>
      </c>
      <c r="F1818" s="848" t="s">
        <v>11475</v>
      </c>
      <c r="G1818" s="850" t="s">
        <v>12970</v>
      </c>
      <c r="H1818" s="849" t="s">
        <v>10716</v>
      </c>
      <c r="I1818" s="849"/>
      <c r="J1818" s="851">
        <v>309.01</v>
      </c>
      <c r="K1818" s="848" t="s">
        <v>14118</v>
      </c>
    </row>
    <row r="1819" spans="2:11">
      <c r="B1819" s="848">
        <v>1816</v>
      </c>
      <c r="C1819" s="848" t="s">
        <v>711</v>
      </c>
      <c r="D1819" s="849" t="s">
        <v>14110</v>
      </c>
      <c r="E1819" s="848" t="s">
        <v>8582</v>
      </c>
      <c r="F1819" s="848" t="s">
        <v>11492</v>
      </c>
      <c r="G1819" s="850" t="s">
        <v>12971</v>
      </c>
      <c r="H1819" s="849" t="s">
        <v>10716</v>
      </c>
      <c r="I1819" s="849"/>
      <c r="J1819" s="851">
        <v>1901.6</v>
      </c>
      <c r="K1819" s="848" t="s">
        <v>14119</v>
      </c>
    </row>
    <row r="1820" spans="2:11">
      <c r="B1820" s="848">
        <v>1817</v>
      </c>
      <c r="C1820" s="848" t="s">
        <v>711</v>
      </c>
      <c r="D1820" s="849" t="s">
        <v>14110</v>
      </c>
      <c r="E1820" s="848" t="s">
        <v>8582</v>
      </c>
      <c r="F1820" s="848" t="s">
        <v>11472</v>
      </c>
      <c r="G1820" s="850" t="s">
        <v>12974</v>
      </c>
      <c r="H1820" s="849" t="s">
        <v>10716</v>
      </c>
      <c r="I1820" s="849"/>
      <c r="J1820" s="851">
        <v>2971.25</v>
      </c>
      <c r="K1820" s="848" t="s">
        <v>14120</v>
      </c>
    </row>
    <row r="1821" spans="2:11">
      <c r="B1821" s="848">
        <v>1818</v>
      </c>
      <c r="C1821" s="848" t="s">
        <v>711</v>
      </c>
      <c r="D1821" s="849" t="s">
        <v>14110</v>
      </c>
      <c r="E1821" s="848" t="s">
        <v>11136</v>
      </c>
      <c r="F1821" s="848" t="s">
        <v>14121</v>
      </c>
      <c r="G1821" s="850" t="s">
        <v>11394</v>
      </c>
      <c r="H1821" s="849" t="s">
        <v>10716</v>
      </c>
      <c r="I1821" s="849"/>
      <c r="J1821" s="851">
        <v>13.649512499999998</v>
      </c>
      <c r="K1821" s="848" t="s">
        <v>6009</v>
      </c>
    </row>
    <row r="1822" spans="2:11">
      <c r="B1822" s="848">
        <v>1819</v>
      </c>
      <c r="C1822" s="848" t="s">
        <v>711</v>
      </c>
      <c r="D1822" s="849" t="s">
        <v>14110</v>
      </c>
      <c r="E1822" s="848" t="s">
        <v>11136</v>
      </c>
      <c r="F1822" s="848" t="s">
        <v>11388</v>
      </c>
      <c r="G1822" s="850" t="s">
        <v>14122</v>
      </c>
      <c r="H1822" s="849" t="s">
        <v>10716</v>
      </c>
      <c r="I1822" s="849"/>
      <c r="J1822" s="851">
        <v>6.2997749999999995</v>
      </c>
      <c r="K1822" s="848" t="s">
        <v>6024</v>
      </c>
    </row>
    <row r="1823" spans="2:11">
      <c r="B1823" s="848">
        <v>1820</v>
      </c>
      <c r="C1823" s="848" t="s">
        <v>711</v>
      </c>
      <c r="D1823" s="849" t="s">
        <v>14110</v>
      </c>
      <c r="E1823" s="848" t="s">
        <v>11136</v>
      </c>
      <c r="F1823" s="848" t="s">
        <v>14102</v>
      </c>
      <c r="G1823" s="850" t="s">
        <v>14123</v>
      </c>
      <c r="H1823" s="849" t="s">
        <v>10716</v>
      </c>
      <c r="I1823" s="849"/>
      <c r="J1823" s="851">
        <v>11.549587499999999</v>
      </c>
      <c r="K1823" s="848" t="s">
        <v>6025</v>
      </c>
    </row>
    <row r="1824" spans="2:11">
      <c r="B1824" s="848">
        <v>1821</v>
      </c>
      <c r="C1824" s="848" t="s">
        <v>711</v>
      </c>
      <c r="D1824" s="849" t="s">
        <v>14110</v>
      </c>
      <c r="E1824" s="848" t="s">
        <v>11136</v>
      </c>
      <c r="F1824" s="848" t="s">
        <v>14124</v>
      </c>
      <c r="G1824" s="850" t="s">
        <v>14125</v>
      </c>
      <c r="H1824" s="849" t="s">
        <v>10716</v>
      </c>
      <c r="I1824" s="849"/>
      <c r="J1824" s="851">
        <v>2.0999249999999998</v>
      </c>
      <c r="K1824" s="848" t="s">
        <v>6026</v>
      </c>
    </row>
    <row r="1825" spans="2:11">
      <c r="B1825" s="848">
        <v>1822</v>
      </c>
      <c r="C1825" s="848" t="s">
        <v>14126</v>
      </c>
      <c r="D1825" s="849" t="s">
        <v>14127</v>
      </c>
      <c r="E1825" s="848" t="s">
        <v>13832</v>
      </c>
      <c r="F1825" s="848" t="s">
        <v>13291</v>
      </c>
      <c r="G1825" s="850" t="s">
        <v>10749</v>
      </c>
      <c r="H1825" s="849" t="s">
        <v>10716</v>
      </c>
      <c r="I1825" s="849"/>
      <c r="J1825" s="851">
        <v>6274.37</v>
      </c>
      <c r="K1825" s="848" t="s">
        <v>14128</v>
      </c>
    </row>
    <row r="1826" spans="2:11">
      <c r="B1826" s="848">
        <v>1823</v>
      </c>
      <c r="C1826" s="848" t="s">
        <v>14126</v>
      </c>
      <c r="D1826" s="849" t="s">
        <v>14127</v>
      </c>
      <c r="E1826" s="848" t="s">
        <v>13832</v>
      </c>
      <c r="F1826" s="848" t="s">
        <v>10737</v>
      </c>
      <c r="G1826" s="850" t="s">
        <v>10749</v>
      </c>
      <c r="H1826" s="849" t="s">
        <v>10716</v>
      </c>
      <c r="I1826" s="849"/>
      <c r="J1826" s="851">
        <v>6291.36</v>
      </c>
      <c r="K1826" s="848" t="s">
        <v>14128</v>
      </c>
    </row>
    <row r="1827" spans="2:11">
      <c r="B1827" s="848">
        <v>1824</v>
      </c>
      <c r="C1827" s="848" t="s">
        <v>14126</v>
      </c>
      <c r="D1827" s="849" t="s">
        <v>14127</v>
      </c>
      <c r="E1827" s="848" t="s">
        <v>11871</v>
      </c>
      <c r="F1827" s="848" t="s">
        <v>11126</v>
      </c>
      <c r="G1827" s="850" t="s">
        <v>14068</v>
      </c>
      <c r="H1827" s="849" t="s">
        <v>10716</v>
      </c>
      <c r="I1827" s="849"/>
      <c r="J1827" s="851">
        <v>6518</v>
      </c>
      <c r="K1827" s="848" t="s">
        <v>14128</v>
      </c>
    </row>
    <row r="1828" spans="2:11">
      <c r="B1828" s="848">
        <v>1825</v>
      </c>
      <c r="C1828" s="848" t="s">
        <v>663</v>
      </c>
      <c r="D1828" s="849" t="s">
        <v>14129</v>
      </c>
      <c r="E1828" s="848" t="s">
        <v>3220</v>
      </c>
      <c r="F1828" s="848" t="s">
        <v>12617</v>
      </c>
      <c r="G1828" s="850" t="s">
        <v>12191</v>
      </c>
      <c r="H1828" s="849" t="s">
        <v>10716</v>
      </c>
      <c r="I1828" s="849"/>
      <c r="J1828" s="851">
        <v>9584.1299999999992</v>
      </c>
      <c r="K1828" s="848" t="s">
        <v>12899</v>
      </c>
    </row>
    <row r="1829" spans="2:11">
      <c r="B1829" s="848">
        <v>1826</v>
      </c>
      <c r="C1829" s="848" t="s">
        <v>663</v>
      </c>
      <c r="D1829" s="849" t="s">
        <v>14129</v>
      </c>
      <c r="E1829" s="848" t="s">
        <v>3220</v>
      </c>
      <c r="F1829" s="848" t="s">
        <v>12620</v>
      </c>
      <c r="G1829" s="850" t="s">
        <v>12273</v>
      </c>
      <c r="H1829" s="849" t="s">
        <v>10716</v>
      </c>
      <c r="I1829" s="849"/>
      <c r="J1829" s="851">
        <v>766.73</v>
      </c>
      <c r="K1829" s="848" t="s">
        <v>5820</v>
      </c>
    </row>
    <row r="1830" spans="2:11">
      <c r="B1830" s="848">
        <v>1827</v>
      </c>
      <c r="C1830" s="848" t="s">
        <v>663</v>
      </c>
      <c r="D1830" s="849" t="s">
        <v>14129</v>
      </c>
      <c r="E1830" s="848" t="s">
        <v>3220</v>
      </c>
      <c r="F1830" s="848" t="s">
        <v>12623</v>
      </c>
      <c r="G1830" s="850" t="s">
        <v>14130</v>
      </c>
      <c r="H1830" s="849" t="s">
        <v>10716</v>
      </c>
      <c r="I1830" s="849"/>
      <c r="J1830" s="851">
        <v>6900.49</v>
      </c>
      <c r="K1830" s="848" t="s">
        <v>5821</v>
      </c>
    </row>
    <row r="1831" spans="2:11">
      <c r="B1831" s="848">
        <v>1828</v>
      </c>
      <c r="C1831" s="848" t="s">
        <v>663</v>
      </c>
      <c r="D1831" s="849" t="s">
        <v>14129</v>
      </c>
      <c r="E1831" s="848" t="s">
        <v>3220</v>
      </c>
      <c r="F1831" s="848" t="s">
        <v>12626</v>
      </c>
      <c r="G1831" s="850" t="s">
        <v>12745</v>
      </c>
      <c r="H1831" s="849" t="s">
        <v>10716</v>
      </c>
      <c r="I1831" s="849"/>
      <c r="J1831" s="851">
        <v>10734.22</v>
      </c>
      <c r="K1831" s="848" t="s">
        <v>5822</v>
      </c>
    </row>
    <row r="1832" spans="2:11">
      <c r="B1832" s="848">
        <v>1829</v>
      </c>
      <c r="C1832" s="848" t="s">
        <v>663</v>
      </c>
      <c r="D1832" s="849" t="s">
        <v>14129</v>
      </c>
      <c r="E1832" s="848" t="s">
        <v>3220</v>
      </c>
      <c r="F1832" s="848" t="s">
        <v>12629</v>
      </c>
      <c r="G1832" s="850" t="s">
        <v>11864</v>
      </c>
      <c r="H1832" s="849" t="s">
        <v>10716</v>
      </c>
      <c r="I1832" s="849"/>
      <c r="J1832" s="851">
        <v>383.37</v>
      </c>
      <c r="K1832" s="848" t="s">
        <v>5823</v>
      </c>
    </row>
    <row r="1833" spans="2:11">
      <c r="B1833" s="848">
        <v>1830</v>
      </c>
      <c r="C1833" s="848" t="s">
        <v>663</v>
      </c>
      <c r="D1833" s="849" t="s">
        <v>14129</v>
      </c>
      <c r="E1833" s="848" t="s">
        <v>3220</v>
      </c>
      <c r="F1833" s="848" t="s">
        <v>12632</v>
      </c>
      <c r="G1833" s="850" t="s">
        <v>12278</v>
      </c>
      <c r="H1833" s="849" t="s">
        <v>10716</v>
      </c>
      <c r="I1833" s="849"/>
      <c r="J1833" s="851">
        <v>766.73</v>
      </c>
      <c r="K1833" s="848" t="s">
        <v>5824</v>
      </c>
    </row>
    <row r="1834" spans="2:11">
      <c r="B1834" s="848">
        <v>1831</v>
      </c>
      <c r="C1834" s="848" t="s">
        <v>11073</v>
      </c>
      <c r="D1834" s="849" t="s">
        <v>14131</v>
      </c>
      <c r="E1834" s="848" t="s">
        <v>13329</v>
      </c>
      <c r="F1834" s="848" t="s">
        <v>10939</v>
      </c>
      <c r="G1834" s="850" t="s">
        <v>14124</v>
      </c>
      <c r="H1834" s="849" t="s">
        <v>10716</v>
      </c>
      <c r="I1834" s="849"/>
      <c r="J1834" s="851">
        <v>764.65484250000009</v>
      </c>
      <c r="K1834" s="848" t="s">
        <v>14132</v>
      </c>
    </row>
    <row r="1835" spans="2:11">
      <c r="B1835" s="848">
        <v>1832</v>
      </c>
      <c r="C1835" s="848" t="s">
        <v>11073</v>
      </c>
      <c r="D1835" s="849" t="s">
        <v>14131</v>
      </c>
      <c r="E1835" s="848" t="s">
        <v>13329</v>
      </c>
      <c r="F1835" s="848" t="s">
        <v>10945</v>
      </c>
      <c r="G1835" s="850" t="s">
        <v>14102</v>
      </c>
      <c r="H1835" s="849" t="s">
        <v>10716</v>
      </c>
      <c r="I1835" s="849"/>
      <c r="J1835" s="851">
        <v>766.72500000000002</v>
      </c>
      <c r="K1835" s="848" t="s">
        <v>14132</v>
      </c>
    </row>
    <row r="1836" spans="2:11">
      <c r="B1836" s="848">
        <v>1833</v>
      </c>
      <c r="C1836" s="848" t="s">
        <v>11073</v>
      </c>
      <c r="D1836" s="849" t="s">
        <v>14131</v>
      </c>
      <c r="E1836" s="848" t="s">
        <v>13329</v>
      </c>
      <c r="F1836" s="848" t="s">
        <v>11806</v>
      </c>
      <c r="G1836" s="850" t="s">
        <v>11388</v>
      </c>
      <c r="H1836" s="849" t="s">
        <v>10716</v>
      </c>
      <c r="I1836" s="849"/>
      <c r="J1836" s="851">
        <v>764.65484250000009</v>
      </c>
      <c r="K1836" s="848" t="s">
        <v>14132</v>
      </c>
    </row>
    <row r="1837" spans="2:11">
      <c r="B1837" s="848">
        <v>1834</v>
      </c>
      <c r="C1837" s="848" t="s">
        <v>11073</v>
      </c>
      <c r="D1837" s="849" t="s">
        <v>14131</v>
      </c>
      <c r="E1837" s="848" t="s">
        <v>13329</v>
      </c>
      <c r="F1837" s="848" t="s">
        <v>13586</v>
      </c>
      <c r="G1837" s="850" t="s">
        <v>14133</v>
      </c>
      <c r="H1837" s="849" t="s">
        <v>10716</v>
      </c>
      <c r="I1837" s="849"/>
      <c r="J1837" s="851">
        <v>766.72500000000002</v>
      </c>
      <c r="K1837" s="848" t="s">
        <v>14132</v>
      </c>
    </row>
    <row r="1838" spans="2:11">
      <c r="B1838" s="848">
        <v>1835</v>
      </c>
      <c r="C1838" s="848" t="s">
        <v>11073</v>
      </c>
      <c r="D1838" s="849" t="s">
        <v>14131</v>
      </c>
      <c r="E1838" s="848" t="s">
        <v>13329</v>
      </c>
      <c r="F1838" s="848" t="s">
        <v>11100</v>
      </c>
      <c r="G1838" s="850" t="s">
        <v>14121</v>
      </c>
      <c r="H1838" s="849" t="s">
        <v>10716</v>
      </c>
      <c r="I1838" s="849"/>
      <c r="J1838" s="851">
        <v>764.65484250000009</v>
      </c>
      <c r="K1838" s="848" t="s">
        <v>14132</v>
      </c>
    </row>
    <row r="1839" spans="2:11">
      <c r="B1839" s="848">
        <v>1836</v>
      </c>
      <c r="C1839" s="848" t="s">
        <v>14134</v>
      </c>
      <c r="D1839" s="849" t="s">
        <v>14135</v>
      </c>
      <c r="E1839" s="848" t="s">
        <v>9437</v>
      </c>
      <c r="F1839" s="848" t="s">
        <v>12393</v>
      </c>
      <c r="G1839" s="850" t="s">
        <v>11737</v>
      </c>
      <c r="H1839" s="849" t="s">
        <v>10716</v>
      </c>
      <c r="I1839" s="849"/>
      <c r="J1839" s="851">
        <v>5</v>
      </c>
      <c r="K1839" s="848" t="s">
        <v>14136</v>
      </c>
    </row>
    <row r="1840" spans="2:11">
      <c r="B1840" s="848">
        <v>1837</v>
      </c>
      <c r="C1840" s="848" t="s">
        <v>14134</v>
      </c>
      <c r="D1840" s="849" t="s">
        <v>14135</v>
      </c>
      <c r="E1840" s="848" t="s">
        <v>9437</v>
      </c>
      <c r="F1840" s="848" t="s">
        <v>14137</v>
      </c>
      <c r="G1840" s="850" t="s">
        <v>11718</v>
      </c>
      <c r="H1840" s="849" t="s">
        <v>10716</v>
      </c>
      <c r="I1840" s="849"/>
      <c r="J1840" s="851">
        <v>24</v>
      </c>
      <c r="K1840" s="848" t="s">
        <v>14138</v>
      </c>
    </row>
    <row r="1841" spans="2:11">
      <c r="B1841" s="848">
        <v>1838</v>
      </c>
      <c r="C1841" s="848" t="s">
        <v>13938</v>
      </c>
      <c r="D1841" s="849" t="s">
        <v>14139</v>
      </c>
      <c r="E1841" s="848" t="s">
        <v>8582</v>
      </c>
      <c r="F1841" s="848" t="s">
        <v>12635</v>
      </c>
      <c r="G1841" s="850" t="s">
        <v>12129</v>
      </c>
      <c r="H1841" s="849" t="s">
        <v>10716</v>
      </c>
      <c r="I1841" s="849"/>
      <c r="J1841" s="851">
        <v>53671.1</v>
      </c>
      <c r="K1841" s="848" t="s">
        <v>14140</v>
      </c>
    </row>
    <row r="1842" spans="2:11">
      <c r="B1842" s="848">
        <v>1839</v>
      </c>
      <c r="C1842" s="848" t="s">
        <v>13938</v>
      </c>
      <c r="D1842" s="849" t="s">
        <v>14139</v>
      </c>
      <c r="E1842" s="848" t="s">
        <v>8582</v>
      </c>
      <c r="F1842" s="848" t="s">
        <v>12638</v>
      </c>
      <c r="G1842" s="850" t="s">
        <v>12200</v>
      </c>
      <c r="H1842" s="849" t="s">
        <v>10716</v>
      </c>
      <c r="I1842" s="849"/>
      <c r="J1842" s="851">
        <v>69005.7</v>
      </c>
      <c r="K1842" s="848" t="s">
        <v>14141</v>
      </c>
    </row>
    <row r="1843" spans="2:11">
      <c r="B1843" s="848">
        <v>1840</v>
      </c>
      <c r="C1843" s="848" t="s">
        <v>13938</v>
      </c>
      <c r="D1843" s="849" t="s">
        <v>14139</v>
      </c>
      <c r="E1843" s="848" t="s">
        <v>8582</v>
      </c>
      <c r="F1843" s="848" t="s">
        <v>11903</v>
      </c>
      <c r="G1843" s="850" t="s">
        <v>10749</v>
      </c>
      <c r="H1843" s="849" t="s">
        <v>10716</v>
      </c>
      <c r="I1843" s="849"/>
      <c r="J1843" s="851">
        <v>4194.83</v>
      </c>
      <c r="K1843" s="848" t="s">
        <v>14142</v>
      </c>
    </row>
    <row r="1844" spans="2:11">
      <c r="B1844" s="848">
        <v>1841</v>
      </c>
      <c r="C1844" s="848" t="s">
        <v>13938</v>
      </c>
      <c r="D1844" s="849" t="s">
        <v>14139</v>
      </c>
      <c r="E1844" s="848" t="s">
        <v>8582</v>
      </c>
      <c r="F1844" s="848" t="s">
        <v>12643</v>
      </c>
      <c r="G1844" s="850" t="s">
        <v>12837</v>
      </c>
      <c r="H1844" s="849" t="s">
        <v>10716</v>
      </c>
      <c r="I1844" s="849"/>
      <c r="J1844" s="851">
        <v>76673</v>
      </c>
      <c r="K1844" s="848" t="s">
        <v>14143</v>
      </c>
    </row>
    <row r="1845" spans="2:11">
      <c r="B1845" s="848">
        <v>1842</v>
      </c>
      <c r="C1845" s="848" t="s">
        <v>13938</v>
      </c>
      <c r="D1845" s="849" t="s">
        <v>14139</v>
      </c>
      <c r="E1845" s="848" t="s">
        <v>8582</v>
      </c>
      <c r="F1845" s="848" t="s">
        <v>12646</v>
      </c>
      <c r="G1845" s="850" t="s">
        <v>11768</v>
      </c>
      <c r="H1845" s="849" t="s">
        <v>10716</v>
      </c>
      <c r="I1845" s="849"/>
      <c r="J1845" s="851">
        <v>76673</v>
      </c>
      <c r="K1845" s="848" t="s">
        <v>14144</v>
      </c>
    </row>
    <row r="1846" spans="2:11">
      <c r="B1846" s="848">
        <v>1843</v>
      </c>
      <c r="C1846" s="848" t="s">
        <v>13938</v>
      </c>
      <c r="D1846" s="849" t="s">
        <v>14139</v>
      </c>
      <c r="E1846" s="848" t="s">
        <v>8582</v>
      </c>
      <c r="F1846" s="848" t="s">
        <v>12649</v>
      </c>
      <c r="G1846" s="850" t="s">
        <v>12145</v>
      </c>
      <c r="H1846" s="849" t="s">
        <v>10716</v>
      </c>
      <c r="I1846" s="849"/>
      <c r="J1846" s="851">
        <v>67088.88</v>
      </c>
      <c r="K1846" s="848" t="s">
        <v>14145</v>
      </c>
    </row>
    <row r="1847" spans="2:11">
      <c r="B1847" s="848">
        <v>1844</v>
      </c>
      <c r="C1847" s="848" t="s">
        <v>13938</v>
      </c>
      <c r="D1847" s="849" t="s">
        <v>14139</v>
      </c>
      <c r="E1847" s="848" t="s">
        <v>8582</v>
      </c>
      <c r="F1847" s="848" t="s">
        <v>12652</v>
      </c>
      <c r="G1847" s="850" t="s">
        <v>12264</v>
      </c>
      <c r="H1847" s="849" t="s">
        <v>10716</v>
      </c>
      <c r="I1847" s="849"/>
      <c r="J1847" s="851">
        <v>8050.67</v>
      </c>
      <c r="K1847" s="848" t="s">
        <v>5843</v>
      </c>
    </row>
    <row r="1848" spans="2:11">
      <c r="B1848" s="848">
        <v>1845</v>
      </c>
      <c r="C1848" s="848" t="s">
        <v>13938</v>
      </c>
      <c r="D1848" s="849" t="s">
        <v>14139</v>
      </c>
      <c r="E1848" s="848" t="s">
        <v>3393</v>
      </c>
      <c r="F1848" s="848" t="s">
        <v>12641</v>
      </c>
      <c r="G1848" s="850" t="s">
        <v>13388</v>
      </c>
      <c r="H1848" s="849" t="s">
        <v>10716</v>
      </c>
      <c r="I1848" s="849"/>
      <c r="J1848" s="851">
        <v>44086.98</v>
      </c>
      <c r="K1848" s="848" t="s">
        <v>14146</v>
      </c>
    </row>
    <row r="1849" spans="2:11">
      <c r="B1849" s="848">
        <v>1846</v>
      </c>
      <c r="C1849" s="848" t="s">
        <v>13938</v>
      </c>
      <c r="D1849" s="849" t="s">
        <v>14139</v>
      </c>
      <c r="E1849" s="848" t="s">
        <v>3233</v>
      </c>
      <c r="F1849" s="848" t="s">
        <v>13552</v>
      </c>
      <c r="G1849" s="850" t="s">
        <v>13057</v>
      </c>
      <c r="H1849" s="849" t="s">
        <v>10716</v>
      </c>
      <c r="I1849" s="849"/>
      <c r="J1849" s="851">
        <v>48303.99</v>
      </c>
      <c r="K1849" s="848" t="s">
        <v>14142</v>
      </c>
    </row>
    <row r="1850" spans="2:11">
      <c r="B1850" s="848">
        <v>1847</v>
      </c>
      <c r="C1850" s="848" t="s">
        <v>14147</v>
      </c>
      <c r="D1850" s="849" t="s">
        <v>5687</v>
      </c>
      <c r="E1850" s="848" t="s">
        <v>3584</v>
      </c>
      <c r="F1850" s="848" t="s">
        <v>14148</v>
      </c>
      <c r="G1850" s="850" t="s">
        <v>14149</v>
      </c>
      <c r="H1850" s="849" t="s">
        <v>10716</v>
      </c>
      <c r="I1850" s="849"/>
      <c r="J1850" s="851">
        <v>10.06</v>
      </c>
      <c r="K1850" s="848" t="s">
        <v>5981</v>
      </c>
    </row>
    <row r="1851" spans="2:11">
      <c r="B1851" s="848">
        <v>1848</v>
      </c>
      <c r="C1851" s="848" t="s">
        <v>1416</v>
      </c>
      <c r="D1851" s="849" t="s">
        <v>223</v>
      </c>
      <c r="E1851" s="848" t="s">
        <v>10754</v>
      </c>
      <c r="F1851" s="848" t="s">
        <v>11481</v>
      </c>
      <c r="G1851" s="850" t="s">
        <v>10816</v>
      </c>
      <c r="H1851" s="849" t="s">
        <v>10716</v>
      </c>
      <c r="I1851" s="849"/>
      <c r="J1851" s="851">
        <v>237.7</v>
      </c>
      <c r="K1851" s="848" t="s">
        <v>6275</v>
      </c>
    </row>
    <row r="1852" spans="2:11">
      <c r="B1852" s="848">
        <v>1849</v>
      </c>
      <c r="C1852" s="848" t="s">
        <v>14150</v>
      </c>
      <c r="D1852" s="849" t="s">
        <v>14151</v>
      </c>
      <c r="E1852" s="848" t="s">
        <v>10754</v>
      </c>
      <c r="F1852" s="848" t="s">
        <v>13919</v>
      </c>
      <c r="G1852" s="850" t="s">
        <v>11203</v>
      </c>
      <c r="H1852" s="849" t="s">
        <v>10716</v>
      </c>
      <c r="I1852" s="849"/>
      <c r="J1852" s="851">
        <v>613.38</v>
      </c>
      <c r="K1852" s="848" t="s">
        <v>10924</v>
      </c>
    </row>
    <row r="1853" spans="2:11">
      <c r="B1853" s="848">
        <v>1850</v>
      </c>
      <c r="C1853" s="848" t="s">
        <v>710</v>
      </c>
      <c r="D1853" s="849" t="s">
        <v>14152</v>
      </c>
      <c r="E1853" s="848" t="s">
        <v>14153</v>
      </c>
      <c r="F1853" s="848" t="s">
        <v>13075</v>
      </c>
      <c r="G1853" s="850" t="s">
        <v>10749</v>
      </c>
      <c r="H1853" s="849" t="s">
        <v>10716</v>
      </c>
      <c r="I1853" s="849"/>
      <c r="J1853" s="851">
        <v>75915.58</v>
      </c>
      <c r="K1853" s="848" t="s">
        <v>14154</v>
      </c>
    </row>
    <row r="1854" spans="2:11">
      <c r="B1854" s="848">
        <v>1851</v>
      </c>
      <c r="C1854" s="848" t="s">
        <v>710</v>
      </c>
      <c r="D1854" s="849" t="s">
        <v>14152</v>
      </c>
      <c r="E1854" s="848" t="s">
        <v>14155</v>
      </c>
      <c r="F1854" s="848" t="s">
        <v>14156</v>
      </c>
      <c r="G1854" s="850" t="s">
        <v>13307</v>
      </c>
      <c r="H1854" s="849" t="s">
        <v>10716</v>
      </c>
      <c r="I1854" s="849"/>
      <c r="J1854" s="851">
        <v>89848</v>
      </c>
      <c r="K1854" s="848" t="s">
        <v>14154</v>
      </c>
    </row>
    <row r="1855" spans="2:11">
      <c r="B1855" s="848">
        <v>1852</v>
      </c>
      <c r="C1855" s="848" t="s">
        <v>7192</v>
      </c>
      <c r="D1855" s="849" t="s">
        <v>1894</v>
      </c>
      <c r="E1855" s="848" t="s">
        <v>3350</v>
      </c>
      <c r="F1855" s="848" t="s">
        <v>12422</v>
      </c>
      <c r="G1855" s="850" t="s">
        <v>14157</v>
      </c>
      <c r="H1855" s="849" t="s">
        <v>10716</v>
      </c>
      <c r="I1855" s="849"/>
      <c r="J1855" s="851">
        <v>2.11</v>
      </c>
      <c r="K1855" s="848" t="s">
        <v>6112</v>
      </c>
    </row>
    <row r="1856" spans="2:11">
      <c r="B1856" s="848">
        <v>1853</v>
      </c>
      <c r="C1856" s="848" t="s">
        <v>7192</v>
      </c>
      <c r="D1856" s="849" t="s">
        <v>1894</v>
      </c>
      <c r="E1856" s="848" t="s">
        <v>3350</v>
      </c>
      <c r="F1856" s="848" t="s">
        <v>12984</v>
      </c>
      <c r="G1856" s="850" t="s">
        <v>14158</v>
      </c>
      <c r="H1856" s="849" t="s">
        <v>10716</v>
      </c>
      <c r="I1856" s="849"/>
      <c r="J1856" s="851">
        <v>1.99</v>
      </c>
      <c r="K1856" s="848" t="s">
        <v>6113</v>
      </c>
    </row>
    <row r="1857" spans="2:11">
      <c r="B1857" s="848">
        <v>1854</v>
      </c>
      <c r="C1857" s="848" t="s">
        <v>7192</v>
      </c>
      <c r="D1857" s="849" t="s">
        <v>1894</v>
      </c>
      <c r="E1857" s="848" t="s">
        <v>3350</v>
      </c>
      <c r="F1857" s="848" t="s">
        <v>12419</v>
      </c>
      <c r="G1857" s="850" t="s">
        <v>14159</v>
      </c>
      <c r="H1857" s="849" t="s">
        <v>10716</v>
      </c>
      <c r="I1857" s="849"/>
      <c r="J1857" s="851">
        <v>1.41</v>
      </c>
      <c r="K1857" s="848" t="s">
        <v>6824</v>
      </c>
    </row>
    <row r="1858" spans="2:11">
      <c r="B1858" s="848">
        <v>1855</v>
      </c>
      <c r="C1858" s="848" t="s">
        <v>1430</v>
      </c>
      <c r="D1858" s="849" t="s">
        <v>14160</v>
      </c>
      <c r="E1858" s="848" t="s">
        <v>3393</v>
      </c>
      <c r="F1858" s="848" t="s">
        <v>11484</v>
      </c>
      <c r="G1858" s="850" t="s">
        <v>13362</v>
      </c>
      <c r="H1858" s="849" t="s">
        <v>10716</v>
      </c>
      <c r="I1858" s="849"/>
      <c r="J1858" s="851">
        <v>260.52999999999997</v>
      </c>
      <c r="K1858" s="848" t="s">
        <v>6507</v>
      </c>
    </row>
    <row r="1859" spans="2:11">
      <c r="B1859" s="848">
        <v>1856</v>
      </c>
      <c r="C1859" s="848" t="s">
        <v>1430</v>
      </c>
      <c r="D1859" s="849" t="s">
        <v>14160</v>
      </c>
      <c r="E1859" s="848" t="s">
        <v>3393</v>
      </c>
      <c r="F1859" s="848" t="s">
        <v>11486</v>
      </c>
      <c r="G1859" s="850" t="s">
        <v>13368</v>
      </c>
      <c r="H1859" s="849" t="s">
        <v>10716</v>
      </c>
      <c r="I1859" s="849"/>
      <c r="J1859" s="851">
        <v>130.26</v>
      </c>
      <c r="K1859" s="848" t="s">
        <v>6508</v>
      </c>
    </row>
    <row r="1860" spans="2:11">
      <c r="B1860" s="848">
        <v>1857</v>
      </c>
      <c r="C1860" s="848" t="s">
        <v>1430</v>
      </c>
      <c r="D1860" s="849" t="s">
        <v>14160</v>
      </c>
      <c r="E1860" s="848" t="s">
        <v>3393</v>
      </c>
      <c r="F1860" s="848" t="s">
        <v>11463</v>
      </c>
      <c r="G1860" s="850" t="s">
        <v>13360</v>
      </c>
      <c r="H1860" s="849" t="s">
        <v>10716</v>
      </c>
      <c r="I1860" s="849"/>
      <c r="J1860" s="851">
        <v>221.69</v>
      </c>
      <c r="K1860" s="848" t="s">
        <v>5967</v>
      </c>
    </row>
    <row r="1861" spans="2:11" ht="25">
      <c r="B1861" s="848">
        <v>1858</v>
      </c>
      <c r="C1861" s="848" t="s">
        <v>1354</v>
      </c>
      <c r="D1861" s="849" t="s">
        <v>26</v>
      </c>
      <c r="E1861" s="848" t="s">
        <v>10926</v>
      </c>
      <c r="F1861" s="848" t="s">
        <v>11479</v>
      </c>
      <c r="G1861" s="850" t="s">
        <v>13922</v>
      </c>
      <c r="H1861" s="849" t="s">
        <v>10716</v>
      </c>
      <c r="I1861" s="849"/>
      <c r="J1861" s="851">
        <v>546.71</v>
      </c>
      <c r="K1861" s="848" t="s">
        <v>5906</v>
      </c>
    </row>
    <row r="1862" spans="2:11">
      <c r="B1862" s="848">
        <v>1859</v>
      </c>
      <c r="C1862" s="848" t="s">
        <v>1401</v>
      </c>
      <c r="D1862" s="849" t="s">
        <v>8028</v>
      </c>
      <c r="E1862" s="848" t="s">
        <v>3220</v>
      </c>
      <c r="F1862" s="848" t="s">
        <v>11513</v>
      </c>
      <c r="G1862" s="850" t="s">
        <v>12515</v>
      </c>
      <c r="H1862" s="849" t="s">
        <v>10716</v>
      </c>
      <c r="I1862" s="849"/>
      <c r="J1862" s="851">
        <v>68.84</v>
      </c>
      <c r="K1862" s="848" t="s">
        <v>6674</v>
      </c>
    </row>
    <row r="1863" spans="2:11">
      <c r="B1863" s="848">
        <v>1860</v>
      </c>
      <c r="C1863" s="848" t="s">
        <v>1293</v>
      </c>
      <c r="D1863" s="849" t="s">
        <v>7023</v>
      </c>
      <c r="E1863" s="848" t="s">
        <v>9441</v>
      </c>
      <c r="F1863" s="848" t="s">
        <v>12655</v>
      </c>
      <c r="G1863" s="850" t="s">
        <v>12748</v>
      </c>
      <c r="H1863" s="849" t="s">
        <v>10716</v>
      </c>
      <c r="I1863" s="849"/>
      <c r="J1863" s="851">
        <v>55587.93</v>
      </c>
      <c r="K1863" s="848" t="s">
        <v>11427</v>
      </c>
    </row>
    <row r="1864" spans="2:11">
      <c r="B1864" s="848">
        <v>1861</v>
      </c>
      <c r="C1864" s="848" t="s">
        <v>14161</v>
      </c>
      <c r="D1864" s="849" t="s">
        <v>14162</v>
      </c>
      <c r="E1864" s="848" t="s">
        <v>14163</v>
      </c>
      <c r="F1864" s="848" t="s">
        <v>12916</v>
      </c>
      <c r="G1864" s="850" t="s">
        <v>14164</v>
      </c>
      <c r="H1864" s="849" t="s">
        <v>10716</v>
      </c>
      <c r="I1864" s="849"/>
      <c r="J1864" s="851">
        <v>19.18</v>
      </c>
      <c r="K1864" s="848" t="s">
        <v>14165</v>
      </c>
    </row>
    <row r="1865" spans="2:11">
      <c r="B1865" s="848">
        <v>1862</v>
      </c>
      <c r="C1865" s="848" t="s">
        <v>14166</v>
      </c>
      <c r="D1865" s="849" t="s">
        <v>14167</v>
      </c>
      <c r="E1865" s="848" t="s">
        <v>9469</v>
      </c>
      <c r="F1865" s="848" t="s">
        <v>11525</v>
      </c>
      <c r="G1865" s="850" t="s">
        <v>13669</v>
      </c>
      <c r="H1865" s="849" t="s">
        <v>10716</v>
      </c>
      <c r="I1865" s="849"/>
      <c r="J1865" s="851">
        <v>6988.38</v>
      </c>
      <c r="K1865" s="848" t="s">
        <v>14168</v>
      </c>
    </row>
    <row r="1866" spans="2:11">
      <c r="B1866" s="848">
        <v>1863</v>
      </c>
      <c r="C1866" s="848" t="s">
        <v>14166</v>
      </c>
      <c r="D1866" s="849" t="s">
        <v>14167</v>
      </c>
      <c r="E1866" s="848" t="s">
        <v>9469</v>
      </c>
      <c r="F1866" s="848" t="s">
        <v>11523</v>
      </c>
      <c r="G1866" s="850" t="s">
        <v>13670</v>
      </c>
      <c r="H1866" s="849" t="s">
        <v>10716</v>
      </c>
      <c r="I1866" s="849"/>
      <c r="J1866" s="851">
        <v>6153.43</v>
      </c>
      <c r="K1866" s="848" t="s">
        <v>14169</v>
      </c>
    </row>
    <row r="1867" spans="2:11">
      <c r="B1867" s="848">
        <v>1864</v>
      </c>
      <c r="C1867" s="848" t="s">
        <v>14166</v>
      </c>
      <c r="D1867" s="849" t="s">
        <v>14167</v>
      </c>
      <c r="E1867" s="848" t="s">
        <v>9469</v>
      </c>
      <c r="F1867" s="848" t="s">
        <v>11520</v>
      </c>
      <c r="G1867" s="850" t="s">
        <v>14170</v>
      </c>
      <c r="H1867" s="849" t="s">
        <v>10716</v>
      </c>
      <c r="I1867" s="849"/>
      <c r="J1867" s="851">
        <v>522.94000000000005</v>
      </c>
      <c r="K1867" s="848" t="s">
        <v>14171</v>
      </c>
    </row>
    <row r="1868" spans="2:11">
      <c r="B1868" s="848">
        <v>1865</v>
      </c>
      <c r="C1868" s="848" t="s">
        <v>14166</v>
      </c>
      <c r="D1868" s="849" t="s">
        <v>14167</v>
      </c>
      <c r="E1868" s="848" t="s">
        <v>9469</v>
      </c>
      <c r="F1868" s="848" t="s">
        <v>12658</v>
      </c>
      <c r="G1868" s="850" t="s">
        <v>13673</v>
      </c>
      <c r="H1868" s="849" t="s">
        <v>10716</v>
      </c>
      <c r="I1868" s="849"/>
      <c r="J1868" s="851">
        <v>67855.61</v>
      </c>
      <c r="K1868" s="848" t="s">
        <v>6077</v>
      </c>
    </row>
    <row r="1869" spans="2:11">
      <c r="B1869" s="848">
        <v>1866</v>
      </c>
      <c r="C1869" s="848" t="s">
        <v>14172</v>
      </c>
      <c r="D1869" s="849" t="s">
        <v>14173</v>
      </c>
      <c r="E1869" s="848" t="s">
        <v>12357</v>
      </c>
      <c r="F1869" s="848" t="s">
        <v>11527</v>
      </c>
      <c r="G1869" s="850" t="s">
        <v>14174</v>
      </c>
      <c r="H1869" s="849" t="s">
        <v>10716</v>
      </c>
      <c r="I1869" s="849"/>
      <c r="J1869" s="851">
        <v>2.23</v>
      </c>
      <c r="K1869" s="848" t="s">
        <v>6033</v>
      </c>
    </row>
    <row r="1870" spans="2:11">
      <c r="B1870" s="848">
        <v>1867</v>
      </c>
      <c r="C1870" s="848" t="s">
        <v>1339</v>
      </c>
      <c r="D1870" s="849" t="s">
        <v>160</v>
      </c>
      <c r="E1870" s="848" t="s">
        <v>13686</v>
      </c>
      <c r="F1870" s="848" t="s">
        <v>14175</v>
      </c>
      <c r="G1870" s="850" t="s">
        <v>14176</v>
      </c>
      <c r="H1870" s="849" t="s">
        <v>10716</v>
      </c>
      <c r="I1870" s="849"/>
      <c r="J1870" s="851">
        <v>10052</v>
      </c>
      <c r="K1870" s="848" t="s">
        <v>6691</v>
      </c>
    </row>
    <row r="1871" spans="2:11" ht="25">
      <c r="B1871" s="848">
        <v>1868</v>
      </c>
      <c r="C1871" s="848" t="s">
        <v>14177</v>
      </c>
      <c r="D1871" s="849" t="s">
        <v>10668</v>
      </c>
      <c r="E1871" s="848" t="s">
        <v>8582</v>
      </c>
      <c r="F1871" s="848" t="s">
        <v>12661</v>
      </c>
      <c r="G1871" s="850" t="s">
        <v>11943</v>
      </c>
      <c r="H1871" s="849" t="s">
        <v>10716</v>
      </c>
      <c r="I1871" s="849"/>
      <c r="J1871" s="851">
        <v>383.37</v>
      </c>
      <c r="K1871" s="848" t="s">
        <v>14178</v>
      </c>
    </row>
    <row r="1872" spans="2:11">
      <c r="B1872" s="848">
        <v>1869</v>
      </c>
      <c r="C1872" s="848" t="s">
        <v>12289</v>
      </c>
      <c r="D1872" s="849" t="s">
        <v>14179</v>
      </c>
      <c r="E1872" s="848" t="s">
        <v>11161</v>
      </c>
      <c r="F1872" s="848" t="s">
        <v>12663</v>
      </c>
      <c r="G1872" s="850" t="s">
        <v>14180</v>
      </c>
      <c r="H1872" s="849" t="s">
        <v>10716</v>
      </c>
      <c r="I1872" s="849"/>
      <c r="J1872" s="851">
        <v>49454.09</v>
      </c>
      <c r="K1872" s="848" t="s">
        <v>14181</v>
      </c>
    </row>
    <row r="1873" spans="2:11">
      <c r="B1873" s="848">
        <v>1870</v>
      </c>
      <c r="C1873" s="848" t="s">
        <v>14182</v>
      </c>
      <c r="D1873" s="849" t="s">
        <v>383</v>
      </c>
      <c r="E1873" s="848" t="s">
        <v>9493</v>
      </c>
      <c r="F1873" s="848" t="s">
        <v>14183</v>
      </c>
      <c r="G1873" s="850" t="s">
        <v>12316</v>
      </c>
      <c r="H1873" s="849" t="s">
        <v>10716</v>
      </c>
      <c r="I1873" s="849"/>
      <c r="J1873" s="851">
        <v>153.35</v>
      </c>
      <c r="K1873" s="848" t="s">
        <v>10748</v>
      </c>
    </row>
    <row r="1874" spans="2:11">
      <c r="B1874" s="848">
        <v>1871</v>
      </c>
      <c r="C1874" s="848" t="s">
        <v>14184</v>
      </c>
      <c r="D1874" s="849" t="s">
        <v>290</v>
      </c>
      <c r="E1874" s="848" t="s">
        <v>9468</v>
      </c>
      <c r="F1874" s="848" t="s">
        <v>11518</v>
      </c>
      <c r="G1874" s="850" t="s">
        <v>12560</v>
      </c>
      <c r="H1874" s="849" t="s">
        <v>10716</v>
      </c>
      <c r="I1874" s="849"/>
      <c r="J1874" s="851">
        <v>543.71</v>
      </c>
      <c r="K1874" s="848" t="s">
        <v>14185</v>
      </c>
    </row>
    <row r="1875" spans="2:11">
      <c r="B1875" s="848">
        <v>1872</v>
      </c>
      <c r="C1875" s="848" t="s">
        <v>1321</v>
      </c>
      <c r="D1875" s="849" t="s">
        <v>7038</v>
      </c>
      <c r="E1875" s="848" t="s">
        <v>10807</v>
      </c>
      <c r="F1875" s="848" t="s">
        <v>12320</v>
      </c>
      <c r="G1875" s="850" t="s">
        <v>10749</v>
      </c>
      <c r="H1875" s="849" t="s">
        <v>10716</v>
      </c>
      <c r="I1875" s="849"/>
      <c r="J1875" s="851">
        <v>13959.27</v>
      </c>
      <c r="K1875" s="848" t="s">
        <v>12419</v>
      </c>
    </row>
    <row r="1876" spans="2:11">
      <c r="B1876" s="848">
        <v>1873</v>
      </c>
      <c r="C1876" s="848" t="s">
        <v>1321</v>
      </c>
      <c r="D1876" s="849" t="s">
        <v>7038</v>
      </c>
      <c r="E1876" s="848" t="s">
        <v>10807</v>
      </c>
      <c r="F1876" s="848" t="s">
        <v>12318</v>
      </c>
      <c r="G1876" s="850" t="s">
        <v>10749</v>
      </c>
      <c r="H1876" s="849" t="s">
        <v>10716</v>
      </c>
      <c r="I1876" s="849"/>
      <c r="J1876" s="851">
        <v>1021.41</v>
      </c>
      <c r="K1876" s="848" t="s">
        <v>14186</v>
      </c>
    </row>
    <row r="1877" spans="2:11">
      <c r="B1877" s="848">
        <v>1874</v>
      </c>
      <c r="C1877" s="848" t="s">
        <v>1321</v>
      </c>
      <c r="D1877" s="849" t="s">
        <v>7038</v>
      </c>
      <c r="E1877" s="848" t="s">
        <v>14187</v>
      </c>
      <c r="F1877" s="848" t="s">
        <v>12763</v>
      </c>
      <c r="G1877" s="850" t="s">
        <v>14188</v>
      </c>
      <c r="H1877" s="849" t="s">
        <v>10716</v>
      </c>
      <c r="I1877" s="849"/>
      <c r="J1877" s="851">
        <v>14460.29</v>
      </c>
      <c r="K1877" s="848" t="s">
        <v>12419</v>
      </c>
    </row>
    <row r="1878" spans="2:11">
      <c r="B1878" s="848">
        <v>1875</v>
      </c>
      <c r="C1878" s="848" t="s">
        <v>1321</v>
      </c>
      <c r="D1878" s="849" t="s">
        <v>7038</v>
      </c>
      <c r="E1878" s="848" t="s">
        <v>14187</v>
      </c>
      <c r="F1878" s="848" t="s">
        <v>12764</v>
      </c>
      <c r="G1878" s="850" t="s">
        <v>14189</v>
      </c>
      <c r="H1878" s="849" t="s">
        <v>10716</v>
      </c>
      <c r="I1878" s="849"/>
      <c r="J1878" s="851">
        <v>1058.07</v>
      </c>
      <c r="K1878" s="848" t="s">
        <v>14186</v>
      </c>
    </row>
    <row r="1879" spans="2:11">
      <c r="B1879" s="848">
        <v>1876</v>
      </c>
      <c r="C1879" s="848" t="s">
        <v>14190</v>
      </c>
      <c r="D1879" s="849" t="s">
        <v>14191</v>
      </c>
      <c r="E1879" s="848" t="s">
        <v>9396</v>
      </c>
      <c r="F1879" s="848" t="s">
        <v>13514</v>
      </c>
      <c r="G1879" s="850" t="s">
        <v>10749</v>
      </c>
      <c r="H1879" s="849" t="s">
        <v>10716</v>
      </c>
      <c r="I1879" s="849"/>
      <c r="J1879" s="851">
        <v>0.33</v>
      </c>
      <c r="K1879" s="848" t="s">
        <v>14192</v>
      </c>
    </row>
    <row r="1880" spans="2:11" ht="25">
      <c r="B1880" s="848">
        <v>1877</v>
      </c>
      <c r="C1880" s="848" t="s">
        <v>14193</v>
      </c>
      <c r="D1880" s="849" t="s">
        <v>468</v>
      </c>
      <c r="E1880" s="848" t="s">
        <v>14194</v>
      </c>
      <c r="F1880" s="848" t="s">
        <v>13569</v>
      </c>
      <c r="G1880" s="850" t="s">
        <v>14195</v>
      </c>
      <c r="H1880" s="849" t="s">
        <v>10716</v>
      </c>
      <c r="I1880" s="849"/>
      <c r="J1880" s="851">
        <v>99</v>
      </c>
      <c r="K1880" s="848" t="s">
        <v>6226</v>
      </c>
    </row>
    <row r="1881" spans="2:11" ht="25">
      <c r="B1881" s="848">
        <v>1878</v>
      </c>
      <c r="C1881" s="848" t="s">
        <v>14193</v>
      </c>
      <c r="D1881" s="849" t="s">
        <v>468</v>
      </c>
      <c r="E1881" s="848" t="s">
        <v>14194</v>
      </c>
      <c r="F1881" s="848" t="s">
        <v>13568</v>
      </c>
      <c r="G1881" s="850" t="s">
        <v>14196</v>
      </c>
      <c r="H1881" s="849" t="s">
        <v>10716</v>
      </c>
      <c r="I1881" s="849"/>
      <c r="J1881" s="851">
        <v>30</v>
      </c>
      <c r="K1881" s="848" t="s">
        <v>6227</v>
      </c>
    </row>
    <row r="1882" spans="2:11" ht="25">
      <c r="B1882" s="848">
        <v>1879</v>
      </c>
      <c r="C1882" s="848" t="s">
        <v>14193</v>
      </c>
      <c r="D1882" s="849" t="s">
        <v>468</v>
      </c>
      <c r="E1882" s="848" t="s">
        <v>12464</v>
      </c>
      <c r="F1882" s="848" t="s">
        <v>14197</v>
      </c>
      <c r="G1882" s="850" t="s">
        <v>13999</v>
      </c>
      <c r="H1882" s="849" t="s">
        <v>10716</v>
      </c>
      <c r="I1882" s="849"/>
      <c r="J1882" s="851">
        <v>14.97</v>
      </c>
      <c r="K1882" s="848" t="s">
        <v>6225</v>
      </c>
    </row>
    <row r="1883" spans="2:11" ht="25">
      <c r="B1883" s="848">
        <v>1880</v>
      </c>
      <c r="C1883" s="848" t="s">
        <v>14193</v>
      </c>
      <c r="D1883" s="849" t="s">
        <v>468</v>
      </c>
      <c r="E1883" s="848" t="s">
        <v>12464</v>
      </c>
      <c r="F1883" s="848" t="s">
        <v>14198</v>
      </c>
      <c r="G1883" s="850" t="s">
        <v>14001</v>
      </c>
      <c r="H1883" s="849" t="s">
        <v>10716</v>
      </c>
      <c r="I1883" s="849"/>
      <c r="J1883" s="851">
        <v>109.25</v>
      </c>
      <c r="K1883" s="848" t="s">
        <v>6232</v>
      </c>
    </row>
    <row r="1884" spans="2:11">
      <c r="B1884" s="848">
        <v>1881</v>
      </c>
      <c r="C1884" s="848" t="s">
        <v>14199</v>
      </c>
      <c r="D1884" s="849" t="s">
        <v>184</v>
      </c>
      <c r="E1884" s="848" t="s">
        <v>3242</v>
      </c>
      <c r="F1884" s="848" t="s">
        <v>12011</v>
      </c>
      <c r="G1884" s="850" t="s">
        <v>14197</v>
      </c>
      <c r="H1884" s="849" t="s">
        <v>10716</v>
      </c>
      <c r="I1884" s="849"/>
      <c r="J1884" s="851">
        <v>19.175000000000001</v>
      </c>
      <c r="K1884" s="848" t="s">
        <v>14200</v>
      </c>
    </row>
    <row r="1885" spans="2:11">
      <c r="B1885" s="848">
        <v>1882</v>
      </c>
      <c r="C1885" s="848" t="s">
        <v>14199</v>
      </c>
      <c r="D1885" s="849" t="s">
        <v>184</v>
      </c>
      <c r="E1885" s="848" t="s">
        <v>3242</v>
      </c>
      <c r="F1885" s="848" t="s">
        <v>12013</v>
      </c>
      <c r="G1885" s="850" t="s">
        <v>14198</v>
      </c>
      <c r="H1885" s="849" t="s">
        <v>10716</v>
      </c>
      <c r="I1885" s="849"/>
      <c r="J1885" s="851">
        <v>19.175000000000001</v>
      </c>
      <c r="K1885" s="848" t="s">
        <v>14201</v>
      </c>
    </row>
    <row r="1886" spans="2:11" ht="25">
      <c r="B1886" s="848">
        <v>1883</v>
      </c>
      <c r="C1886" s="848" t="s">
        <v>14202</v>
      </c>
      <c r="D1886" s="849" t="s">
        <v>14203</v>
      </c>
      <c r="E1886" s="848" t="s">
        <v>3393</v>
      </c>
      <c r="F1886" s="848" t="s">
        <v>13516</v>
      </c>
      <c r="G1886" s="850" t="s">
        <v>13211</v>
      </c>
      <c r="H1886" s="849" t="s">
        <v>10716</v>
      </c>
      <c r="I1886" s="849"/>
      <c r="J1886" s="851">
        <v>767</v>
      </c>
      <c r="K1886" s="848" t="s">
        <v>14204</v>
      </c>
    </row>
    <row r="1887" spans="2:11" ht="25">
      <c r="B1887" s="848">
        <v>1884</v>
      </c>
      <c r="C1887" s="848" t="s">
        <v>14202</v>
      </c>
      <c r="D1887" s="849" t="s">
        <v>14203</v>
      </c>
      <c r="E1887" s="848" t="s">
        <v>3393</v>
      </c>
      <c r="F1887" s="848" t="s">
        <v>13480</v>
      </c>
      <c r="G1887" s="850" t="s">
        <v>13213</v>
      </c>
      <c r="H1887" s="849" t="s">
        <v>10716</v>
      </c>
      <c r="I1887" s="849"/>
      <c r="J1887" s="851">
        <v>767</v>
      </c>
      <c r="K1887" s="848" t="s">
        <v>14205</v>
      </c>
    </row>
    <row r="1888" spans="2:11" ht="25">
      <c r="B1888" s="848">
        <v>1885</v>
      </c>
      <c r="C1888" s="848" t="s">
        <v>14202</v>
      </c>
      <c r="D1888" s="849" t="s">
        <v>14203</v>
      </c>
      <c r="E1888" s="848" t="s">
        <v>3393</v>
      </c>
      <c r="F1888" s="848" t="s">
        <v>11303</v>
      </c>
      <c r="G1888" s="850" t="s">
        <v>13217</v>
      </c>
      <c r="H1888" s="849" t="s">
        <v>10716</v>
      </c>
      <c r="I1888" s="849"/>
      <c r="J1888" s="851">
        <v>767</v>
      </c>
      <c r="K1888" s="848" t="s">
        <v>14206</v>
      </c>
    </row>
    <row r="1889" spans="2:11" ht="25">
      <c r="B1889" s="848">
        <v>1886</v>
      </c>
      <c r="C1889" s="848" t="s">
        <v>14207</v>
      </c>
      <c r="D1889" s="849" t="s">
        <v>7013</v>
      </c>
      <c r="E1889" s="848" t="s">
        <v>9469</v>
      </c>
      <c r="F1889" s="848" t="s">
        <v>12504</v>
      </c>
      <c r="G1889" s="850" t="s">
        <v>14208</v>
      </c>
      <c r="H1889" s="849" t="s">
        <v>10716</v>
      </c>
      <c r="I1889" s="849"/>
      <c r="J1889" s="851">
        <v>4983.7449999999999</v>
      </c>
      <c r="K1889" s="848" t="s">
        <v>14209</v>
      </c>
    </row>
    <row r="1890" spans="2:11" ht="25">
      <c r="B1890" s="848">
        <v>1887</v>
      </c>
      <c r="C1890" s="848" t="s">
        <v>14207</v>
      </c>
      <c r="D1890" s="849" t="s">
        <v>7013</v>
      </c>
      <c r="E1890" s="848" t="s">
        <v>9469</v>
      </c>
      <c r="F1890" s="848" t="s">
        <v>12681</v>
      </c>
      <c r="G1890" s="850" t="s">
        <v>14210</v>
      </c>
      <c r="H1890" s="849" t="s">
        <v>10716</v>
      </c>
      <c r="I1890" s="849"/>
      <c r="J1890" s="851">
        <v>1916.825</v>
      </c>
      <c r="K1890" s="848" t="s">
        <v>5853</v>
      </c>
    </row>
    <row r="1891" spans="2:11" ht="25">
      <c r="B1891" s="848">
        <v>1888</v>
      </c>
      <c r="C1891" s="848" t="s">
        <v>14207</v>
      </c>
      <c r="D1891" s="849" t="s">
        <v>7013</v>
      </c>
      <c r="E1891" s="848" t="s">
        <v>9469</v>
      </c>
      <c r="F1891" s="848" t="s">
        <v>12684</v>
      </c>
      <c r="G1891" s="850" t="s">
        <v>14211</v>
      </c>
      <c r="H1891" s="849" t="s">
        <v>10716</v>
      </c>
      <c r="I1891" s="849"/>
      <c r="J1891" s="851">
        <v>1150.095</v>
      </c>
      <c r="K1891" s="848" t="s">
        <v>14212</v>
      </c>
    </row>
    <row r="1892" spans="2:11" ht="25">
      <c r="B1892" s="848">
        <v>1889</v>
      </c>
      <c r="C1892" s="848" t="s">
        <v>14207</v>
      </c>
      <c r="D1892" s="849" t="s">
        <v>7013</v>
      </c>
      <c r="E1892" s="848" t="s">
        <v>9469</v>
      </c>
      <c r="F1892" s="848" t="s">
        <v>11093</v>
      </c>
      <c r="G1892" s="850" t="s">
        <v>14213</v>
      </c>
      <c r="H1892" s="849" t="s">
        <v>10716</v>
      </c>
      <c r="I1892" s="849"/>
      <c r="J1892" s="851">
        <v>383.36500000000001</v>
      </c>
      <c r="K1892" s="848" t="s">
        <v>14214</v>
      </c>
    </row>
    <row r="1893" spans="2:11" ht="25">
      <c r="B1893" s="848">
        <v>1890</v>
      </c>
      <c r="C1893" s="848" t="s">
        <v>14207</v>
      </c>
      <c r="D1893" s="849" t="s">
        <v>7013</v>
      </c>
      <c r="E1893" s="848" t="s">
        <v>9469</v>
      </c>
      <c r="F1893" s="848" t="s">
        <v>11096</v>
      </c>
      <c r="G1893" s="850" t="s">
        <v>14215</v>
      </c>
      <c r="H1893" s="849" t="s">
        <v>10716</v>
      </c>
      <c r="I1893" s="849"/>
      <c r="J1893" s="851">
        <v>383.36500000000001</v>
      </c>
      <c r="K1893" s="848" t="s">
        <v>14216</v>
      </c>
    </row>
    <row r="1894" spans="2:11" ht="25">
      <c r="B1894" s="848">
        <v>1891</v>
      </c>
      <c r="C1894" s="848" t="s">
        <v>571</v>
      </c>
      <c r="D1894" s="849" t="s">
        <v>7013</v>
      </c>
      <c r="E1894" s="848" t="s">
        <v>10926</v>
      </c>
      <c r="F1894" s="848" t="s">
        <v>12664</v>
      </c>
      <c r="G1894" s="850" t="s">
        <v>13900</v>
      </c>
      <c r="H1894" s="849" t="s">
        <v>10716</v>
      </c>
      <c r="I1894" s="849"/>
      <c r="J1894" s="851">
        <v>1533.46</v>
      </c>
      <c r="K1894" s="848" t="s">
        <v>5813</v>
      </c>
    </row>
    <row r="1895" spans="2:11" ht="25">
      <c r="B1895" s="848">
        <v>1892</v>
      </c>
      <c r="C1895" s="848" t="s">
        <v>571</v>
      </c>
      <c r="D1895" s="849" t="s">
        <v>7013</v>
      </c>
      <c r="E1895" s="848" t="s">
        <v>10926</v>
      </c>
      <c r="F1895" s="848" t="s">
        <v>12665</v>
      </c>
      <c r="G1895" s="850" t="s">
        <v>13894</v>
      </c>
      <c r="H1895" s="849" t="s">
        <v>10716</v>
      </c>
      <c r="I1895" s="849"/>
      <c r="J1895" s="851">
        <v>1533.46</v>
      </c>
      <c r="K1895" s="848" t="s">
        <v>14217</v>
      </c>
    </row>
    <row r="1896" spans="2:11" ht="25">
      <c r="B1896" s="848">
        <v>1893</v>
      </c>
      <c r="C1896" s="848" t="s">
        <v>571</v>
      </c>
      <c r="D1896" s="849" t="s">
        <v>7013</v>
      </c>
      <c r="E1896" s="848" t="s">
        <v>10926</v>
      </c>
      <c r="F1896" s="848" t="s">
        <v>12667</v>
      </c>
      <c r="G1896" s="850" t="s">
        <v>13895</v>
      </c>
      <c r="H1896" s="849" t="s">
        <v>10716</v>
      </c>
      <c r="I1896" s="849"/>
      <c r="J1896" s="851">
        <v>1150.0999999999999</v>
      </c>
      <c r="K1896" s="848" t="s">
        <v>14218</v>
      </c>
    </row>
    <row r="1897" spans="2:11" ht="25">
      <c r="B1897" s="848">
        <v>1894</v>
      </c>
      <c r="C1897" s="848" t="s">
        <v>571</v>
      </c>
      <c r="D1897" s="849" t="s">
        <v>7013</v>
      </c>
      <c r="E1897" s="848" t="s">
        <v>10926</v>
      </c>
      <c r="F1897" s="848" t="s">
        <v>12670</v>
      </c>
      <c r="G1897" s="850" t="s">
        <v>13897</v>
      </c>
      <c r="H1897" s="849" t="s">
        <v>10716</v>
      </c>
      <c r="I1897" s="849"/>
      <c r="J1897" s="851">
        <v>1533.46</v>
      </c>
      <c r="K1897" s="848" t="s">
        <v>14219</v>
      </c>
    </row>
    <row r="1898" spans="2:11" ht="25">
      <c r="B1898" s="848">
        <v>1895</v>
      </c>
      <c r="C1898" s="848" t="s">
        <v>571</v>
      </c>
      <c r="D1898" s="849" t="s">
        <v>7013</v>
      </c>
      <c r="E1898" s="848" t="s">
        <v>10926</v>
      </c>
      <c r="F1898" s="848" t="s">
        <v>11090</v>
      </c>
      <c r="G1898" s="850" t="s">
        <v>13903</v>
      </c>
      <c r="H1898" s="849" t="s">
        <v>10716</v>
      </c>
      <c r="I1898" s="849"/>
      <c r="J1898" s="851">
        <v>1150.0999999999999</v>
      </c>
      <c r="K1898" s="848" t="s">
        <v>14220</v>
      </c>
    </row>
    <row r="1899" spans="2:11" ht="25">
      <c r="B1899" s="848">
        <v>1896</v>
      </c>
      <c r="C1899" s="848" t="s">
        <v>1276</v>
      </c>
      <c r="D1899" s="849" t="s">
        <v>14221</v>
      </c>
      <c r="E1899" s="848" t="s">
        <v>8582</v>
      </c>
      <c r="F1899" s="848" t="s">
        <v>11099</v>
      </c>
      <c r="G1899" s="850" t="s">
        <v>14222</v>
      </c>
      <c r="H1899" s="849" t="s">
        <v>10716</v>
      </c>
      <c r="I1899" s="849"/>
      <c r="J1899" s="851">
        <v>8817.4</v>
      </c>
      <c r="K1899" s="848" t="s">
        <v>10822</v>
      </c>
    </row>
    <row r="1900" spans="2:11" ht="25">
      <c r="B1900" s="848">
        <v>1897</v>
      </c>
      <c r="C1900" s="848" t="s">
        <v>14223</v>
      </c>
      <c r="D1900" s="849" t="s">
        <v>8066</v>
      </c>
      <c r="E1900" s="848" t="s">
        <v>9468</v>
      </c>
      <c r="F1900" s="848" t="s">
        <v>12689</v>
      </c>
      <c r="G1900" s="850" t="s">
        <v>13587</v>
      </c>
      <c r="H1900" s="849" t="s">
        <v>10716</v>
      </c>
      <c r="I1900" s="849"/>
      <c r="J1900" s="851">
        <v>25685.46</v>
      </c>
      <c r="K1900" s="848" t="s">
        <v>5865</v>
      </c>
    </row>
    <row r="1901" spans="2:11">
      <c r="B1901" s="848">
        <v>1898</v>
      </c>
      <c r="C1901" s="848" t="s">
        <v>14224</v>
      </c>
      <c r="D1901" s="849" t="s">
        <v>14225</v>
      </c>
      <c r="E1901" s="848" t="s">
        <v>8582</v>
      </c>
      <c r="F1901" s="848" t="s">
        <v>12345</v>
      </c>
      <c r="G1901" s="850" t="s">
        <v>11892</v>
      </c>
      <c r="H1901" s="849" t="s">
        <v>10716</v>
      </c>
      <c r="I1901" s="849"/>
      <c r="J1901" s="851">
        <v>460.04</v>
      </c>
      <c r="K1901" s="848" t="s">
        <v>12713</v>
      </c>
    </row>
    <row r="1902" spans="2:11" ht="25">
      <c r="B1902" s="848">
        <v>1899</v>
      </c>
      <c r="C1902" s="848" t="s">
        <v>14202</v>
      </c>
      <c r="D1902" s="849" t="s">
        <v>14226</v>
      </c>
      <c r="E1902" s="848" t="s">
        <v>10824</v>
      </c>
      <c r="F1902" s="848" t="s">
        <v>14111</v>
      </c>
      <c r="G1902" s="850" t="s">
        <v>14227</v>
      </c>
      <c r="H1902" s="849" t="s">
        <v>10716</v>
      </c>
      <c r="I1902" s="849"/>
      <c r="J1902" s="851">
        <v>614</v>
      </c>
      <c r="K1902" s="848" t="s">
        <v>14228</v>
      </c>
    </row>
    <row r="1903" spans="2:11" ht="25">
      <c r="B1903" s="848">
        <v>1900</v>
      </c>
      <c r="C1903" s="848" t="s">
        <v>14202</v>
      </c>
      <c r="D1903" s="849" t="s">
        <v>14226</v>
      </c>
      <c r="E1903" s="848" t="s">
        <v>10824</v>
      </c>
      <c r="F1903" s="848" t="s">
        <v>13241</v>
      </c>
      <c r="G1903" s="850" t="s">
        <v>13537</v>
      </c>
      <c r="H1903" s="849" t="s">
        <v>10716</v>
      </c>
      <c r="I1903" s="849"/>
      <c r="J1903" s="851">
        <v>614</v>
      </c>
      <c r="K1903" s="848" t="s">
        <v>14229</v>
      </c>
    </row>
    <row r="1904" spans="2:11" ht="25">
      <c r="B1904" s="848">
        <v>1901</v>
      </c>
      <c r="C1904" s="848" t="s">
        <v>14230</v>
      </c>
      <c r="D1904" s="849" t="s">
        <v>7101</v>
      </c>
      <c r="E1904" s="848" t="s">
        <v>10754</v>
      </c>
      <c r="F1904" s="848" t="s">
        <v>12690</v>
      </c>
      <c r="G1904" s="850" t="s">
        <v>10818</v>
      </c>
      <c r="H1904" s="849" t="s">
        <v>10716</v>
      </c>
      <c r="I1904" s="849"/>
      <c r="J1904" s="851">
        <v>2300.19</v>
      </c>
      <c r="K1904" s="848" t="s">
        <v>6387</v>
      </c>
    </row>
    <row r="1905" spans="2:11" ht="25">
      <c r="B1905" s="848">
        <v>1902</v>
      </c>
      <c r="C1905" s="848" t="s">
        <v>14231</v>
      </c>
      <c r="D1905" s="849" t="s">
        <v>194</v>
      </c>
      <c r="E1905" s="848" t="s">
        <v>13312</v>
      </c>
      <c r="F1905" s="848" t="s">
        <v>13990</v>
      </c>
      <c r="G1905" s="850" t="s">
        <v>13333</v>
      </c>
      <c r="H1905" s="849" t="s">
        <v>10716</v>
      </c>
      <c r="I1905" s="849"/>
      <c r="J1905" s="851">
        <v>57.568563000000005</v>
      </c>
      <c r="K1905" s="848" t="s">
        <v>14232</v>
      </c>
    </row>
    <row r="1906" spans="2:11" ht="25">
      <c r="B1906" s="848">
        <v>1903</v>
      </c>
      <c r="C1906" s="848" t="s">
        <v>14231</v>
      </c>
      <c r="D1906" s="849" t="s">
        <v>194</v>
      </c>
      <c r="E1906" s="848" t="s">
        <v>13312</v>
      </c>
      <c r="F1906" s="848" t="s">
        <v>12108</v>
      </c>
      <c r="G1906" s="850" t="s">
        <v>13332</v>
      </c>
      <c r="H1906" s="849" t="s">
        <v>10716</v>
      </c>
      <c r="I1906" s="849"/>
      <c r="J1906" s="851">
        <v>53.140212000000005</v>
      </c>
      <c r="K1906" s="848" t="s">
        <v>14233</v>
      </c>
    </row>
    <row r="1907" spans="2:11" ht="25">
      <c r="B1907" s="848">
        <v>1904</v>
      </c>
      <c r="C1907" s="848" t="s">
        <v>14231</v>
      </c>
      <c r="D1907" s="849" t="s">
        <v>194</v>
      </c>
      <c r="E1907" s="848" t="s">
        <v>13312</v>
      </c>
      <c r="F1907" s="848" t="s">
        <v>13846</v>
      </c>
      <c r="G1907" s="850" t="s">
        <v>13331</v>
      </c>
      <c r="H1907" s="849" t="s">
        <v>10716</v>
      </c>
      <c r="I1907" s="849"/>
      <c r="J1907" s="851">
        <v>44.28351</v>
      </c>
      <c r="K1907" s="848" t="s">
        <v>14234</v>
      </c>
    </row>
    <row r="1908" spans="2:11" ht="25">
      <c r="B1908" s="848">
        <v>1905</v>
      </c>
      <c r="C1908" s="848" t="s">
        <v>14231</v>
      </c>
      <c r="D1908" s="849" t="s">
        <v>194</v>
      </c>
      <c r="E1908" s="848" t="s">
        <v>13312</v>
      </c>
      <c r="F1908" s="848" t="s">
        <v>13844</v>
      </c>
      <c r="G1908" s="850" t="s">
        <v>14023</v>
      </c>
      <c r="H1908" s="849" t="s">
        <v>10716</v>
      </c>
      <c r="I1908" s="849"/>
      <c r="J1908" s="851">
        <v>17.713404000000001</v>
      </c>
      <c r="K1908" s="848" t="s">
        <v>14235</v>
      </c>
    </row>
    <row r="1909" spans="2:11" ht="25">
      <c r="B1909" s="848">
        <v>1906</v>
      </c>
      <c r="C1909" s="848" t="s">
        <v>14231</v>
      </c>
      <c r="D1909" s="849" t="s">
        <v>194</v>
      </c>
      <c r="E1909" s="848" t="s">
        <v>13312</v>
      </c>
      <c r="F1909" s="848" t="s">
        <v>14236</v>
      </c>
      <c r="G1909" s="850" t="s">
        <v>13655</v>
      </c>
      <c r="H1909" s="849" t="s">
        <v>10716</v>
      </c>
      <c r="I1909" s="849"/>
      <c r="J1909" s="851">
        <v>213.93</v>
      </c>
      <c r="K1909" s="848" t="s">
        <v>14237</v>
      </c>
    </row>
    <row r="1910" spans="2:11" ht="25">
      <c r="B1910" s="848">
        <v>1907</v>
      </c>
      <c r="C1910" s="848" t="s">
        <v>1391</v>
      </c>
      <c r="D1910" s="849" t="s">
        <v>194</v>
      </c>
      <c r="E1910" s="848" t="s">
        <v>13312</v>
      </c>
      <c r="F1910" s="848" t="s">
        <v>14238</v>
      </c>
      <c r="G1910" s="850" t="s">
        <v>14239</v>
      </c>
      <c r="H1910" s="849" t="s">
        <v>10716</v>
      </c>
      <c r="I1910" s="849"/>
      <c r="J1910" s="851">
        <v>22.603459999999998</v>
      </c>
      <c r="K1910" s="848" t="s">
        <v>6206</v>
      </c>
    </row>
    <row r="1911" spans="2:11" ht="25">
      <c r="B1911" s="848">
        <v>1908</v>
      </c>
      <c r="C1911" s="848" t="s">
        <v>1391</v>
      </c>
      <c r="D1911" s="849" t="s">
        <v>194</v>
      </c>
      <c r="E1911" s="848" t="s">
        <v>14240</v>
      </c>
      <c r="F1911" s="848" t="s">
        <v>13316</v>
      </c>
      <c r="G1911" s="850" t="s">
        <v>12981</v>
      </c>
      <c r="H1911" s="849" t="s">
        <v>10716</v>
      </c>
      <c r="I1911" s="849"/>
      <c r="J1911" s="851">
        <v>13.141169999999999</v>
      </c>
      <c r="K1911" s="848" t="s">
        <v>6671</v>
      </c>
    </row>
    <row r="1912" spans="2:11" ht="25">
      <c r="B1912" s="848">
        <v>1909</v>
      </c>
      <c r="C1912" s="848" t="s">
        <v>1391</v>
      </c>
      <c r="D1912" s="849" t="s">
        <v>194</v>
      </c>
      <c r="E1912" s="848" t="s">
        <v>14240</v>
      </c>
      <c r="F1912" s="848" t="s">
        <v>14239</v>
      </c>
      <c r="G1912" s="850" t="s">
        <v>14241</v>
      </c>
      <c r="H1912" s="849" t="s">
        <v>10716</v>
      </c>
      <c r="I1912" s="849"/>
      <c r="J1912" s="851">
        <v>2.628234</v>
      </c>
      <c r="K1912" s="848" t="s">
        <v>6308</v>
      </c>
    </row>
    <row r="1913" spans="2:11" ht="25">
      <c r="B1913" s="848">
        <v>1910</v>
      </c>
      <c r="C1913" s="848" t="s">
        <v>1391</v>
      </c>
      <c r="D1913" s="849" t="s">
        <v>194</v>
      </c>
      <c r="E1913" s="848" t="s">
        <v>14240</v>
      </c>
      <c r="F1913" s="848" t="s">
        <v>13579</v>
      </c>
      <c r="G1913" s="850" t="s">
        <v>12979</v>
      </c>
      <c r="H1913" s="849" t="s">
        <v>10716</v>
      </c>
      <c r="I1913" s="849"/>
      <c r="J1913" s="851">
        <v>4.3918419999999996</v>
      </c>
      <c r="K1913" s="848" t="s">
        <v>6309</v>
      </c>
    </row>
    <row r="1914" spans="2:11" ht="25">
      <c r="B1914" s="848">
        <v>1911</v>
      </c>
      <c r="C1914" s="848" t="s">
        <v>1391</v>
      </c>
      <c r="D1914" s="849" t="s">
        <v>194</v>
      </c>
      <c r="E1914" s="848" t="s">
        <v>14240</v>
      </c>
      <c r="F1914" s="848" t="s">
        <v>14241</v>
      </c>
      <c r="G1914" s="850" t="s">
        <v>14242</v>
      </c>
      <c r="H1914" s="849" t="s">
        <v>10716</v>
      </c>
      <c r="I1914" s="849"/>
      <c r="J1914" s="851">
        <v>7.8847019999999999</v>
      </c>
      <c r="K1914" s="848" t="s">
        <v>6102</v>
      </c>
    </row>
    <row r="1915" spans="2:11" ht="25">
      <c r="B1915" s="848">
        <v>1912</v>
      </c>
      <c r="C1915" s="848" t="s">
        <v>792</v>
      </c>
      <c r="D1915" s="849" t="s">
        <v>14243</v>
      </c>
      <c r="E1915" s="848" t="s">
        <v>8582</v>
      </c>
      <c r="F1915" s="848" t="s">
        <v>12914</v>
      </c>
      <c r="G1915" s="850" t="s">
        <v>11379</v>
      </c>
      <c r="H1915" s="849" t="s">
        <v>10716</v>
      </c>
      <c r="I1915" s="849"/>
      <c r="J1915" s="851">
        <v>16</v>
      </c>
      <c r="K1915" s="848" t="s">
        <v>14244</v>
      </c>
    </row>
    <row r="1916" spans="2:11" ht="25">
      <c r="B1916" s="848">
        <v>1913</v>
      </c>
      <c r="C1916" s="848" t="s">
        <v>792</v>
      </c>
      <c r="D1916" s="849" t="s">
        <v>14243</v>
      </c>
      <c r="E1916" s="848" t="s">
        <v>8582</v>
      </c>
      <c r="F1916" s="848" t="s">
        <v>12912</v>
      </c>
      <c r="G1916" s="850" t="s">
        <v>11384</v>
      </c>
      <c r="H1916" s="849" t="s">
        <v>10716</v>
      </c>
      <c r="I1916" s="849"/>
      <c r="J1916" s="851">
        <v>16</v>
      </c>
      <c r="K1916" s="848" t="s">
        <v>14245</v>
      </c>
    </row>
    <row r="1917" spans="2:11" ht="25">
      <c r="B1917" s="848">
        <v>1914</v>
      </c>
      <c r="C1917" s="848" t="s">
        <v>792</v>
      </c>
      <c r="D1917" s="849" t="s">
        <v>14243</v>
      </c>
      <c r="E1917" s="848" t="s">
        <v>8582</v>
      </c>
      <c r="F1917" s="848" t="s">
        <v>13592</v>
      </c>
      <c r="G1917" s="850" t="s">
        <v>11389</v>
      </c>
      <c r="H1917" s="849" t="s">
        <v>10716</v>
      </c>
      <c r="I1917" s="849"/>
      <c r="J1917" s="851">
        <v>16</v>
      </c>
      <c r="K1917" s="848" t="s">
        <v>14246</v>
      </c>
    </row>
    <row r="1918" spans="2:11" ht="25">
      <c r="B1918" s="848">
        <v>1915</v>
      </c>
      <c r="C1918" s="848" t="s">
        <v>792</v>
      </c>
      <c r="D1918" s="849" t="s">
        <v>14243</v>
      </c>
      <c r="E1918" s="848" t="s">
        <v>8582</v>
      </c>
      <c r="F1918" s="848" t="s">
        <v>13594</v>
      </c>
      <c r="G1918" s="850" t="s">
        <v>11392</v>
      </c>
      <c r="H1918" s="849" t="s">
        <v>10716</v>
      </c>
      <c r="I1918" s="849"/>
      <c r="J1918" s="851">
        <v>16</v>
      </c>
      <c r="K1918" s="848" t="s">
        <v>14247</v>
      </c>
    </row>
    <row r="1919" spans="2:11" ht="25">
      <c r="B1919" s="848">
        <v>1916</v>
      </c>
      <c r="C1919" s="848" t="s">
        <v>792</v>
      </c>
      <c r="D1919" s="849" t="s">
        <v>14243</v>
      </c>
      <c r="E1919" s="848" t="s">
        <v>8582</v>
      </c>
      <c r="F1919" s="848" t="s">
        <v>12918</v>
      </c>
      <c r="G1919" s="850" t="s">
        <v>11398</v>
      </c>
      <c r="H1919" s="849" t="s">
        <v>10716</v>
      </c>
      <c r="I1919" s="849"/>
      <c r="J1919" s="851">
        <v>16</v>
      </c>
      <c r="K1919" s="848" t="s">
        <v>14248</v>
      </c>
    </row>
    <row r="1920" spans="2:11" ht="25">
      <c r="B1920" s="848">
        <v>1917</v>
      </c>
      <c r="C1920" s="848" t="s">
        <v>792</v>
      </c>
      <c r="D1920" s="849" t="s">
        <v>14243</v>
      </c>
      <c r="E1920" s="848" t="s">
        <v>3237</v>
      </c>
      <c r="F1920" s="848" t="s">
        <v>13313</v>
      </c>
      <c r="G1920" s="850" t="s">
        <v>11881</v>
      </c>
      <c r="H1920" s="849" t="s">
        <v>10716</v>
      </c>
      <c r="I1920" s="849"/>
      <c r="J1920" s="851">
        <v>9.0782120000000006</v>
      </c>
      <c r="K1920" s="848" t="s">
        <v>6435</v>
      </c>
    </row>
    <row r="1921" spans="2:11" ht="25">
      <c r="B1921" s="848">
        <v>1918</v>
      </c>
      <c r="C1921" s="848" t="s">
        <v>14249</v>
      </c>
      <c r="D1921" s="849" t="s">
        <v>345</v>
      </c>
      <c r="E1921" s="848" t="s">
        <v>8582</v>
      </c>
      <c r="F1921" s="848" t="s">
        <v>14250</v>
      </c>
      <c r="G1921" s="850" t="s">
        <v>11314</v>
      </c>
      <c r="H1921" s="849" t="s">
        <v>10716</v>
      </c>
      <c r="I1921" s="849"/>
      <c r="J1921" s="851">
        <v>32.72</v>
      </c>
      <c r="K1921" s="848" t="s">
        <v>6517</v>
      </c>
    </row>
    <row r="1922" spans="2:11" ht="25">
      <c r="B1922" s="848">
        <v>1919</v>
      </c>
      <c r="C1922" s="848" t="s">
        <v>14249</v>
      </c>
      <c r="D1922" s="849" t="s">
        <v>345</v>
      </c>
      <c r="E1922" s="848" t="s">
        <v>8582</v>
      </c>
      <c r="F1922" s="848" t="s">
        <v>14251</v>
      </c>
      <c r="G1922" s="850" t="s">
        <v>14087</v>
      </c>
      <c r="H1922" s="849" t="s">
        <v>10716</v>
      </c>
      <c r="I1922" s="849"/>
      <c r="J1922" s="851">
        <v>32.72</v>
      </c>
      <c r="K1922" s="848" t="s">
        <v>5973</v>
      </c>
    </row>
    <row r="1923" spans="2:11" ht="25">
      <c r="B1923" s="848">
        <v>1920</v>
      </c>
      <c r="C1923" s="848" t="s">
        <v>14249</v>
      </c>
      <c r="D1923" s="849" t="s">
        <v>345</v>
      </c>
      <c r="E1923" s="848" t="s">
        <v>8582</v>
      </c>
      <c r="F1923" s="848" t="s">
        <v>14252</v>
      </c>
      <c r="G1923" s="850" t="s">
        <v>11253</v>
      </c>
      <c r="H1923" s="849" t="s">
        <v>10716</v>
      </c>
      <c r="I1923" s="849"/>
      <c r="J1923" s="851">
        <v>32.72</v>
      </c>
      <c r="K1923" s="848" t="s">
        <v>5974</v>
      </c>
    </row>
    <row r="1924" spans="2:11" ht="25">
      <c r="B1924" s="848">
        <v>1921</v>
      </c>
      <c r="C1924" s="848" t="s">
        <v>14249</v>
      </c>
      <c r="D1924" s="849" t="s">
        <v>345</v>
      </c>
      <c r="E1924" s="848" t="s">
        <v>11526</v>
      </c>
      <c r="F1924" s="848" t="s">
        <v>11801</v>
      </c>
      <c r="G1924" s="850" t="s">
        <v>14253</v>
      </c>
      <c r="H1924" s="849" t="s">
        <v>10716</v>
      </c>
      <c r="I1924" s="849"/>
      <c r="J1924" s="851">
        <v>7</v>
      </c>
      <c r="K1924" s="848" t="s">
        <v>6553</v>
      </c>
    </row>
    <row r="1925" spans="2:11" ht="25">
      <c r="B1925" s="848">
        <v>1922</v>
      </c>
      <c r="C1925" s="848" t="s">
        <v>14249</v>
      </c>
      <c r="D1925" s="849" t="s">
        <v>345</v>
      </c>
      <c r="E1925" s="848" t="s">
        <v>11526</v>
      </c>
      <c r="F1925" s="848" t="s">
        <v>14254</v>
      </c>
      <c r="G1925" s="850" t="s">
        <v>14255</v>
      </c>
      <c r="H1925" s="849" t="s">
        <v>10716</v>
      </c>
      <c r="I1925" s="849"/>
      <c r="J1925" s="851">
        <v>2</v>
      </c>
      <c r="K1925" s="848" t="s">
        <v>6554</v>
      </c>
    </row>
    <row r="1926" spans="2:11">
      <c r="B1926" s="848">
        <v>1923</v>
      </c>
      <c r="C1926" s="848" t="s">
        <v>14256</v>
      </c>
      <c r="D1926" s="849" t="s">
        <v>1884</v>
      </c>
      <c r="E1926" s="848" t="s">
        <v>13806</v>
      </c>
      <c r="F1926" s="848" t="s">
        <v>14255</v>
      </c>
      <c r="G1926" s="850" t="s">
        <v>14257</v>
      </c>
      <c r="H1926" s="849" t="s">
        <v>10716</v>
      </c>
      <c r="I1926" s="849"/>
      <c r="J1926" s="851">
        <v>47.539548000000003</v>
      </c>
      <c r="K1926" s="848" t="s">
        <v>6222</v>
      </c>
    </row>
    <row r="1927" spans="2:11">
      <c r="B1927" s="848">
        <v>1924</v>
      </c>
      <c r="C1927" s="848" t="s">
        <v>14256</v>
      </c>
      <c r="D1927" s="849" t="s">
        <v>1884</v>
      </c>
      <c r="E1927" s="848" t="s">
        <v>13806</v>
      </c>
      <c r="F1927" s="848" t="s">
        <v>11529</v>
      </c>
      <c r="G1927" s="850" t="s">
        <v>14258</v>
      </c>
      <c r="H1927" s="849" t="s">
        <v>10716</v>
      </c>
      <c r="I1927" s="849"/>
      <c r="J1927" s="851">
        <v>35.654660999999997</v>
      </c>
      <c r="K1927" s="848" t="s">
        <v>6223</v>
      </c>
    </row>
    <row r="1928" spans="2:11">
      <c r="B1928" s="848">
        <v>1925</v>
      </c>
      <c r="C1928" s="848" t="s">
        <v>14256</v>
      </c>
      <c r="D1928" s="849" t="s">
        <v>1884</v>
      </c>
      <c r="E1928" s="848" t="s">
        <v>13806</v>
      </c>
      <c r="F1928" s="848" t="s">
        <v>14253</v>
      </c>
      <c r="G1928" s="850" t="s">
        <v>14259</v>
      </c>
      <c r="H1928" s="849" t="s">
        <v>10716</v>
      </c>
      <c r="I1928" s="849"/>
      <c r="J1928" s="851">
        <v>32.353303500000003</v>
      </c>
      <c r="K1928" s="848" t="s">
        <v>6224</v>
      </c>
    </row>
    <row r="1929" spans="2:11" ht="25">
      <c r="B1929" s="848">
        <v>1926</v>
      </c>
      <c r="C1929" s="848" t="s">
        <v>1276</v>
      </c>
      <c r="D1929" s="849" t="s">
        <v>14260</v>
      </c>
      <c r="E1929" s="848" t="s">
        <v>3393</v>
      </c>
      <c r="F1929" s="848" t="s">
        <v>14261</v>
      </c>
      <c r="G1929" s="850" t="s">
        <v>13230</v>
      </c>
      <c r="H1929" s="849" t="s">
        <v>10716</v>
      </c>
      <c r="I1929" s="849"/>
      <c r="J1929" s="851">
        <v>3673.52</v>
      </c>
      <c r="K1929" s="848" t="s">
        <v>11732</v>
      </c>
    </row>
    <row r="1930" spans="2:11" ht="25">
      <c r="B1930" s="848">
        <v>1927</v>
      </c>
      <c r="C1930" s="848" t="s">
        <v>1276</v>
      </c>
      <c r="D1930" s="849" t="s">
        <v>14260</v>
      </c>
      <c r="E1930" s="848" t="s">
        <v>3101</v>
      </c>
      <c r="F1930" s="848" t="s">
        <v>12691</v>
      </c>
      <c r="G1930" s="850" t="s">
        <v>14262</v>
      </c>
      <c r="H1930" s="849" t="s">
        <v>10716</v>
      </c>
      <c r="I1930" s="849"/>
      <c r="J1930" s="851">
        <v>26835.55</v>
      </c>
      <c r="K1930" s="848" t="s">
        <v>11734</v>
      </c>
    </row>
    <row r="1931" spans="2:11" ht="25">
      <c r="B1931" s="848">
        <v>1928</v>
      </c>
      <c r="C1931" s="848" t="s">
        <v>14263</v>
      </c>
      <c r="D1931" s="849" t="s">
        <v>14264</v>
      </c>
      <c r="E1931" s="848" t="s">
        <v>13729</v>
      </c>
      <c r="F1931" s="848" t="s">
        <v>14265</v>
      </c>
      <c r="G1931" s="850" t="s">
        <v>13309</v>
      </c>
      <c r="H1931" s="849" t="s">
        <v>10716</v>
      </c>
      <c r="I1931" s="849"/>
      <c r="J1931" s="851">
        <v>42.25</v>
      </c>
      <c r="K1931" s="848" t="s">
        <v>14266</v>
      </c>
    </row>
    <row r="1932" spans="2:11" ht="25">
      <c r="B1932" s="848">
        <v>1929</v>
      </c>
      <c r="C1932" s="848" t="s">
        <v>14267</v>
      </c>
      <c r="D1932" s="849" t="s">
        <v>203</v>
      </c>
      <c r="E1932" s="848" t="s">
        <v>9449</v>
      </c>
      <c r="F1932" s="848" t="s">
        <v>14268</v>
      </c>
      <c r="G1932" s="850" t="s">
        <v>12675</v>
      </c>
      <c r="H1932" s="849" t="s">
        <v>10716</v>
      </c>
      <c r="I1932" s="849"/>
      <c r="J1932" s="851">
        <v>166.39</v>
      </c>
      <c r="K1932" s="848" t="s">
        <v>14269</v>
      </c>
    </row>
    <row r="1933" spans="2:11" ht="25">
      <c r="B1933" s="848">
        <v>1930</v>
      </c>
      <c r="C1933" s="848" t="s">
        <v>14267</v>
      </c>
      <c r="D1933" s="849" t="s">
        <v>203</v>
      </c>
      <c r="E1933" s="848" t="s">
        <v>9449</v>
      </c>
      <c r="F1933" s="848" t="s">
        <v>14270</v>
      </c>
      <c r="G1933" s="850" t="s">
        <v>12671</v>
      </c>
      <c r="H1933" s="849" t="s">
        <v>10716</v>
      </c>
      <c r="I1933" s="849"/>
      <c r="J1933" s="851">
        <v>71.900000000000006</v>
      </c>
      <c r="K1933" s="848" t="s">
        <v>14271</v>
      </c>
    </row>
    <row r="1934" spans="2:11">
      <c r="B1934" s="848">
        <v>1931</v>
      </c>
      <c r="C1934" s="848" t="s">
        <v>14272</v>
      </c>
      <c r="D1934" s="849" t="s">
        <v>5716</v>
      </c>
      <c r="E1934" s="848" t="s">
        <v>13728</v>
      </c>
      <c r="F1934" s="848" t="s">
        <v>14273</v>
      </c>
      <c r="G1934" s="850" t="s">
        <v>11810</v>
      </c>
      <c r="H1934" s="849" t="s">
        <v>10716</v>
      </c>
      <c r="I1934" s="849"/>
      <c r="J1934" s="851">
        <v>12.5</v>
      </c>
      <c r="K1934" s="848" t="s">
        <v>6212</v>
      </c>
    </row>
    <row r="1935" spans="2:11">
      <c r="B1935" s="848">
        <v>1932</v>
      </c>
      <c r="C1935" s="848" t="s">
        <v>14272</v>
      </c>
      <c r="D1935" s="849" t="s">
        <v>5716</v>
      </c>
      <c r="E1935" s="848" t="s">
        <v>13728</v>
      </c>
      <c r="F1935" s="848" t="s">
        <v>14274</v>
      </c>
      <c r="G1935" s="850" t="s">
        <v>11903</v>
      </c>
      <c r="H1935" s="849" t="s">
        <v>10716</v>
      </c>
      <c r="I1935" s="849"/>
      <c r="J1935" s="851">
        <v>45.5</v>
      </c>
      <c r="K1935" s="848" t="s">
        <v>6213</v>
      </c>
    </row>
    <row r="1936" spans="2:11">
      <c r="B1936" s="848">
        <v>1933</v>
      </c>
      <c r="C1936" s="848" t="s">
        <v>12332</v>
      </c>
      <c r="D1936" s="849" t="s">
        <v>91</v>
      </c>
      <c r="E1936" s="848" t="s">
        <v>8582</v>
      </c>
      <c r="F1936" s="848" t="s">
        <v>12767</v>
      </c>
      <c r="G1936" s="850" t="s">
        <v>11974</v>
      </c>
      <c r="H1936" s="849" t="s">
        <v>10716</v>
      </c>
      <c r="I1936" s="849"/>
      <c r="J1936" s="851">
        <v>2997.87</v>
      </c>
      <c r="K1936" s="848" t="s">
        <v>13490</v>
      </c>
    </row>
    <row r="1937" spans="2:11">
      <c r="B1937" s="848">
        <v>1934</v>
      </c>
      <c r="C1937" s="848" t="s">
        <v>14275</v>
      </c>
      <c r="D1937" s="849" t="s">
        <v>1005</v>
      </c>
      <c r="E1937" s="848" t="s">
        <v>14194</v>
      </c>
      <c r="F1937" s="848" t="s">
        <v>11564</v>
      </c>
      <c r="G1937" s="850" t="s">
        <v>10749</v>
      </c>
      <c r="H1937" s="849" t="s">
        <v>10716</v>
      </c>
      <c r="I1937" s="849"/>
      <c r="J1937" s="851">
        <v>13322.88</v>
      </c>
      <c r="K1937" s="848" t="s">
        <v>14111</v>
      </c>
    </row>
    <row r="1938" spans="2:11">
      <c r="B1938" s="848">
        <v>1935</v>
      </c>
      <c r="C1938" s="848" t="s">
        <v>14275</v>
      </c>
      <c r="D1938" s="849" t="s">
        <v>1005</v>
      </c>
      <c r="E1938" s="848" t="s">
        <v>9436</v>
      </c>
      <c r="F1938" s="848" t="s">
        <v>12695</v>
      </c>
      <c r="G1938" s="850" t="s">
        <v>10927</v>
      </c>
      <c r="H1938" s="849" t="s">
        <v>10716</v>
      </c>
      <c r="I1938" s="849"/>
      <c r="J1938" s="851">
        <v>13801.14</v>
      </c>
      <c r="K1938" s="848" t="s">
        <v>12345</v>
      </c>
    </row>
    <row r="1939" spans="2:11">
      <c r="B1939" s="848">
        <v>1936</v>
      </c>
      <c r="C1939" s="848" t="s">
        <v>7057</v>
      </c>
      <c r="D1939" s="849" t="s">
        <v>117</v>
      </c>
      <c r="E1939" s="848" t="s">
        <v>13284</v>
      </c>
      <c r="F1939" s="848" t="s">
        <v>12696</v>
      </c>
      <c r="G1939" s="850" t="s">
        <v>14276</v>
      </c>
      <c r="H1939" s="849" t="s">
        <v>10716</v>
      </c>
      <c r="I1939" s="849"/>
      <c r="J1939" s="851">
        <v>3833.65</v>
      </c>
      <c r="K1939" s="848" t="s">
        <v>14277</v>
      </c>
    </row>
    <row r="1940" spans="2:11">
      <c r="B1940" s="848">
        <v>1937</v>
      </c>
      <c r="C1940" s="848" t="s">
        <v>7057</v>
      </c>
      <c r="D1940" s="849" t="s">
        <v>117</v>
      </c>
      <c r="E1940" s="848" t="s">
        <v>12328</v>
      </c>
      <c r="F1940" s="848" t="s">
        <v>12698</v>
      </c>
      <c r="G1940" s="850" t="s">
        <v>14278</v>
      </c>
      <c r="H1940" s="849" t="s">
        <v>10716</v>
      </c>
      <c r="I1940" s="849"/>
      <c r="J1940" s="851">
        <v>7667.3</v>
      </c>
      <c r="K1940" s="848" t="s">
        <v>14279</v>
      </c>
    </row>
    <row r="1941" spans="2:11">
      <c r="B1941" s="848">
        <v>1938</v>
      </c>
      <c r="C1941" s="848" t="s">
        <v>7057</v>
      </c>
      <c r="D1941" s="849" t="s">
        <v>117</v>
      </c>
      <c r="E1941" s="848" t="s">
        <v>12328</v>
      </c>
      <c r="F1941" s="848" t="s">
        <v>12701</v>
      </c>
      <c r="G1941" s="850" t="s">
        <v>14280</v>
      </c>
      <c r="H1941" s="849" t="s">
        <v>10716</v>
      </c>
      <c r="I1941" s="849"/>
      <c r="J1941" s="851">
        <v>7667.3</v>
      </c>
      <c r="K1941" s="848" t="s">
        <v>14281</v>
      </c>
    </row>
    <row r="1942" spans="2:11" ht="25">
      <c r="B1942" s="848">
        <v>1939</v>
      </c>
      <c r="C1942" s="848" t="s">
        <v>1332</v>
      </c>
      <c r="D1942" s="849" t="s">
        <v>152</v>
      </c>
      <c r="E1942" s="848" t="s">
        <v>3344</v>
      </c>
      <c r="F1942" s="848" t="s">
        <v>12704</v>
      </c>
      <c r="G1942" s="850" t="s">
        <v>12720</v>
      </c>
      <c r="H1942" s="849" t="s">
        <v>10716</v>
      </c>
      <c r="I1942" s="849"/>
      <c r="J1942" s="851">
        <v>27986</v>
      </c>
      <c r="K1942" s="848" t="s">
        <v>5834</v>
      </c>
    </row>
    <row r="1943" spans="2:11" ht="25">
      <c r="B1943" s="848">
        <v>1940</v>
      </c>
      <c r="C1943" s="848" t="s">
        <v>14282</v>
      </c>
      <c r="D1943" s="849" t="s">
        <v>14283</v>
      </c>
      <c r="E1943" s="848" t="s">
        <v>3761</v>
      </c>
      <c r="F1943" s="848" t="s">
        <v>14284</v>
      </c>
      <c r="G1943" s="850" t="s">
        <v>14273</v>
      </c>
      <c r="H1943" s="849" t="s">
        <v>10716</v>
      </c>
      <c r="I1943" s="849"/>
      <c r="J1943" s="851">
        <v>23.77</v>
      </c>
      <c r="K1943" s="848" t="s">
        <v>6415</v>
      </c>
    </row>
    <row r="1944" spans="2:11" ht="25">
      <c r="B1944" s="848">
        <v>1941</v>
      </c>
      <c r="C1944" s="848" t="s">
        <v>14282</v>
      </c>
      <c r="D1944" s="849" t="s">
        <v>14283</v>
      </c>
      <c r="E1944" s="848" t="s">
        <v>3761</v>
      </c>
      <c r="F1944" s="848" t="s">
        <v>13838</v>
      </c>
      <c r="G1944" s="850" t="s">
        <v>13604</v>
      </c>
      <c r="H1944" s="849" t="s">
        <v>10716</v>
      </c>
      <c r="I1944" s="849"/>
      <c r="J1944" s="851">
        <v>71.31</v>
      </c>
      <c r="K1944" s="848" t="s">
        <v>5885</v>
      </c>
    </row>
    <row r="1945" spans="2:11" ht="25">
      <c r="B1945" s="848">
        <v>1942</v>
      </c>
      <c r="C1945" s="848" t="s">
        <v>14285</v>
      </c>
      <c r="D1945" s="849" t="s">
        <v>14286</v>
      </c>
      <c r="E1945" s="848" t="s">
        <v>12247</v>
      </c>
      <c r="F1945" s="848" t="s">
        <v>10728</v>
      </c>
      <c r="G1945" s="850" t="s">
        <v>11628</v>
      </c>
      <c r="H1945" s="849" t="s">
        <v>10716</v>
      </c>
      <c r="I1945" s="849"/>
      <c r="J1945" s="851">
        <v>1.58</v>
      </c>
      <c r="K1945" s="848" t="s">
        <v>6248</v>
      </c>
    </row>
    <row r="1946" spans="2:11" ht="25">
      <c r="B1946" s="848">
        <v>1943</v>
      </c>
      <c r="C1946" s="848" t="s">
        <v>14285</v>
      </c>
      <c r="D1946" s="849" t="s">
        <v>14286</v>
      </c>
      <c r="E1946" s="848" t="s">
        <v>12247</v>
      </c>
      <c r="F1946" s="848" t="s">
        <v>14287</v>
      </c>
      <c r="G1946" s="850" t="s">
        <v>14288</v>
      </c>
      <c r="H1946" s="849" t="s">
        <v>10716</v>
      </c>
      <c r="I1946" s="849"/>
      <c r="J1946" s="851">
        <v>8.3000000000000007</v>
      </c>
      <c r="K1946" s="848" t="s">
        <v>5748</v>
      </c>
    </row>
    <row r="1947" spans="2:11" ht="25">
      <c r="B1947" s="848">
        <v>1944</v>
      </c>
      <c r="C1947" s="848" t="s">
        <v>14285</v>
      </c>
      <c r="D1947" s="849" t="s">
        <v>14286</v>
      </c>
      <c r="E1947" s="848" t="s">
        <v>13329</v>
      </c>
      <c r="F1947" s="848" t="s">
        <v>14289</v>
      </c>
      <c r="G1947" s="850" t="s">
        <v>13227</v>
      </c>
      <c r="H1947" s="849" t="s">
        <v>10716</v>
      </c>
      <c r="I1947" s="849"/>
      <c r="J1947" s="851">
        <v>13.141169999999999</v>
      </c>
      <c r="K1947" s="848" t="s">
        <v>6231</v>
      </c>
    </row>
    <row r="1948" spans="2:11" ht="25">
      <c r="B1948" s="848">
        <v>1945</v>
      </c>
      <c r="C1948" s="848" t="s">
        <v>14285</v>
      </c>
      <c r="D1948" s="849" t="s">
        <v>14286</v>
      </c>
      <c r="E1948" s="848" t="s">
        <v>13329</v>
      </c>
      <c r="F1948" s="848" t="s">
        <v>14290</v>
      </c>
      <c r="G1948" s="850" t="s">
        <v>11879</v>
      </c>
      <c r="H1948" s="849" t="s">
        <v>10716</v>
      </c>
      <c r="I1948" s="849"/>
      <c r="J1948" s="851">
        <v>14.455287</v>
      </c>
      <c r="K1948" s="848" t="s">
        <v>6161</v>
      </c>
    </row>
    <row r="1949" spans="2:11">
      <c r="B1949" s="848">
        <v>1946</v>
      </c>
      <c r="C1949" s="848" t="s">
        <v>14291</v>
      </c>
      <c r="D1949" s="849" t="s">
        <v>132</v>
      </c>
      <c r="E1949" s="848" t="s">
        <v>11752</v>
      </c>
      <c r="F1949" s="848" t="s">
        <v>13622</v>
      </c>
      <c r="G1949" s="850" t="s">
        <v>14292</v>
      </c>
      <c r="H1949" s="849" t="s">
        <v>10716</v>
      </c>
      <c r="I1949" s="849"/>
      <c r="J1949" s="851">
        <v>697.62</v>
      </c>
      <c r="K1949" s="848" t="s">
        <v>14293</v>
      </c>
    </row>
    <row r="1950" spans="2:11" ht="25">
      <c r="B1950" s="848">
        <v>1947</v>
      </c>
      <c r="C1950" s="848" t="s">
        <v>14294</v>
      </c>
      <c r="D1950" s="849" t="s">
        <v>14295</v>
      </c>
      <c r="E1950" s="848" t="s">
        <v>11540</v>
      </c>
      <c r="F1950" s="848" t="s">
        <v>14296</v>
      </c>
      <c r="G1950" s="850" t="s">
        <v>14297</v>
      </c>
      <c r="H1950" s="849" t="s">
        <v>10716</v>
      </c>
      <c r="I1950" s="849"/>
      <c r="J1950" s="851">
        <v>7.67</v>
      </c>
      <c r="K1950" s="848" t="s">
        <v>14298</v>
      </c>
    </row>
    <row r="1951" spans="2:11">
      <c r="B1951" s="848">
        <v>1948</v>
      </c>
      <c r="C1951" s="848" t="s">
        <v>14299</v>
      </c>
      <c r="D1951" s="849" t="s">
        <v>6965</v>
      </c>
      <c r="E1951" s="848" t="s">
        <v>3344</v>
      </c>
      <c r="F1951" s="848" t="s">
        <v>12707</v>
      </c>
      <c r="G1951" s="850" t="s">
        <v>12850</v>
      </c>
      <c r="H1951" s="849" t="s">
        <v>10716</v>
      </c>
      <c r="I1951" s="849"/>
      <c r="J1951" s="851">
        <v>7667.3</v>
      </c>
      <c r="K1951" s="848" t="s">
        <v>11970</v>
      </c>
    </row>
    <row r="1952" spans="2:11">
      <c r="B1952" s="848">
        <v>1949</v>
      </c>
      <c r="C1952" s="848" t="s">
        <v>14300</v>
      </c>
      <c r="D1952" s="849" t="s">
        <v>6965</v>
      </c>
      <c r="E1952" s="848" t="s">
        <v>3344</v>
      </c>
      <c r="F1952" s="848" t="s">
        <v>12710</v>
      </c>
      <c r="G1952" s="850" t="s">
        <v>12851</v>
      </c>
      <c r="H1952" s="849" t="s">
        <v>10716</v>
      </c>
      <c r="I1952" s="849"/>
      <c r="J1952" s="851">
        <v>7283.94</v>
      </c>
      <c r="K1952" s="848" t="s">
        <v>14301</v>
      </c>
    </row>
    <row r="1953" spans="2:11">
      <c r="B1953" s="848">
        <v>1950</v>
      </c>
      <c r="C1953" s="848" t="s">
        <v>14300</v>
      </c>
      <c r="D1953" s="849" t="s">
        <v>6965</v>
      </c>
      <c r="E1953" s="848" t="s">
        <v>3393</v>
      </c>
      <c r="F1953" s="848" t="s">
        <v>12716</v>
      </c>
      <c r="G1953" s="850" t="s">
        <v>12538</v>
      </c>
      <c r="H1953" s="849" t="s">
        <v>10716</v>
      </c>
      <c r="I1953" s="849"/>
      <c r="J1953" s="851">
        <v>7655.84</v>
      </c>
      <c r="K1953" s="848" t="s">
        <v>5831</v>
      </c>
    </row>
    <row r="1954" spans="2:11">
      <c r="B1954" s="848">
        <v>1951</v>
      </c>
      <c r="C1954" s="848" t="s">
        <v>14300</v>
      </c>
      <c r="D1954" s="849" t="s">
        <v>6965</v>
      </c>
      <c r="E1954" s="848" t="s">
        <v>3393</v>
      </c>
      <c r="F1954" s="848" t="s">
        <v>12721</v>
      </c>
      <c r="G1954" s="850" t="s">
        <v>13435</v>
      </c>
      <c r="H1954" s="849" t="s">
        <v>10716</v>
      </c>
      <c r="I1954" s="849"/>
      <c r="J1954" s="851">
        <v>10734.22</v>
      </c>
      <c r="K1954" s="848" t="s">
        <v>5849</v>
      </c>
    </row>
    <row r="1955" spans="2:11">
      <c r="B1955" s="848">
        <v>1952</v>
      </c>
      <c r="C1955" s="848" t="s">
        <v>14300</v>
      </c>
      <c r="D1955" s="849" t="s">
        <v>6965</v>
      </c>
      <c r="E1955" s="848" t="s">
        <v>3393</v>
      </c>
      <c r="F1955" s="848" t="s">
        <v>11619</v>
      </c>
      <c r="G1955" s="850" t="s">
        <v>12535</v>
      </c>
      <c r="H1955" s="849" t="s">
        <v>10716</v>
      </c>
      <c r="I1955" s="849"/>
      <c r="J1955" s="851">
        <v>19551.62</v>
      </c>
      <c r="K1955" s="848" t="s">
        <v>5850</v>
      </c>
    </row>
    <row r="1956" spans="2:11">
      <c r="B1956" s="848">
        <v>1953</v>
      </c>
      <c r="C1956" s="848" t="s">
        <v>14300</v>
      </c>
      <c r="D1956" s="849" t="s">
        <v>6965</v>
      </c>
      <c r="E1956" s="848" t="s">
        <v>3393</v>
      </c>
      <c r="F1956" s="848" t="s">
        <v>11622</v>
      </c>
      <c r="G1956" s="850" t="s">
        <v>13448</v>
      </c>
      <c r="H1956" s="849" t="s">
        <v>10716</v>
      </c>
      <c r="I1956" s="849"/>
      <c r="J1956" s="851">
        <v>18401.52</v>
      </c>
      <c r="K1956" s="848" t="s">
        <v>5851</v>
      </c>
    </row>
    <row r="1957" spans="2:11">
      <c r="B1957" s="848">
        <v>1954</v>
      </c>
      <c r="C1957" s="848" t="s">
        <v>14300</v>
      </c>
      <c r="D1957" s="849" t="s">
        <v>6965</v>
      </c>
      <c r="E1957" s="848" t="s">
        <v>3393</v>
      </c>
      <c r="F1957" s="848" t="s">
        <v>13861</v>
      </c>
      <c r="G1957" s="850" t="s">
        <v>13446</v>
      </c>
      <c r="H1957" s="849" t="s">
        <v>10716</v>
      </c>
      <c r="I1957" s="849"/>
      <c r="J1957" s="851">
        <v>9967.49</v>
      </c>
      <c r="K1957" s="848" t="s">
        <v>5852</v>
      </c>
    </row>
    <row r="1958" spans="2:11">
      <c r="B1958" s="848">
        <v>1955</v>
      </c>
      <c r="C1958" s="848" t="s">
        <v>14300</v>
      </c>
      <c r="D1958" s="849" t="s">
        <v>14302</v>
      </c>
      <c r="E1958" s="848" t="s">
        <v>3344</v>
      </c>
      <c r="F1958" s="848" t="s">
        <v>13836</v>
      </c>
      <c r="G1958" s="850" t="s">
        <v>12860</v>
      </c>
      <c r="H1958" s="849" t="s">
        <v>10716</v>
      </c>
      <c r="I1958" s="849"/>
      <c r="J1958" s="851">
        <v>1328.72</v>
      </c>
      <c r="K1958" s="848" t="s">
        <v>14303</v>
      </c>
    </row>
    <row r="1959" spans="2:11">
      <c r="B1959" s="848">
        <v>1956</v>
      </c>
      <c r="C1959" s="848" t="s">
        <v>12795</v>
      </c>
      <c r="D1959" s="849" t="s">
        <v>14304</v>
      </c>
      <c r="E1959" s="848" t="s">
        <v>3393</v>
      </c>
      <c r="F1959" s="848" t="s">
        <v>12741</v>
      </c>
      <c r="G1959" s="850" t="s">
        <v>13204</v>
      </c>
      <c r="H1959" s="849" t="s">
        <v>10716</v>
      </c>
      <c r="I1959" s="849"/>
      <c r="J1959" s="851">
        <v>118.85</v>
      </c>
      <c r="K1959" s="848" t="s">
        <v>14305</v>
      </c>
    </row>
    <row r="1960" spans="2:11">
      <c r="B1960" s="848">
        <v>1957</v>
      </c>
      <c r="C1960" s="848" t="s">
        <v>12795</v>
      </c>
      <c r="D1960" s="849" t="s">
        <v>14304</v>
      </c>
      <c r="E1960" s="848" t="s">
        <v>3393</v>
      </c>
      <c r="F1960" s="848" t="s">
        <v>11670</v>
      </c>
      <c r="G1960" s="850" t="s">
        <v>13207</v>
      </c>
      <c r="H1960" s="849" t="s">
        <v>10716</v>
      </c>
      <c r="I1960" s="849"/>
      <c r="J1960" s="851">
        <v>23.71</v>
      </c>
      <c r="K1960" s="848" t="s">
        <v>14305</v>
      </c>
    </row>
    <row r="1961" spans="2:11">
      <c r="B1961" s="848">
        <v>1958</v>
      </c>
      <c r="C1961" s="848" t="s">
        <v>12795</v>
      </c>
      <c r="D1961" s="849" t="s">
        <v>14304</v>
      </c>
      <c r="E1961" s="848" t="s">
        <v>12948</v>
      </c>
      <c r="F1961" s="848" t="s">
        <v>13375</v>
      </c>
      <c r="G1961" s="850" t="s">
        <v>11375</v>
      </c>
      <c r="H1961" s="849" t="s">
        <v>10716</v>
      </c>
      <c r="I1961" s="849"/>
      <c r="J1961" s="851">
        <v>663.76</v>
      </c>
      <c r="K1961" s="848" t="s">
        <v>14306</v>
      </c>
    </row>
    <row r="1962" spans="2:11">
      <c r="B1962" s="848">
        <v>1959</v>
      </c>
      <c r="C1962" s="848" t="s">
        <v>12795</v>
      </c>
      <c r="D1962" s="849" t="s">
        <v>14304</v>
      </c>
      <c r="E1962" s="848" t="s">
        <v>14307</v>
      </c>
      <c r="F1962" s="848" t="s">
        <v>13835</v>
      </c>
      <c r="G1962" s="850" t="s">
        <v>14289</v>
      </c>
      <c r="H1962" s="849" t="s">
        <v>10716</v>
      </c>
      <c r="I1962" s="849"/>
      <c r="J1962" s="851">
        <v>1592.59</v>
      </c>
      <c r="K1962" s="848" t="s">
        <v>14308</v>
      </c>
    </row>
    <row r="1963" spans="2:11">
      <c r="B1963" s="848">
        <v>1960</v>
      </c>
      <c r="C1963" s="848" t="s">
        <v>14309</v>
      </c>
      <c r="D1963" s="849" t="s">
        <v>14310</v>
      </c>
      <c r="E1963" s="848" t="s">
        <v>10778</v>
      </c>
      <c r="F1963" s="848" t="s">
        <v>12743</v>
      </c>
      <c r="G1963" s="850" t="s">
        <v>12514</v>
      </c>
      <c r="H1963" s="849" t="s">
        <v>10716</v>
      </c>
      <c r="I1963" s="849"/>
      <c r="J1963" s="851">
        <v>570.48</v>
      </c>
      <c r="K1963" s="848" t="s">
        <v>6424</v>
      </c>
    </row>
    <row r="1964" spans="2:11">
      <c r="B1964" s="848">
        <v>1961</v>
      </c>
      <c r="C1964" s="848" t="s">
        <v>14309</v>
      </c>
      <c r="D1964" s="849" t="s">
        <v>14310</v>
      </c>
      <c r="E1964" s="848" t="s">
        <v>10778</v>
      </c>
      <c r="F1964" s="848" t="s">
        <v>14292</v>
      </c>
      <c r="G1964" s="850" t="s">
        <v>12767</v>
      </c>
      <c r="H1964" s="849" t="s">
        <v>10716</v>
      </c>
      <c r="I1964" s="849"/>
      <c r="J1964" s="851">
        <v>1949.14</v>
      </c>
      <c r="K1964" s="848" t="s">
        <v>6427</v>
      </c>
    </row>
    <row r="1965" spans="2:11">
      <c r="B1965" s="848">
        <v>1962</v>
      </c>
      <c r="C1965" s="848" t="s">
        <v>14309</v>
      </c>
      <c r="D1965" s="849" t="s">
        <v>14310</v>
      </c>
      <c r="E1965" s="848" t="s">
        <v>10778</v>
      </c>
      <c r="F1965" s="848" t="s">
        <v>13994</v>
      </c>
      <c r="G1965" s="850" t="s">
        <v>14175</v>
      </c>
      <c r="H1965" s="849" t="s">
        <v>10716</v>
      </c>
      <c r="I1965" s="849"/>
      <c r="J1965" s="851">
        <v>998.34</v>
      </c>
      <c r="K1965" s="848" t="s">
        <v>5895</v>
      </c>
    </row>
    <row r="1966" spans="2:11">
      <c r="B1966" s="848">
        <v>1963</v>
      </c>
      <c r="C1966" s="848" t="s">
        <v>14309</v>
      </c>
      <c r="D1966" s="849" t="s">
        <v>14310</v>
      </c>
      <c r="E1966" s="848" t="s">
        <v>10778</v>
      </c>
      <c r="F1966" s="848" t="s">
        <v>13497</v>
      </c>
      <c r="G1966" s="850" t="s">
        <v>12520</v>
      </c>
      <c r="H1966" s="849" t="s">
        <v>10716</v>
      </c>
      <c r="I1966" s="849"/>
      <c r="J1966" s="851">
        <v>831.95</v>
      </c>
      <c r="K1966" s="848" t="s">
        <v>5896</v>
      </c>
    </row>
    <row r="1967" spans="2:11">
      <c r="B1967" s="848">
        <v>1964</v>
      </c>
      <c r="C1967" s="848" t="s">
        <v>14309</v>
      </c>
      <c r="D1967" s="849" t="s">
        <v>14310</v>
      </c>
      <c r="E1967" s="848" t="s">
        <v>10778</v>
      </c>
      <c r="F1967" s="848" t="s">
        <v>11754</v>
      </c>
      <c r="G1967" s="850" t="s">
        <v>12529</v>
      </c>
      <c r="H1967" s="849" t="s">
        <v>10716</v>
      </c>
      <c r="I1967" s="849"/>
      <c r="J1967" s="851">
        <v>142.62</v>
      </c>
      <c r="K1967" s="848" t="s">
        <v>6487</v>
      </c>
    </row>
    <row r="1968" spans="2:11">
      <c r="B1968" s="848">
        <v>1965</v>
      </c>
      <c r="C1968" s="848" t="s">
        <v>14309</v>
      </c>
      <c r="D1968" s="849" t="s">
        <v>14310</v>
      </c>
      <c r="E1968" s="848" t="s">
        <v>10778</v>
      </c>
      <c r="F1968" s="848" t="s">
        <v>14311</v>
      </c>
      <c r="G1968" s="850" t="s">
        <v>12747</v>
      </c>
      <c r="H1968" s="849" t="s">
        <v>10716</v>
      </c>
      <c r="I1968" s="849"/>
      <c r="J1968" s="851">
        <v>285.54000000000002</v>
      </c>
      <c r="K1968" s="848" t="s">
        <v>6490</v>
      </c>
    </row>
    <row r="1969" spans="2:11">
      <c r="B1969" s="848">
        <v>1966</v>
      </c>
      <c r="C1969" s="848" t="s">
        <v>14309</v>
      </c>
      <c r="D1969" s="849" t="s">
        <v>14310</v>
      </c>
      <c r="E1969" s="848" t="s">
        <v>3393</v>
      </c>
      <c r="F1969" s="848" t="s">
        <v>12746</v>
      </c>
      <c r="G1969" s="850" t="s">
        <v>13251</v>
      </c>
      <c r="H1969" s="849" t="s">
        <v>10716</v>
      </c>
      <c r="I1969" s="849"/>
      <c r="J1969" s="851">
        <v>2091.7600000000002</v>
      </c>
      <c r="K1969" s="848" t="s">
        <v>6425</v>
      </c>
    </row>
    <row r="1970" spans="2:11">
      <c r="B1970" s="848">
        <v>1967</v>
      </c>
      <c r="C1970" s="848" t="s">
        <v>14309</v>
      </c>
      <c r="D1970" s="849" t="s">
        <v>14310</v>
      </c>
      <c r="E1970" s="848" t="s">
        <v>3393</v>
      </c>
      <c r="F1970" s="848" t="s">
        <v>11028</v>
      </c>
      <c r="G1970" s="850" t="s">
        <v>13246</v>
      </c>
      <c r="H1970" s="849" t="s">
        <v>10716</v>
      </c>
      <c r="I1970" s="849"/>
      <c r="J1970" s="851">
        <v>570.48</v>
      </c>
      <c r="K1970" s="848" t="s">
        <v>6426</v>
      </c>
    </row>
    <row r="1971" spans="2:11">
      <c r="B1971" s="848">
        <v>1968</v>
      </c>
      <c r="C1971" s="848" t="s">
        <v>14309</v>
      </c>
      <c r="D1971" s="849" t="s">
        <v>14310</v>
      </c>
      <c r="E1971" s="848" t="s">
        <v>3393</v>
      </c>
      <c r="F1971" s="848" t="s">
        <v>11756</v>
      </c>
      <c r="G1971" s="850" t="s">
        <v>13300</v>
      </c>
      <c r="H1971" s="849" t="s">
        <v>10716</v>
      </c>
      <c r="I1971" s="849"/>
      <c r="J1971" s="851">
        <v>166.39</v>
      </c>
      <c r="K1971" s="848" t="s">
        <v>6486</v>
      </c>
    </row>
    <row r="1972" spans="2:11">
      <c r="B1972" s="848">
        <v>1969</v>
      </c>
      <c r="C1972" s="848" t="s">
        <v>14309</v>
      </c>
      <c r="D1972" s="849" t="s">
        <v>14310</v>
      </c>
      <c r="E1972" s="848" t="s">
        <v>3393</v>
      </c>
      <c r="F1972" s="848" t="s">
        <v>14312</v>
      </c>
      <c r="G1972" s="850" t="s">
        <v>13304</v>
      </c>
      <c r="H1972" s="849" t="s">
        <v>10716</v>
      </c>
      <c r="I1972" s="849"/>
      <c r="J1972" s="851">
        <v>237.7</v>
      </c>
      <c r="K1972" s="848" t="s">
        <v>6488</v>
      </c>
    </row>
    <row r="1973" spans="2:11">
      <c r="B1973" s="848">
        <v>1970</v>
      </c>
      <c r="C1973" s="848" t="s">
        <v>14309</v>
      </c>
      <c r="D1973" s="849" t="s">
        <v>14310</v>
      </c>
      <c r="E1973" s="848" t="s">
        <v>3393</v>
      </c>
      <c r="F1973" s="848" t="s">
        <v>14313</v>
      </c>
      <c r="G1973" s="850" t="s">
        <v>13302</v>
      </c>
      <c r="H1973" s="849" t="s">
        <v>10716</v>
      </c>
      <c r="I1973" s="849"/>
      <c r="J1973" s="851">
        <v>190.16</v>
      </c>
      <c r="K1973" s="848" t="s">
        <v>6489</v>
      </c>
    </row>
    <row r="1974" spans="2:11">
      <c r="B1974" s="848">
        <v>1971</v>
      </c>
      <c r="C1974" s="848" t="s">
        <v>14309</v>
      </c>
      <c r="D1974" s="849" t="s">
        <v>14310</v>
      </c>
      <c r="E1974" s="848" t="s">
        <v>3393</v>
      </c>
      <c r="F1974" s="848" t="s">
        <v>14314</v>
      </c>
      <c r="G1974" s="850" t="s">
        <v>13278</v>
      </c>
      <c r="H1974" s="849" t="s">
        <v>10716</v>
      </c>
      <c r="I1974" s="849"/>
      <c r="J1974" s="851">
        <v>475.4</v>
      </c>
      <c r="K1974" s="848" t="s">
        <v>6198</v>
      </c>
    </row>
    <row r="1975" spans="2:11">
      <c r="B1975" s="848">
        <v>1972</v>
      </c>
      <c r="C1975" s="848" t="s">
        <v>14309</v>
      </c>
      <c r="D1975" s="849" t="s">
        <v>14310</v>
      </c>
      <c r="E1975" s="848" t="s">
        <v>3393</v>
      </c>
      <c r="F1975" s="848" t="s">
        <v>14315</v>
      </c>
      <c r="G1975" s="850" t="s">
        <v>13253</v>
      </c>
      <c r="H1975" s="849" t="s">
        <v>10716</v>
      </c>
      <c r="I1975" s="849"/>
      <c r="J1975" s="851">
        <v>499.17</v>
      </c>
      <c r="K1975" s="848" t="s">
        <v>6199</v>
      </c>
    </row>
    <row r="1976" spans="2:11">
      <c r="B1976" s="848">
        <v>1973</v>
      </c>
      <c r="C1976" s="848" t="s">
        <v>14316</v>
      </c>
      <c r="D1976" s="849" t="s">
        <v>8082</v>
      </c>
      <c r="E1976" s="848" t="s">
        <v>3220</v>
      </c>
      <c r="F1976" s="848" t="s">
        <v>14317</v>
      </c>
      <c r="G1976" s="850" t="s">
        <v>12483</v>
      </c>
      <c r="H1976" s="849" t="s">
        <v>10716</v>
      </c>
      <c r="I1976" s="849"/>
      <c r="J1976" s="851">
        <v>95.08</v>
      </c>
      <c r="K1976" s="848" t="s">
        <v>14318</v>
      </c>
    </row>
    <row r="1977" spans="2:11">
      <c r="B1977" s="848">
        <v>1974</v>
      </c>
      <c r="C1977" s="848" t="s">
        <v>14316</v>
      </c>
      <c r="D1977" s="849" t="s">
        <v>8082</v>
      </c>
      <c r="E1977" s="848" t="s">
        <v>3220</v>
      </c>
      <c r="F1977" s="848" t="s">
        <v>14319</v>
      </c>
      <c r="G1977" s="850" t="s">
        <v>12481</v>
      </c>
      <c r="H1977" s="849" t="s">
        <v>10716</v>
      </c>
      <c r="I1977" s="849"/>
      <c r="J1977" s="851">
        <v>95.08</v>
      </c>
      <c r="K1977" s="848" t="s">
        <v>5918</v>
      </c>
    </row>
    <row r="1978" spans="2:11">
      <c r="B1978" s="848">
        <v>1975</v>
      </c>
      <c r="C1978" s="848" t="s">
        <v>14316</v>
      </c>
      <c r="D1978" s="849" t="s">
        <v>8082</v>
      </c>
      <c r="E1978" s="848" t="s">
        <v>3220</v>
      </c>
      <c r="F1978" s="848" t="s">
        <v>14320</v>
      </c>
      <c r="G1978" s="850" t="s">
        <v>12484</v>
      </c>
      <c r="H1978" s="849" t="s">
        <v>10716</v>
      </c>
      <c r="I1978" s="849"/>
      <c r="J1978" s="851">
        <v>95.08</v>
      </c>
      <c r="K1978" s="848" t="s">
        <v>14321</v>
      </c>
    </row>
    <row r="1979" spans="2:11">
      <c r="B1979" s="848">
        <v>1976</v>
      </c>
      <c r="C1979" s="848" t="s">
        <v>14316</v>
      </c>
      <c r="D1979" s="849" t="s">
        <v>8082</v>
      </c>
      <c r="E1979" s="848" t="s">
        <v>3350</v>
      </c>
      <c r="F1979" s="848" t="s">
        <v>13514</v>
      </c>
      <c r="G1979" s="850" t="s">
        <v>14322</v>
      </c>
      <c r="H1979" s="849" t="s">
        <v>10716</v>
      </c>
      <c r="I1979" s="849"/>
      <c r="J1979" s="851">
        <v>18.559999999999999</v>
      </c>
      <c r="K1979" s="848" t="s">
        <v>5979</v>
      </c>
    </row>
    <row r="1980" spans="2:11">
      <c r="B1980" s="848">
        <v>1977</v>
      </c>
      <c r="C1980" s="848" t="s">
        <v>642</v>
      </c>
      <c r="D1980" s="849" t="s">
        <v>14323</v>
      </c>
      <c r="E1980" s="848" t="s">
        <v>3344</v>
      </c>
      <c r="F1980" s="848" t="s">
        <v>12507</v>
      </c>
      <c r="G1980" s="850" t="s">
        <v>12853</v>
      </c>
      <c r="H1980" s="849" t="s">
        <v>10716</v>
      </c>
      <c r="I1980" s="849"/>
      <c r="J1980" s="851">
        <v>8817.4</v>
      </c>
      <c r="K1980" s="848" t="s">
        <v>10734</v>
      </c>
    </row>
    <row r="1981" spans="2:11">
      <c r="B1981" s="848">
        <v>1978</v>
      </c>
      <c r="C1981" s="848" t="s">
        <v>642</v>
      </c>
      <c r="D1981" s="849" t="s">
        <v>14323</v>
      </c>
      <c r="E1981" s="848" t="s">
        <v>3344</v>
      </c>
      <c r="F1981" s="848" t="s">
        <v>12714</v>
      </c>
      <c r="G1981" s="850" t="s">
        <v>12790</v>
      </c>
      <c r="H1981" s="849" t="s">
        <v>10716</v>
      </c>
      <c r="I1981" s="849"/>
      <c r="J1981" s="851">
        <v>11500.95</v>
      </c>
      <c r="K1981" s="848" t="s">
        <v>14324</v>
      </c>
    </row>
    <row r="1982" spans="2:11">
      <c r="B1982" s="848">
        <v>1979</v>
      </c>
      <c r="C1982" s="848" t="s">
        <v>1290</v>
      </c>
      <c r="D1982" s="849" t="s">
        <v>14323</v>
      </c>
      <c r="E1982" s="848" t="s">
        <v>3344</v>
      </c>
      <c r="F1982" s="848" t="s">
        <v>12718</v>
      </c>
      <c r="G1982" s="850" t="s">
        <v>12847</v>
      </c>
      <c r="H1982" s="849" t="s">
        <v>10716</v>
      </c>
      <c r="I1982" s="849"/>
      <c r="J1982" s="851">
        <v>6133.84</v>
      </c>
      <c r="K1982" s="848" t="s">
        <v>14325</v>
      </c>
    </row>
    <row r="1983" spans="2:11">
      <c r="B1983" s="848">
        <v>1980</v>
      </c>
      <c r="C1983" s="848" t="s">
        <v>14256</v>
      </c>
      <c r="D1983" s="849" t="s">
        <v>14323</v>
      </c>
      <c r="E1983" s="848" t="s">
        <v>14326</v>
      </c>
      <c r="F1983" s="848" t="s">
        <v>14327</v>
      </c>
      <c r="G1983" s="850" t="s">
        <v>14328</v>
      </c>
      <c r="H1983" s="849" t="s">
        <v>10716</v>
      </c>
      <c r="I1983" s="849"/>
      <c r="J1983" s="851">
        <v>1985</v>
      </c>
      <c r="K1983" s="848" t="s">
        <v>6773</v>
      </c>
    </row>
    <row r="1984" spans="2:11">
      <c r="B1984" s="848">
        <v>1981</v>
      </c>
      <c r="C1984" s="848" t="s">
        <v>14329</v>
      </c>
      <c r="D1984" s="849" t="s">
        <v>14330</v>
      </c>
      <c r="E1984" s="848" t="s">
        <v>14194</v>
      </c>
      <c r="F1984" s="848" t="s">
        <v>13624</v>
      </c>
      <c r="G1984" s="850" t="s">
        <v>14331</v>
      </c>
      <c r="H1984" s="849" t="s">
        <v>10716</v>
      </c>
      <c r="I1984" s="849"/>
      <c r="J1984" s="851">
        <v>5290.35</v>
      </c>
      <c r="K1984" s="848" t="s">
        <v>11972</v>
      </c>
    </row>
    <row r="1985" spans="2:11">
      <c r="B1985" s="848">
        <v>1982</v>
      </c>
      <c r="C1985" s="848" t="s">
        <v>14329</v>
      </c>
      <c r="D1985" s="849" t="s">
        <v>14330</v>
      </c>
      <c r="E1985" s="848" t="s">
        <v>14194</v>
      </c>
      <c r="F1985" s="848" t="s">
        <v>14332</v>
      </c>
      <c r="G1985" s="850" t="s">
        <v>14333</v>
      </c>
      <c r="H1985" s="849" t="s">
        <v>10716</v>
      </c>
      <c r="I1985" s="849"/>
      <c r="J1985" s="851">
        <v>166.39</v>
      </c>
      <c r="K1985" s="848" t="s">
        <v>13357</v>
      </c>
    </row>
    <row r="1986" spans="2:11">
      <c r="B1986" s="848">
        <v>1983</v>
      </c>
      <c r="C1986" s="848" t="s">
        <v>14329</v>
      </c>
      <c r="D1986" s="849" t="s">
        <v>14330</v>
      </c>
      <c r="E1986" s="848" t="s">
        <v>14194</v>
      </c>
      <c r="F1986" s="848" t="s">
        <v>14334</v>
      </c>
      <c r="G1986" s="850" t="s">
        <v>14335</v>
      </c>
      <c r="H1986" s="849" t="s">
        <v>10716</v>
      </c>
      <c r="I1986" s="849"/>
      <c r="J1986" s="851">
        <v>11.48</v>
      </c>
      <c r="K1986" s="848" t="s">
        <v>6247</v>
      </c>
    </row>
    <row r="1987" spans="2:11">
      <c r="B1987" s="848">
        <v>1984</v>
      </c>
      <c r="C1987" s="848" t="s">
        <v>14336</v>
      </c>
      <c r="D1987" s="849" t="s">
        <v>14337</v>
      </c>
      <c r="E1987" s="848" t="s">
        <v>3220</v>
      </c>
      <c r="F1987" s="848" t="s">
        <v>13240</v>
      </c>
      <c r="G1987" s="850" t="s">
        <v>11862</v>
      </c>
      <c r="H1987" s="849" t="s">
        <v>10716</v>
      </c>
      <c r="I1987" s="849"/>
      <c r="J1987" s="851">
        <v>153.35</v>
      </c>
      <c r="K1987" s="848" t="s">
        <v>14338</v>
      </c>
    </row>
    <row r="1988" spans="2:11">
      <c r="B1988" s="848">
        <v>1985</v>
      </c>
      <c r="C1988" s="848" t="s">
        <v>14339</v>
      </c>
      <c r="D1988" s="849" t="s">
        <v>14340</v>
      </c>
      <c r="E1988" s="848" t="s">
        <v>10804</v>
      </c>
      <c r="F1988" s="848" t="s">
        <v>12418</v>
      </c>
      <c r="G1988" s="850" t="s">
        <v>11364</v>
      </c>
      <c r="H1988" s="849" t="s">
        <v>10716</v>
      </c>
      <c r="I1988" s="849"/>
      <c r="J1988" s="851">
        <v>1789.31</v>
      </c>
      <c r="K1988" s="848" t="s">
        <v>14341</v>
      </c>
    </row>
    <row r="1989" spans="2:11">
      <c r="B1989" s="848">
        <v>1986</v>
      </c>
      <c r="C1989" s="848" t="s">
        <v>14342</v>
      </c>
      <c r="D1989" s="849" t="s">
        <v>14343</v>
      </c>
      <c r="E1989" s="848" t="s">
        <v>9433</v>
      </c>
      <c r="F1989" s="848" t="s">
        <v>13406</v>
      </c>
      <c r="G1989" s="850" t="s">
        <v>11094</v>
      </c>
      <c r="H1989" s="849" t="s">
        <v>10716</v>
      </c>
      <c r="I1989" s="849"/>
      <c r="J1989" s="851">
        <v>153.35</v>
      </c>
      <c r="K1989" s="848" t="s">
        <v>14344</v>
      </c>
    </row>
    <row r="1990" spans="2:11">
      <c r="B1990" s="848">
        <v>1987</v>
      </c>
      <c r="C1990" s="848" t="s">
        <v>14342</v>
      </c>
      <c r="D1990" s="849" t="s">
        <v>14343</v>
      </c>
      <c r="E1990" s="848" t="s">
        <v>9433</v>
      </c>
      <c r="F1990" s="848" t="s">
        <v>10750</v>
      </c>
      <c r="G1990" s="850" t="s">
        <v>11100</v>
      </c>
      <c r="H1990" s="849" t="s">
        <v>10716</v>
      </c>
      <c r="I1990" s="849"/>
      <c r="J1990" s="851">
        <v>306.69</v>
      </c>
      <c r="K1990" s="848" t="s">
        <v>14345</v>
      </c>
    </row>
    <row r="1991" spans="2:11">
      <c r="B1991" s="848">
        <v>1988</v>
      </c>
      <c r="C1991" s="848" t="s">
        <v>14346</v>
      </c>
      <c r="D1991" s="849" t="s">
        <v>14347</v>
      </c>
      <c r="E1991" s="848" t="s">
        <v>9441</v>
      </c>
      <c r="F1991" s="848" t="s">
        <v>14348</v>
      </c>
      <c r="G1991" s="850" t="s">
        <v>12605</v>
      </c>
      <c r="H1991" s="849" t="s">
        <v>10716</v>
      </c>
      <c r="I1991" s="849"/>
      <c r="J1991" s="851">
        <v>1735.21</v>
      </c>
      <c r="K1991" s="848" t="s">
        <v>14349</v>
      </c>
    </row>
    <row r="1992" spans="2:11">
      <c r="B1992" s="848">
        <v>1989</v>
      </c>
      <c r="C1992" s="848" t="s">
        <v>14346</v>
      </c>
      <c r="D1992" s="849" t="s">
        <v>14347</v>
      </c>
      <c r="E1992" s="848" t="s">
        <v>9441</v>
      </c>
      <c r="F1992" s="848" t="s">
        <v>13818</v>
      </c>
      <c r="G1992" s="850" t="s">
        <v>12608</v>
      </c>
      <c r="H1992" s="849" t="s">
        <v>10716</v>
      </c>
      <c r="I1992" s="849"/>
      <c r="J1992" s="851">
        <v>3208.95</v>
      </c>
      <c r="K1992" s="848" t="s">
        <v>6445</v>
      </c>
    </row>
    <row r="1993" spans="2:11">
      <c r="B1993" s="848">
        <v>1990</v>
      </c>
      <c r="C1993" s="848" t="s">
        <v>14346</v>
      </c>
      <c r="D1993" s="849" t="s">
        <v>14347</v>
      </c>
      <c r="E1993" s="848" t="s">
        <v>9441</v>
      </c>
      <c r="F1993" s="848" t="s">
        <v>13816</v>
      </c>
      <c r="G1993" s="850" t="s">
        <v>12611</v>
      </c>
      <c r="H1993" s="849" t="s">
        <v>10716</v>
      </c>
      <c r="I1993" s="849"/>
      <c r="J1993" s="851">
        <v>760.64</v>
      </c>
      <c r="K1993" s="848" t="s">
        <v>6446</v>
      </c>
    </row>
    <row r="1994" spans="2:11">
      <c r="B1994" s="848">
        <v>1991</v>
      </c>
      <c r="C1994" s="848" t="s">
        <v>14346</v>
      </c>
      <c r="D1994" s="849" t="s">
        <v>14347</v>
      </c>
      <c r="E1994" s="848" t="s">
        <v>9441</v>
      </c>
      <c r="F1994" s="848" t="s">
        <v>13813</v>
      </c>
      <c r="G1994" s="850" t="s">
        <v>12613</v>
      </c>
      <c r="H1994" s="849" t="s">
        <v>10716</v>
      </c>
      <c r="I1994" s="849"/>
      <c r="J1994" s="851">
        <v>1212.27</v>
      </c>
      <c r="K1994" s="848" t="s">
        <v>6447</v>
      </c>
    </row>
    <row r="1995" spans="2:11">
      <c r="B1995" s="848">
        <v>1992</v>
      </c>
      <c r="C1995" s="848" t="s">
        <v>14346</v>
      </c>
      <c r="D1995" s="849" t="s">
        <v>14347</v>
      </c>
      <c r="E1995" s="848" t="s">
        <v>3222</v>
      </c>
      <c r="F1995" s="848" t="s">
        <v>14350</v>
      </c>
      <c r="G1995" s="850" t="s">
        <v>14270</v>
      </c>
      <c r="H1995" s="849" t="s">
        <v>10716</v>
      </c>
      <c r="I1995" s="849"/>
      <c r="J1995" s="851">
        <v>2519.62</v>
      </c>
      <c r="K1995" s="848" t="s">
        <v>14351</v>
      </c>
    </row>
    <row r="1996" spans="2:11">
      <c r="B1996" s="848">
        <v>1993</v>
      </c>
      <c r="C1996" s="848" t="s">
        <v>14346</v>
      </c>
      <c r="D1996" s="849" t="s">
        <v>14347</v>
      </c>
      <c r="E1996" s="848" t="s">
        <v>3222</v>
      </c>
      <c r="F1996" s="848" t="s">
        <v>14352</v>
      </c>
      <c r="G1996" s="850" t="s">
        <v>14353</v>
      </c>
      <c r="H1996" s="849" t="s">
        <v>10716</v>
      </c>
      <c r="I1996" s="849"/>
      <c r="J1996" s="851">
        <v>2686.01</v>
      </c>
      <c r="K1996" s="848" t="s">
        <v>14354</v>
      </c>
    </row>
    <row r="1997" spans="2:11">
      <c r="B1997" s="848">
        <v>1994</v>
      </c>
      <c r="C1997" s="848" t="s">
        <v>14346</v>
      </c>
      <c r="D1997" s="849" t="s">
        <v>14347</v>
      </c>
      <c r="E1997" s="848" t="s">
        <v>3222</v>
      </c>
      <c r="F1997" s="848" t="s">
        <v>14355</v>
      </c>
      <c r="G1997" s="850" t="s">
        <v>14261</v>
      </c>
      <c r="H1997" s="849" t="s">
        <v>10716</v>
      </c>
      <c r="I1997" s="849"/>
      <c r="J1997" s="851">
        <v>713.1</v>
      </c>
      <c r="K1997" s="848" t="s">
        <v>14356</v>
      </c>
    </row>
    <row r="1998" spans="2:11">
      <c r="B1998" s="848">
        <v>1995</v>
      </c>
      <c r="C1998" s="848" t="s">
        <v>14346</v>
      </c>
      <c r="D1998" s="849" t="s">
        <v>14347</v>
      </c>
      <c r="E1998" s="848" t="s">
        <v>3222</v>
      </c>
      <c r="F1998" s="848" t="s">
        <v>14357</v>
      </c>
      <c r="G1998" s="850" t="s">
        <v>14252</v>
      </c>
      <c r="H1998" s="849" t="s">
        <v>10716</v>
      </c>
      <c r="I1998" s="849"/>
      <c r="J1998" s="851">
        <v>142.62</v>
      </c>
      <c r="K1998" s="848" t="s">
        <v>14358</v>
      </c>
    </row>
    <row r="1999" spans="2:11">
      <c r="B1999" s="848">
        <v>1996</v>
      </c>
      <c r="C1999" s="848" t="s">
        <v>14346</v>
      </c>
      <c r="D1999" s="849" t="s">
        <v>14347</v>
      </c>
      <c r="E1999" s="848" t="s">
        <v>3222</v>
      </c>
      <c r="F1999" s="848" t="s">
        <v>14359</v>
      </c>
      <c r="G1999" s="850" t="s">
        <v>14251</v>
      </c>
      <c r="H1999" s="849" t="s">
        <v>10716</v>
      </c>
      <c r="I1999" s="849"/>
      <c r="J1999" s="851">
        <v>475.4</v>
      </c>
      <c r="K1999" s="848" t="s">
        <v>14360</v>
      </c>
    </row>
    <row r="2000" spans="2:11">
      <c r="B2000" s="848">
        <v>1997</v>
      </c>
      <c r="C2000" s="848" t="s">
        <v>14346</v>
      </c>
      <c r="D2000" s="849" t="s">
        <v>14347</v>
      </c>
      <c r="E2000" s="848" t="s">
        <v>3222</v>
      </c>
      <c r="F2000" s="848" t="s">
        <v>14361</v>
      </c>
      <c r="G2000" s="850" t="s">
        <v>14250</v>
      </c>
      <c r="H2000" s="849" t="s">
        <v>10716</v>
      </c>
      <c r="I2000" s="849"/>
      <c r="J2000" s="851">
        <v>570.48</v>
      </c>
      <c r="K2000" s="848" t="s">
        <v>5899</v>
      </c>
    </row>
    <row r="2001" spans="2:11">
      <c r="B2001" s="848">
        <v>1998</v>
      </c>
      <c r="C2001" s="848" t="s">
        <v>14346</v>
      </c>
      <c r="D2001" s="849" t="s">
        <v>14347</v>
      </c>
      <c r="E2001" s="848" t="s">
        <v>3222</v>
      </c>
      <c r="F2001" s="848" t="s">
        <v>14362</v>
      </c>
      <c r="G2001" s="850" t="s">
        <v>14238</v>
      </c>
      <c r="H2001" s="849" t="s">
        <v>10716</v>
      </c>
      <c r="I2001" s="849"/>
      <c r="J2001" s="851">
        <v>166.39</v>
      </c>
      <c r="K2001" s="848" t="s">
        <v>5900</v>
      </c>
    </row>
    <row r="2002" spans="2:11">
      <c r="B2002" s="848">
        <v>1999</v>
      </c>
      <c r="C2002" s="848" t="s">
        <v>14346</v>
      </c>
      <c r="D2002" s="849" t="s">
        <v>14347</v>
      </c>
      <c r="E2002" s="848" t="s">
        <v>3222</v>
      </c>
      <c r="F2002" s="848" t="s">
        <v>14363</v>
      </c>
      <c r="G2002" s="850" t="s">
        <v>14364</v>
      </c>
      <c r="H2002" s="849" t="s">
        <v>10716</v>
      </c>
      <c r="I2002" s="849"/>
      <c r="J2002" s="851">
        <v>213.93</v>
      </c>
      <c r="K2002" s="848" t="s">
        <v>5905</v>
      </c>
    </row>
    <row r="2003" spans="2:11">
      <c r="B2003" s="848">
        <v>2000</v>
      </c>
      <c r="C2003" s="848" t="s">
        <v>14346</v>
      </c>
      <c r="D2003" s="849" t="s">
        <v>14347</v>
      </c>
      <c r="E2003" s="848" t="s">
        <v>3222</v>
      </c>
      <c r="F2003" s="848" t="s">
        <v>14365</v>
      </c>
      <c r="G2003" s="850" t="s">
        <v>14366</v>
      </c>
      <c r="H2003" s="849" t="s">
        <v>10716</v>
      </c>
      <c r="I2003" s="849"/>
      <c r="J2003" s="851">
        <v>309.01</v>
      </c>
      <c r="K2003" s="848" t="s">
        <v>6785</v>
      </c>
    </row>
    <row r="2004" spans="2:11">
      <c r="B2004" s="848">
        <v>2001</v>
      </c>
      <c r="C2004" s="848" t="s">
        <v>14346</v>
      </c>
      <c r="D2004" s="849" t="s">
        <v>14347</v>
      </c>
      <c r="E2004" s="848" t="s">
        <v>3222</v>
      </c>
      <c r="F2004" s="848" t="s">
        <v>12398</v>
      </c>
      <c r="G2004" s="850" t="s">
        <v>14265</v>
      </c>
      <c r="H2004" s="849" t="s">
        <v>10716</v>
      </c>
      <c r="I2004" s="849"/>
      <c r="J2004" s="851">
        <v>404.09</v>
      </c>
      <c r="K2004" s="848" t="s">
        <v>6084</v>
      </c>
    </row>
    <row r="2005" spans="2:11">
      <c r="B2005" s="848">
        <v>2002</v>
      </c>
      <c r="C2005" s="848" t="s">
        <v>14346</v>
      </c>
      <c r="D2005" s="849" t="s">
        <v>14347</v>
      </c>
      <c r="E2005" s="848" t="s">
        <v>3222</v>
      </c>
      <c r="F2005" s="848" t="s">
        <v>12399</v>
      </c>
      <c r="G2005" s="850" t="s">
        <v>14284</v>
      </c>
      <c r="H2005" s="849" t="s">
        <v>10716</v>
      </c>
      <c r="I2005" s="849"/>
      <c r="J2005" s="851">
        <v>499.17</v>
      </c>
      <c r="K2005" s="848" t="s">
        <v>5907</v>
      </c>
    </row>
    <row r="2006" spans="2:11">
      <c r="B2006" s="848">
        <v>2003</v>
      </c>
      <c r="C2006" s="848" t="s">
        <v>14346</v>
      </c>
      <c r="D2006" s="849" t="s">
        <v>14347</v>
      </c>
      <c r="E2006" s="848" t="s">
        <v>3222</v>
      </c>
      <c r="F2006" s="848" t="s">
        <v>12401</v>
      </c>
      <c r="G2006" s="850" t="s">
        <v>14268</v>
      </c>
      <c r="H2006" s="849" t="s">
        <v>10716</v>
      </c>
      <c r="I2006" s="849"/>
      <c r="J2006" s="851">
        <v>974.57</v>
      </c>
      <c r="K2006" s="848" t="s">
        <v>5908</v>
      </c>
    </row>
    <row r="2007" spans="2:11">
      <c r="B2007" s="848">
        <v>2004</v>
      </c>
      <c r="C2007" s="848" t="s">
        <v>14346</v>
      </c>
      <c r="D2007" s="849" t="s">
        <v>14347</v>
      </c>
      <c r="E2007" s="848" t="s">
        <v>3222</v>
      </c>
      <c r="F2007" s="848" t="s">
        <v>12397</v>
      </c>
      <c r="G2007" s="850" t="s">
        <v>14367</v>
      </c>
      <c r="H2007" s="849" t="s">
        <v>10716</v>
      </c>
      <c r="I2007" s="849"/>
      <c r="J2007" s="851">
        <v>594.25</v>
      </c>
      <c r="K2007" s="848" t="s">
        <v>14368</v>
      </c>
    </row>
    <row r="2008" spans="2:11">
      <c r="B2008" s="848">
        <v>2005</v>
      </c>
      <c r="C2008" s="848" t="s">
        <v>14346</v>
      </c>
      <c r="D2008" s="849" t="s">
        <v>14347</v>
      </c>
      <c r="E2008" s="848" t="s">
        <v>3222</v>
      </c>
      <c r="F2008" s="848" t="s">
        <v>13823</v>
      </c>
      <c r="G2008" s="850" t="s">
        <v>14236</v>
      </c>
      <c r="H2008" s="849" t="s">
        <v>10716</v>
      </c>
      <c r="I2008" s="849"/>
      <c r="J2008" s="851">
        <v>95.08</v>
      </c>
      <c r="K2008" s="848" t="s">
        <v>6448</v>
      </c>
    </row>
    <row r="2009" spans="2:11">
      <c r="B2009" s="848">
        <v>2006</v>
      </c>
      <c r="C2009" s="848" t="s">
        <v>14346</v>
      </c>
      <c r="D2009" s="849" t="s">
        <v>14347</v>
      </c>
      <c r="E2009" s="848" t="s">
        <v>3222</v>
      </c>
      <c r="F2009" s="848" t="s">
        <v>13822</v>
      </c>
      <c r="G2009" s="850" t="s">
        <v>14369</v>
      </c>
      <c r="H2009" s="849" t="s">
        <v>10716</v>
      </c>
      <c r="I2009" s="849"/>
      <c r="J2009" s="851">
        <v>190.16</v>
      </c>
      <c r="K2009" s="848" t="s">
        <v>14370</v>
      </c>
    </row>
    <row r="2010" spans="2:11">
      <c r="B2010" s="848">
        <v>2007</v>
      </c>
      <c r="C2010" s="848" t="s">
        <v>14346</v>
      </c>
      <c r="D2010" s="849" t="s">
        <v>14347</v>
      </c>
      <c r="E2010" s="848" t="s">
        <v>3222</v>
      </c>
      <c r="F2010" s="848" t="s">
        <v>13821</v>
      </c>
      <c r="G2010" s="850" t="s">
        <v>14371</v>
      </c>
      <c r="H2010" s="849" t="s">
        <v>10716</v>
      </c>
      <c r="I2010" s="849"/>
      <c r="J2010" s="851">
        <v>332.78</v>
      </c>
      <c r="K2010" s="848" t="s">
        <v>14372</v>
      </c>
    </row>
    <row r="2011" spans="2:11">
      <c r="B2011" s="848">
        <v>2008</v>
      </c>
      <c r="C2011" s="848" t="s">
        <v>14346</v>
      </c>
      <c r="D2011" s="849" t="s">
        <v>14347</v>
      </c>
      <c r="E2011" s="848" t="s">
        <v>3222</v>
      </c>
      <c r="F2011" s="848" t="s">
        <v>13820</v>
      </c>
      <c r="G2011" s="850" t="s">
        <v>14373</v>
      </c>
      <c r="H2011" s="849" t="s">
        <v>10716</v>
      </c>
      <c r="I2011" s="849"/>
      <c r="J2011" s="851">
        <v>808.18</v>
      </c>
      <c r="K2011" s="848" t="s">
        <v>14374</v>
      </c>
    </row>
    <row r="2012" spans="2:11">
      <c r="B2012" s="848">
        <v>2009</v>
      </c>
      <c r="C2012" s="848" t="s">
        <v>14346</v>
      </c>
      <c r="D2012" s="849" t="s">
        <v>14347</v>
      </c>
      <c r="E2012" s="848" t="s">
        <v>3222</v>
      </c>
      <c r="F2012" s="848" t="s">
        <v>13961</v>
      </c>
      <c r="G2012" s="850" t="s">
        <v>14375</v>
      </c>
      <c r="H2012" s="849" t="s">
        <v>10716</v>
      </c>
      <c r="I2012" s="849"/>
      <c r="J2012" s="851">
        <v>142.62</v>
      </c>
      <c r="K2012" s="848" t="s">
        <v>14376</v>
      </c>
    </row>
    <row r="2013" spans="2:11">
      <c r="B2013" s="848">
        <v>2010</v>
      </c>
      <c r="C2013" s="848" t="s">
        <v>14346</v>
      </c>
      <c r="D2013" s="849" t="s">
        <v>14347</v>
      </c>
      <c r="E2013" s="848" t="s">
        <v>3222</v>
      </c>
      <c r="F2013" s="848" t="s">
        <v>13442</v>
      </c>
      <c r="G2013" s="850" t="s">
        <v>14377</v>
      </c>
      <c r="H2013" s="849" t="s">
        <v>10716</v>
      </c>
      <c r="I2013" s="849"/>
      <c r="J2013" s="851">
        <v>1265.2</v>
      </c>
      <c r="K2013" s="848" t="s">
        <v>6090</v>
      </c>
    </row>
    <row r="2014" spans="2:11">
      <c r="B2014" s="848">
        <v>2011</v>
      </c>
      <c r="C2014" s="848" t="s">
        <v>14346</v>
      </c>
      <c r="D2014" s="849" t="s">
        <v>14347</v>
      </c>
      <c r="E2014" s="848" t="s">
        <v>3222</v>
      </c>
      <c r="F2014" s="848" t="s">
        <v>13444</v>
      </c>
      <c r="G2014" s="850" t="s">
        <v>14378</v>
      </c>
      <c r="H2014" s="849" t="s">
        <v>10716</v>
      </c>
      <c r="I2014" s="849"/>
      <c r="J2014" s="851">
        <v>136.62</v>
      </c>
      <c r="K2014" s="848" t="s">
        <v>14379</v>
      </c>
    </row>
    <row r="2015" spans="2:11">
      <c r="B2015" s="848">
        <v>2012</v>
      </c>
      <c r="C2015" s="848" t="s">
        <v>14346</v>
      </c>
      <c r="D2015" s="849" t="s">
        <v>14347</v>
      </c>
      <c r="E2015" s="848" t="s">
        <v>3222</v>
      </c>
      <c r="F2015" s="848" t="s">
        <v>14053</v>
      </c>
      <c r="G2015" s="850" t="s">
        <v>14380</v>
      </c>
      <c r="H2015" s="849" t="s">
        <v>10716</v>
      </c>
      <c r="I2015" s="849"/>
      <c r="J2015" s="851">
        <v>190.16</v>
      </c>
      <c r="K2015" s="848" t="s">
        <v>6095</v>
      </c>
    </row>
    <row r="2016" spans="2:11">
      <c r="B2016" s="848">
        <v>2013</v>
      </c>
      <c r="C2016" s="848" t="s">
        <v>14381</v>
      </c>
      <c r="D2016" s="849" t="s">
        <v>14382</v>
      </c>
      <c r="E2016" s="848" t="s">
        <v>3327</v>
      </c>
      <c r="F2016" s="848" t="s">
        <v>11577</v>
      </c>
      <c r="G2016" s="850" t="s">
        <v>14383</v>
      </c>
      <c r="H2016" s="849" t="s">
        <v>10716</v>
      </c>
      <c r="I2016" s="849"/>
      <c r="J2016" s="851">
        <v>4.46</v>
      </c>
      <c r="K2016" s="848" t="s">
        <v>6103</v>
      </c>
    </row>
    <row r="2017" spans="2:11">
      <c r="B2017" s="848">
        <v>2014</v>
      </c>
      <c r="C2017" s="848" t="s">
        <v>14384</v>
      </c>
      <c r="D2017" s="849" t="s">
        <v>339</v>
      </c>
      <c r="E2017" s="848" t="s">
        <v>9496</v>
      </c>
      <c r="F2017" s="848" t="s">
        <v>14056</v>
      </c>
      <c r="G2017" s="850" t="s">
        <v>13664</v>
      </c>
      <c r="H2017" s="849" t="s">
        <v>10716</v>
      </c>
      <c r="I2017" s="849"/>
      <c r="J2017" s="851">
        <v>541.26</v>
      </c>
      <c r="K2017" s="848" t="s">
        <v>6205</v>
      </c>
    </row>
    <row r="2018" spans="2:11">
      <c r="B2018" s="848">
        <v>2015</v>
      </c>
      <c r="C2018" s="848" t="s">
        <v>14385</v>
      </c>
      <c r="D2018" s="849" t="s">
        <v>14386</v>
      </c>
      <c r="E2018" s="848" t="s">
        <v>14153</v>
      </c>
      <c r="F2018" s="848" t="s">
        <v>14387</v>
      </c>
      <c r="G2018" s="850" t="s">
        <v>14388</v>
      </c>
      <c r="H2018" s="849" t="s">
        <v>10716</v>
      </c>
      <c r="I2018" s="849"/>
      <c r="J2018" s="851">
        <v>87.95</v>
      </c>
      <c r="K2018" s="848" t="s">
        <v>6044</v>
      </c>
    </row>
    <row r="2019" spans="2:11">
      <c r="B2019" s="848">
        <v>2016</v>
      </c>
      <c r="C2019" s="848" t="s">
        <v>14385</v>
      </c>
      <c r="D2019" s="849" t="s">
        <v>14386</v>
      </c>
      <c r="E2019" s="848" t="s">
        <v>14153</v>
      </c>
      <c r="F2019" s="848" t="s">
        <v>14389</v>
      </c>
      <c r="G2019" s="850" t="s">
        <v>14390</v>
      </c>
      <c r="H2019" s="849" t="s">
        <v>10716</v>
      </c>
      <c r="I2019" s="849"/>
      <c r="J2019" s="851">
        <v>67.66</v>
      </c>
      <c r="K2019" s="848" t="s">
        <v>6110</v>
      </c>
    </row>
    <row r="2020" spans="2:11">
      <c r="B2020" s="848">
        <v>2017</v>
      </c>
      <c r="C2020" s="848" t="s">
        <v>14391</v>
      </c>
      <c r="D2020" s="849" t="s">
        <v>8090</v>
      </c>
      <c r="E2020" s="848" t="s">
        <v>3581</v>
      </c>
      <c r="F2020" s="848" t="s">
        <v>14058</v>
      </c>
      <c r="G2020" s="850" t="s">
        <v>14392</v>
      </c>
      <c r="H2020" s="849" t="s">
        <v>10716</v>
      </c>
      <c r="I2020" s="849"/>
      <c r="J2020" s="851">
        <v>72</v>
      </c>
      <c r="K2020" s="848" t="s">
        <v>5883</v>
      </c>
    </row>
    <row r="2021" spans="2:11">
      <c r="B2021" s="848">
        <v>2018</v>
      </c>
      <c r="C2021" s="848" t="s">
        <v>1276</v>
      </c>
      <c r="D2021" s="849" t="s">
        <v>14393</v>
      </c>
      <c r="E2021" s="848" t="s">
        <v>10926</v>
      </c>
      <c r="F2021" s="848" t="s">
        <v>13863</v>
      </c>
      <c r="G2021" s="850" t="s">
        <v>13884</v>
      </c>
      <c r="H2021" s="849" t="s">
        <v>10716</v>
      </c>
      <c r="I2021" s="849"/>
      <c r="J2021" s="851">
        <v>42170.15</v>
      </c>
      <c r="K2021" s="848" t="s">
        <v>10950</v>
      </c>
    </row>
    <row r="2022" spans="2:11">
      <c r="B2022" s="848">
        <v>2019</v>
      </c>
      <c r="C2022" s="848" t="s">
        <v>1276</v>
      </c>
      <c r="D2022" s="849" t="s">
        <v>14393</v>
      </c>
      <c r="E2022" s="848" t="s">
        <v>3101</v>
      </c>
      <c r="F2022" s="848" t="s">
        <v>13865</v>
      </c>
      <c r="G2022" s="850" t="s">
        <v>14394</v>
      </c>
      <c r="H2022" s="849" t="s">
        <v>10716</v>
      </c>
      <c r="I2022" s="849"/>
      <c r="J2022" s="851">
        <v>34119.485000000001</v>
      </c>
      <c r="K2022" s="848" t="s">
        <v>10938</v>
      </c>
    </row>
    <row r="2023" spans="2:11">
      <c r="B2023" s="848">
        <v>2020</v>
      </c>
      <c r="C2023" s="848" t="s">
        <v>1276</v>
      </c>
      <c r="D2023" s="849" t="s">
        <v>14393</v>
      </c>
      <c r="E2023" s="848" t="s">
        <v>3101</v>
      </c>
      <c r="F2023" s="848" t="s">
        <v>13862</v>
      </c>
      <c r="G2023" s="850" t="s">
        <v>14395</v>
      </c>
      <c r="H2023" s="849" t="s">
        <v>10716</v>
      </c>
      <c r="I2023" s="849"/>
      <c r="J2023" s="851">
        <v>41786.785000000003</v>
      </c>
      <c r="K2023" s="848" t="s">
        <v>11693</v>
      </c>
    </row>
    <row r="2024" spans="2:11">
      <c r="B2024" s="848">
        <v>2021</v>
      </c>
      <c r="C2024" s="848" t="s">
        <v>14396</v>
      </c>
      <c r="D2024" s="849" t="s">
        <v>1032</v>
      </c>
      <c r="E2024" s="848" t="s">
        <v>3265</v>
      </c>
      <c r="F2024" s="848" t="s">
        <v>14156</v>
      </c>
      <c r="G2024" s="850" t="s">
        <v>14397</v>
      </c>
      <c r="H2024" s="849" t="s">
        <v>10716</v>
      </c>
      <c r="I2024" s="849"/>
      <c r="J2024" s="851">
        <v>382.29</v>
      </c>
      <c r="K2024" s="848" t="s">
        <v>14398</v>
      </c>
    </row>
    <row r="2025" spans="2:11">
      <c r="B2025" s="848">
        <v>2022</v>
      </c>
      <c r="C2025" s="848" t="s">
        <v>1334</v>
      </c>
      <c r="D2025" s="849" t="s">
        <v>404</v>
      </c>
      <c r="E2025" s="848" t="s">
        <v>12118</v>
      </c>
      <c r="F2025" s="848" t="s">
        <v>10943</v>
      </c>
      <c r="G2025" s="850" t="s">
        <v>14399</v>
      </c>
      <c r="H2025" s="849" t="s">
        <v>10716</v>
      </c>
      <c r="I2025" s="849"/>
      <c r="J2025" s="851">
        <v>1221.5</v>
      </c>
      <c r="K2025" s="848" t="s">
        <v>10808</v>
      </c>
    </row>
    <row r="2026" spans="2:11" ht="25">
      <c r="B2026" s="848">
        <v>2023</v>
      </c>
      <c r="C2026" s="848" t="s">
        <v>715</v>
      </c>
      <c r="D2026" s="849" t="s">
        <v>14400</v>
      </c>
      <c r="E2026" s="848" t="s">
        <v>9487</v>
      </c>
      <c r="F2026" s="848" t="s">
        <v>12244</v>
      </c>
      <c r="G2026" s="850" t="s">
        <v>13073</v>
      </c>
      <c r="H2026" s="849" t="s">
        <v>10716</v>
      </c>
      <c r="I2026" s="849"/>
      <c r="J2026" s="851">
        <v>4563.84</v>
      </c>
      <c r="K2026" s="848" t="s">
        <v>6767</v>
      </c>
    </row>
    <row r="2027" spans="2:11" ht="25">
      <c r="B2027" s="848">
        <v>2024</v>
      </c>
      <c r="C2027" s="848" t="s">
        <v>715</v>
      </c>
      <c r="D2027" s="849" t="s">
        <v>14400</v>
      </c>
      <c r="E2027" s="848" t="s">
        <v>9487</v>
      </c>
      <c r="F2027" s="848" t="s">
        <v>14401</v>
      </c>
      <c r="G2027" s="850" t="s">
        <v>14254</v>
      </c>
      <c r="H2027" s="849" t="s">
        <v>10716</v>
      </c>
      <c r="I2027" s="849"/>
      <c r="J2027" s="851">
        <v>5990.04</v>
      </c>
      <c r="K2027" s="848" t="s">
        <v>6076</v>
      </c>
    </row>
    <row r="2028" spans="2:11" ht="25">
      <c r="B2028" s="848">
        <v>2025</v>
      </c>
      <c r="C2028" s="848" t="s">
        <v>715</v>
      </c>
      <c r="D2028" s="849" t="s">
        <v>14400</v>
      </c>
      <c r="E2028" s="848" t="s">
        <v>10882</v>
      </c>
      <c r="F2028" s="848" t="s">
        <v>13671</v>
      </c>
      <c r="G2028" s="850" t="s">
        <v>14402</v>
      </c>
      <c r="H2028" s="849" t="s">
        <v>10716</v>
      </c>
      <c r="I2028" s="849"/>
      <c r="J2028" s="851">
        <v>30455</v>
      </c>
      <c r="K2028" s="848" t="s">
        <v>6767</v>
      </c>
    </row>
    <row r="2029" spans="2:11" ht="25">
      <c r="B2029" s="848">
        <v>2026</v>
      </c>
      <c r="C2029" s="848" t="s">
        <v>715</v>
      </c>
      <c r="D2029" s="849" t="s">
        <v>14400</v>
      </c>
      <c r="E2029" s="848" t="s">
        <v>12277</v>
      </c>
      <c r="F2029" s="848" t="s">
        <v>13672</v>
      </c>
      <c r="G2029" s="850" t="s">
        <v>14403</v>
      </c>
      <c r="H2029" s="849" t="s">
        <v>10716</v>
      </c>
      <c r="I2029" s="849"/>
      <c r="J2029" s="851">
        <v>39917.199999999997</v>
      </c>
      <c r="K2029" s="848" t="s">
        <v>6076</v>
      </c>
    </row>
    <row r="2030" spans="2:11">
      <c r="B2030" s="848">
        <v>2027</v>
      </c>
      <c r="C2030" s="848" t="s">
        <v>12071</v>
      </c>
      <c r="D2030" s="849" t="s">
        <v>994</v>
      </c>
      <c r="E2030" s="848" t="s">
        <v>9469</v>
      </c>
      <c r="F2030" s="848" t="s">
        <v>14335</v>
      </c>
      <c r="G2030" s="850" t="s">
        <v>13689</v>
      </c>
      <c r="H2030" s="849" t="s">
        <v>10716</v>
      </c>
      <c r="I2030" s="849"/>
      <c r="J2030" s="851">
        <v>1349.59</v>
      </c>
      <c r="K2030" s="848" t="s">
        <v>14404</v>
      </c>
    </row>
    <row r="2031" spans="2:11">
      <c r="B2031" s="848">
        <v>2028</v>
      </c>
      <c r="C2031" s="848" t="s">
        <v>12071</v>
      </c>
      <c r="D2031" s="849" t="s">
        <v>994</v>
      </c>
      <c r="E2031" s="848" t="s">
        <v>9469</v>
      </c>
      <c r="F2031" s="848" t="s">
        <v>14333</v>
      </c>
      <c r="G2031" s="850" t="s">
        <v>13684</v>
      </c>
      <c r="H2031" s="849" t="s">
        <v>10716</v>
      </c>
      <c r="I2031" s="849"/>
      <c r="J2031" s="851">
        <v>965.95</v>
      </c>
      <c r="K2031" s="848" t="s">
        <v>14405</v>
      </c>
    </row>
    <row r="2032" spans="2:11">
      <c r="B2032" s="848">
        <v>2029</v>
      </c>
      <c r="C2032" s="848" t="s">
        <v>12071</v>
      </c>
      <c r="D2032" s="849" t="s">
        <v>994</v>
      </c>
      <c r="E2032" s="848" t="s">
        <v>9469</v>
      </c>
      <c r="F2032" s="848" t="s">
        <v>14331</v>
      </c>
      <c r="G2032" s="850" t="s">
        <v>13683</v>
      </c>
      <c r="H2032" s="849" t="s">
        <v>10716</v>
      </c>
      <c r="I2032" s="849"/>
      <c r="J2032" s="851">
        <v>5229.3999999999996</v>
      </c>
      <c r="K2032" s="848" t="s">
        <v>14406</v>
      </c>
    </row>
    <row r="2033" spans="2:11">
      <c r="B2033" s="848">
        <v>2030</v>
      </c>
      <c r="C2033" s="848" t="s">
        <v>12071</v>
      </c>
      <c r="D2033" s="849" t="s">
        <v>994</v>
      </c>
      <c r="E2033" s="848" t="s">
        <v>9469</v>
      </c>
      <c r="F2033" s="848" t="s">
        <v>14407</v>
      </c>
      <c r="G2033" s="850" t="s">
        <v>13693</v>
      </c>
      <c r="H2033" s="849" t="s">
        <v>10716</v>
      </c>
      <c r="I2033" s="849"/>
      <c r="J2033" s="851">
        <v>37953.14</v>
      </c>
      <c r="K2033" s="848" t="s">
        <v>6771</v>
      </c>
    </row>
    <row r="2034" spans="2:11">
      <c r="B2034" s="848">
        <v>2031</v>
      </c>
      <c r="C2034" s="848" t="s">
        <v>1292</v>
      </c>
      <c r="D2034" s="849" t="s">
        <v>994</v>
      </c>
      <c r="E2034" s="848" t="s">
        <v>9469</v>
      </c>
      <c r="F2034" s="848" t="s">
        <v>12407</v>
      </c>
      <c r="G2034" s="850" t="s">
        <v>13695</v>
      </c>
      <c r="H2034" s="849" t="s">
        <v>10716</v>
      </c>
      <c r="I2034" s="849"/>
      <c r="J2034" s="851">
        <v>6133.84</v>
      </c>
      <c r="K2034" s="848" t="s">
        <v>6775</v>
      </c>
    </row>
    <row r="2035" spans="2:11">
      <c r="B2035" s="848">
        <v>2032</v>
      </c>
      <c r="C2035" s="848" t="s">
        <v>1292</v>
      </c>
      <c r="D2035" s="849" t="s">
        <v>994</v>
      </c>
      <c r="E2035" s="848" t="s">
        <v>9469</v>
      </c>
      <c r="F2035" s="848" t="s">
        <v>12404</v>
      </c>
      <c r="G2035" s="850" t="s">
        <v>13687</v>
      </c>
      <c r="H2035" s="849" t="s">
        <v>10716</v>
      </c>
      <c r="I2035" s="849"/>
      <c r="J2035" s="851">
        <v>2300.19</v>
      </c>
      <c r="K2035" s="848" t="s">
        <v>6776</v>
      </c>
    </row>
    <row r="2036" spans="2:11">
      <c r="B2036" s="848">
        <v>2033</v>
      </c>
      <c r="C2036" s="848" t="s">
        <v>14408</v>
      </c>
      <c r="D2036" s="849" t="s">
        <v>270</v>
      </c>
      <c r="E2036" s="848" t="s">
        <v>9429</v>
      </c>
      <c r="F2036" s="848" t="s">
        <v>13407</v>
      </c>
      <c r="G2036" s="850" t="s">
        <v>10964</v>
      </c>
      <c r="H2036" s="849" t="s">
        <v>10716</v>
      </c>
      <c r="I2036" s="849"/>
      <c r="J2036" s="851">
        <v>613.38</v>
      </c>
      <c r="K2036" s="848" t="s">
        <v>5926</v>
      </c>
    </row>
    <row r="2037" spans="2:11">
      <c r="B2037" s="848">
        <v>2034</v>
      </c>
      <c r="C2037" s="848" t="s">
        <v>14408</v>
      </c>
      <c r="D2037" s="849" t="s">
        <v>270</v>
      </c>
      <c r="E2037" s="848" t="s">
        <v>9429</v>
      </c>
      <c r="F2037" s="848" t="s">
        <v>14409</v>
      </c>
      <c r="G2037" s="850" t="s">
        <v>12773</v>
      </c>
      <c r="H2037" s="849" t="s">
        <v>10716</v>
      </c>
      <c r="I2037" s="849"/>
      <c r="J2037" s="851">
        <v>15.34</v>
      </c>
      <c r="K2037" s="848" t="s">
        <v>6494</v>
      </c>
    </row>
    <row r="2038" spans="2:11">
      <c r="B2038" s="848">
        <v>2035</v>
      </c>
      <c r="C2038" s="848" t="s">
        <v>14408</v>
      </c>
      <c r="D2038" s="849" t="s">
        <v>270</v>
      </c>
      <c r="E2038" s="848" t="s">
        <v>10736</v>
      </c>
      <c r="F2038" s="848" t="s">
        <v>14176</v>
      </c>
      <c r="G2038" s="850" t="s">
        <v>14410</v>
      </c>
      <c r="H2038" s="849" t="s">
        <v>10716</v>
      </c>
      <c r="I2038" s="849"/>
      <c r="J2038" s="851">
        <v>6.18</v>
      </c>
      <c r="K2038" s="848" t="s">
        <v>14411</v>
      </c>
    </row>
    <row r="2039" spans="2:11">
      <c r="B2039" s="848">
        <v>2036</v>
      </c>
      <c r="C2039" s="848" t="s">
        <v>14412</v>
      </c>
      <c r="D2039" s="849" t="s">
        <v>8091</v>
      </c>
      <c r="E2039" s="848" t="s">
        <v>12181</v>
      </c>
      <c r="F2039" s="848" t="s">
        <v>14413</v>
      </c>
      <c r="G2039" s="850" t="s">
        <v>13440</v>
      </c>
      <c r="H2039" s="849" t="s">
        <v>10716</v>
      </c>
      <c r="I2039" s="849"/>
      <c r="J2039" s="851">
        <v>10</v>
      </c>
      <c r="K2039" s="848" t="s">
        <v>6625</v>
      </c>
    </row>
    <row r="2040" spans="2:11">
      <c r="B2040" s="848">
        <v>2037</v>
      </c>
      <c r="C2040" s="848" t="s">
        <v>14412</v>
      </c>
      <c r="D2040" s="849" t="s">
        <v>8091</v>
      </c>
      <c r="E2040" s="848" t="s">
        <v>3244</v>
      </c>
      <c r="F2040" s="848" t="s">
        <v>13709</v>
      </c>
      <c r="G2040" s="850" t="s">
        <v>12776</v>
      </c>
      <c r="H2040" s="849" t="s">
        <v>10716</v>
      </c>
      <c r="I2040" s="849"/>
      <c r="J2040" s="851">
        <v>9</v>
      </c>
      <c r="K2040" s="848" t="s">
        <v>6624</v>
      </c>
    </row>
    <row r="2041" spans="2:11">
      <c r="B2041" s="848">
        <v>2038</v>
      </c>
      <c r="C2041" s="848" t="s">
        <v>14412</v>
      </c>
      <c r="D2041" s="849" t="s">
        <v>8091</v>
      </c>
      <c r="E2041" s="848" t="s">
        <v>3752</v>
      </c>
      <c r="F2041" s="848" t="s">
        <v>13510</v>
      </c>
      <c r="G2041" s="850" t="s">
        <v>14414</v>
      </c>
      <c r="H2041" s="849" t="s">
        <v>10716</v>
      </c>
      <c r="I2041" s="849"/>
      <c r="J2041" s="851">
        <v>5.96</v>
      </c>
      <c r="K2041" s="848" t="s">
        <v>6621</v>
      </c>
    </row>
    <row r="2042" spans="2:11">
      <c r="B2042" s="848">
        <v>2039</v>
      </c>
      <c r="C2042" s="848" t="s">
        <v>682</v>
      </c>
      <c r="D2042" s="849" t="s">
        <v>14415</v>
      </c>
      <c r="E2042" s="848" t="s">
        <v>3393</v>
      </c>
      <c r="F2042" s="848" t="s">
        <v>13626</v>
      </c>
      <c r="G2042" s="850" t="s">
        <v>13424</v>
      </c>
      <c r="H2042" s="849" t="s">
        <v>10716</v>
      </c>
      <c r="I2042" s="849"/>
      <c r="J2042" s="851">
        <v>2645.18</v>
      </c>
      <c r="K2042" s="848" t="s">
        <v>14416</v>
      </c>
    </row>
    <row r="2043" spans="2:11">
      <c r="B2043" s="848">
        <v>2040</v>
      </c>
      <c r="C2043" s="848" t="s">
        <v>682</v>
      </c>
      <c r="D2043" s="849" t="s">
        <v>14415</v>
      </c>
      <c r="E2043" s="848" t="s">
        <v>3393</v>
      </c>
      <c r="F2043" s="848" t="s">
        <v>11445</v>
      </c>
      <c r="G2043" s="850" t="s">
        <v>13425</v>
      </c>
      <c r="H2043" s="849" t="s">
        <v>10716</v>
      </c>
      <c r="I2043" s="849"/>
      <c r="J2043" s="851">
        <v>1799.51</v>
      </c>
      <c r="K2043" s="848" t="s">
        <v>14416</v>
      </c>
    </row>
    <row r="2044" spans="2:11">
      <c r="B2044" s="848">
        <v>2041</v>
      </c>
      <c r="C2044" s="848" t="s">
        <v>682</v>
      </c>
      <c r="D2044" s="849" t="s">
        <v>14415</v>
      </c>
      <c r="E2044" s="848" t="s">
        <v>3393</v>
      </c>
      <c r="F2044" s="848" t="s">
        <v>11448</v>
      </c>
      <c r="G2044" s="850" t="s">
        <v>13426</v>
      </c>
      <c r="H2044" s="849" t="s">
        <v>10716</v>
      </c>
      <c r="I2044" s="849"/>
      <c r="J2044" s="851">
        <v>105.01</v>
      </c>
      <c r="K2044" s="848" t="s">
        <v>14417</v>
      </c>
    </row>
    <row r="2045" spans="2:11">
      <c r="B2045" s="848">
        <v>2042</v>
      </c>
      <c r="C2045" s="848" t="s">
        <v>682</v>
      </c>
      <c r="D2045" s="849" t="s">
        <v>14415</v>
      </c>
      <c r="E2045" s="848" t="s">
        <v>3393</v>
      </c>
      <c r="F2045" s="848" t="s">
        <v>14418</v>
      </c>
      <c r="G2045" s="850" t="s">
        <v>13422</v>
      </c>
      <c r="H2045" s="849" t="s">
        <v>10716</v>
      </c>
      <c r="I2045" s="849"/>
      <c r="J2045" s="851">
        <v>261.47000000000003</v>
      </c>
      <c r="K2045" s="848" t="s">
        <v>14417</v>
      </c>
    </row>
    <row r="2046" spans="2:11">
      <c r="B2046" s="848">
        <v>2043</v>
      </c>
      <c r="C2046" s="848" t="s">
        <v>682</v>
      </c>
      <c r="D2046" s="849" t="s">
        <v>14415</v>
      </c>
      <c r="E2046" s="848" t="s">
        <v>3393</v>
      </c>
      <c r="F2046" s="848" t="s">
        <v>14195</v>
      </c>
      <c r="G2046" s="850" t="s">
        <v>13420</v>
      </c>
      <c r="H2046" s="849" t="s">
        <v>10716</v>
      </c>
      <c r="I2046" s="849"/>
      <c r="J2046" s="851">
        <v>309.01</v>
      </c>
      <c r="K2046" s="848" t="s">
        <v>14419</v>
      </c>
    </row>
    <row r="2047" spans="2:11">
      <c r="B2047" s="848">
        <v>2044</v>
      </c>
      <c r="C2047" s="848" t="s">
        <v>14420</v>
      </c>
      <c r="D2047" s="849" t="s">
        <v>59</v>
      </c>
      <c r="E2047" s="848" t="s">
        <v>3347</v>
      </c>
      <c r="F2047" s="848" t="s">
        <v>11919</v>
      </c>
      <c r="G2047" s="850" t="s">
        <v>11261</v>
      </c>
      <c r="H2047" s="849" t="s">
        <v>10716</v>
      </c>
      <c r="I2047" s="849"/>
      <c r="J2047" s="851">
        <v>166763.78</v>
      </c>
      <c r="K2047" s="848" t="s">
        <v>11027</v>
      </c>
    </row>
    <row r="2048" spans="2:11">
      <c r="B2048" s="848">
        <v>2045</v>
      </c>
      <c r="C2048" s="848" t="s">
        <v>14420</v>
      </c>
      <c r="D2048" s="849" t="s">
        <v>59</v>
      </c>
      <c r="E2048" s="848" t="s">
        <v>9436</v>
      </c>
      <c r="F2048" s="848" t="s">
        <v>12798</v>
      </c>
      <c r="G2048" s="850" t="s">
        <v>11710</v>
      </c>
      <c r="H2048" s="849" t="s">
        <v>10716</v>
      </c>
      <c r="I2048" s="849"/>
      <c r="J2048" s="851">
        <v>123443.53</v>
      </c>
      <c r="K2048" s="848" t="s">
        <v>14421</v>
      </c>
    </row>
    <row r="2049" spans="2:11">
      <c r="B2049" s="848">
        <v>2046</v>
      </c>
      <c r="C2049" s="848" t="s">
        <v>14420</v>
      </c>
      <c r="D2049" s="849" t="s">
        <v>59</v>
      </c>
      <c r="E2049" s="848" t="s">
        <v>9436</v>
      </c>
      <c r="F2049" s="848" t="s">
        <v>11294</v>
      </c>
      <c r="G2049" s="850" t="s">
        <v>11534</v>
      </c>
      <c r="H2049" s="849" t="s">
        <v>10716</v>
      </c>
      <c r="I2049" s="849"/>
      <c r="J2049" s="851">
        <v>155262.82999999999</v>
      </c>
      <c r="K2049" s="848" t="s">
        <v>14422</v>
      </c>
    </row>
    <row r="2050" spans="2:11">
      <c r="B2050" s="848">
        <v>2047</v>
      </c>
      <c r="C2050" s="848" t="s">
        <v>14420</v>
      </c>
      <c r="D2050" s="849" t="s">
        <v>59</v>
      </c>
      <c r="E2050" s="848" t="s">
        <v>9437</v>
      </c>
      <c r="F2050" s="848" t="s">
        <v>11916</v>
      </c>
      <c r="G2050" s="850" t="s">
        <v>11854</v>
      </c>
      <c r="H2050" s="849" t="s">
        <v>10716</v>
      </c>
      <c r="I2050" s="849"/>
      <c r="J2050" s="851">
        <v>171747.52</v>
      </c>
      <c r="K2050" s="848" t="s">
        <v>12297</v>
      </c>
    </row>
    <row r="2051" spans="2:11">
      <c r="B2051" s="848">
        <v>2048</v>
      </c>
      <c r="C2051" s="848" t="s">
        <v>14420</v>
      </c>
      <c r="D2051" s="849" t="s">
        <v>59</v>
      </c>
      <c r="E2051" s="848" t="s">
        <v>9437</v>
      </c>
      <c r="F2051" s="848" t="s">
        <v>12797</v>
      </c>
      <c r="G2051" s="850" t="s">
        <v>11821</v>
      </c>
      <c r="H2051" s="849" t="s">
        <v>10716</v>
      </c>
      <c r="I2051" s="849"/>
      <c r="J2051" s="851">
        <v>51754.28</v>
      </c>
      <c r="K2051" s="848" t="s">
        <v>14423</v>
      </c>
    </row>
    <row r="2052" spans="2:11">
      <c r="B2052" s="848">
        <v>2049</v>
      </c>
      <c r="C2052" s="848" t="s">
        <v>14420</v>
      </c>
      <c r="D2052" s="849" t="s">
        <v>59</v>
      </c>
      <c r="E2052" s="848" t="s">
        <v>9437</v>
      </c>
      <c r="F2052" s="848" t="s">
        <v>13466</v>
      </c>
      <c r="G2052" s="850" t="s">
        <v>11823</v>
      </c>
      <c r="H2052" s="849" t="s">
        <v>10716</v>
      </c>
      <c r="I2052" s="849"/>
      <c r="J2052" s="851">
        <v>51370.91</v>
      </c>
      <c r="K2052" s="848" t="s">
        <v>14424</v>
      </c>
    </row>
    <row r="2053" spans="2:11">
      <c r="B2053" s="848">
        <v>2050</v>
      </c>
      <c r="C2053" s="848" t="s">
        <v>14420</v>
      </c>
      <c r="D2053" s="849" t="s">
        <v>59</v>
      </c>
      <c r="E2053" s="848" t="s">
        <v>9437</v>
      </c>
      <c r="F2053" s="848" t="s">
        <v>13291</v>
      </c>
      <c r="G2053" s="850" t="s">
        <v>11828</v>
      </c>
      <c r="H2053" s="849" t="s">
        <v>10716</v>
      </c>
      <c r="I2053" s="849"/>
      <c r="J2053" s="851">
        <v>613.38</v>
      </c>
      <c r="K2053" s="848" t="s">
        <v>6485</v>
      </c>
    </row>
    <row r="2054" spans="2:11">
      <c r="B2054" s="848">
        <v>2051</v>
      </c>
      <c r="C2054" s="848" t="s">
        <v>14425</v>
      </c>
      <c r="D2054" s="849" t="s">
        <v>1898</v>
      </c>
      <c r="E2054" s="848" t="s">
        <v>3114</v>
      </c>
      <c r="F2054" s="848" t="s">
        <v>10735</v>
      </c>
      <c r="G2054" s="850" t="s">
        <v>10749</v>
      </c>
      <c r="H2054" s="849" t="s">
        <v>10716</v>
      </c>
      <c r="I2054" s="849"/>
      <c r="J2054" s="851">
        <v>5.97</v>
      </c>
      <c r="K2054" s="848" t="s">
        <v>6117</v>
      </c>
    </row>
    <row r="2055" spans="2:11">
      <c r="B2055" s="848">
        <v>2052</v>
      </c>
      <c r="C2055" s="848" t="s">
        <v>14426</v>
      </c>
      <c r="D2055" s="849" t="s">
        <v>116</v>
      </c>
      <c r="E2055" s="848" t="s">
        <v>12074</v>
      </c>
      <c r="F2055" s="848" t="s">
        <v>13481</v>
      </c>
      <c r="G2055" s="850" t="s">
        <v>13415</v>
      </c>
      <c r="H2055" s="849" t="s">
        <v>10716</v>
      </c>
      <c r="I2055" s="849"/>
      <c r="J2055" s="851">
        <v>48303.99</v>
      </c>
      <c r="K2055" s="848" t="s">
        <v>14427</v>
      </c>
    </row>
    <row r="2056" spans="2:11">
      <c r="B2056" s="848">
        <v>2053</v>
      </c>
      <c r="C2056" s="848" t="s">
        <v>14426</v>
      </c>
      <c r="D2056" s="849" t="s">
        <v>116</v>
      </c>
      <c r="E2056" s="848" t="s">
        <v>12074</v>
      </c>
      <c r="F2056" s="848" t="s">
        <v>13467</v>
      </c>
      <c r="G2056" s="850" t="s">
        <v>14290</v>
      </c>
      <c r="H2056" s="849" t="s">
        <v>10716</v>
      </c>
      <c r="I2056" s="849"/>
      <c r="J2056" s="851">
        <v>73606.080000000002</v>
      </c>
      <c r="K2056" s="848" t="s">
        <v>14428</v>
      </c>
    </row>
    <row r="2057" spans="2:11">
      <c r="B2057" s="848">
        <v>2054</v>
      </c>
      <c r="C2057" s="848" t="s">
        <v>1249</v>
      </c>
      <c r="D2057" s="849" t="s">
        <v>176</v>
      </c>
      <c r="E2057" s="848" t="s">
        <v>11310</v>
      </c>
      <c r="F2057" s="848" t="s">
        <v>13960</v>
      </c>
      <c r="G2057" s="850" t="s">
        <v>13964</v>
      </c>
      <c r="H2057" s="849" t="s">
        <v>10716</v>
      </c>
      <c r="I2057" s="849"/>
      <c r="J2057" s="851">
        <v>882</v>
      </c>
      <c r="K2057" s="848" t="s">
        <v>6401</v>
      </c>
    </row>
    <row r="2058" spans="2:11">
      <c r="B2058" s="848">
        <v>2055</v>
      </c>
      <c r="C2058" s="848" t="s">
        <v>14429</v>
      </c>
      <c r="D2058" s="849" t="s">
        <v>14430</v>
      </c>
      <c r="E2058" s="848" t="s">
        <v>8582</v>
      </c>
      <c r="F2058" s="848" t="s">
        <v>13293</v>
      </c>
      <c r="G2058" s="850" t="s">
        <v>12077</v>
      </c>
      <c r="H2058" s="849" t="s">
        <v>10716</v>
      </c>
      <c r="I2058" s="849"/>
      <c r="J2058" s="851">
        <v>306.69</v>
      </c>
      <c r="K2058" s="848" t="s">
        <v>14431</v>
      </c>
    </row>
    <row r="2059" spans="2:11">
      <c r="B2059" s="848">
        <v>2056</v>
      </c>
      <c r="C2059" s="848" t="s">
        <v>14429</v>
      </c>
      <c r="D2059" s="849" t="s">
        <v>14430</v>
      </c>
      <c r="E2059" s="848" t="s">
        <v>8582</v>
      </c>
      <c r="F2059" s="848" t="s">
        <v>11298</v>
      </c>
      <c r="G2059" s="850" t="s">
        <v>12067</v>
      </c>
      <c r="H2059" s="849" t="s">
        <v>10716</v>
      </c>
      <c r="I2059" s="849"/>
      <c r="J2059" s="851">
        <v>153.35</v>
      </c>
      <c r="K2059" s="848" t="s">
        <v>14432</v>
      </c>
    </row>
    <row r="2060" spans="2:11">
      <c r="B2060" s="848">
        <v>2057</v>
      </c>
      <c r="C2060" s="848" t="s">
        <v>14433</v>
      </c>
      <c r="D2060" s="849" t="s">
        <v>14434</v>
      </c>
      <c r="E2060" s="848" t="s">
        <v>3220</v>
      </c>
      <c r="F2060" s="848" t="s">
        <v>14196</v>
      </c>
      <c r="G2060" s="850" t="s">
        <v>12112</v>
      </c>
      <c r="H2060" s="849" t="s">
        <v>10716</v>
      </c>
      <c r="I2060" s="849"/>
      <c r="J2060" s="851">
        <v>55.68</v>
      </c>
      <c r="K2060" s="848" t="s">
        <v>5817</v>
      </c>
    </row>
    <row r="2061" spans="2:11">
      <c r="B2061" s="848">
        <v>2058</v>
      </c>
      <c r="C2061" s="848" t="s">
        <v>14435</v>
      </c>
      <c r="D2061" s="849" t="s">
        <v>248</v>
      </c>
      <c r="E2061" s="848" t="s">
        <v>9433</v>
      </c>
      <c r="F2061" s="848" t="s">
        <v>14436</v>
      </c>
      <c r="G2061" s="850" t="s">
        <v>11027</v>
      </c>
      <c r="H2061" s="849" t="s">
        <v>10716</v>
      </c>
      <c r="I2061" s="849"/>
      <c r="J2061" s="851">
        <v>6536.75</v>
      </c>
      <c r="K2061" s="848" t="s">
        <v>6436</v>
      </c>
    </row>
    <row r="2062" spans="2:11">
      <c r="B2062" s="848">
        <v>2059</v>
      </c>
      <c r="C2062" s="848" t="s">
        <v>14437</v>
      </c>
      <c r="D2062" s="849" t="s">
        <v>306</v>
      </c>
      <c r="E2062" s="848" t="s">
        <v>3393</v>
      </c>
      <c r="F2062" s="848" t="s">
        <v>14438</v>
      </c>
      <c r="G2062" s="850" t="s">
        <v>13229</v>
      </c>
      <c r="H2062" s="849" t="s">
        <v>10716</v>
      </c>
      <c r="I2062" s="849"/>
      <c r="J2062" s="851">
        <v>2581</v>
      </c>
      <c r="K2062" s="848" t="s">
        <v>6790</v>
      </c>
    </row>
    <row r="2063" spans="2:11">
      <c r="B2063" s="848">
        <v>2060</v>
      </c>
      <c r="C2063" s="848" t="s">
        <v>14439</v>
      </c>
      <c r="D2063" s="849" t="s">
        <v>7075</v>
      </c>
      <c r="E2063" s="848" t="s">
        <v>12181</v>
      </c>
      <c r="F2063" s="848" t="s">
        <v>12922</v>
      </c>
      <c r="G2063" s="850" t="s">
        <v>10749</v>
      </c>
      <c r="H2063" s="849" t="s">
        <v>10716</v>
      </c>
      <c r="I2063" s="849"/>
      <c r="J2063" s="851">
        <v>14.8</v>
      </c>
      <c r="K2063" s="848" t="s">
        <v>5962</v>
      </c>
    </row>
    <row r="2064" spans="2:11">
      <c r="B2064" s="848">
        <v>2061</v>
      </c>
      <c r="C2064" s="848" t="s">
        <v>14439</v>
      </c>
      <c r="D2064" s="849" t="s">
        <v>7075</v>
      </c>
      <c r="E2064" s="848" t="s">
        <v>9509</v>
      </c>
      <c r="F2064" s="848" t="s">
        <v>13614</v>
      </c>
      <c r="G2064" s="850" t="s">
        <v>14440</v>
      </c>
      <c r="H2064" s="849" t="s">
        <v>10716</v>
      </c>
      <c r="I2064" s="849"/>
      <c r="J2064" s="851">
        <v>377.44</v>
      </c>
      <c r="K2064" s="848" t="s">
        <v>5962</v>
      </c>
    </row>
    <row r="2065" spans="2:11">
      <c r="B2065" s="848">
        <v>2062</v>
      </c>
      <c r="C2065" s="848" t="s">
        <v>14439</v>
      </c>
      <c r="D2065" s="849" t="s">
        <v>7075</v>
      </c>
      <c r="E2065" s="848" t="s">
        <v>9509</v>
      </c>
      <c r="F2065" s="848" t="s">
        <v>14441</v>
      </c>
      <c r="G2065" s="850" t="s">
        <v>12182</v>
      </c>
      <c r="H2065" s="849" t="s">
        <v>10716</v>
      </c>
      <c r="I2065" s="849"/>
      <c r="J2065" s="851">
        <v>2.6062659999999997</v>
      </c>
      <c r="K2065" s="848" t="s">
        <v>14442</v>
      </c>
    </row>
    <row r="2066" spans="2:11">
      <c r="B2066" s="848">
        <v>2063</v>
      </c>
      <c r="C2066" s="848" t="s">
        <v>14439</v>
      </c>
      <c r="D2066" s="849" t="s">
        <v>7075</v>
      </c>
      <c r="E2066" s="848" t="s">
        <v>9509</v>
      </c>
      <c r="F2066" s="848" t="s">
        <v>14443</v>
      </c>
      <c r="G2066" s="850" t="s">
        <v>13138</v>
      </c>
      <c r="H2066" s="849" t="s">
        <v>10716</v>
      </c>
      <c r="I2066" s="849"/>
      <c r="J2066" s="851">
        <v>73.897059999999996</v>
      </c>
      <c r="K2066" s="848" t="s">
        <v>6505</v>
      </c>
    </row>
    <row r="2067" spans="2:11">
      <c r="B2067" s="848">
        <v>2064</v>
      </c>
      <c r="C2067" s="848" t="s">
        <v>14439</v>
      </c>
      <c r="D2067" s="849" t="s">
        <v>7075</v>
      </c>
      <c r="E2067" s="848" t="s">
        <v>9509</v>
      </c>
      <c r="F2067" s="848" t="s">
        <v>14444</v>
      </c>
      <c r="G2067" s="850" t="s">
        <v>11381</v>
      </c>
      <c r="H2067" s="849" t="s">
        <v>10716</v>
      </c>
      <c r="I2067" s="849"/>
      <c r="J2067" s="851">
        <v>184.74264999999997</v>
      </c>
      <c r="K2067" s="848" t="s">
        <v>6506</v>
      </c>
    </row>
    <row r="2068" spans="2:11">
      <c r="B2068" s="848">
        <v>2065</v>
      </c>
      <c r="C2068" s="848" t="s">
        <v>14439</v>
      </c>
      <c r="D2068" s="849" t="s">
        <v>7075</v>
      </c>
      <c r="E2068" s="848" t="s">
        <v>9509</v>
      </c>
      <c r="F2068" s="848" t="s">
        <v>14002</v>
      </c>
      <c r="G2068" s="850" t="s">
        <v>13137</v>
      </c>
      <c r="H2068" s="849" t="s">
        <v>10716</v>
      </c>
      <c r="I2068" s="849"/>
      <c r="J2068" s="851">
        <v>1.9543160000000002</v>
      </c>
      <c r="K2068" s="848" t="s">
        <v>14445</v>
      </c>
    </row>
    <row r="2069" spans="2:11">
      <c r="B2069" s="848">
        <v>2066</v>
      </c>
      <c r="C2069" s="848" t="s">
        <v>14439</v>
      </c>
      <c r="D2069" s="849" t="s">
        <v>7075</v>
      </c>
      <c r="E2069" s="848" t="s">
        <v>9509</v>
      </c>
      <c r="F2069" s="848" t="s">
        <v>14000</v>
      </c>
      <c r="G2069" s="850" t="s">
        <v>12818</v>
      </c>
      <c r="H2069" s="849" t="s">
        <v>10716</v>
      </c>
      <c r="I2069" s="849"/>
      <c r="J2069" s="851">
        <v>3.9086320000000003</v>
      </c>
      <c r="K2069" s="848" t="s">
        <v>14446</v>
      </c>
    </row>
    <row r="2070" spans="2:11">
      <c r="B2070" s="848">
        <v>2067</v>
      </c>
      <c r="C2070" s="848" t="s">
        <v>14447</v>
      </c>
      <c r="D2070" s="849" t="s">
        <v>8089</v>
      </c>
      <c r="E2070" s="848" t="s">
        <v>13182</v>
      </c>
      <c r="F2070" s="848" t="s">
        <v>14448</v>
      </c>
      <c r="G2070" s="850" t="s">
        <v>14449</v>
      </c>
      <c r="H2070" s="849" t="s">
        <v>10716</v>
      </c>
      <c r="I2070" s="849"/>
      <c r="J2070" s="851">
        <v>50.49</v>
      </c>
      <c r="K2070" s="848" t="s">
        <v>6608</v>
      </c>
    </row>
    <row r="2071" spans="2:11">
      <c r="B2071" s="848">
        <v>2068</v>
      </c>
      <c r="C2071" s="848" t="s">
        <v>14447</v>
      </c>
      <c r="D2071" s="849" t="s">
        <v>8089</v>
      </c>
      <c r="E2071" s="848" t="s">
        <v>13182</v>
      </c>
      <c r="F2071" s="848" t="s">
        <v>14450</v>
      </c>
      <c r="G2071" s="850" t="s">
        <v>14451</v>
      </c>
      <c r="H2071" s="849" t="s">
        <v>10716</v>
      </c>
      <c r="I2071" s="849"/>
      <c r="J2071" s="851">
        <v>22.95</v>
      </c>
      <c r="K2071" s="848" t="s">
        <v>6609</v>
      </c>
    </row>
    <row r="2072" spans="2:11" ht="25">
      <c r="B2072" s="848">
        <v>2069</v>
      </c>
      <c r="C2072" s="848" t="s">
        <v>14452</v>
      </c>
      <c r="D2072" s="849" t="s">
        <v>14453</v>
      </c>
      <c r="E2072" s="848" t="s">
        <v>14454</v>
      </c>
      <c r="F2072" s="848" t="s">
        <v>11811</v>
      </c>
      <c r="G2072" s="850" t="s">
        <v>14455</v>
      </c>
      <c r="H2072" s="849" t="s">
        <v>10716</v>
      </c>
      <c r="I2072" s="849"/>
      <c r="J2072" s="851">
        <v>6.0679800000000004</v>
      </c>
      <c r="K2072" s="848" t="s">
        <v>6555</v>
      </c>
    </row>
    <row r="2073" spans="2:11">
      <c r="B2073" s="848">
        <v>2070</v>
      </c>
      <c r="C2073" s="848" t="s">
        <v>727</v>
      </c>
      <c r="D2073" s="849" t="s">
        <v>86</v>
      </c>
      <c r="E2073" s="848" t="s">
        <v>3230</v>
      </c>
      <c r="F2073" s="848" t="s">
        <v>10913</v>
      </c>
      <c r="G2073" s="850" t="s">
        <v>11648</v>
      </c>
      <c r="H2073" s="849" t="s">
        <v>10716</v>
      </c>
      <c r="I2073" s="849"/>
      <c r="J2073" s="851">
        <v>7487.96</v>
      </c>
      <c r="K2073" s="848" t="s">
        <v>13776</v>
      </c>
    </row>
    <row r="2074" spans="2:11">
      <c r="B2074" s="848">
        <v>2071</v>
      </c>
      <c r="C2074" s="848" t="s">
        <v>727</v>
      </c>
      <c r="D2074" s="849" t="s">
        <v>86</v>
      </c>
      <c r="E2074" s="848" t="s">
        <v>10804</v>
      </c>
      <c r="F2074" s="848" t="s">
        <v>14456</v>
      </c>
      <c r="G2074" s="850" t="s">
        <v>11362</v>
      </c>
      <c r="H2074" s="849" t="s">
        <v>10716</v>
      </c>
      <c r="I2074" s="849"/>
      <c r="J2074" s="851">
        <v>33505.550000000003</v>
      </c>
      <c r="K2074" s="848" t="s">
        <v>14457</v>
      </c>
    </row>
    <row r="2075" spans="2:11">
      <c r="B2075" s="848">
        <v>2072</v>
      </c>
      <c r="C2075" s="848" t="s">
        <v>727</v>
      </c>
      <c r="D2075" s="849" t="s">
        <v>86</v>
      </c>
      <c r="E2075" s="848" t="s">
        <v>10804</v>
      </c>
      <c r="F2075" s="848" t="s">
        <v>14458</v>
      </c>
      <c r="G2075" s="850" t="s">
        <v>13267</v>
      </c>
      <c r="H2075" s="849" t="s">
        <v>10716</v>
      </c>
      <c r="I2075" s="849"/>
      <c r="J2075" s="851">
        <v>17458.16</v>
      </c>
      <c r="K2075" s="848" t="s">
        <v>14459</v>
      </c>
    </row>
    <row r="2076" spans="2:11">
      <c r="B2076" s="848">
        <v>2073</v>
      </c>
      <c r="C2076" s="848" t="s">
        <v>727</v>
      </c>
      <c r="D2076" s="849" t="s">
        <v>86</v>
      </c>
      <c r="E2076" s="848" t="s">
        <v>3761</v>
      </c>
      <c r="F2076" s="848" t="s">
        <v>14460</v>
      </c>
      <c r="G2076" s="850" t="s">
        <v>14074</v>
      </c>
      <c r="H2076" s="849" t="s">
        <v>10716</v>
      </c>
      <c r="I2076" s="849"/>
      <c r="J2076" s="851">
        <v>14.6</v>
      </c>
      <c r="K2076" s="848" t="s">
        <v>6562</v>
      </c>
    </row>
    <row r="2077" spans="2:11">
      <c r="B2077" s="848">
        <v>2074</v>
      </c>
      <c r="C2077" s="848" t="s">
        <v>13373</v>
      </c>
      <c r="D2077" s="849" t="s">
        <v>86</v>
      </c>
      <c r="E2077" s="848" t="s">
        <v>11082</v>
      </c>
      <c r="F2077" s="848" t="s">
        <v>10915</v>
      </c>
      <c r="G2077" s="850" t="s">
        <v>14004</v>
      </c>
      <c r="H2077" s="849" t="s">
        <v>10716</v>
      </c>
      <c r="I2077" s="849"/>
      <c r="J2077" s="851">
        <v>3879.59</v>
      </c>
      <c r="K2077" s="848" t="s">
        <v>11031</v>
      </c>
    </row>
    <row r="2078" spans="2:11">
      <c r="B2078" s="848">
        <v>2075</v>
      </c>
      <c r="C2078" s="848" t="s">
        <v>727</v>
      </c>
      <c r="D2078" s="849" t="s">
        <v>86</v>
      </c>
      <c r="E2078" s="848" t="s">
        <v>11082</v>
      </c>
      <c r="F2078" s="848" t="s">
        <v>13351</v>
      </c>
      <c r="G2078" s="850" t="s">
        <v>11025</v>
      </c>
      <c r="H2078" s="849" t="s">
        <v>10716</v>
      </c>
      <c r="I2078" s="849"/>
      <c r="J2078" s="851">
        <v>64.88</v>
      </c>
      <c r="K2078" s="848" t="s">
        <v>6623</v>
      </c>
    </row>
    <row r="2079" spans="2:11">
      <c r="B2079" s="848">
        <v>2076</v>
      </c>
      <c r="C2079" s="848" t="s">
        <v>727</v>
      </c>
      <c r="D2079" s="849" t="s">
        <v>86</v>
      </c>
      <c r="E2079" s="848" t="s">
        <v>12181</v>
      </c>
      <c r="F2079" s="848" t="s">
        <v>14180</v>
      </c>
      <c r="G2079" s="850" t="s">
        <v>14080</v>
      </c>
      <c r="H2079" s="849" t="s">
        <v>10716</v>
      </c>
      <c r="I2079" s="849"/>
      <c r="J2079" s="851">
        <v>16101.33</v>
      </c>
      <c r="K2079" s="848" t="s">
        <v>14461</v>
      </c>
    </row>
    <row r="2080" spans="2:11">
      <c r="B2080" s="848">
        <v>2077</v>
      </c>
      <c r="C2080" s="848" t="s">
        <v>727</v>
      </c>
      <c r="D2080" s="849" t="s">
        <v>86</v>
      </c>
      <c r="E2080" s="848" t="s">
        <v>13639</v>
      </c>
      <c r="F2080" s="848" t="s">
        <v>12895</v>
      </c>
      <c r="G2080" s="850" t="s">
        <v>13145</v>
      </c>
      <c r="H2080" s="849" t="s">
        <v>10716</v>
      </c>
      <c r="I2080" s="849"/>
      <c r="J2080" s="851">
        <v>10350</v>
      </c>
      <c r="K2080" s="848" t="s">
        <v>12915</v>
      </c>
    </row>
    <row r="2081" spans="2:11">
      <c r="B2081" s="848">
        <v>2078</v>
      </c>
      <c r="C2081" s="848" t="s">
        <v>14462</v>
      </c>
      <c r="D2081" s="849" t="s">
        <v>86</v>
      </c>
      <c r="E2081" s="848" t="s">
        <v>11867</v>
      </c>
      <c r="F2081" s="848" t="s">
        <v>13200</v>
      </c>
      <c r="G2081" s="850" t="s">
        <v>11400</v>
      </c>
      <c r="H2081" s="849" t="s">
        <v>10716</v>
      </c>
      <c r="I2081" s="849"/>
      <c r="J2081" s="851">
        <v>4408.63</v>
      </c>
      <c r="K2081" s="848" t="s">
        <v>11065</v>
      </c>
    </row>
    <row r="2082" spans="2:11">
      <c r="B2082" s="848">
        <v>2079</v>
      </c>
      <c r="C2082" s="848" t="s">
        <v>727</v>
      </c>
      <c r="D2082" s="849" t="s">
        <v>86</v>
      </c>
      <c r="E2082" s="848" t="s">
        <v>13803</v>
      </c>
      <c r="F2082" s="848" t="s">
        <v>12117</v>
      </c>
      <c r="G2082" s="850" t="s">
        <v>13536</v>
      </c>
      <c r="H2082" s="849" t="s">
        <v>10716</v>
      </c>
      <c r="I2082" s="849"/>
      <c r="J2082" s="851">
        <v>7374</v>
      </c>
      <c r="K2082" s="848" t="s">
        <v>13776</v>
      </c>
    </row>
    <row r="2083" spans="2:11">
      <c r="B2083" s="848">
        <v>2080</v>
      </c>
      <c r="C2083" s="848" t="s">
        <v>727</v>
      </c>
      <c r="D2083" s="849" t="s">
        <v>14463</v>
      </c>
      <c r="E2083" s="848" t="s">
        <v>9382</v>
      </c>
      <c r="F2083" s="848" t="s">
        <v>11628</v>
      </c>
      <c r="G2083" s="850" t="s">
        <v>10749</v>
      </c>
      <c r="H2083" s="849" t="s">
        <v>10716</v>
      </c>
      <c r="I2083" s="849"/>
      <c r="J2083" s="851">
        <v>32344.65</v>
      </c>
      <c r="K2083" s="848" t="s">
        <v>14457</v>
      </c>
    </row>
    <row r="2084" spans="2:11">
      <c r="B2084" s="848">
        <v>2081</v>
      </c>
      <c r="C2084" s="848" t="s">
        <v>727</v>
      </c>
      <c r="D2084" s="849" t="s">
        <v>14463</v>
      </c>
      <c r="E2084" s="848" t="s">
        <v>3230</v>
      </c>
      <c r="F2084" s="848" t="s">
        <v>10943</v>
      </c>
      <c r="G2084" s="850" t="s">
        <v>14113</v>
      </c>
      <c r="H2084" s="849" t="s">
        <v>10716</v>
      </c>
      <c r="I2084" s="849"/>
      <c r="J2084" s="851">
        <v>3611.77</v>
      </c>
      <c r="K2084" s="848" t="s">
        <v>13776</v>
      </c>
    </row>
    <row r="2085" spans="2:11">
      <c r="B2085" s="848">
        <v>2082</v>
      </c>
      <c r="C2085" s="848" t="s">
        <v>13373</v>
      </c>
      <c r="D2085" s="849" t="s">
        <v>14463</v>
      </c>
      <c r="E2085" s="848" t="s">
        <v>11082</v>
      </c>
      <c r="F2085" s="848" t="s">
        <v>10941</v>
      </c>
      <c r="G2085" s="850" t="s">
        <v>12353</v>
      </c>
      <c r="H2085" s="849" t="s">
        <v>10716</v>
      </c>
      <c r="I2085" s="849"/>
      <c r="J2085" s="851">
        <v>3232.86</v>
      </c>
      <c r="K2085" s="848" t="s">
        <v>11031</v>
      </c>
    </row>
    <row r="2086" spans="2:11">
      <c r="B2086" s="848">
        <v>2083</v>
      </c>
      <c r="C2086" s="848" t="s">
        <v>14464</v>
      </c>
      <c r="D2086" s="849" t="s">
        <v>287</v>
      </c>
      <c r="E2086" s="848" t="s">
        <v>12118</v>
      </c>
      <c r="F2086" s="848" t="s">
        <v>11458</v>
      </c>
      <c r="G2086" s="850" t="s">
        <v>14465</v>
      </c>
      <c r="H2086" s="849" t="s">
        <v>10716</v>
      </c>
      <c r="I2086" s="849"/>
      <c r="J2086" s="851">
        <v>2947.48</v>
      </c>
      <c r="K2086" s="848" t="s">
        <v>6478</v>
      </c>
    </row>
    <row r="2087" spans="2:11">
      <c r="B2087" s="848">
        <v>2084</v>
      </c>
      <c r="C2087" s="848" t="s">
        <v>14464</v>
      </c>
      <c r="D2087" s="849" t="s">
        <v>287</v>
      </c>
      <c r="E2087" s="848" t="s">
        <v>12118</v>
      </c>
      <c r="F2087" s="848" t="s">
        <v>11627</v>
      </c>
      <c r="G2087" s="850" t="s">
        <v>14466</v>
      </c>
      <c r="H2087" s="849" t="s">
        <v>10716</v>
      </c>
      <c r="I2087" s="849"/>
      <c r="J2087" s="851">
        <v>962.18018999999981</v>
      </c>
      <c r="K2087" s="848" t="s">
        <v>6479</v>
      </c>
    </row>
    <row r="2088" spans="2:11">
      <c r="B2088" s="848">
        <v>2085</v>
      </c>
      <c r="C2088" s="848" t="s">
        <v>14464</v>
      </c>
      <c r="D2088" s="849" t="s">
        <v>287</v>
      </c>
      <c r="E2088" s="848" t="s">
        <v>12118</v>
      </c>
      <c r="F2088" s="848" t="s">
        <v>11625</v>
      </c>
      <c r="G2088" s="850" t="s">
        <v>14467</v>
      </c>
      <c r="H2088" s="849" t="s">
        <v>10716</v>
      </c>
      <c r="I2088" s="849"/>
      <c r="J2088" s="851">
        <v>819.15340499999991</v>
      </c>
      <c r="K2088" s="848" t="s">
        <v>6480</v>
      </c>
    </row>
    <row r="2089" spans="2:11">
      <c r="B2089" s="848">
        <v>2086</v>
      </c>
      <c r="C2089" s="848" t="s">
        <v>14468</v>
      </c>
      <c r="D2089" s="849" t="s">
        <v>14469</v>
      </c>
      <c r="E2089" s="848" t="s">
        <v>9449</v>
      </c>
      <c r="F2089" s="848" t="s">
        <v>13522</v>
      </c>
      <c r="G2089" s="850" t="s">
        <v>12752</v>
      </c>
      <c r="H2089" s="849" t="s">
        <v>10716</v>
      </c>
      <c r="I2089" s="849"/>
      <c r="J2089" s="851">
        <v>118.85</v>
      </c>
      <c r="K2089" s="848" t="s">
        <v>14470</v>
      </c>
    </row>
    <row r="2090" spans="2:11">
      <c r="B2090" s="848">
        <v>2087</v>
      </c>
      <c r="C2090" s="848" t="s">
        <v>14468</v>
      </c>
      <c r="D2090" s="849" t="s">
        <v>14469</v>
      </c>
      <c r="E2090" s="848" t="s">
        <v>9449</v>
      </c>
      <c r="F2090" s="848" t="s">
        <v>13154</v>
      </c>
      <c r="G2090" s="850" t="s">
        <v>12666</v>
      </c>
      <c r="H2090" s="849" t="s">
        <v>10716</v>
      </c>
      <c r="I2090" s="849"/>
      <c r="J2090" s="851">
        <v>45.46</v>
      </c>
      <c r="K2090" s="848" t="s">
        <v>14470</v>
      </c>
    </row>
    <row r="2091" spans="2:11">
      <c r="B2091" s="848">
        <v>2088</v>
      </c>
      <c r="C2091" s="848" t="s">
        <v>14468</v>
      </c>
      <c r="D2091" s="849" t="s">
        <v>14469</v>
      </c>
      <c r="E2091" s="848" t="s">
        <v>9449</v>
      </c>
      <c r="F2091" s="848" t="s">
        <v>11859</v>
      </c>
      <c r="G2091" s="850" t="s">
        <v>12669</v>
      </c>
      <c r="H2091" s="849" t="s">
        <v>10716</v>
      </c>
      <c r="I2091" s="849"/>
      <c r="J2091" s="851">
        <v>275.33999999999997</v>
      </c>
      <c r="K2091" s="848" t="s">
        <v>6495</v>
      </c>
    </row>
    <row r="2092" spans="2:11">
      <c r="B2092" s="848">
        <v>2089</v>
      </c>
      <c r="C2092" s="848" t="s">
        <v>1260</v>
      </c>
      <c r="D2092" s="849" t="s">
        <v>14471</v>
      </c>
      <c r="E2092" s="848" t="s">
        <v>9468</v>
      </c>
      <c r="F2092" s="848" t="s">
        <v>11262</v>
      </c>
      <c r="G2092" s="850" t="s">
        <v>13572</v>
      </c>
      <c r="H2092" s="849" t="s">
        <v>10716</v>
      </c>
      <c r="I2092" s="849"/>
      <c r="J2092" s="851">
        <v>92390.97</v>
      </c>
      <c r="K2092" s="848" t="s">
        <v>11659</v>
      </c>
    </row>
    <row r="2093" spans="2:11">
      <c r="B2093" s="848">
        <v>2090</v>
      </c>
      <c r="C2093" s="848" t="s">
        <v>1260</v>
      </c>
      <c r="D2093" s="849" t="s">
        <v>14471</v>
      </c>
      <c r="E2093" s="848" t="s">
        <v>9468</v>
      </c>
      <c r="F2093" s="848" t="s">
        <v>13260</v>
      </c>
      <c r="G2093" s="850" t="s">
        <v>13573</v>
      </c>
      <c r="H2093" s="849" t="s">
        <v>10716</v>
      </c>
      <c r="I2093" s="849"/>
      <c r="J2093" s="851">
        <v>65555.42</v>
      </c>
      <c r="K2093" s="848" t="s">
        <v>11662</v>
      </c>
    </row>
    <row r="2094" spans="2:11">
      <c r="B2094" s="848">
        <v>2091</v>
      </c>
      <c r="C2094" s="848" t="s">
        <v>1260</v>
      </c>
      <c r="D2094" s="849" t="s">
        <v>14471</v>
      </c>
      <c r="E2094" s="848" t="s">
        <v>9468</v>
      </c>
      <c r="F2094" s="848" t="s">
        <v>13303</v>
      </c>
      <c r="G2094" s="850" t="s">
        <v>13574</v>
      </c>
      <c r="H2094" s="849" t="s">
        <v>10716</v>
      </c>
      <c r="I2094" s="849"/>
      <c r="J2094" s="851">
        <v>108875.66</v>
      </c>
      <c r="K2094" s="848" t="s">
        <v>11665</v>
      </c>
    </row>
    <row r="2095" spans="2:11">
      <c r="B2095" s="848">
        <v>2092</v>
      </c>
      <c r="C2095" s="848" t="s">
        <v>1260</v>
      </c>
      <c r="D2095" s="849" t="s">
        <v>14471</v>
      </c>
      <c r="E2095" s="848" t="s">
        <v>9468</v>
      </c>
      <c r="F2095" s="848" t="s">
        <v>13301</v>
      </c>
      <c r="G2095" s="850" t="s">
        <v>14334</v>
      </c>
      <c r="H2095" s="849" t="s">
        <v>10716</v>
      </c>
      <c r="I2095" s="849"/>
      <c r="J2095" s="851">
        <v>96224.62</v>
      </c>
      <c r="K2095" s="848" t="s">
        <v>11668</v>
      </c>
    </row>
    <row r="2096" spans="2:11">
      <c r="B2096" s="848">
        <v>2093</v>
      </c>
      <c r="C2096" s="848" t="s">
        <v>1260</v>
      </c>
      <c r="D2096" s="849" t="s">
        <v>14471</v>
      </c>
      <c r="E2096" s="848" t="s">
        <v>9468</v>
      </c>
      <c r="F2096" s="848" t="s">
        <v>13305</v>
      </c>
      <c r="G2096" s="850" t="s">
        <v>13577</v>
      </c>
      <c r="H2096" s="849" t="s">
        <v>10716</v>
      </c>
      <c r="I2096" s="849"/>
      <c r="J2096" s="851">
        <v>103891.92</v>
      </c>
      <c r="K2096" s="848" t="s">
        <v>11670</v>
      </c>
    </row>
    <row r="2097" spans="2:11">
      <c r="B2097" s="848">
        <v>2094</v>
      </c>
      <c r="C2097" s="848" t="s">
        <v>1260</v>
      </c>
      <c r="D2097" s="849" t="s">
        <v>14471</v>
      </c>
      <c r="E2097" s="848" t="s">
        <v>9468</v>
      </c>
      <c r="F2097" s="848" t="s">
        <v>13872</v>
      </c>
      <c r="G2097" s="850" t="s">
        <v>13580</v>
      </c>
      <c r="H2097" s="849" t="s">
        <v>10716</v>
      </c>
      <c r="I2097" s="849"/>
      <c r="J2097" s="851">
        <v>53671.1</v>
      </c>
      <c r="K2097" s="848" t="s">
        <v>11591</v>
      </c>
    </row>
    <row r="2098" spans="2:11">
      <c r="B2098" s="848">
        <v>2095</v>
      </c>
      <c r="C2098" s="848" t="s">
        <v>14472</v>
      </c>
      <c r="D2098" s="849" t="s">
        <v>14473</v>
      </c>
      <c r="E2098" s="848" t="s">
        <v>10778</v>
      </c>
      <c r="F2098" s="848" t="s">
        <v>13141</v>
      </c>
      <c r="G2098" s="850" t="s">
        <v>12523</v>
      </c>
      <c r="H2098" s="849" t="s">
        <v>10716</v>
      </c>
      <c r="I2098" s="849"/>
      <c r="J2098" s="851">
        <v>15.34</v>
      </c>
      <c r="K2098" s="848" t="s">
        <v>14474</v>
      </c>
    </row>
    <row r="2099" spans="2:11">
      <c r="B2099" s="848">
        <v>2096</v>
      </c>
      <c r="C2099" s="848" t="s">
        <v>14472</v>
      </c>
      <c r="D2099" s="849" t="s">
        <v>14473</v>
      </c>
      <c r="E2099" s="848" t="s">
        <v>10778</v>
      </c>
      <c r="F2099" s="848" t="s">
        <v>12501</v>
      </c>
      <c r="G2099" s="850" t="s">
        <v>12899</v>
      </c>
      <c r="H2099" s="849" t="s">
        <v>10716</v>
      </c>
      <c r="I2099" s="849"/>
      <c r="J2099" s="851">
        <v>13.12</v>
      </c>
      <c r="K2099" s="848" t="s">
        <v>14474</v>
      </c>
    </row>
    <row r="2100" spans="2:11">
      <c r="B2100" s="848">
        <v>2097</v>
      </c>
      <c r="C2100" s="848" t="s">
        <v>1323</v>
      </c>
      <c r="D2100" s="849" t="s">
        <v>14475</v>
      </c>
      <c r="E2100" s="848" t="s">
        <v>12098</v>
      </c>
      <c r="F2100" s="848" t="s">
        <v>13140</v>
      </c>
      <c r="G2100" s="850" t="s">
        <v>14476</v>
      </c>
      <c r="H2100" s="849" t="s">
        <v>10716</v>
      </c>
      <c r="I2100" s="849"/>
      <c r="J2100" s="851">
        <v>16</v>
      </c>
      <c r="K2100" s="848" t="s">
        <v>14477</v>
      </c>
    </row>
    <row r="2101" spans="2:11">
      <c r="B2101" s="848">
        <v>2098</v>
      </c>
      <c r="C2101" s="848" t="s">
        <v>1323</v>
      </c>
      <c r="D2101" s="849" t="s">
        <v>14475</v>
      </c>
      <c r="E2101" s="848" t="s">
        <v>12098</v>
      </c>
      <c r="F2101" s="848" t="s">
        <v>14478</v>
      </c>
      <c r="G2101" s="850" t="s">
        <v>13272</v>
      </c>
      <c r="H2101" s="849" t="s">
        <v>10716</v>
      </c>
      <c r="I2101" s="849"/>
      <c r="J2101" s="851">
        <v>16</v>
      </c>
      <c r="K2101" s="848" t="s">
        <v>14479</v>
      </c>
    </row>
    <row r="2102" spans="2:11">
      <c r="B2102" s="848">
        <v>2099</v>
      </c>
      <c r="C2102" s="848" t="s">
        <v>1323</v>
      </c>
      <c r="D2102" s="849" t="s">
        <v>14475</v>
      </c>
      <c r="E2102" s="848" t="s">
        <v>12098</v>
      </c>
      <c r="F2102" s="848" t="s">
        <v>10844</v>
      </c>
      <c r="G2102" s="850" t="s">
        <v>12281</v>
      </c>
      <c r="H2102" s="849" t="s">
        <v>10716</v>
      </c>
      <c r="I2102" s="849"/>
      <c r="J2102" s="851">
        <v>16</v>
      </c>
      <c r="K2102" s="848" t="s">
        <v>14480</v>
      </c>
    </row>
    <row r="2103" spans="2:11">
      <c r="B2103" s="848">
        <v>2100</v>
      </c>
      <c r="C2103" s="848" t="s">
        <v>1323</v>
      </c>
      <c r="D2103" s="849" t="s">
        <v>14475</v>
      </c>
      <c r="E2103" s="848" t="s">
        <v>12098</v>
      </c>
      <c r="F2103" s="848" t="s">
        <v>11032</v>
      </c>
      <c r="G2103" s="850" t="s">
        <v>13274</v>
      </c>
      <c r="H2103" s="849" t="s">
        <v>10716</v>
      </c>
      <c r="I2103" s="849"/>
      <c r="J2103" s="851">
        <v>8</v>
      </c>
      <c r="K2103" s="848" t="s">
        <v>14481</v>
      </c>
    </row>
    <row r="2104" spans="2:11">
      <c r="B2104" s="848">
        <v>2101</v>
      </c>
      <c r="C2104" s="848" t="s">
        <v>1323</v>
      </c>
      <c r="D2104" s="849" t="s">
        <v>14475</v>
      </c>
      <c r="E2104" s="848" t="s">
        <v>12098</v>
      </c>
      <c r="F2104" s="848" t="s">
        <v>13428</v>
      </c>
      <c r="G2104" s="850" t="s">
        <v>14482</v>
      </c>
      <c r="H2104" s="849" t="s">
        <v>10716</v>
      </c>
      <c r="I2104" s="849"/>
      <c r="J2104" s="851">
        <v>3</v>
      </c>
      <c r="K2104" s="848" t="s">
        <v>6106</v>
      </c>
    </row>
    <row r="2105" spans="2:11">
      <c r="B2105" s="848">
        <v>2102</v>
      </c>
      <c r="C2105" s="848" t="s">
        <v>14483</v>
      </c>
      <c r="D2105" s="849" t="s">
        <v>14484</v>
      </c>
      <c r="E2105" s="848" t="s">
        <v>9499</v>
      </c>
      <c r="F2105" s="848" t="s">
        <v>14033</v>
      </c>
      <c r="G2105" s="850" t="s">
        <v>14441</v>
      </c>
      <c r="H2105" s="849" t="s">
        <v>10716</v>
      </c>
      <c r="I2105" s="849"/>
      <c r="J2105" s="851">
        <v>36.950000000000003</v>
      </c>
      <c r="K2105" s="848" t="s">
        <v>6654</v>
      </c>
    </row>
    <row r="2106" spans="2:11">
      <c r="B2106" s="848">
        <v>2103</v>
      </c>
      <c r="C2106" s="848" t="s">
        <v>1415</v>
      </c>
      <c r="D2106" s="849" t="s">
        <v>350</v>
      </c>
      <c r="E2106" s="848" t="s">
        <v>9501</v>
      </c>
      <c r="F2106" s="848" t="s">
        <v>12034</v>
      </c>
      <c r="G2106" s="850" t="s">
        <v>12021</v>
      </c>
      <c r="H2106" s="849" t="s">
        <v>10716</v>
      </c>
      <c r="I2106" s="849"/>
      <c r="J2106" s="851">
        <v>244.649565</v>
      </c>
      <c r="K2106" s="848" t="s">
        <v>6141</v>
      </c>
    </row>
    <row r="2107" spans="2:11">
      <c r="B2107" s="848">
        <v>2104</v>
      </c>
      <c r="C2107" s="848" t="s">
        <v>1415</v>
      </c>
      <c r="D2107" s="849" t="s">
        <v>350</v>
      </c>
      <c r="E2107" s="848" t="s">
        <v>9501</v>
      </c>
      <c r="F2107" s="848" t="s">
        <v>12037</v>
      </c>
      <c r="G2107" s="850" t="s">
        <v>14049</v>
      </c>
      <c r="H2107" s="849" t="s">
        <v>10716</v>
      </c>
      <c r="I2107" s="849"/>
      <c r="J2107" s="851">
        <v>244.649565</v>
      </c>
      <c r="K2107" s="848" t="s">
        <v>6142</v>
      </c>
    </row>
    <row r="2108" spans="2:11">
      <c r="B2108" s="848">
        <v>2105</v>
      </c>
      <c r="C2108" s="848" t="s">
        <v>1415</v>
      </c>
      <c r="D2108" s="849" t="s">
        <v>350</v>
      </c>
      <c r="E2108" s="848" t="s">
        <v>9501</v>
      </c>
      <c r="F2108" s="848" t="s">
        <v>13247</v>
      </c>
      <c r="G2108" s="850" t="s">
        <v>12026</v>
      </c>
      <c r="H2108" s="849" t="s">
        <v>10716</v>
      </c>
      <c r="I2108" s="849"/>
      <c r="J2108" s="851">
        <v>48.195</v>
      </c>
      <c r="K2108" s="848" t="s">
        <v>6147</v>
      </c>
    </row>
    <row r="2109" spans="2:11">
      <c r="B2109" s="848">
        <v>2106</v>
      </c>
      <c r="C2109" s="848" t="s">
        <v>1415</v>
      </c>
      <c r="D2109" s="849" t="s">
        <v>350</v>
      </c>
      <c r="E2109" s="848" t="s">
        <v>9501</v>
      </c>
      <c r="F2109" s="848" t="s">
        <v>14485</v>
      </c>
      <c r="G2109" s="850" t="s">
        <v>14048</v>
      </c>
      <c r="H2109" s="849" t="s">
        <v>10716</v>
      </c>
      <c r="I2109" s="849"/>
      <c r="J2109" s="851">
        <v>87.978595499999997</v>
      </c>
      <c r="K2109" s="848" t="s">
        <v>6151</v>
      </c>
    </row>
    <row r="2110" spans="2:11">
      <c r="B2110" s="848">
        <v>2107</v>
      </c>
      <c r="C2110" s="848" t="s">
        <v>1415</v>
      </c>
      <c r="D2110" s="849" t="s">
        <v>350</v>
      </c>
      <c r="E2110" s="848" t="s">
        <v>3581</v>
      </c>
      <c r="F2110" s="848" t="s">
        <v>11633</v>
      </c>
      <c r="G2110" s="850" t="s">
        <v>10749</v>
      </c>
      <c r="H2110" s="849" t="s">
        <v>10716</v>
      </c>
      <c r="I2110" s="849"/>
      <c r="J2110" s="851">
        <v>111</v>
      </c>
      <c r="K2110" s="848" t="s">
        <v>6792</v>
      </c>
    </row>
    <row r="2111" spans="2:11">
      <c r="B2111" s="848">
        <v>2108</v>
      </c>
      <c r="C2111" s="848" t="s">
        <v>715</v>
      </c>
      <c r="D2111" s="849" t="s">
        <v>449</v>
      </c>
      <c r="E2111" s="848" t="s">
        <v>9383</v>
      </c>
      <c r="F2111" s="848" t="s">
        <v>11266</v>
      </c>
      <c r="G2111" s="850" t="s">
        <v>10749</v>
      </c>
      <c r="H2111" s="849" t="s">
        <v>10716</v>
      </c>
      <c r="I2111" s="849"/>
      <c r="J2111" s="851">
        <v>4589</v>
      </c>
      <c r="K2111" s="848" t="s">
        <v>14486</v>
      </c>
    </row>
    <row r="2112" spans="2:11">
      <c r="B2112" s="848">
        <v>2109</v>
      </c>
      <c r="C2112" s="848" t="s">
        <v>715</v>
      </c>
      <c r="D2112" s="849" t="s">
        <v>449</v>
      </c>
      <c r="E2112" s="848" t="s">
        <v>9383</v>
      </c>
      <c r="F2112" s="848" t="s">
        <v>11271</v>
      </c>
      <c r="G2112" s="850" t="s">
        <v>10749</v>
      </c>
      <c r="H2112" s="849" t="s">
        <v>10716</v>
      </c>
      <c r="I2112" s="849"/>
      <c r="J2112" s="851">
        <v>10554.7</v>
      </c>
      <c r="K2112" s="848" t="s">
        <v>14487</v>
      </c>
    </row>
    <row r="2113" spans="2:11">
      <c r="B2113" s="848">
        <v>2110</v>
      </c>
      <c r="C2113" s="848" t="s">
        <v>715</v>
      </c>
      <c r="D2113" s="849" t="s">
        <v>449</v>
      </c>
      <c r="E2113" s="848" t="s">
        <v>3393</v>
      </c>
      <c r="F2113" s="848" t="s">
        <v>13617</v>
      </c>
      <c r="G2113" s="850" t="s">
        <v>13418</v>
      </c>
      <c r="H2113" s="849" t="s">
        <v>10716</v>
      </c>
      <c r="I2113" s="849"/>
      <c r="J2113" s="851">
        <v>176347.9</v>
      </c>
      <c r="K2113" s="848" t="s">
        <v>6074</v>
      </c>
    </row>
    <row r="2114" spans="2:11">
      <c r="B2114" s="848">
        <v>2111</v>
      </c>
      <c r="C2114" s="848" t="s">
        <v>715</v>
      </c>
      <c r="D2114" s="849" t="s">
        <v>449</v>
      </c>
      <c r="E2114" s="848" t="s">
        <v>9468</v>
      </c>
      <c r="F2114" s="848" t="s">
        <v>12048</v>
      </c>
      <c r="G2114" s="850" t="s">
        <v>13581</v>
      </c>
      <c r="H2114" s="849" t="s">
        <v>10716</v>
      </c>
      <c r="I2114" s="849"/>
      <c r="J2114" s="851">
        <v>10934.2</v>
      </c>
      <c r="K2114" s="848" t="s">
        <v>14488</v>
      </c>
    </row>
    <row r="2115" spans="2:11">
      <c r="B2115" s="848">
        <v>2112</v>
      </c>
      <c r="C2115" s="848" t="s">
        <v>1356</v>
      </c>
      <c r="D2115" s="849" t="s">
        <v>14489</v>
      </c>
      <c r="E2115" s="848" t="s">
        <v>11752</v>
      </c>
      <c r="F2115" s="848" t="s">
        <v>12051</v>
      </c>
      <c r="G2115" s="850" t="s">
        <v>14361</v>
      </c>
      <c r="H2115" s="849" t="s">
        <v>10716</v>
      </c>
      <c r="I2115" s="849"/>
      <c r="J2115" s="851">
        <v>166.39</v>
      </c>
      <c r="K2115" s="848" t="s">
        <v>5879</v>
      </c>
    </row>
    <row r="2116" spans="2:11">
      <c r="B2116" s="848">
        <v>2113</v>
      </c>
      <c r="C2116" s="848" t="s">
        <v>1356</v>
      </c>
      <c r="D2116" s="849" t="s">
        <v>14489</v>
      </c>
      <c r="E2116" s="848" t="s">
        <v>11752</v>
      </c>
      <c r="F2116" s="848" t="s">
        <v>12044</v>
      </c>
      <c r="G2116" s="850" t="s">
        <v>14359</v>
      </c>
      <c r="H2116" s="849" t="s">
        <v>10716</v>
      </c>
      <c r="I2116" s="849"/>
      <c r="J2116" s="851">
        <v>475.4</v>
      </c>
      <c r="K2116" s="848" t="s">
        <v>6416</v>
      </c>
    </row>
    <row r="2117" spans="2:11">
      <c r="B2117" s="848">
        <v>2114</v>
      </c>
      <c r="C2117" s="848" t="s">
        <v>1356</v>
      </c>
      <c r="D2117" s="849" t="s">
        <v>14489</v>
      </c>
      <c r="E2117" s="848" t="s">
        <v>11752</v>
      </c>
      <c r="F2117" s="848" t="s">
        <v>12050</v>
      </c>
      <c r="G2117" s="850" t="s">
        <v>14357</v>
      </c>
      <c r="H2117" s="849" t="s">
        <v>10716</v>
      </c>
      <c r="I2117" s="849"/>
      <c r="J2117" s="851">
        <v>427.86</v>
      </c>
      <c r="K2117" s="848" t="s">
        <v>6417</v>
      </c>
    </row>
    <row r="2118" spans="2:11">
      <c r="B2118" s="848">
        <v>2115</v>
      </c>
      <c r="C2118" s="848" t="s">
        <v>1356</v>
      </c>
      <c r="D2118" s="849" t="s">
        <v>14489</v>
      </c>
      <c r="E2118" s="848" t="s">
        <v>11752</v>
      </c>
      <c r="F2118" s="848" t="s">
        <v>12041</v>
      </c>
      <c r="G2118" s="850" t="s">
        <v>14355</v>
      </c>
      <c r="H2118" s="849" t="s">
        <v>10716</v>
      </c>
      <c r="I2118" s="849"/>
      <c r="J2118" s="851">
        <v>213.93</v>
      </c>
      <c r="K2118" s="848" t="s">
        <v>5886</v>
      </c>
    </row>
    <row r="2119" spans="2:11">
      <c r="B2119" s="848">
        <v>2116</v>
      </c>
      <c r="C2119" s="848" t="s">
        <v>1356</v>
      </c>
      <c r="D2119" s="849" t="s">
        <v>14489</v>
      </c>
      <c r="E2119" s="848" t="s">
        <v>11752</v>
      </c>
      <c r="F2119" s="848" t="s">
        <v>12039</v>
      </c>
      <c r="G2119" s="850" t="s">
        <v>14348</v>
      </c>
      <c r="H2119" s="849" t="s">
        <v>10716</v>
      </c>
      <c r="I2119" s="849"/>
      <c r="J2119" s="851">
        <v>594.25</v>
      </c>
      <c r="K2119" s="848" t="s">
        <v>5887</v>
      </c>
    </row>
    <row r="2120" spans="2:11">
      <c r="B2120" s="848">
        <v>2117</v>
      </c>
      <c r="C2120" s="848" t="s">
        <v>1356</v>
      </c>
      <c r="D2120" s="849" t="s">
        <v>14489</v>
      </c>
      <c r="E2120" s="848" t="s">
        <v>11752</v>
      </c>
      <c r="F2120" s="848" t="s">
        <v>12046</v>
      </c>
      <c r="G2120" s="850" t="s">
        <v>14352</v>
      </c>
      <c r="H2120" s="849" t="s">
        <v>10716</v>
      </c>
      <c r="I2120" s="849"/>
      <c r="J2120" s="851">
        <v>285.24</v>
      </c>
      <c r="K2120" s="848" t="s">
        <v>5888</v>
      </c>
    </row>
    <row r="2121" spans="2:11">
      <c r="B2121" s="848">
        <v>2118</v>
      </c>
      <c r="C2121" s="848" t="s">
        <v>1356</v>
      </c>
      <c r="D2121" s="849" t="s">
        <v>14489</v>
      </c>
      <c r="E2121" s="848" t="s">
        <v>11752</v>
      </c>
      <c r="F2121" s="848" t="s">
        <v>11528</v>
      </c>
      <c r="G2121" s="850" t="s">
        <v>14350</v>
      </c>
      <c r="H2121" s="849" t="s">
        <v>10716</v>
      </c>
      <c r="I2121" s="849"/>
      <c r="J2121" s="851">
        <v>190.16</v>
      </c>
      <c r="K2121" s="848" t="s">
        <v>5889</v>
      </c>
    </row>
    <row r="2122" spans="2:11">
      <c r="B2122" s="848">
        <v>2119</v>
      </c>
      <c r="C2122" s="848" t="s">
        <v>1356</v>
      </c>
      <c r="D2122" s="849" t="s">
        <v>14489</v>
      </c>
      <c r="E2122" s="848" t="s">
        <v>11752</v>
      </c>
      <c r="F2122" s="848" t="s">
        <v>12053</v>
      </c>
      <c r="G2122" s="850" t="s">
        <v>14490</v>
      </c>
      <c r="H2122" s="849" t="s">
        <v>10716</v>
      </c>
      <c r="I2122" s="849"/>
      <c r="J2122" s="851">
        <v>237.7</v>
      </c>
      <c r="K2122" s="848" t="s">
        <v>5890</v>
      </c>
    </row>
    <row r="2123" spans="2:11">
      <c r="B2123" s="848">
        <v>2120</v>
      </c>
      <c r="C2123" s="848" t="s">
        <v>1356</v>
      </c>
      <c r="D2123" s="849" t="s">
        <v>14489</v>
      </c>
      <c r="E2123" s="848" t="s">
        <v>11752</v>
      </c>
      <c r="F2123" s="848" t="s">
        <v>12030</v>
      </c>
      <c r="G2123" s="850" t="s">
        <v>14332</v>
      </c>
      <c r="H2123" s="849" t="s">
        <v>10716</v>
      </c>
      <c r="I2123" s="849"/>
      <c r="J2123" s="851">
        <v>237.7</v>
      </c>
      <c r="K2123" s="848" t="s">
        <v>6418</v>
      </c>
    </row>
    <row r="2124" spans="2:11">
      <c r="B2124" s="848">
        <v>2121</v>
      </c>
      <c r="C2124" s="848" t="s">
        <v>1356</v>
      </c>
      <c r="D2124" s="849" t="s">
        <v>14489</v>
      </c>
      <c r="E2124" s="848" t="s">
        <v>11752</v>
      </c>
      <c r="F2124" s="848" t="s">
        <v>11461</v>
      </c>
      <c r="G2124" s="850" t="s">
        <v>14320</v>
      </c>
      <c r="H2124" s="849" t="s">
        <v>10716</v>
      </c>
      <c r="I2124" s="849"/>
      <c r="J2124" s="851">
        <v>190.16</v>
      </c>
      <c r="K2124" s="848" t="s">
        <v>5891</v>
      </c>
    </row>
    <row r="2125" spans="2:11">
      <c r="B2125" s="848">
        <v>2122</v>
      </c>
      <c r="C2125" s="848" t="s">
        <v>1356</v>
      </c>
      <c r="D2125" s="849" t="s">
        <v>14489</v>
      </c>
      <c r="E2125" s="848" t="s">
        <v>11752</v>
      </c>
      <c r="F2125" s="848" t="s">
        <v>11464</v>
      </c>
      <c r="G2125" s="850" t="s">
        <v>14319</v>
      </c>
      <c r="H2125" s="849" t="s">
        <v>10716</v>
      </c>
      <c r="I2125" s="849"/>
      <c r="J2125" s="851">
        <v>285.24</v>
      </c>
      <c r="K2125" s="848" t="s">
        <v>6419</v>
      </c>
    </row>
    <row r="2126" spans="2:11">
      <c r="B2126" s="848">
        <v>2123</v>
      </c>
      <c r="C2126" s="848" t="s">
        <v>1356</v>
      </c>
      <c r="D2126" s="849" t="s">
        <v>14489</v>
      </c>
      <c r="E2126" s="848" t="s">
        <v>11752</v>
      </c>
      <c r="F2126" s="848" t="s">
        <v>11467</v>
      </c>
      <c r="G2126" s="850" t="s">
        <v>14317</v>
      </c>
      <c r="H2126" s="849" t="s">
        <v>10716</v>
      </c>
      <c r="I2126" s="849"/>
      <c r="J2126" s="851">
        <v>427.86</v>
      </c>
      <c r="K2126" s="848" t="s">
        <v>6420</v>
      </c>
    </row>
    <row r="2127" spans="2:11">
      <c r="B2127" s="848">
        <v>2124</v>
      </c>
      <c r="C2127" s="848" t="s">
        <v>1356</v>
      </c>
      <c r="D2127" s="849" t="s">
        <v>14489</v>
      </c>
      <c r="E2127" s="848" t="s">
        <v>11752</v>
      </c>
      <c r="F2127" s="848" t="s">
        <v>11865</v>
      </c>
      <c r="G2127" s="850" t="s">
        <v>14315</v>
      </c>
      <c r="H2127" s="849" t="s">
        <v>10716</v>
      </c>
      <c r="I2127" s="849"/>
      <c r="J2127" s="851">
        <v>427.86</v>
      </c>
      <c r="K2127" s="848" t="s">
        <v>5892</v>
      </c>
    </row>
    <row r="2128" spans="2:11">
      <c r="B2128" s="848">
        <v>2125</v>
      </c>
      <c r="C2128" s="848" t="s">
        <v>1356</v>
      </c>
      <c r="D2128" s="849" t="s">
        <v>14489</v>
      </c>
      <c r="E2128" s="848" t="s">
        <v>11752</v>
      </c>
      <c r="F2128" s="848" t="s">
        <v>11470</v>
      </c>
      <c r="G2128" s="850" t="s">
        <v>14314</v>
      </c>
      <c r="H2128" s="849" t="s">
        <v>10716</v>
      </c>
      <c r="I2128" s="849"/>
      <c r="J2128" s="851">
        <v>332.78</v>
      </c>
      <c r="K2128" s="848" t="s">
        <v>5893</v>
      </c>
    </row>
    <row r="2129" spans="2:11">
      <c r="B2129" s="848">
        <v>2126</v>
      </c>
      <c r="C2129" s="848" t="s">
        <v>1356</v>
      </c>
      <c r="D2129" s="849" t="s">
        <v>14489</v>
      </c>
      <c r="E2129" s="848" t="s">
        <v>11752</v>
      </c>
      <c r="F2129" s="848" t="s">
        <v>11473</v>
      </c>
      <c r="G2129" s="850" t="s">
        <v>14311</v>
      </c>
      <c r="H2129" s="849" t="s">
        <v>10716</v>
      </c>
      <c r="I2129" s="849"/>
      <c r="J2129" s="851">
        <v>337.36</v>
      </c>
      <c r="K2129" s="848" t="s">
        <v>6451</v>
      </c>
    </row>
    <row r="2130" spans="2:11">
      <c r="B2130" s="848">
        <v>2127</v>
      </c>
      <c r="C2130" s="848" t="s">
        <v>1356</v>
      </c>
      <c r="D2130" s="849" t="s">
        <v>14489</v>
      </c>
      <c r="E2130" s="848" t="s">
        <v>11752</v>
      </c>
      <c r="F2130" s="848" t="s">
        <v>14084</v>
      </c>
      <c r="G2130" s="850" t="s">
        <v>14313</v>
      </c>
      <c r="H2130" s="849" t="s">
        <v>10716</v>
      </c>
      <c r="I2130" s="849"/>
      <c r="J2130" s="851">
        <v>23.77</v>
      </c>
      <c r="K2130" s="848" t="s">
        <v>5922</v>
      </c>
    </row>
    <row r="2131" spans="2:11">
      <c r="B2131" s="848">
        <v>2128</v>
      </c>
      <c r="C2131" s="848" t="s">
        <v>1356</v>
      </c>
      <c r="D2131" s="849" t="s">
        <v>14489</v>
      </c>
      <c r="E2131" s="848" t="s">
        <v>11752</v>
      </c>
      <c r="F2131" s="848" t="s">
        <v>14086</v>
      </c>
      <c r="G2131" s="850" t="s">
        <v>14312</v>
      </c>
      <c r="H2131" s="849" t="s">
        <v>10716</v>
      </c>
      <c r="I2131" s="849"/>
      <c r="J2131" s="851">
        <v>135.41</v>
      </c>
      <c r="K2131" s="848" t="s">
        <v>6511</v>
      </c>
    </row>
    <row r="2132" spans="2:11">
      <c r="B2132" s="848">
        <v>2129</v>
      </c>
      <c r="C2132" s="848" t="s">
        <v>7034</v>
      </c>
      <c r="D2132" s="849" t="s">
        <v>1888</v>
      </c>
      <c r="E2132" s="848" t="s">
        <v>9418</v>
      </c>
      <c r="F2132" s="848" t="s">
        <v>13955</v>
      </c>
      <c r="G2132" s="850" t="s">
        <v>12336</v>
      </c>
      <c r="H2132" s="849" t="s">
        <v>10716</v>
      </c>
      <c r="I2132" s="849"/>
      <c r="J2132" s="851">
        <v>12.3</v>
      </c>
      <c r="K2132" s="848" t="s">
        <v>6013</v>
      </c>
    </row>
    <row r="2133" spans="2:11">
      <c r="B2133" s="848">
        <v>2130</v>
      </c>
      <c r="C2133" s="848" t="s">
        <v>7034</v>
      </c>
      <c r="D2133" s="849" t="s">
        <v>1888</v>
      </c>
      <c r="E2133" s="848" t="s">
        <v>3233</v>
      </c>
      <c r="F2133" s="848" t="s">
        <v>11637</v>
      </c>
      <c r="G2133" s="850" t="s">
        <v>13099</v>
      </c>
      <c r="H2133" s="849" t="s">
        <v>10716</v>
      </c>
      <c r="I2133" s="849"/>
      <c r="J2133" s="851">
        <v>21.58</v>
      </c>
      <c r="K2133" s="848" t="s">
        <v>6014</v>
      </c>
    </row>
    <row r="2134" spans="2:11">
      <c r="B2134" s="848">
        <v>2131</v>
      </c>
      <c r="C2134" s="848" t="s">
        <v>7034</v>
      </c>
      <c r="D2134" s="849" t="s">
        <v>1888</v>
      </c>
      <c r="E2134" s="848" t="s">
        <v>9499</v>
      </c>
      <c r="F2134" s="848" t="s">
        <v>12356</v>
      </c>
      <c r="G2134" s="850" t="s">
        <v>14478</v>
      </c>
      <c r="H2134" s="849" t="s">
        <v>10716</v>
      </c>
      <c r="I2134" s="849"/>
      <c r="J2134" s="851">
        <v>19.71</v>
      </c>
      <c r="K2134" s="848" t="s">
        <v>6015</v>
      </c>
    </row>
    <row r="2135" spans="2:11">
      <c r="B2135" s="848">
        <v>2132</v>
      </c>
      <c r="C2135" s="848" t="s">
        <v>7034</v>
      </c>
      <c r="D2135" s="849" t="s">
        <v>1888</v>
      </c>
      <c r="E2135" s="848" t="s">
        <v>10848</v>
      </c>
      <c r="F2135" s="848" t="s">
        <v>11876</v>
      </c>
      <c r="G2135" s="850" t="s">
        <v>14491</v>
      </c>
      <c r="H2135" s="849" t="s">
        <v>10716</v>
      </c>
      <c r="I2135" s="849"/>
      <c r="J2135" s="851">
        <v>2.0099999999999998</v>
      </c>
      <c r="K2135" s="848" t="s">
        <v>6578</v>
      </c>
    </row>
    <row r="2136" spans="2:11">
      <c r="B2136" s="848">
        <v>2133</v>
      </c>
      <c r="C2136" s="848" t="s">
        <v>7034</v>
      </c>
      <c r="D2136" s="849" t="s">
        <v>1888</v>
      </c>
      <c r="E2136" s="848" t="s">
        <v>10848</v>
      </c>
      <c r="F2136" s="848" t="s">
        <v>14395</v>
      </c>
      <c r="G2136" s="850" t="s">
        <v>14492</v>
      </c>
      <c r="H2136" s="849" t="s">
        <v>10716</v>
      </c>
      <c r="I2136" s="849"/>
      <c r="J2136" s="851">
        <v>6.54</v>
      </c>
      <c r="K2136" s="848" t="s">
        <v>6579</v>
      </c>
    </row>
    <row r="2137" spans="2:11">
      <c r="B2137" s="848">
        <v>2134</v>
      </c>
      <c r="C2137" s="848" t="s">
        <v>7034</v>
      </c>
      <c r="D2137" s="849" t="s">
        <v>1888</v>
      </c>
      <c r="E2137" s="848" t="s">
        <v>10848</v>
      </c>
      <c r="F2137" s="848" t="s">
        <v>13852</v>
      </c>
      <c r="G2137" s="850" t="s">
        <v>14493</v>
      </c>
      <c r="H2137" s="849" t="s">
        <v>10716</v>
      </c>
      <c r="I2137" s="849"/>
      <c r="J2137" s="851">
        <v>4.0199999999999996</v>
      </c>
      <c r="K2137" s="848" t="s">
        <v>6580</v>
      </c>
    </row>
    <row r="2138" spans="2:11">
      <c r="B2138" s="848">
        <v>2135</v>
      </c>
      <c r="C2138" s="848" t="s">
        <v>7034</v>
      </c>
      <c r="D2138" s="849" t="s">
        <v>1888</v>
      </c>
      <c r="E2138" s="848" t="s">
        <v>10848</v>
      </c>
      <c r="F2138" s="848" t="s">
        <v>14262</v>
      </c>
      <c r="G2138" s="850" t="s">
        <v>14494</v>
      </c>
      <c r="H2138" s="849" t="s">
        <v>10716</v>
      </c>
      <c r="I2138" s="849"/>
      <c r="J2138" s="851">
        <v>0.5</v>
      </c>
      <c r="K2138" s="848" t="s">
        <v>6581</v>
      </c>
    </row>
    <row r="2139" spans="2:11">
      <c r="B2139" s="848">
        <v>2136</v>
      </c>
      <c r="C2139" s="848" t="s">
        <v>7034</v>
      </c>
      <c r="D2139" s="849" t="s">
        <v>1888</v>
      </c>
      <c r="E2139" s="848" t="s">
        <v>10848</v>
      </c>
      <c r="F2139" s="848" t="s">
        <v>14394</v>
      </c>
      <c r="G2139" s="850" t="s">
        <v>14128</v>
      </c>
      <c r="H2139" s="849" t="s">
        <v>10716</v>
      </c>
      <c r="I2139" s="849"/>
      <c r="J2139" s="851">
        <v>3.36</v>
      </c>
      <c r="K2139" s="848" t="s">
        <v>6582</v>
      </c>
    </row>
    <row r="2140" spans="2:11">
      <c r="B2140" s="848">
        <v>2137</v>
      </c>
      <c r="C2140" s="848" t="s">
        <v>7034</v>
      </c>
      <c r="D2140" s="849" t="s">
        <v>1888</v>
      </c>
      <c r="E2140" s="848" t="s">
        <v>10848</v>
      </c>
      <c r="F2140" s="848" t="s">
        <v>11391</v>
      </c>
      <c r="G2140" s="850" t="s">
        <v>14495</v>
      </c>
      <c r="H2140" s="849" t="s">
        <v>10716</v>
      </c>
      <c r="I2140" s="849"/>
      <c r="J2140" s="851">
        <v>3.36</v>
      </c>
      <c r="K2140" s="848" t="s">
        <v>6583</v>
      </c>
    </row>
    <row r="2141" spans="2:11">
      <c r="B2141" s="848">
        <v>2138</v>
      </c>
      <c r="C2141" s="848" t="s">
        <v>7034</v>
      </c>
      <c r="D2141" s="849" t="s">
        <v>1888</v>
      </c>
      <c r="E2141" s="848" t="s">
        <v>10848</v>
      </c>
      <c r="F2141" s="848" t="s">
        <v>13898</v>
      </c>
      <c r="G2141" s="850" t="s">
        <v>14496</v>
      </c>
      <c r="H2141" s="849" t="s">
        <v>10716</v>
      </c>
      <c r="I2141" s="849"/>
      <c r="J2141" s="851">
        <v>2.0099999999999998</v>
      </c>
      <c r="K2141" s="848" t="s">
        <v>6584</v>
      </c>
    </row>
    <row r="2142" spans="2:11">
      <c r="B2142" s="848">
        <v>2139</v>
      </c>
      <c r="C2142" s="848" t="s">
        <v>14497</v>
      </c>
      <c r="D2142" s="849" t="s">
        <v>14498</v>
      </c>
      <c r="E2142" s="848" t="s">
        <v>10754</v>
      </c>
      <c r="F2142" s="848" t="s">
        <v>11030</v>
      </c>
      <c r="G2142" s="850" t="s">
        <v>14499</v>
      </c>
      <c r="H2142" s="849" t="s">
        <v>10716</v>
      </c>
      <c r="I2142" s="849"/>
      <c r="J2142" s="851">
        <v>2</v>
      </c>
      <c r="K2142" s="848" t="s">
        <v>14500</v>
      </c>
    </row>
    <row r="2143" spans="2:11">
      <c r="B2143" s="848">
        <v>2140</v>
      </c>
      <c r="C2143" s="848" t="s">
        <v>1309</v>
      </c>
      <c r="D2143" s="849" t="s">
        <v>14501</v>
      </c>
      <c r="E2143" s="848" t="s">
        <v>3248</v>
      </c>
      <c r="F2143" s="848" t="s">
        <v>12070</v>
      </c>
      <c r="G2143" s="850" t="s">
        <v>11033</v>
      </c>
      <c r="H2143" s="849" t="s">
        <v>10716</v>
      </c>
      <c r="I2143" s="849"/>
      <c r="J2143" s="851">
        <v>19.994039999999998</v>
      </c>
      <c r="K2143" s="848" t="s">
        <v>6667</v>
      </c>
    </row>
    <row r="2144" spans="2:11">
      <c r="B2144" s="848">
        <v>2141</v>
      </c>
      <c r="C2144" s="848" t="s">
        <v>1309</v>
      </c>
      <c r="D2144" s="849" t="s">
        <v>14501</v>
      </c>
      <c r="E2144" s="848" t="s">
        <v>3248</v>
      </c>
      <c r="F2144" s="848" t="s">
        <v>12062</v>
      </c>
      <c r="G2144" s="850" t="s">
        <v>12010</v>
      </c>
      <c r="H2144" s="849" t="s">
        <v>10716</v>
      </c>
      <c r="I2144" s="849"/>
      <c r="J2144" s="851">
        <v>13.329359999999999</v>
      </c>
      <c r="K2144" s="848" t="s">
        <v>6668</v>
      </c>
    </row>
    <row r="2145" spans="2:11">
      <c r="B2145" s="848">
        <v>2142</v>
      </c>
      <c r="C2145" s="848" t="s">
        <v>14502</v>
      </c>
      <c r="D2145" s="849" t="s">
        <v>14503</v>
      </c>
      <c r="E2145" s="848" t="s">
        <v>11752</v>
      </c>
      <c r="F2145" s="848" t="s">
        <v>12848</v>
      </c>
      <c r="G2145" s="850" t="s">
        <v>14363</v>
      </c>
      <c r="H2145" s="849" t="s">
        <v>10716</v>
      </c>
      <c r="I2145" s="849"/>
      <c r="J2145" s="851">
        <v>705.38</v>
      </c>
      <c r="K2145" s="848" t="s">
        <v>14504</v>
      </c>
    </row>
    <row r="2146" spans="2:11">
      <c r="B2146" s="848">
        <v>2143</v>
      </c>
      <c r="C2146" s="848" t="s">
        <v>13632</v>
      </c>
      <c r="D2146" s="849" t="s">
        <v>14503</v>
      </c>
      <c r="E2146" s="848" t="s">
        <v>11752</v>
      </c>
      <c r="F2146" s="848" t="s">
        <v>11378</v>
      </c>
      <c r="G2146" s="850" t="s">
        <v>14362</v>
      </c>
      <c r="H2146" s="849" t="s">
        <v>10716</v>
      </c>
      <c r="I2146" s="849"/>
      <c r="J2146" s="851">
        <v>1212.27</v>
      </c>
      <c r="K2146" s="848" t="s">
        <v>14505</v>
      </c>
    </row>
    <row r="2147" spans="2:11">
      <c r="B2147" s="848">
        <v>2144</v>
      </c>
      <c r="C2147" s="848" t="s">
        <v>13632</v>
      </c>
      <c r="D2147" s="849" t="s">
        <v>14503</v>
      </c>
      <c r="E2147" s="848" t="s">
        <v>9472</v>
      </c>
      <c r="F2147" s="848" t="s">
        <v>11375</v>
      </c>
      <c r="G2147" s="850" t="s">
        <v>14365</v>
      </c>
      <c r="H2147" s="849" t="s">
        <v>10716</v>
      </c>
      <c r="I2147" s="849"/>
      <c r="J2147" s="851">
        <v>11195.67</v>
      </c>
      <c r="K2147" s="848" t="s">
        <v>14506</v>
      </c>
    </row>
    <row r="2148" spans="2:11">
      <c r="B2148" s="848">
        <v>2145</v>
      </c>
      <c r="C2148" s="848" t="s">
        <v>13632</v>
      </c>
      <c r="D2148" s="849" t="s">
        <v>14503</v>
      </c>
      <c r="E2148" s="848" t="s">
        <v>14507</v>
      </c>
      <c r="F2148" s="848" t="s">
        <v>11371</v>
      </c>
      <c r="G2148" s="850" t="s">
        <v>11122</v>
      </c>
      <c r="H2148" s="849" t="s">
        <v>10716</v>
      </c>
      <c r="I2148" s="849"/>
      <c r="J2148" s="851">
        <v>1616.36</v>
      </c>
      <c r="K2148" s="848" t="s">
        <v>14508</v>
      </c>
    </row>
    <row r="2149" spans="2:11">
      <c r="B2149" s="848">
        <v>2146</v>
      </c>
      <c r="C2149" s="848" t="s">
        <v>13632</v>
      </c>
      <c r="D2149" s="849" t="s">
        <v>14503</v>
      </c>
      <c r="E2149" s="848" t="s">
        <v>14507</v>
      </c>
      <c r="F2149" s="848" t="s">
        <v>14088</v>
      </c>
      <c r="G2149" s="850" t="s">
        <v>13917</v>
      </c>
      <c r="H2149" s="849" t="s">
        <v>10716</v>
      </c>
      <c r="I2149" s="849"/>
      <c r="J2149" s="851">
        <v>285.24</v>
      </c>
      <c r="K2149" s="848" t="s">
        <v>14509</v>
      </c>
    </row>
    <row r="2150" spans="2:11">
      <c r="B2150" s="848">
        <v>2147</v>
      </c>
      <c r="C2150" s="848" t="s">
        <v>13632</v>
      </c>
      <c r="D2150" s="849" t="s">
        <v>14503</v>
      </c>
      <c r="E2150" s="848" t="s">
        <v>14507</v>
      </c>
      <c r="F2150" s="848" t="s">
        <v>13358</v>
      </c>
      <c r="G2150" s="850" t="s">
        <v>10949</v>
      </c>
      <c r="H2150" s="849" t="s">
        <v>10716</v>
      </c>
      <c r="I2150" s="849"/>
      <c r="J2150" s="851">
        <v>1117.19</v>
      </c>
      <c r="K2150" s="848" t="s">
        <v>14510</v>
      </c>
    </row>
    <row r="2151" spans="2:11">
      <c r="B2151" s="848">
        <v>2148</v>
      </c>
      <c r="C2151" s="848" t="s">
        <v>13632</v>
      </c>
      <c r="D2151" s="849" t="s">
        <v>14503</v>
      </c>
      <c r="E2151" s="848" t="s">
        <v>14507</v>
      </c>
      <c r="F2151" s="848" t="s">
        <v>13361</v>
      </c>
      <c r="G2151" s="850" t="s">
        <v>14511</v>
      </c>
      <c r="H2151" s="849" t="s">
        <v>10716</v>
      </c>
      <c r="I2151" s="849"/>
      <c r="J2151" s="851">
        <v>6889.63</v>
      </c>
      <c r="K2151" s="848" t="s">
        <v>14512</v>
      </c>
    </row>
    <row r="2152" spans="2:11">
      <c r="B2152" s="848">
        <v>2149</v>
      </c>
      <c r="C2152" s="848" t="s">
        <v>13632</v>
      </c>
      <c r="D2152" s="849" t="s">
        <v>14503</v>
      </c>
      <c r="E2152" s="848" t="s">
        <v>14507</v>
      </c>
      <c r="F2152" s="848" t="s">
        <v>13363</v>
      </c>
      <c r="G2152" s="850" t="s">
        <v>10952</v>
      </c>
      <c r="H2152" s="849" t="s">
        <v>10716</v>
      </c>
      <c r="I2152" s="849"/>
      <c r="J2152" s="851">
        <v>6919.07</v>
      </c>
      <c r="K2152" s="848" t="s">
        <v>14513</v>
      </c>
    </row>
    <row r="2153" spans="2:11">
      <c r="B2153" s="848">
        <v>2150</v>
      </c>
      <c r="C2153" s="848" t="s">
        <v>13632</v>
      </c>
      <c r="D2153" s="849" t="s">
        <v>14503</v>
      </c>
      <c r="E2153" s="848" t="s">
        <v>3233</v>
      </c>
      <c r="F2153" s="848" t="s">
        <v>13359</v>
      </c>
      <c r="G2153" s="850" t="s">
        <v>13055</v>
      </c>
      <c r="H2153" s="849" t="s">
        <v>10716</v>
      </c>
      <c r="I2153" s="849"/>
      <c r="J2153" s="851">
        <v>11195.67</v>
      </c>
      <c r="K2153" s="848" t="s">
        <v>14514</v>
      </c>
    </row>
    <row r="2154" spans="2:11">
      <c r="B2154" s="848">
        <v>2151</v>
      </c>
      <c r="C2154" s="848" t="s">
        <v>13632</v>
      </c>
      <c r="D2154" s="849" t="s">
        <v>14503</v>
      </c>
      <c r="E2154" s="848" t="s">
        <v>12480</v>
      </c>
      <c r="F2154" s="848" t="s">
        <v>13588</v>
      </c>
      <c r="G2154" s="850" t="s">
        <v>14515</v>
      </c>
      <c r="H2154" s="849" t="s">
        <v>10716</v>
      </c>
      <c r="I2154" s="849"/>
      <c r="J2154" s="851">
        <v>92805.07</v>
      </c>
      <c r="K2154" s="848" t="s">
        <v>14506</v>
      </c>
    </row>
    <row r="2155" spans="2:11">
      <c r="B2155" s="848">
        <v>2152</v>
      </c>
      <c r="C2155" s="848" t="s">
        <v>14516</v>
      </c>
      <c r="D2155" s="849" t="s">
        <v>461</v>
      </c>
      <c r="E2155" s="848" t="s">
        <v>9506</v>
      </c>
      <c r="F2155" s="848" t="s">
        <v>11034</v>
      </c>
      <c r="G2155" s="850" t="s">
        <v>14022</v>
      </c>
      <c r="H2155" s="849" t="s">
        <v>10716</v>
      </c>
      <c r="I2155" s="849"/>
      <c r="J2155" s="851">
        <v>11.51</v>
      </c>
      <c r="K2155" s="848" t="s">
        <v>14517</v>
      </c>
    </row>
    <row r="2156" spans="2:11">
      <c r="B2156" s="848">
        <v>2153</v>
      </c>
      <c r="C2156" s="848" t="s">
        <v>14518</v>
      </c>
      <c r="D2156" s="849" t="s">
        <v>14519</v>
      </c>
      <c r="E2156" s="848" t="s">
        <v>14520</v>
      </c>
      <c r="F2156" s="848" t="s">
        <v>13513</v>
      </c>
      <c r="G2156" s="850" t="s">
        <v>10749</v>
      </c>
      <c r="H2156" s="849" t="s">
        <v>10716</v>
      </c>
      <c r="I2156" s="849"/>
      <c r="J2156" s="851">
        <v>20</v>
      </c>
      <c r="K2156" s="848" t="s">
        <v>14521</v>
      </c>
    </row>
    <row r="2157" spans="2:11">
      <c r="B2157" s="848">
        <v>2154</v>
      </c>
      <c r="C2157" s="848" t="s">
        <v>14518</v>
      </c>
      <c r="D2157" s="849" t="s">
        <v>14519</v>
      </c>
      <c r="E2157" s="848" t="s">
        <v>13768</v>
      </c>
      <c r="F2157" s="848" t="s">
        <v>14020</v>
      </c>
      <c r="G2157" s="850" t="s">
        <v>10749</v>
      </c>
      <c r="H2157" s="849" t="s">
        <v>10716</v>
      </c>
      <c r="I2157" s="849"/>
      <c r="J2157" s="851">
        <v>1033</v>
      </c>
      <c r="K2157" s="848" t="s">
        <v>14522</v>
      </c>
    </row>
    <row r="2158" spans="2:11">
      <c r="B2158" s="848">
        <v>2155</v>
      </c>
      <c r="C2158" s="848" t="s">
        <v>14518</v>
      </c>
      <c r="D2158" s="849" t="s">
        <v>14519</v>
      </c>
      <c r="E2158" s="848" t="s">
        <v>13768</v>
      </c>
      <c r="F2158" s="848" t="s">
        <v>14017</v>
      </c>
      <c r="G2158" s="850" t="s">
        <v>10749</v>
      </c>
      <c r="H2158" s="849" t="s">
        <v>10716</v>
      </c>
      <c r="I2158" s="849"/>
      <c r="J2158" s="851">
        <v>895</v>
      </c>
      <c r="K2158" s="848" t="s">
        <v>14523</v>
      </c>
    </row>
    <row r="2159" spans="2:11">
      <c r="B2159" s="848">
        <v>2156</v>
      </c>
      <c r="C2159" s="848" t="s">
        <v>14518</v>
      </c>
      <c r="D2159" s="849" t="s">
        <v>14519</v>
      </c>
      <c r="E2159" s="848" t="s">
        <v>13768</v>
      </c>
      <c r="F2159" s="848" t="s">
        <v>13562</v>
      </c>
      <c r="G2159" s="850" t="s">
        <v>10749</v>
      </c>
      <c r="H2159" s="849" t="s">
        <v>10716</v>
      </c>
      <c r="I2159" s="849"/>
      <c r="J2159" s="851">
        <v>459</v>
      </c>
      <c r="K2159" s="848" t="s">
        <v>14524</v>
      </c>
    </row>
    <row r="2160" spans="2:11">
      <c r="B2160" s="848">
        <v>2157</v>
      </c>
      <c r="C2160" s="848" t="s">
        <v>14518</v>
      </c>
      <c r="D2160" s="849" t="s">
        <v>14519</v>
      </c>
      <c r="E2160" s="848" t="s">
        <v>13768</v>
      </c>
      <c r="F2160" s="848" t="s">
        <v>13292</v>
      </c>
      <c r="G2160" s="850" t="s">
        <v>10749</v>
      </c>
      <c r="H2160" s="849" t="s">
        <v>10716</v>
      </c>
      <c r="I2160" s="849"/>
      <c r="J2160" s="851">
        <v>138</v>
      </c>
      <c r="K2160" s="848" t="s">
        <v>14525</v>
      </c>
    </row>
    <row r="2161" spans="2:11">
      <c r="B2161" s="848">
        <v>2158</v>
      </c>
      <c r="C2161" s="848" t="s">
        <v>14518</v>
      </c>
      <c r="D2161" s="849" t="s">
        <v>14519</v>
      </c>
      <c r="E2161" s="848" t="s">
        <v>13768</v>
      </c>
      <c r="F2161" s="848" t="s">
        <v>14526</v>
      </c>
      <c r="G2161" s="850" t="s">
        <v>10749</v>
      </c>
      <c r="H2161" s="849" t="s">
        <v>10716</v>
      </c>
      <c r="I2161" s="849"/>
      <c r="J2161" s="851">
        <v>894.86</v>
      </c>
      <c r="K2161" s="848" t="s">
        <v>14527</v>
      </c>
    </row>
    <row r="2162" spans="2:11">
      <c r="B2162" s="848">
        <v>2159</v>
      </c>
      <c r="C2162" s="848" t="s">
        <v>14518</v>
      </c>
      <c r="D2162" s="849" t="s">
        <v>14519</v>
      </c>
      <c r="E2162" s="848" t="s">
        <v>13768</v>
      </c>
      <c r="F2162" s="848" t="s">
        <v>11299</v>
      </c>
      <c r="G2162" s="850" t="s">
        <v>10749</v>
      </c>
      <c r="H2162" s="849" t="s">
        <v>10716</v>
      </c>
      <c r="I2162" s="849"/>
      <c r="J2162" s="851">
        <v>1767</v>
      </c>
      <c r="K2162" s="848" t="s">
        <v>14528</v>
      </c>
    </row>
    <row r="2163" spans="2:11">
      <c r="B2163" s="848">
        <v>2160</v>
      </c>
      <c r="C2163" s="848" t="s">
        <v>14518</v>
      </c>
      <c r="D2163" s="849" t="s">
        <v>14519</v>
      </c>
      <c r="E2163" s="848" t="s">
        <v>13768</v>
      </c>
      <c r="F2163" s="848" t="s">
        <v>11888</v>
      </c>
      <c r="G2163" s="850" t="s">
        <v>10749</v>
      </c>
      <c r="H2163" s="849" t="s">
        <v>10716</v>
      </c>
      <c r="I2163" s="849"/>
      <c r="J2163" s="851">
        <v>827</v>
      </c>
      <c r="K2163" s="848" t="s">
        <v>14529</v>
      </c>
    </row>
    <row r="2164" spans="2:11">
      <c r="B2164" s="848">
        <v>2161</v>
      </c>
      <c r="C2164" s="848" t="s">
        <v>14530</v>
      </c>
      <c r="D2164" s="849" t="s">
        <v>14531</v>
      </c>
      <c r="E2164" s="848" t="s">
        <v>3251</v>
      </c>
      <c r="F2164" s="848" t="s">
        <v>13357</v>
      </c>
      <c r="G2164" s="850" t="s">
        <v>10765</v>
      </c>
      <c r="H2164" s="849" t="s">
        <v>10716</v>
      </c>
      <c r="I2164" s="849"/>
      <c r="J2164" s="851">
        <v>314.1905625</v>
      </c>
      <c r="K2164" s="848" t="s">
        <v>6306</v>
      </c>
    </row>
    <row r="2165" spans="2:11">
      <c r="B2165" s="848">
        <v>2162</v>
      </c>
      <c r="C2165" s="848" t="s">
        <v>14530</v>
      </c>
      <c r="D2165" s="849" t="s">
        <v>14531</v>
      </c>
      <c r="E2165" s="848" t="s">
        <v>3251</v>
      </c>
      <c r="F2165" s="848" t="s">
        <v>13518</v>
      </c>
      <c r="G2165" s="850" t="s">
        <v>10767</v>
      </c>
      <c r="H2165" s="849" t="s">
        <v>10716</v>
      </c>
      <c r="I2165" s="849"/>
      <c r="J2165" s="851">
        <v>209.460375</v>
      </c>
      <c r="K2165" s="848" t="s">
        <v>6307</v>
      </c>
    </row>
    <row r="2166" spans="2:11">
      <c r="B2166" s="848">
        <v>2163</v>
      </c>
      <c r="C2166" s="848" t="s">
        <v>10746</v>
      </c>
      <c r="D2166" s="849" t="s">
        <v>14532</v>
      </c>
      <c r="E2166" s="848" t="s">
        <v>3220</v>
      </c>
      <c r="F2166" s="848" t="s">
        <v>13130</v>
      </c>
      <c r="G2166" s="850" t="s">
        <v>12524</v>
      </c>
      <c r="H2166" s="849" t="s">
        <v>10716</v>
      </c>
      <c r="I2166" s="849"/>
      <c r="J2166" s="851">
        <v>187.02</v>
      </c>
      <c r="K2166" s="848" t="s">
        <v>14533</v>
      </c>
    </row>
    <row r="2167" spans="2:11">
      <c r="B2167" s="848">
        <v>2164</v>
      </c>
      <c r="C2167" s="848" t="s">
        <v>10746</v>
      </c>
      <c r="D2167" s="849" t="s">
        <v>14532</v>
      </c>
      <c r="E2167" s="848" t="s">
        <v>3220</v>
      </c>
      <c r="F2167" s="848" t="s">
        <v>14021</v>
      </c>
      <c r="G2167" s="850" t="s">
        <v>12510</v>
      </c>
      <c r="H2167" s="849" t="s">
        <v>10716</v>
      </c>
      <c r="I2167" s="849"/>
      <c r="J2167" s="851">
        <v>475.4</v>
      </c>
      <c r="K2167" s="848" t="s">
        <v>14533</v>
      </c>
    </row>
    <row r="2168" spans="2:11">
      <c r="B2168" s="848">
        <v>2165</v>
      </c>
      <c r="C2168" s="848" t="s">
        <v>10746</v>
      </c>
      <c r="D2168" s="849" t="s">
        <v>14532</v>
      </c>
      <c r="E2168" s="848" t="s">
        <v>3220</v>
      </c>
      <c r="F2168" s="848" t="s">
        <v>14019</v>
      </c>
      <c r="G2168" s="850" t="s">
        <v>12508</v>
      </c>
      <c r="H2168" s="849" t="s">
        <v>10716</v>
      </c>
      <c r="I2168" s="849"/>
      <c r="J2168" s="851">
        <v>70.849999999999994</v>
      </c>
      <c r="K2168" s="848" t="s">
        <v>14534</v>
      </c>
    </row>
    <row r="2169" spans="2:11">
      <c r="B2169" s="848">
        <v>2166</v>
      </c>
      <c r="C2169" s="848" t="s">
        <v>10746</v>
      </c>
      <c r="D2169" s="849" t="s">
        <v>14532</v>
      </c>
      <c r="E2169" s="848" t="s">
        <v>3220</v>
      </c>
      <c r="F2169" s="848" t="s">
        <v>14010</v>
      </c>
      <c r="G2169" s="850" t="s">
        <v>12505</v>
      </c>
      <c r="H2169" s="849" t="s">
        <v>10716</v>
      </c>
      <c r="I2169" s="849"/>
      <c r="J2169" s="851">
        <v>17.71</v>
      </c>
      <c r="K2169" s="848" t="s">
        <v>14535</v>
      </c>
    </row>
    <row r="2170" spans="2:11">
      <c r="B2170" s="848">
        <v>2167</v>
      </c>
      <c r="C2170" s="848" t="s">
        <v>10746</v>
      </c>
      <c r="D2170" s="849" t="s">
        <v>14532</v>
      </c>
      <c r="E2170" s="848" t="s">
        <v>3220</v>
      </c>
      <c r="F2170" s="848" t="s">
        <v>14013</v>
      </c>
      <c r="G2170" s="850" t="s">
        <v>12502</v>
      </c>
      <c r="H2170" s="849" t="s">
        <v>10716</v>
      </c>
      <c r="I2170" s="849"/>
      <c r="J2170" s="851">
        <v>233.67</v>
      </c>
      <c r="K2170" s="848" t="s">
        <v>14536</v>
      </c>
    </row>
    <row r="2171" spans="2:11">
      <c r="B2171" s="848">
        <v>2168</v>
      </c>
      <c r="C2171" s="848" t="s">
        <v>10746</v>
      </c>
      <c r="D2171" s="849" t="s">
        <v>14532</v>
      </c>
      <c r="E2171" s="848" t="s">
        <v>3220</v>
      </c>
      <c r="F2171" s="848" t="s">
        <v>14012</v>
      </c>
      <c r="G2171" s="850" t="s">
        <v>12499</v>
      </c>
      <c r="H2171" s="849" t="s">
        <v>10716</v>
      </c>
      <c r="I2171" s="849"/>
      <c r="J2171" s="851">
        <v>89.87</v>
      </c>
      <c r="K2171" s="848" t="s">
        <v>14537</v>
      </c>
    </row>
    <row r="2172" spans="2:11">
      <c r="B2172" s="848">
        <v>2169</v>
      </c>
      <c r="C2172" s="848" t="s">
        <v>10746</v>
      </c>
      <c r="D2172" s="849" t="s">
        <v>14532</v>
      </c>
      <c r="E2172" s="848" t="s">
        <v>3220</v>
      </c>
      <c r="F2172" s="848" t="s">
        <v>14014</v>
      </c>
      <c r="G2172" s="850" t="s">
        <v>12497</v>
      </c>
      <c r="H2172" s="849" t="s">
        <v>10716</v>
      </c>
      <c r="I2172" s="849"/>
      <c r="J2172" s="851">
        <v>18.97</v>
      </c>
      <c r="K2172" s="848" t="s">
        <v>14538</v>
      </c>
    </row>
    <row r="2173" spans="2:11">
      <c r="B2173" s="848">
        <v>2170</v>
      </c>
      <c r="C2173" s="848" t="s">
        <v>10746</v>
      </c>
      <c r="D2173" s="849" t="s">
        <v>14532</v>
      </c>
      <c r="E2173" s="848" t="s">
        <v>3220</v>
      </c>
      <c r="F2173" s="848" t="s">
        <v>14015</v>
      </c>
      <c r="G2173" s="850" t="s">
        <v>12494</v>
      </c>
      <c r="H2173" s="849" t="s">
        <v>10716</v>
      </c>
      <c r="I2173" s="849"/>
      <c r="J2173" s="851">
        <v>125.82</v>
      </c>
      <c r="K2173" s="848" t="s">
        <v>14539</v>
      </c>
    </row>
    <row r="2174" spans="2:11">
      <c r="B2174" s="848">
        <v>2171</v>
      </c>
      <c r="C2174" s="848" t="s">
        <v>10746</v>
      </c>
      <c r="D2174" s="849" t="s">
        <v>14532</v>
      </c>
      <c r="E2174" s="848" t="s">
        <v>3220</v>
      </c>
      <c r="F2174" s="848" t="s">
        <v>14092</v>
      </c>
      <c r="G2174" s="850" t="s">
        <v>12740</v>
      </c>
      <c r="H2174" s="849" t="s">
        <v>10716</v>
      </c>
      <c r="I2174" s="849"/>
      <c r="J2174" s="851">
        <v>15.34</v>
      </c>
      <c r="K2174" s="848" t="s">
        <v>14540</v>
      </c>
    </row>
    <row r="2175" spans="2:11">
      <c r="B2175" s="848">
        <v>2172</v>
      </c>
      <c r="C2175" s="848" t="s">
        <v>10746</v>
      </c>
      <c r="D2175" s="849" t="s">
        <v>14532</v>
      </c>
      <c r="E2175" s="848" t="s">
        <v>3220</v>
      </c>
      <c r="F2175" s="848" t="s">
        <v>13235</v>
      </c>
      <c r="G2175" s="850" t="s">
        <v>12512</v>
      </c>
      <c r="H2175" s="849" t="s">
        <v>10716</v>
      </c>
      <c r="I2175" s="849"/>
      <c r="J2175" s="851">
        <v>352.69</v>
      </c>
      <c r="K2175" s="848" t="s">
        <v>14541</v>
      </c>
    </row>
    <row r="2176" spans="2:11">
      <c r="B2176" s="848">
        <v>2173</v>
      </c>
      <c r="C2176" s="848" t="s">
        <v>10746</v>
      </c>
      <c r="D2176" s="849" t="s">
        <v>14532</v>
      </c>
      <c r="E2176" s="848" t="s">
        <v>10804</v>
      </c>
      <c r="F2176" s="848" t="s">
        <v>12254</v>
      </c>
      <c r="G2176" s="850" t="s">
        <v>11357</v>
      </c>
      <c r="H2176" s="849" t="s">
        <v>10716</v>
      </c>
      <c r="I2176" s="849"/>
      <c r="J2176" s="851">
        <v>767</v>
      </c>
      <c r="K2176" s="848" t="s">
        <v>6518</v>
      </c>
    </row>
    <row r="2177" spans="2:11">
      <c r="B2177" s="848">
        <v>2174</v>
      </c>
      <c r="C2177" s="848" t="s">
        <v>14542</v>
      </c>
      <c r="D2177" s="849" t="s">
        <v>14543</v>
      </c>
      <c r="E2177" s="848" t="s">
        <v>9441</v>
      </c>
      <c r="F2177" s="848" t="s">
        <v>13874</v>
      </c>
      <c r="G2177" s="850" t="s">
        <v>12730</v>
      </c>
      <c r="H2177" s="849" t="s">
        <v>10716</v>
      </c>
      <c r="I2177" s="849"/>
      <c r="J2177" s="851">
        <v>83573.570000000007</v>
      </c>
      <c r="K2177" s="848" t="s">
        <v>5829</v>
      </c>
    </row>
    <row r="2178" spans="2:11">
      <c r="B2178" s="848">
        <v>2175</v>
      </c>
      <c r="C2178" s="848" t="s">
        <v>14544</v>
      </c>
      <c r="D2178" s="849" t="s">
        <v>14545</v>
      </c>
      <c r="E2178" s="848" t="s">
        <v>9441</v>
      </c>
      <c r="F2178" s="848" t="s">
        <v>13877</v>
      </c>
      <c r="G2178" s="850" t="s">
        <v>12601</v>
      </c>
      <c r="H2178" s="849" t="s">
        <v>10716</v>
      </c>
      <c r="I2178" s="849"/>
      <c r="J2178" s="851">
        <v>24918.73</v>
      </c>
      <c r="K2178" s="848" t="s">
        <v>5830</v>
      </c>
    </row>
    <row r="2179" spans="2:11">
      <c r="B2179" s="848">
        <v>2176</v>
      </c>
      <c r="C2179" s="848" t="s">
        <v>12275</v>
      </c>
      <c r="D2179" s="849" t="s">
        <v>14545</v>
      </c>
      <c r="E2179" s="848" t="s">
        <v>8582</v>
      </c>
      <c r="F2179" s="848" t="s">
        <v>11151</v>
      </c>
      <c r="G2179" s="850" t="s">
        <v>12227</v>
      </c>
      <c r="H2179" s="849" t="s">
        <v>10716</v>
      </c>
      <c r="I2179" s="849"/>
      <c r="J2179" s="851">
        <v>13931.26</v>
      </c>
      <c r="K2179" s="848" t="s">
        <v>14546</v>
      </c>
    </row>
    <row r="2180" spans="2:11">
      <c r="B2180" s="848">
        <v>2177</v>
      </c>
      <c r="C2180" s="848" t="s">
        <v>12275</v>
      </c>
      <c r="D2180" s="849" t="s">
        <v>14545</v>
      </c>
      <c r="E2180" s="848" t="s">
        <v>8582</v>
      </c>
      <c r="F2180" s="848" t="s">
        <v>11153</v>
      </c>
      <c r="G2180" s="850" t="s">
        <v>11771</v>
      </c>
      <c r="H2180" s="849" t="s">
        <v>10716</v>
      </c>
      <c r="I2180" s="849"/>
      <c r="J2180" s="851">
        <v>19397.95</v>
      </c>
      <c r="K2180" s="848" t="s">
        <v>14547</v>
      </c>
    </row>
    <row r="2181" spans="2:11">
      <c r="B2181" s="848">
        <v>2178</v>
      </c>
      <c r="C2181" s="848" t="s">
        <v>1276</v>
      </c>
      <c r="D2181" s="849" t="s">
        <v>14548</v>
      </c>
      <c r="E2181" s="848" t="s">
        <v>11265</v>
      </c>
      <c r="F2181" s="848" t="s">
        <v>13437</v>
      </c>
      <c r="G2181" s="850" t="s">
        <v>10749</v>
      </c>
      <c r="H2181" s="849" t="s">
        <v>10716</v>
      </c>
      <c r="I2181" s="849"/>
      <c r="J2181" s="851">
        <v>448.96</v>
      </c>
      <c r="K2181" s="848" t="s">
        <v>10936</v>
      </c>
    </row>
    <row r="2182" spans="2:11">
      <c r="B2182" s="848">
        <v>2179</v>
      </c>
      <c r="C2182" s="848" t="s">
        <v>1276</v>
      </c>
      <c r="D2182" s="849" t="s">
        <v>14548</v>
      </c>
      <c r="E2182" s="848" t="s">
        <v>11265</v>
      </c>
      <c r="F2182" s="848" t="s">
        <v>14016</v>
      </c>
      <c r="G2182" s="850" t="s">
        <v>14018</v>
      </c>
      <c r="H2182" s="849" t="s">
        <v>10716</v>
      </c>
      <c r="I2182" s="849"/>
      <c r="J2182" s="851">
        <v>4142.4799999999996</v>
      </c>
      <c r="K2182" s="848" t="s">
        <v>11680</v>
      </c>
    </row>
    <row r="2183" spans="2:11">
      <c r="B2183" s="848">
        <v>2180</v>
      </c>
      <c r="C2183" s="848" t="s">
        <v>1276</v>
      </c>
      <c r="D2183" s="849" t="s">
        <v>14548</v>
      </c>
      <c r="E2183" s="848" t="s">
        <v>3101</v>
      </c>
      <c r="F2183" s="848" t="s">
        <v>13436</v>
      </c>
      <c r="G2183" s="850" t="s">
        <v>11258</v>
      </c>
      <c r="H2183" s="849" t="s">
        <v>10716</v>
      </c>
      <c r="I2183" s="849"/>
      <c r="J2183" s="851">
        <v>3868.92</v>
      </c>
      <c r="K2183" s="848" t="s">
        <v>11909</v>
      </c>
    </row>
    <row r="2184" spans="2:11">
      <c r="B2184" s="848">
        <v>2181</v>
      </c>
      <c r="C2184" s="848" t="s">
        <v>1276</v>
      </c>
      <c r="D2184" s="849" t="s">
        <v>14548</v>
      </c>
      <c r="E2184" s="848" t="s">
        <v>13324</v>
      </c>
      <c r="F2184" s="848" t="s">
        <v>14549</v>
      </c>
      <c r="G2184" s="850" t="s">
        <v>10749</v>
      </c>
      <c r="H2184" s="849" t="s">
        <v>10716</v>
      </c>
      <c r="I2184" s="849"/>
      <c r="J2184" s="851">
        <v>763</v>
      </c>
      <c r="K2184" s="848" t="s">
        <v>10936</v>
      </c>
    </row>
    <row r="2185" spans="2:11">
      <c r="B2185" s="848">
        <v>2182</v>
      </c>
      <c r="C2185" s="848" t="s">
        <v>1276</v>
      </c>
      <c r="D2185" s="849" t="s">
        <v>14548</v>
      </c>
      <c r="E2185" s="848" t="s">
        <v>13324</v>
      </c>
      <c r="F2185" s="848" t="s">
        <v>13279</v>
      </c>
      <c r="G2185" s="850" t="s">
        <v>10749</v>
      </c>
      <c r="H2185" s="849" t="s">
        <v>10716</v>
      </c>
      <c r="I2185" s="849"/>
      <c r="J2185" s="851">
        <v>6288</v>
      </c>
      <c r="K2185" s="848" t="s">
        <v>11909</v>
      </c>
    </row>
    <row r="2186" spans="2:11">
      <c r="B2186" s="848">
        <v>2183</v>
      </c>
      <c r="C2186" s="848" t="s">
        <v>1276</v>
      </c>
      <c r="D2186" s="849" t="s">
        <v>14548</v>
      </c>
      <c r="E2186" s="848" t="s">
        <v>13324</v>
      </c>
      <c r="F2186" s="848" t="s">
        <v>13854</v>
      </c>
      <c r="G2186" s="850" t="s">
        <v>10749</v>
      </c>
      <c r="H2186" s="849" t="s">
        <v>10716</v>
      </c>
      <c r="I2186" s="849"/>
      <c r="J2186" s="851">
        <v>4885</v>
      </c>
      <c r="K2186" s="848" t="s">
        <v>11680</v>
      </c>
    </row>
    <row r="2187" spans="2:11">
      <c r="B2187" s="848">
        <v>2184</v>
      </c>
      <c r="C2187" s="848" t="s">
        <v>14550</v>
      </c>
      <c r="D2187" s="849" t="s">
        <v>8088</v>
      </c>
      <c r="E2187" s="848" t="s">
        <v>12121</v>
      </c>
      <c r="F2187" s="848" t="s">
        <v>14011</v>
      </c>
      <c r="G2187" s="850" t="s">
        <v>14551</v>
      </c>
      <c r="H2187" s="849" t="s">
        <v>10716</v>
      </c>
      <c r="I2187" s="849"/>
      <c r="J2187" s="851">
        <v>12</v>
      </c>
      <c r="K2187" s="848" t="s">
        <v>5998</v>
      </c>
    </row>
    <row r="2188" spans="2:11">
      <c r="B2188" s="848">
        <v>2185</v>
      </c>
      <c r="C2188" s="848" t="s">
        <v>14550</v>
      </c>
      <c r="D2188" s="849" t="s">
        <v>8088</v>
      </c>
      <c r="E2188" s="848" t="s">
        <v>12121</v>
      </c>
      <c r="F2188" s="848" t="s">
        <v>14006</v>
      </c>
      <c r="G2188" s="850" t="s">
        <v>14552</v>
      </c>
      <c r="H2188" s="849" t="s">
        <v>10716</v>
      </c>
      <c r="I2188" s="849"/>
      <c r="J2188" s="851">
        <v>46</v>
      </c>
      <c r="K2188" s="848" t="s">
        <v>5999</v>
      </c>
    </row>
    <row r="2189" spans="2:11">
      <c r="B2189" s="848">
        <v>2186</v>
      </c>
      <c r="C2189" s="848" t="s">
        <v>14550</v>
      </c>
      <c r="D2189" s="849" t="s">
        <v>8088</v>
      </c>
      <c r="E2189" s="848" t="s">
        <v>10774</v>
      </c>
      <c r="F2189" s="848" t="s">
        <v>14007</v>
      </c>
      <c r="G2189" s="850" t="s">
        <v>14553</v>
      </c>
      <c r="H2189" s="849" t="s">
        <v>10716</v>
      </c>
      <c r="I2189" s="849"/>
      <c r="J2189" s="851">
        <v>18.36</v>
      </c>
      <c r="K2189" s="848" t="s">
        <v>6000</v>
      </c>
    </row>
    <row r="2190" spans="2:11">
      <c r="B2190" s="848">
        <v>2187</v>
      </c>
      <c r="C2190" s="848" t="s">
        <v>14554</v>
      </c>
      <c r="D2190" s="849" t="s">
        <v>268</v>
      </c>
      <c r="E2190" s="848" t="s">
        <v>3220</v>
      </c>
      <c r="F2190" s="848" t="s">
        <v>14183</v>
      </c>
      <c r="G2190" s="850" t="s">
        <v>11858</v>
      </c>
      <c r="H2190" s="849" t="s">
        <v>10716</v>
      </c>
      <c r="I2190" s="849"/>
      <c r="J2190" s="851">
        <v>664</v>
      </c>
      <c r="K2190" s="848" t="s">
        <v>6464</v>
      </c>
    </row>
    <row r="2191" spans="2:11">
      <c r="B2191" s="848">
        <v>2188</v>
      </c>
      <c r="C2191" s="848" t="s">
        <v>14554</v>
      </c>
      <c r="D2191" s="849" t="s">
        <v>268</v>
      </c>
      <c r="E2191" s="848" t="s">
        <v>3220</v>
      </c>
      <c r="F2191" s="848" t="s">
        <v>14008</v>
      </c>
      <c r="G2191" s="850" t="s">
        <v>11856</v>
      </c>
      <c r="H2191" s="849" t="s">
        <v>10716</v>
      </c>
      <c r="I2191" s="849"/>
      <c r="J2191" s="851">
        <v>666</v>
      </c>
      <c r="K2191" s="848" t="s">
        <v>6464</v>
      </c>
    </row>
    <row r="2192" spans="2:11">
      <c r="B2192" s="848">
        <v>2189</v>
      </c>
      <c r="C2192" s="848" t="s">
        <v>12256</v>
      </c>
      <c r="D2192" s="849" t="s">
        <v>14555</v>
      </c>
      <c r="E2192" s="848" t="s">
        <v>3344</v>
      </c>
      <c r="F2192" s="848" t="s">
        <v>14020</v>
      </c>
      <c r="G2192" s="850" t="s">
        <v>12735</v>
      </c>
      <c r="H2192" s="849" t="s">
        <v>10716</v>
      </c>
      <c r="I2192" s="849"/>
      <c r="J2192" s="851">
        <v>435</v>
      </c>
      <c r="K2192" s="848" t="s">
        <v>14556</v>
      </c>
    </row>
    <row r="2193" spans="2:11">
      <c r="B2193" s="848">
        <v>2190</v>
      </c>
      <c r="C2193" s="848" t="s">
        <v>14557</v>
      </c>
      <c r="D2193" s="849" t="s">
        <v>14558</v>
      </c>
      <c r="E2193" s="848" t="s">
        <v>3220</v>
      </c>
      <c r="F2193" s="848" t="s">
        <v>14526</v>
      </c>
      <c r="G2193" s="850" t="s">
        <v>12527</v>
      </c>
      <c r="H2193" s="849" t="s">
        <v>10716</v>
      </c>
      <c r="I2193" s="849"/>
      <c r="J2193" s="851">
        <v>166.39</v>
      </c>
      <c r="K2193" s="848" t="s">
        <v>14559</v>
      </c>
    </row>
    <row r="2194" spans="2:11" ht="25">
      <c r="B2194" s="848">
        <v>2191</v>
      </c>
      <c r="C2194" s="848" t="s">
        <v>12920</v>
      </c>
      <c r="D2194" s="849" t="s">
        <v>172</v>
      </c>
      <c r="E2194" s="848" t="s">
        <v>3393</v>
      </c>
      <c r="F2194" s="848" t="s">
        <v>11888</v>
      </c>
      <c r="G2194" s="850" t="s">
        <v>13175</v>
      </c>
      <c r="H2194" s="849" t="s">
        <v>10716</v>
      </c>
      <c r="I2194" s="849"/>
      <c r="J2194" s="851">
        <v>334</v>
      </c>
      <c r="K2194" s="848" t="s">
        <v>6400</v>
      </c>
    </row>
    <row r="2195" spans="2:11">
      <c r="B2195" s="848">
        <v>2192</v>
      </c>
      <c r="C2195" s="848" t="s">
        <v>14560</v>
      </c>
      <c r="D2195" s="849" t="s">
        <v>5705</v>
      </c>
      <c r="E2195" s="848" t="s">
        <v>10807</v>
      </c>
      <c r="F2195" s="848" t="s">
        <v>12757</v>
      </c>
      <c r="G2195" s="850" t="s">
        <v>14561</v>
      </c>
      <c r="H2195" s="849" t="s">
        <v>10716</v>
      </c>
      <c r="I2195" s="849"/>
      <c r="J2195" s="851">
        <v>2</v>
      </c>
      <c r="K2195" s="848" t="s">
        <v>6575</v>
      </c>
    </row>
    <row r="2196" spans="2:11">
      <c r="B2196" s="848">
        <v>2193</v>
      </c>
      <c r="C2196" s="848" t="s">
        <v>14560</v>
      </c>
      <c r="D2196" s="849" t="s">
        <v>5705</v>
      </c>
      <c r="E2196" s="848" t="s">
        <v>10807</v>
      </c>
      <c r="F2196" s="848" t="s">
        <v>11795</v>
      </c>
      <c r="G2196" s="850" t="s">
        <v>14562</v>
      </c>
      <c r="H2196" s="849" t="s">
        <v>10716</v>
      </c>
      <c r="I2196" s="849"/>
      <c r="J2196" s="851">
        <v>7</v>
      </c>
      <c r="K2196" s="848" t="s">
        <v>6118</v>
      </c>
    </row>
    <row r="2197" spans="2:11">
      <c r="B2197" s="848">
        <v>2194</v>
      </c>
      <c r="C2197" s="848" t="s">
        <v>14560</v>
      </c>
      <c r="D2197" s="849" t="s">
        <v>5705</v>
      </c>
      <c r="E2197" s="848" t="s">
        <v>10807</v>
      </c>
      <c r="F2197" s="848" t="s">
        <v>14455</v>
      </c>
      <c r="G2197" s="850" t="s">
        <v>14563</v>
      </c>
      <c r="H2197" s="849" t="s">
        <v>10716</v>
      </c>
      <c r="I2197" s="849"/>
      <c r="J2197" s="851">
        <v>7</v>
      </c>
      <c r="K2197" s="848" t="s">
        <v>6119</v>
      </c>
    </row>
    <row r="2198" spans="2:11">
      <c r="B2198" s="848">
        <v>2195</v>
      </c>
      <c r="C2198" s="848" t="s">
        <v>14560</v>
      </c>
      <c r="D2198" s="849" t="s">
        <v>5705</v>
      </c>
      <c r="E2198" s="848" t="s">
        <v>10848</v>
      </c>
      <c r="F2198" s="848" t="s">
        <v>11047</v>
      </c>
      <c r="G2198" s="850" t="s">
        <v>14564</v>
      </c>
      <c r="H2198" s="849" t="s">
        <v>10716</v>
      </c>
      <c r="I2198" s="849"/>
      <c r="J2198" s="851">
        <v>2</v>
      </c>
      <c r="K2198" s="848" t="s">
        <v>6061</v>
      </c>
    </row>
    <row r="2199" spans="2:11">
      <c r="B2199" s="848">
        <v>2196</v>
      </c>
      <c r="C2199" s="848" t="s">
        <v>14565</v>
      </c>
      <c r="D2199" s="849" t="s">
        <v>14566</v>
      </c>
      <c r="E2199" s="848" t="s">
        <v>9477</v>
      </c>
      <c r="F2199" s="848" t="s">
        <v>11104</v>
      </c>
      <c r="G2199" s="850" t="s">
        <v>14436</v>
      </c>
      <c r="H2199" s="849" t="s">
        <v>10716</v>
      </c>
      <c r="I2199" s="849"/>
      <c r="J2199" s="851">
        <v>16.190000000000001</v>
      </c>
      <c r="K2199" s="848" t="s">
        <v>6021</v>
      </c>
    </row>
    <row r="2200" spans="2:11">
      <c r="B2200" s="848">
        <v>2197</v>
      </c>
      <c r="C2200" s="848" t="s">
        <v>14565</v>
      </c>
      <c r="D2200" s="849" t="s">
        <v>14566</v>
      </c>
      <c r="E2200" s="848" t="s">
        <v>9477</v>
      </c>
      <c r="F2200" s="848" t="s">
        <v>11106</v>
      </c>
      <c r="G2200" s="850" t="s">
        <v>14438</v>
      </c>
      <c r="H2200" s="849" t="s">
        <v>10716</v>
      </c>
      <c r="I2200" s="849"/>
      <c r="J2200" s="851">
        <v>8.99</v>
      </c>
      <c r="K2200" s="848" t="s">
        <v>6022</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74D5E-E7F4-44E0-BEDB-4C899379E02A}">
  <sheetPr>
    <tabColor rgb="FF92D050"/>
  </sheetPr>
  <dimension ref="B1:J62"/>
  <sheetViews>
    <sheetView topLeftCell="A27" zoomScale="80" zoomScaleNormal="80" workbookViewId="0">
      <selection activeCell="J52" sqref="J52"/>
    </sheetView>
  </sheetViews>
  <sheetFormatPr baseColWidth="10" defaultColWidth="11.5" defaultRowHeight="10"/>
  <cols>
    <col min="1" max="1" width="11.5" style="774"/>
    <col min="2" max="2" width="17.1640625" style="774" customWidth="1"/>
    <col min="3" max="3" width="15" style="776" bestFit="1" customWidth="1"/>
    <col min="4" max="4" width="35.75" style="774" customWidth="1"/>
    <col min="5" max="5" width="16.1640625" style="774" bestFit="1" customWidth="1"/>
    <col min="6" max="6" width="16" style="774" bestFit="1" customWidth="1"/>
    <col min="7" max="7" width="14.25" style="774" customWidth="1"/>
    <col min="8" max="8" width="13" style="774" bestFit="1" customWidth="1"/>
    <col min="9" max="9" width="12.83203125" style="774" bestFit="1" customWidth="1"/>
    <col min="10" max="10" width="70" style="774" customWidth="1"/>
    <col min="11" max="16384" width="11.5" style="774"/>
  </cols>
  <sheetData>
    <row r="1" spans="2:10" ht="14.5">
      <c r="B1" s="173" t="s">
        <v>14568</v>
      </c>
    </row>
    <row r="3" spans="2:10" ht="10.5">
      <c r="C3" s="783"/>
    </row>
    <row r="5" spans="2:10" s="776" customFormat="1" ht="37.15" customHeight="1">
      <c r="B5" s="836" t="s">
        <v>10670</v>
      </c>
      <c r="C5" s="836" t="s">
        <v>10518</v>
      </c>
      <c r="D5" s="836" t="s">
        <v>7927</v>
      </c>
      <c r="E5" s="836" t="s">
        <v>10671</v>
      </c>
      <c r="F5" s="836" t="s">
        <v>10672</v>
      </c>
      <c r="G5" s="784" t="s">
        <v>10673</v>
      </c>
      <c r="H5" s="836" t="s">
        <v>10674</v>
      </c>
      <c r="I5" s="784" t="s">
        <v>10675</v>
      </c>
      <c r="J5" s="836" t="s">
        <v>7896</v>
      </c>
    </row>
    <row r="6" spans="2:10" ht="20">
      <c r="B6" s="1079" t="s">
        <v>1137</v>
      </c>
      <c r="C6" s="776" t="s">
        <v>1136</v>
      </c>
      <c r="D6" s="774" t="s">
        <v>7944</v>
      </c>
      <c r="E6" s="785">
        <v>78725078</v>
      </c>
      <c r="F6" s="785">
        <v>78725077.060000002</v>
      </c>
      <c r="G6" s="786">
        <f>E6-F6</f>
        <v>0.93999999761581421</v>
      </c>
      <c r="H6" s="785">
        <v>0</v>
      </c>
      <c r="I6" s="787">
        <f>G6</f>
        <v>0.93999999761581421</v>
      </c>
      <c r="J6" s="776" t="s">
        <v>10676</v>
      </c>
    </row>
    <row r="7" spans="2:10" ht="20">
      <c r="B7" s="1080"/>
      <c r="C7" s="776" t="s">
        <v>1136</v>
      </c>
      <c r="D7" s="774" t="s">
        <v>7948</v>
      </c>
      <c r="E7" s="785">
        <v>5249873781.5999994</v>
      </c>
      <c r="F7" s="785">
        <v>5249871593.8299999</v>
      </c>
      <c r="G7" s="786">
        <f>E7-F7</f>
        <v>2187.7699995040894</v>
      </c>
      <c r="H7" s="785">
        <v>0</v>
      </c>
      <c r="I7" s="787">
        <f t="shared" ref="I7:I9" si="0">G7</f>
        <v>2187.7699995040894</v>
      </c>
      <c r="J7" s="776" t="s">
        <v>10676</v>
      </c>
    </row>
    <row r="8" spans="2:10" ht="10.5">
      <c r="B8" s="1080"/>
      <c r="C8" s="788" t="s">
        <v>1136</v>
      </c>
      <c r="D8" s="775" t="s">
        <v>7938</v>
      </c>
      <c r="E8" s="789">
        <v>135639747.89999998</v>
      </c>
      <c r="F8" s="789">
        <v>0</v>
      </c>
      <c r="G8" s="790">
        <f>E8</f>
        <v>135639747.89999998</v>
      </c>
      <c r="H8" s="789">
        <v>0</v>
      </c>
      <c r="I8" s="791">
        <f t="shared" si="0"/>
        <v>135639747.89999998</v>
      </c>
      <c r="J8" s="775" t="s">
        <v>10677</v>
      </c>
    </row>
    <row r="9" spans="2:10" ht="10.5">
      <c r="B9" s="1080"/>
      <c r="C9" s="776" t="s">
        <v>1136</v>
      </c>
      <c r="D9" s="774" t="s">
        <v>7935</v>
      </c>
      <c r="E9" s="785">
        <v>801760.79999999993</v>
      </c>
      <c r="F9" s="785">
        <v>800325</v>
      </c>
      <c r="G9" s="786">
        <f>E9-F9</f>
        <v>1435.7999999999302</v>
      </c>
      <c r="H9" s="785">
        <v>0</v>
      </c>
      <c r="I9" s="787">
        <f t="shared" si="0"/>
        <v>1435.7999999999302</v>
      </c>
      <c r="J9" s="776" t="s">
        <v>10676</v>
      </c>
    </row>
    <row r="10" spans="2:10" ht="20">
      <c r="B10" s="1080"/>
      <c r="C10" s="776" t="s">
        <v>1135</v>
      </c>
      <c r="D10" s="774" t="s">
        <v>7944</v>
      </c>
      <c r="E10" s="785">
        <v>1096711743</v>
      </c>
      <c r="F10" s="785">
        <f>(1721053043314.67/2330.7)+105391196.1</f>
        <v>843818725.73258686</v>
      </c>
      <c r="G10" s="786">
        <f t="shared" ref="G10:G16" si="1">E10-F10</f>
        <v>252893017.26741314</v>
      </c>
      <c r="H10" s="792">
        <v>252893037</v>
      </c>
      <c r="I10" s="787">
        <f t="shared" ref="I10:I16" si="2">G10-H10</f>
        <v>-19.732586860656738</v>
      </c>
      <c r="J10" s="776" t="s">
        <v>10678</v>
      </c>
    </row>
    <row r="11" spans="2:10" ht="10.5">
      <c r="B11" s="1080"/>
      <c r="C11" s="776" t="s">
        <v>1135</v>
      </c>
      <c r="D11" s="774" t="s">
        <v>7935</v>
      </c>
      <c r="E11" s="785">
        <v>480163998</v>
      </c>
      <c r="F11" s="785">
        <f>(491153912703/2330.7)+261844843.89</f>
        <v>472577204.42674863</v>
      </c>
      <c r="G11" s="786">
        <f t="shared" si="1"/>
        <v>7586793.5732513666</v>
      </c>
      <c r="H11" s="792">
        <v>7586788</v>
      </c>
      <c r="I11" s="787">
        <f t="shared" si="2"/>
        <v>5.5732513666152954</v>
      </c>
      <c r="J11" s="776" t="s">
        <v>10678</v>
      </c>
    </row>
    <row r="12" spans="2:10" ht="20">
      <c r="B12" s="1080"/>
      <c r="C12" s="776" t="s">
        <v>1135</v>
      </c>
      <c r="D12" s="774" t="s">
        <v>7948</v>
      </c>
      <c r="E12" s="785">
        <v>242660898</v>
      </c>
      <c r="F12" s="785">
        <f>(346790609639.23/2330.7)+83124633.94</f>
        <v>231917103.85857812</v>
      </c>
      <c r="G12" s="786">
        <f t="shared" si="1"/>
        <v>10743794.141421884</v>
      </c>
      <c r="H12" s="792">
        <v>9405114</v>
      </c>
      <c r="I12" s="787">
        <f>G12-H12</f>
        <v>1338680.1414218843</v>
      </c>
      <c r="J12" s="776" t="s">
        <v>10679</v>
      </c>
    </row>
    <row r="13" spans="2:10" ht="10.5">
      <c r="B13" s="1080"/>
      <c r="C13" s="788" t="s">
        <v>1135</v>
      </c>
      <c r="D13" s="775" t="s">
        <v>7938</v>
      </c>
      <c r="E13" s="789">
        <v>139222725</v>
      </c>
      <c r="F13" s="789">
        <v>0</v>
      </c>
      <c r="G13" s="790">
        <f>E13-F13</f>
        <v>139222725</v>
      </c>
      <c r="H13" s="790">
        <v>27593187</v>
      </c>
      <c r="I13" s="791">
        <f t="shared" si="2"/>
        <v>111629538</v>
      </c>
      <c r="J13" s="775" t="s">
        <v>10677</v>
      </c>
    </row>
    <row r="14" spans="2:10" ht="10.5">
      <c r="B14" s="1080"/>
      <c r="C14" s="776" t="s">
        <v>1135</v>
      </c>
      <c r="D14" s="774" t="s">
        <v>7942</v>
      </c>
      <c r="E14" s="785">
        <v>113743366</v>
      </c>
      <c r="F14" s="785">
        <f>(218830640444.33/2330.7)+1394720.06</f>
        <v>95285242.411366552</v>
      </c>
      <c r="G14" s="786">
        <f t="shared" si="1"/>
        <v>18458123.588633448</v>
      </c>
      <c r="H14" s="792">
        <v>18458122</v>
      </c>
      <c r="I14" s="787">
        <f t="shared" si="2"/>
        <v>1.5886334478855133</v>
      </c>
      <c r="J14" s="776" t="s">
        <v>10678</v>
      </c>
    </row>
    <row r="15" spans="2:10" ht="10.5">
      <c r="B15" s="1080"/>
      <c r="C15" s="776" t="s">
        <v>1135</v>
      </c>
      <c r="D15" s="774" t="s">
        <v>7943</v>
      </c>
      <c r="E15" s="785">
        <v>90643335</v>
      </c>
      <c r="F15" s="785">
        <f>211262417522/2330.7</f>
        <v>90643333.557300389</v>
      </c>
      <c r="G15" s="786">
        <f t="shared" si="1"/>
        <v>1.4426996111869812</v>
      </c>
      <c r="H15" s="792">
        <v>0</v>
      </c>
      <c r="I15" s="787">
        <f t="shared" si="2"/>
        <v>1.4426996111869812</v>
      </c>
      <c r="J15" s="776" t="s">
        <v>10676</v>
      </c>
    </row>
    <row r="16" spans="2:10" ht="10.5">
      <c r="B16" s="1080"/>
      <c r="C16" s="776" t="s">
        <v>1135</v>
      </c>
      <c r="D16" s="774" t="s">
        <v>7940</v>
      </c>
      <c r="E16" s="785">
        <v>31745880</v>
      </c>
      <c r="F16" s="785">
        <f>(64456519433.04/2330.7)+4090457.17</f>
        <v>31745890.916531086</v>
      </c>
      <c r="G16" s="786">
        <f t="shared" si="1"/>
        <v>-10.916531085968018</v>
      </c>
      <c r="H16" s="792">
        <v>0</v>
      </c>
      <c r="I16" s="787">
        <f t="shared" si="2"/>
        <v>-10.916531085968018</v>
      </c>
      <c r="J16" s="776" t="s">
        <v>10676</v>
      </c>
    </row>
    <row r="17" spans="2:10" ht="10.5">
      <c r="C17" s="783"/>
      <c r="D17" s="842" t="s">
        <v>516</v>
      </c>
      <c r="E17" s="782">
        <f>SUM(E6:E16)</f>
        <v>7659932313.2999992</v>
      </c>
      <c r="F17" s="782">
        <f>SUM(F6:F16)</f>
        <v>7095384496.7931118</v>
      </c>
      <c r="G17" s="782">
        <f>SUM(G6:G16)</f>
        <v>564547816.50688791</v>
      </c>
      <c r="H17" s="782">
        <f>SUM(H6:H16)</f>
        <v>315936248</v>
      </c>
      <c r="I17" s="782">
        <f>SUM(I6:I16)</f>
        <v>248611568.50688785</v>
      </c>
    </row>
    <row r="19" spans="2:10" ht="30.65" customHeight="1">
      <c r="B19" s="836" t="s">
        <v>10670</v>
      </c>
      <c r="C19" s="836" t="s">
        <v>7928</v>
      </c>
      <c r="D19" s="836" t="s">
        <v>7927</v>
      </c>
      <c r="E19" s="836" t="s">
        <v>10671</v>
      </c>
      <c r="F19" s="836" t="s">
        <v>10672</v>
      </c>
      <c r="G19" s="784" t="s">
        <v>10673</v>
      </c>
      <c r="H19" s="836" t="s">
        <v>10674</v>
      </c>
      <c r="I19" s="784" t="s">
        <v>10675</v>
      </c>
      <c r="J19" s="836" t="s">
        <v>7896</v>
      </c>
    </row>
    <row r="20" spans="2:10" ht="10.5">
      <c r="B20" s="1079" t="s">
        <v>1</v>
      </c>
      <c r="C20" s="776" t="s">
        <v>1136</v>
      </c>
      <c r="D20" s="776" t="s">
        <v>1151</v>
      </c>
      <c r="E20" s="777">
        <v>43185</v>
      </c>
      <c r="F20" s="777">
        <f>100650000/2330.7</f>
        <v>43184.451023297726</v>
      </c>
      <c r="G20" s="778">
        <f>E20-F20</f>
        <v>0.5489767022736487</v>
      </c>
      <c r="H20" s="777">
        <v>0</v>
      </c>
      <c r="I20" s="779">
        <f>G20-H20</f>
        <v>0.5489767022736487</v>
      </c>
      <c r="J20" s="776" t="s">
        <v>10676</v>
      </c>
    </row>
    <row r="21" spans="2:10" ht="10.5">
      <c r="B21" s="1080"/>
      <c r="C21" s="776" t="s">
        <v>1136</v>
      </c>
      <c r="D21" s="776" t="s">
        <v>7929</v>
      </c>
      <c r="E21" s="777">
        <v>16650976</v>
      </c>
      <c r="F21" s="777">
        <v>16650976</v>
      </c>
      <c r="G21" s="778">
        <f t="shared" ref="G21:G40" si="3">E21-F21</f>
        <v>0</v>
      </c>
      <c r="H21" s="777">
        <v>0</v>
      </c>
      <c r="I21" s="779">
        <f t="shared" ref="I21:I40" si="4">G21-H21</f>
        <v>0</v>
      </c>
      <c r="J21" s="776" t="s">
        <v>10680</v>
      </c>
    </row>
    <row r="22" spans="2:10" ht="10.5">
      <c r="B22" s="1080"/>
      <c r="C22" s="776" t="s">
        <v>1136</v>
      </c>
      <c r="D22" s="776" t="s">
        <v>7930</v>
      </c>
      <c r="E22" s="777">
        <v>70387214</v>
      </c>
      <c r="F22" s="777">
        <v>70387214</v>
      </c>
      <c r="G22" s="778">
        <f t="shared" si="3"/>
        <v>0</v>
      </c>
      <c r="H22" s="777">
        <v>0</v>
      </c>
      <c r="I22" s="779">
        <f t="shared" si="4"/>
        <v>0</v>
      </c>
      <c r="J22" s="776" t="s">
        <v>10680</v>
      </c>
    </row>
    <row r="23" spans="2:10" ht="10.5">
      <c r="B23" s="1080"/>
      <c r="C23" s="776" t="s">
        <v>1136</v>
      </c>
      <c r="D23" s="776" t="s">
        <v>7931</v>
      </c>
      <c r="E23" s="777">
        <v>19906419</v>
      </c>
      <c r="F23" s="777">
        <f>(185870229/2330.7)+19826668.29</f>
        <v>19906416.961643711</v>
      </c>
      <c r="G23" s="778">
        <f t="shared" si="3"/>
        <v>2.03835628926754</v>
      </c>
      <c r="H23" s="777">
        <v>0</v>
      </c>
      <c r="I23" s="779">
        <f t="shared" si="4"/>
        <v>2.03835628926754</v>
      </c>
      <c r="J23" s="776" t="s">
        <v>10676</v>
      </c>
    </row>
    <row r="24" spans="2:10" ht="10.5">
      <c r="B24" s="1080"/>
      <c r="C24" s="788" t="s">
        <v>1136</v>
      </c>
      <c r="D24" s="788" t="s">
        <v>10199</v>
      </c>
      <c r="E24" s="780">
        <v>2035821</v>
      </c>
      <c r="F24" s="780">
        <v>0</v>
      </c>
      <c r="G24" s="780">
        <f t="shared" si="3"/>
        <v>2035821</v>
      </c>
      <c r="H24" s="780">
        <v>0</v>
      </c>
      <c r="I24" s="781">
        <f t="shared" si="4"/>
        <v>2035821</v>
      </c>
      <c r="J24" s="775" t="s">
        <v>10677</v>
      </c>
    </row>
    <row r="25" spans="2:10" ht="10.5">
      <c r="B25" s="1080"/>
      <c r="C25" s="776" t="s">
        <v>1136</v>
      </c>
      <c r="D25" s="776" t="s">
        <v>10200</v>
      </c>
      <c r="E25" s="777">
        <v>2035821</v>
      </c>
      <c r="F25" s="777">
        <f>(205151378.8/2330.7)+1947799.42</f>
        <v>2035820.7778753163</v>
      </c>
      <c r="G25" s="778">
        <f t="shared" si="3"/>
        <v>0.2221246836706996</v>
      </c>
      <c r="H25" s="777">
        <v>0</v>
      </c>
      <c r="I25" s="779">
        <f t="shared" si="4"/>
        <v>0.2221246836706996</v>
      </c>
      <c r="J25" s="776" t="s">
        <v>10676</v>
      </c>
    </row>
    <row r="26" spans="2:10" ht="10.5">
      <c r="B26" s="1080"/>
      <c r="C26" s="776" t="s">
        <v>1136</v>
      </c>
      <c r="D26" s="776" t="s">
        <v>7933</v>
      </c>
      <c r="E26" s="777">
        <v>5859109</v>
      </c>
      <c r="F26" s="777">
        <v>5859109</v>
      </c>
      <c r="G26" s="778">
        <f t="shared" si="3"/>
        <v>0</v>
      </c>
      <c r="H26" s="777">
        <v>0</v>
      </c>
      <c r="I26" s="779">
        <f t="shared" si="4"/>
        <v>0</v>
      </c>
      <c r="J26" s="776" t="s">
        <v>10680</v>
      </c>
    </row>
    <row r="27" spans="2:10" ht="10.5">
      <c r="B27" s="1080"/>
      <c r="C27" s="776" t="s">
        <v>1136</v>
      </c>
      <c r="D27" s="776" t="s">
        <v>7934</v>
      </c>
      <c r="E27" s="777">
        <v>25529623</v>
      </c>
      <c r="F27" s="777">
        <v>25529623</v>
      </c>
      <c r="G27" s="778">
        <f t="shared" si="3"/>
        <v>0</v>
      </c>
      <c r="H27" s="777">
        <v>0</v>
      </c>
      <c r="I27" s="779">
        <f t="shared" si="4"/>
        <v>0</v>
      </c>
      <c r="J27" s="776" t="s">
        <v>10680</v>
      </c>
    </row>
    <row r="28" spans="2:10" ht="10.5">
      <c r="B28" s="1080"/>
      <c r="C28" s="776" t="s">
        <v>1135</v>
      </c>
      <c r="D28" s="776" t="s">
        <v>7949</v>
      </c>
      <c r="E28" s="777">
        <v>2502976</v>
      </c>
      <c r="F28" s="777">
        <f>(293709495.15/2330.7)+2376958.04</f>
        <v>2502975.7579173641</v>
      </c>
      <c r="G28" s="778">
        <f t="shared" si="3"/>
        <v>0.24208263587206602</v>
      </c>
      <c r="H28" s="777">
        <v>0</v>
      </c>
      <c r="I28" s="779">
        <f t="shared" si="4"/>
        <v>0.24208263587206602</v>
      </c>
      <c r="J28" s="776" t="s">
        <v>10680</v>
      </c>
    </row>
    <row r="29" spans="2:10" ht="20">
      <c r="B29" s="1080"/>
      <c r="C29" s="776" t="s">
        <v>1135</v>
      </c>
      <c r="D29" s="776" t="s">
        <v>7950</v>
      </c>
      <c r="E29" s="777">
        <v>13305014</v>
      </c>
      <c r="F29" s="777">
        <f>(2487495783.23/2330.7)+12237741.59</f>
        <v>13305015.706458574</v>
      </c>
      <c r="G29" s="778">
        <f t="shared" si="3"/>
        <v>-1.7064585741609335</v>
      </c>
      <c r="H29" s="777">
        <v>0</v>
      </c>
      <c r="I29" s="779">
        <f t="shared" si="4"/>
        <v>-1.7064585741609335</v>
      </c>
      <c r="J29" s="776" t="s">
        <v>10676</v>
      </c>
    </row>
    <row r="30" spans="2:10" ht="10.5">
      <c r="B30" s="1080"/>
      <c r="C30" s="776" t="s">
        <v>1135</v>
      </c>
      <c r="D30" s="776" t="s">
        <v>8047</v>
      </c>
      <c r="E30" s="777">
        <v>1244974</v>
      </c>
      <c r="F30" s="777">
        <f>(2901666666/2330.7)</f>
        <v>1244976.4731625693</v>
      </c>
      <c r="G30" s="778">
        <f t="shared" si="3"/>
        <v>-2.4731625693384558</v>
      </c>
      <c r="H30" s="777">
        <v>0</v>
      </c>
      <c r="I30" s="779">
        <f t="shared" si="4"/>
        <v>-2.4731625693384558</v>
      </c>
      <c r="J30" s="776" t="s">
        <v>10676</v>
      </c>
    </row>
    <row r="31" spans="2:10" ht="10.5">
      <c r="B31" s="1080"/>
      <c r="C31" s="788" t="s">
        <v>1135</v>
      </c>
      <c r="D31" s="788" t="s">
        <v>10199</v>
      </c>
      <c r="E31" s="780">
        <v>13133880</v>
      </c>
      <c r="F31" s="780">
        <v>0</v>
      </c>
      <c r="G31" s="780">
        <f t="shared" si="3"/>
        <v>13133880</v>
      </c>
      <c r="H31" s="780">
        <v>0</v>
      </c>
      <c r="I31" s="781">
        <f t="shared" si="4"/>
        <v>13133880</v>
      </c>
      <c r="J31" s="775" t="s">
        <v>10677</v>
      </c>
    </row>
    <row r="32" spans="2:10" ht="34.15" customHeight="1">
      <c r="B32" s="1080"/>
      <c r="C32" s="776" t="s">
        <v>1135</v>
      </c>
      <c r="D32" s="776" t="s">
        <v>10200</v>
      </c>
      <c r="E32" s="777">
        <v>11883441</v>
      </c>
      <c r="F32" s="777">
        <f>(14560564446.52/2330.7)+6126245.75</f>
        <v>12373538.171384133</v>
      </c>
      <c r="G32" s="778">
        <f t="shared" si="3"/>
        <v>-490097.1713841334</v>
      </c>
      <c r="H32" s="777">
        <v>1114236</v>
      </c>
      <c r="I32" s="779">
        <f t="shared" si="4"/>
        <v>-1604333.1713841334</v>
      </c>
      <c r="J32" s="776" t="s">
        <v>10679</v>
      </c>
    </row>
    <row r="33" spans="2:10" ht="10.5">
      <c r="B33" s="1080"/>
      <c r="C33" s="776" t="s">
        <v>1135</v>
      </c>
      <c r="D33" s="776" t="s">
        <v>8048</v>
      </c>
      <c r="E33" s="777">
        <v>2961320</v>
      </c>
      <c r="F33" s="777">
        <f>(6847909130.67/2330.7)</f>
        <v>2938134.093049299</v>
      </c>
      <c r="G33" s="778">
        <f t="shared" si="3"/>
        <v>23185.906950701028</v>
      </c>
      <c r="H33" s="777">
        <v>0</v>
      </c>
      <c r="I33" s="779">
        <f t="shared" si="4"/>
        <v>23185.906950701028</v>
      </c>
      <c r="J33" s="776" t="s">
        <v>10676</v>
      </c>
    </row>
    <row r="34" spans="2:10" ht="36.65" customHeight="1">
      <c r="B34" s="1080"/>
      <c r="C34" s="776" t="s">
        <v>1135</v>
      </c>
      <c r="D34" s="776" t="s">
        <v>8051</v>
      </c>
      <c r="E34" s="777">
        <v>1657913</v>
      </c>
      <c r="F34" s="777">
        <f>(3631028065/2330.7)+100000</f>
        <v>1657913.1012142275</v>
      </c>
      <c r="G34" s="778">
        <f t="shared" si="3"/>
        <v>-0.10121422749944031</v>
      </c>
      <c r="H34" s="777">
        <v>0</v>
      </c>
      <c r="I34" s="779">
        <f t="shared" si="4"/>
        <v>-0.10121422749944031</v>
      </c>
      <c r="J34" s="776" t="s">
        <v>10680</v>
      </c>
    </row>
    <row r="35" spans="2:10" ht="20">
      <c r="B35" s="1080"/>
      <c r="C35" s="776" t="s">
        <v>1135</v>
      </c>
      <c r="D35" s="776" t="s">
        <v>8052</v>
      </c>
      <c r="E35" s="777">
        <v>512406253</v>
      </c>
      <c r="F35" s="777">
        <f>(105504874181.44/2330.7)+455008670.94</f>
        <v>500276133.15368688</v>
      </c>
      <c r="G35" s="778">
        <f t="shared" si="3"/>
        <v>12130119.846313119</v>
      </c>
      <c r="H35" s="777">
        <v>12129635</v>
      </c>
      <c r="I35" s="779">
        <f t="shared" si="4"/>
        <v>484.84631311893463</v>
      </c>
      <c r="J35" s="776" t="s">
        <v>10679</v>
      </c>
    </row>
    <row r="36" spans="2:10" ht="10.5">
      <c r="B36" s="1080"/>
      <c r="C36" s="776" t="s">
        <v>1135</v>
      </c>
      <c r="D36" s="776" t="s">
        <v>8056</v>
      </c>
      <c r="E36" s="777">
        <v>41886659</v>
      </c>
      <c r="F36" s="777">
        <f>(40013328761.69/2330.7)+24718712.54</f>
        <v>41886657.261195347</v>
      </c>
      <c r="G36" s="778">
        <f t="shared" si="3"/>
        <v>1.7388046532869339</v>
      </c>
      <c r="H36" s="777">
        <v>0</v>
      </c>
      <c r="I36" s="779">
        <f t="shared" si="4"/>
        <v>1.7388046532869339</v>
      </c>
      <c r="J36" s="776" t="s">
        <v>10676</v>
      </c>
    </row>
    <row r="37" spans="2:10" ht="10.5">
      <c r="B37" s="1080"/>
      <c r="C37" s="776" t="s">
        <v>1135</v>
      </c>
      <c r="D37" s="776" t="s">
        <v>1071</v>
      </c>
      <c r="E37" s="777">
        <v>4173085</v>
      </c>
      <c r="F37" s="777">
        <f>(3636727948.7/2330.7)+2612725.29</f>
        <v>4173083.9585116059</v>
      </c>
      <c r="G37" s="778">
        <f t="shared" si="3"/>
        <v>1.0414883941411972</v>
      </c>
      <c r="H37" s="777">
        <v>0</v>
      </c>
      <c r="I37" s="779">
        <f t="shared" si="4"/>
        <v>1.0414883941411972</v>
      </c>
      <c r="J37" s="776" t="s">
        <v>10676</v>
      </c>
    </row>
    <row r="38" spans="2:10" ht="10.5">
      <c r="B38" s="1080"/>
      <c r="C38" s="776" t="s">
        <v>1135</v>
      </c>
      <c r="D38" s="776" t="s">
        <v>1065</v>
      </c>
      <c r="E38" s="777">
        <v>5214809</v>
      </c>
      <c r="F38" s="777">
        <f>(642813380.82/2330.7)+4939006.86</f>
        <v>5214809.5719835246</v>
      </c>
      <c r="G38" s="778">
        <f t="shared" si="3"/>
        <v>-0.57198352459818125</v>
      </c>
      <c r="H38" s="777">
        <v>0</v>
      </c>
      <c r="I38" s="779">
        <f t="shared" si="4"/>
        <v>-0.57198352459818125</v>
      </c>
      <c r="J38" s="776" t="s">
        <v>10676</v>
      </c>
    </row>
    <row r="39" spans="2:10" ht="10.5">
      <c r="B39" s="1080"/>
      <c r="C39" s="776" t="s">
        <v>1135</v>
      </c>
      <c r="D39" s="776" t="s">
        <v>1062</v>
      </c>
      <c r="E39" s="777">
        <v>25039263</v>
      </c>
      <c r="F39" s="777">
        <f>(5647987991.18/2330.7)+22615961.97</f>
        <v>25039263.120375425</v>
      </c>
      <c r="G39" s="778">
        <f t="shared" si="3"/>
        <v>-0.12037542462348938</v>
      </c>
      <c r="H39" s="777">
        <v>0</v>
      </c>
      <c r="I39" s="779">
        <f t="shared" si="4"/>
        <v>-0.12037542462348938</v>
      </c>
      <c r="J39" s="774" t="s">
        <v>10680</v>
      </c>
    </row>
    <row r="40" spans="2:10" ht="10.5">
      <c r="B40" s="1080"/>
      <c r="C40" s="776" t="s">
        <v>1135</v>
      </c>
      <c r="D40" s="776" t="s">
        <v>8060</v>
      </c>
      <c r="E40" s="777">
        <v>32922803</v>
      </c>
      <c r="F40" s="777">
        <f>(8384413098.06/2330.7)+29325425.17</f>
        <v>32922804.969227701</v>
      </c>
      <c r="G40" s="778">
        <f t="shared" si="3"/>
        <v>-1.9692277014255524</v>
      </c>
      <c r="H40" s="777">
        <v>0</v>
      </c>
      <c r="I40" s="779">
        <f t="shared" si="4"/>
        <v>-1.9692277014255524</v>
      </c>
      <c r="J40" s="776" t="s">
        <v>10676</v>
      </c>
    </row>
    <row r="41" spans="2:10" ht="10.5">
      <c r="D41" s="842" t="s">
        <v>516</v>
      </c>
      <c r="E41" s="782">
        <f>SUM(E20:E40)</f>
        <v>810780558</v>
      </c>
      <c r="F41" s="782">
        <f>SUM(F20:F40)</f>
        <v>783947649.52870893</v>
      </c>
      <c r="G41" s="782">
        <f>SUM(G20:G40)</f>
        <v>26832908.471291024</v>
      </c>
      <c r="H41" s="782">
        <f>SUM(H20:H40)</f>
        <v>13243871</v>
      </c>
      <c r="I41" s="782">
        <f>SUM(I20:I40)</f>
        <v>13589037.471291024</v>
      </c>
    </row>
    <row r="44" spans="2:10" ht="36.65" customHeight="1">
      <c r="B44" s="836" t="s">
        <v>10670</v>
      </c>
      <c r="C44" s="836" t="s">
        <v>10518</v>
      </c>
      <c r="D44" s="836" t="s">
        <v>7927</v>
      </c>
      <c r="E44" s="836" t="s">
        <v>10671</v>
      </c>
      <c r="F44" s="836" t="s">
        <v>10672</v>
      </c>
      <c r="G44" s="784" t="s">
        <v>10673</v>
      </c>
      <c r="H44" s="836" t="s">
        <v>10674</v>
      </c>
      <c r="I44" s="784" t="s">
        <v>10675</v>
      </c>
      <c r="J44" s="836" t="s">
        <v>7896</v>
      </c>
    </row>
    <row r="45" spans="2:10" ht="10.5">
      <c r="B45" s="1079" t="s">
        <v>1147</v>
      </c>
      <c r="C45" s="776" t="s">
        <v>3421</v>
      </c>
      <c r="D45" s="774" t="s">
        <v>10681</v>
      </c>
      <c r="E45" s="785">
        <v>342909324</v>
      </c>
      <c r="F45" s="785">
        <f>495933097/2330.7</f>
        <v>212782.89655468316</v>
      </c>
      <c r="G45" s="786">
        <f>E45-F45</f>
        <v>342696541.10344529</v>
      </c>
      <c r="H45" s="785">
        <v>0</v>
      </c>
      <c r="I45" s="787">
        <f>G45</f>
        <v>342696541.10344529</v>
      </c>
      <c r="J45" s="794" t="s">
        <v>10683</v>
      </c>
    </row>
    <row r="46" spans="2:10" ht="10.5">
      <c r="B46" s="1080"/>
      <c r="C46" s="776" t="s">
        <v>3421</v>
      </c>
      <c r="D46" s="774" t="s">
        <v>10682</v>
      </c>
      <c r="E46" s="785">
        <v>813975208</v>
      </c>
      <c r="F46" s="785">
        <f>1341481026627/2330.7</f>
        <v>575570011.85352039</v>
      </c>
      <c r="G46" s="786">
        <f t="shared" ref="G46:G47" si="5">E46-F46</f>
        <v>238405196.14647961</v>
      </c>
      <c r="H46" s="785">
        <v>0</v>
      </c>
      <c r="I46" s="787">
        <f t="shared" ref="I46:I47" si="6">G46</f>
        <v>238405196.14647961</v>
      </c>
      <c r="J46" s="794" t="s">
        <v>10683</v>
      </c>
    </row>
    <row r="47" spans="2:10" s="776" customFormat="1" ht="10.5">
      <c r="B47" s="1080"/>
      <c r="C47" s="776" t="s">
        <v>3421</v>
      </c>
      <c r="D47" s="776" t="s">
        <v>10196</v>
      </c>
      <c r="E47" s="795">
        <v>32900544</v>
      </c>
      <c r="F47" s="796">
        <v>0</v>
      </c>
      <c r="G47" s="786">
        <f t="shared" si="5"/>
        <v>32900544</v>
      </c>
      <c r="H47" s="785">
        <v>0</v>
      </c>
      <c r="I47" s="787">
        <f t="shared" si="6"/>
        <v>32900544</v>
      </c>
      <c r="J47" s="794" t="s">
        <v>10683</v>
      </c>
    </row>
    <row r="48" spans="2:10" ht="10.5">
      <c r="D48" s="842" t="s">
        <v>516</v>
      </c>
      <c r="E48" s="782">
        <f>SUM(E45:E47)</f>
        <v>1189785076</v>
      </c>
      <c r="F48" s="782">
        <f>SUM(F45:F47)</f>
        <v>575782794.7500751</v>
      </c>
      <c r="G48" s="782">
        <f>SUM(G45:G47)</f>
        <v>614002281.2499249</v>
      </c>
      <c r="H48" s="782">
        <f>SUM(H45:H47)</f>
        <v>0</v>
      </c>
      <c r="I48" s="782">
        <f>SUM(I45:I47)</f>
        <v>614002281.2499249</v>
      </c>
    </row>
    <row r="49" spans="2:8" ht="10.5">
      <c r="E49" s="782"/>
      <c r="F49" s="782"/>
    </row>
    <row r="50" spans="2:8" ht="32.5" customHeight="1">
      <c r="B50" s="836" t="s">
        <v>10670</v>
      </c>
      <c r="C50" s="836" t="s">
        <v>2481</v>
      </c>
      <c r="D50" s="836" t="s">
        <v>10671</v>
      </c>
      <c r="E50" s="836" t="s">
        <v>14569</v>
      </c>
      <c r="F50" s="784" t="s">
        <v>10673</v>
      </c>
      <c r="G50" s="836" t="s">
        <v>7896</v>
      </c>
    </row>
    <row r="51" spans="2:8">
      <c r="B51" s="1081" t="s">
        <v>10698</v>
      </c>
      <c r="C51" s="840" t="s">
        <v>45</v>
      </c>
      <c r="D51" s="795">
        <v>1437517</v>
      </c>
      <c r="E51" s="795">
        <v>2040634.59</v>
      </c>
      <c r="F51" s="839">
        <f>D51-E51</f>
        <v>-603117.59000000008</v>
      </c>
      <c r="G51" s="845" t="s">
        <v>10676</v>
      </c>
    </row>
    <row r="52" spans="2:8">
      <c r="B52" s="1082"/>
      <c r="C52" s="841" t="s">
        <v>10696</v>
      </c>
      <c r="D52" s="795">
        <v>16019655</v>
      </c>
      <c r="E52" s="795">
        <v>16070098.65</v>
      </c>
      <c r="F52" s="839">
        <f t="shared" ref="F52:F60" si="7">D52-E52</f>
        <v>-50443.650000000373</v>
      </c>
      <c r="G52" s="845" t="s">
        <v>10676</v>
      </c>
    </row>
    <row r="53" spans="2:8">
      <c r="B53" s="1082"/>
      <c r="C53" s="840" t="s">
        <v>14</v>
      </c>
      <c r="D53" s="795">
        <v>249416749</v>
      </c>
      <c r="E53" s="795">
        <v>209158123.78999999</v>
      </c>
      <c r="F53" s="839">
        <f t="shared" si="7"/>
        <v>40258625.210000008</v>
      </c>
      <c r="G53" s="844" t="s">
        <v>10700</v>
      </c>
      <c r="H53" s="839"/>
    </row>
    <row r="54" spans="2:8">
      <c r="B54" s="1082"/>
      <c r="C54" s="840" t="s">
        <v>1861</v>
      </c>
      <c r="D54" s="795">
        <v>427173</v>
      </c>
      <c r="E54" s="795">
        <v>430858.78</v>
      </c>
      <c r="F54" s="839">
        <f t="shared" si="7"/>
        <v>-3685.7800000000279</v>
      </c>
      <c r="G54" s="845" t="s">
        <v>10676</v>
      </c>
    </row>
    <row r="55" spans="2:8">
      <c r="B55" s="1082"/>
      <c r="C55" s="840" t="s">
        <v>20</v>
      </c>
      <c r="D55" s="795">
        <v>4047931</v>
      </c>
      <c r="E55" s="795">
        <v>4041932.39</v>
      </c>
      <c r="F55" s="839">
        <f t="shared" si="7"/>
        <v>5998.6099999998696</v>
      </c>
      <c r="G55" s="845" t="s">
        <v>10676</v>
      </c>
    </row>
    <row r="56" spans="2:8">
      <c r="B56" s="1082"/>
      <c r="C56" s="840" t="s">
        <v>16</v>
      </c>
      <c r="D56" s="795">
        <v>515350721</v>
      </c>
      <c r="E56" s="795">
        <v>567188718.95000005</v>
      </c>
      <c r="F56" s="839">
        <f t="shared" si="7"/>
        <v>-51837997.950000048</v>
      </c>
      <c r="G56" s="844" t="s">
        <v>10700</v>
      </c>
      <c r="H56" s="839"/>
    </row>
    <row r="57" spans="2:8">
      <c r="B57" s="1082"/>
      <c r="C57" s="840" t="s">
        <v>41</v>
      </c>
      <c r="D57" s="795">
        <v>358065</v>
      </c>
      <c r="E57" s="795">
        <v>367017.94</v>
      </c>
      <c r="F57" s="839">
        <f t="shared" si="7"/>
        <v>-8952.9400000000023</v>
      </c>
      <c r="G57" s="845" t="s">
        <v>10676</v>
      </c>
    </row>
    <row r="58" spans="2:8">
      <c r="B58" s="1082"/>
      <c r="C58" s="840" t="s">
        <v>1469</v>
      </c>
      <c r="D58" s="795">
        <v>595755</v>
      </c>
      <c r="E58" s="795">
        <v>595755</v>
      </c>
      <c r="F58" s="839">
        <f t="shared" si="7"/>
        <v>0</v>
      </c>
      <c r="G58" s="774" t="s">
        <v>10680</v>
      </c>
    </row>
    <row r="59" spans="2:8">
      <c r="B59" s="1082"/>
      <c r="C59" s="841" t="s">
        <v>10697</v>
      </c>
      <c r="D59" s="795">
        <v>1053675</v>
      </c>
      <c r="E59" s="795">
        <v>1053675</v>
      </c>
      <c r="F59" s="839">
        <f t="shared" si="7"/>
        <v>0</v>
      </c>
      <c r="G59" s="774" t="s">
        <v>10680</v>
      </c>
    </row>
    <row r="60" spans="2:8">
      <c r="B60" s="1082"/>
      <c r="C60" s="841" t="s">
        <v>61</v>
      </c>
      <c r="D60" s="795">
        <v>13006499</v>
      </c>
      <c r="E60" s="795">
        <v>0</v>
      </c>
      <c r="F60" s="839">
        <f t="shared" si="7"/>
        <v>13006499</v>
      </c>
      <c r="G60" s="844" t="s">
        <v>10700</v>
      </c>
    </row>
    <row r="61" spans="2:8" ht="10.5">
      <c r="C61" s="842" t="s">
        <v>516</v>
      </c>
      <c r="D61" s="842">
        <f>SUM(D51:D60)</f>
        <v>801713740</v>
      </c>
      <c r="E61" s="842">
        <f>SUM(E51:E60)</f>
        <v>800946815.09000015</v>
      </c>
      <c r="F61" s="842">
        <f>SUM(F51:F60)</f>
        <v>766924.90999995731</v>
      </c>
      <c r="G61" s="846" t="s">
        <v>10699</v>
      </c>
    </row>
    <row r="62" spans="2:8">
      <c r="F62" s="793">
        <f>F61/D61</f>
        <v>9.5660691807521886E-4</v>
      </c>
    </row>
  </sheetData>
  <mergeCells count="4">
    <mergeCell ref="B6:B16"/>
    <mergeCell ref="B20:B40"/>
    <mergeCell ref="B45:B47"/>
    <mergeCell ref="B51:B60"/>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6D783-1C9F-4E50-87C3-1F00850D8250}">
  <sheetPr>
    <tabColor rgb="FF92D050"/>
  </sheetPr>
  <dimension ref="B2:B14"/>
  <sheetViews>
    <sheetView workbookViewId="0">
      <selection activeCell="B14" sqref="B14"/>
    </sheetView>
  </sheetViews>
  <sheetFormatPr baseColWidth="10" defaultColWidth="11.5" defaultRowHeight="14"/>
  <sheetData>
    <row r="2" spans="2:2" ht="14.5">
      <c r="B2" s="173" t="s">
        <v>10702</v>
      </c>
    </row>
    <row r="14" spans="2:2" ht="14.5">
      <c r="B14" s="173" t="s">
        <v>10701</v>
      </c>
    </row>
  </sheetData>
  <pageMargins left="0.7" right="0.7" top="0.75" bottom="0.75" header="0.3" footer="0.3"/>
  <drawing r:id="rId1"/>
  <legacyDrawing r:id="rId2"/>
  <oleObjects>
    <mc:AlternateContent xmlns:mc="http://schemas.openxmlformats.org/markup-compatibility/2006">
      <mc:Choice Requires="x14">
        <oleObject progId="Acrobat Document" dvAspect="DVASPECT_ICON" shapeId="308225" r:id="rId3">
          <objectPr defaultSize="0" r:id="rId4">
            <anchor moveWithCells="1">
              <from>
                <xdr:col>1</xdr:col>
                <xdr:colOff>247650</xdr:colOff>
                <xdr:row>7</xdr:row>
                <xdr:rowOff>0</xdr:rowOff>
              </from>
              <to>
                <xdr:col>2</xdr:col>
                <xdr:colOff>361950</xdr:colOff>
                <xdr:row>10</xdr:row>
                <xdr:rowOff>133350</xdr:rowOff>
              </to>
            </anchor>
          </objectPr>
        </oleObject>
      </mc:Choice>
      <mc:Fallback>
        <oleObject progId="Acrobat Document" dvAspect="DVASPECT_ICON" shapeId="308225" r:id="rId3"/>
      </mc:Fallback>
    </mc:AlternateContent>
    <mc:AlternateContent xmlns:mc="http://schemas.openxmlformats.org/markup-compatibility/2006">
      <mc:Choice Requires="x14">
        <oleObject progId="Acrobat Document" dvAspect="DVASPECT_ICON" shapeId="308226" r:id="rId5">
          <objectPr defaultSize="0" r:id="rId6">
            <anchor moveWithCells="1">
              <from>
                <xdr:col>3</xdr:col>
                <xdr:colOff>31750</xdr:colOff>
                <xdr:row>7</xdr:row>
                <xdr:rowOff>38100</xdr:rowOff>
              </from>
              <to>
                <xdr:col>4</xdr:col>
                <xdr:colOff>152400</xdr:colOff>
                <xdr:row>10</xdr:row>
                <xdr:rowOff>171450</xdr:rowOff>
              </to>
            </anchor>
          </objectPr>
        </oleObject>
      </mc:Choice>
      <mc:Fallback>
        <oleObject progId="Acrobat Document" dvAspect="DVASPECT_ICON" shapeId="308226" r:id="rId5"/>
      </mc:Fallback>
    </mc:AlternateContent>
    <mc:AlternateContent xmlns:mc="http://schemas.openxmlformats.org/markup-compatibility/2006">
      <mc:Choice Requires="x14">
        <oleObject progId="Acrobat Document" dvAspect="DVASPECT_ICON" shapeId="308227" r:id="rId7">
          <objectPr defaultSize="0" r:id="rId8">
            <anchor moveWithCells="1">
              <from>
                <xdr:col>4</xdr:col>
                <xdr:colOff>717550</xdr:colOff>
                <xdr:row>7</xdr:row>
                <xdr:rowOff>50800</xdr:rowOff>
              </from>
              <to>
                <xdr:col>6</xdr:col>
                <xdr:colOff>50800</xdr:colOff>
                <xdr:row>11</xdr:row>
                <xdr:rowOff>0</xdr:rowOff>
              </to>
            </anchor>
          </objectPr>
        </oleObject>
      </mc:Choice>
      <mc:Fallback>
        <oleObject progId="Acrobat Document" dvAspect="DVASPECT_ICON" shapeId="308227" r:id="rId7"/>
      </mc:Fallback>
    </mc:AlternateContent>
    <mc:AlternateContent xmlns:mc="http://schemas.openxmlformats.org/markup-compatibility/2006">
      <mc:Choice Requires="x14">
        <oleObject progId="Acrobat Document" dvAspect="DVASPECT_ICON" shapeId="308228" r:id="rId9">
          <objectPr defaultSize="0" r:id="rId10">
            <anchor moveWithCells="1">
              <from>
                <xdr:col>1</xdr:col>
                <xdr:colOff>165100</xdr:colOff>
                <xdr:row>16</xdr:row>
                <xdr:rowOff>12700</xdr:rowOff>
              </from>
              <to>
                <xdr:col>2</xdr:col>
                <xdr:colOff>304800</xdr:colOff>
                <xdr:row>19</xdr:row>
                <xdr:rowOff>127000</xdr:rowOff>
              </to>
            </anchor>
          </objectPr>
        </oleObject>
      </mc:Choice>
      <mc:Fallback>
        <oleObject progId="Acrobat Document" dvAspect="DVASPECT_ICON" shapeId="308228" r:id="rId9"/>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68</vt:i4>
      </vt:variant>
      <vt:variant>
        <vt:lpstr>Plages nommées</vt:lpstr>
      </vt:variant>
      <vt:variant>
        <vt:i4>1</vt:i4>
      </vt:variant>
    </vt:vector>
  </HeadingPairs>
  <TitlesOfParts>
    <vt:vector size="69" baseType="lpstr">
      <vt:lpstr>Sommaire</vt:lpstr>
      <vt:lpstr>Annexe 0 </vt:lpstr>
      <vt:lpstr>Annexe 1.1</vt:lpstr>
      <vt:lpstr>Annexe 1.2</vt:lpstr>
      <vt:lpstr>Annexe 2 </vt:lpstr>
      <vt:lpstr>Annexe 3</vt:lpstr>
      <vt:lpstr>Annexe 4</vt:lpstr>
      <vt:lpstr>Annexe 5 </vt:lpstr>
      <vt:lpstr>Annexe 6 </vt:lpstr>
      <vt:lpstr>Annexe 7 </vt:lpstr>
      <vt:lpstr>Annexe 8 </vt:lpstr>
      <vt:lpstr>Annexe 9</vt:lpstr>
      <vt:lpstr>Annexe 10</vt:lpstr>
      <vt:lpstr>Annexe 11 </vt:lpstr>
      <vt:lpstr>Annexe 12 </vt:lpstr>
      <vt:lpstr>Annexe 13 </vt:lpstr>
      <vt:lpstr>Annexe 14</vt:lpstr>
      <vt:lpstr>Annexe 15 </vt:lpstr>
      <vt:lpstr>Annexe 16 </vt:lpstr>
      <vt:lpstr>Annexe 17.1 </vt:lpstr>
      <vt:lpstr>Annexe 17.2</vt:lpstr>
      <vt:lpstr>Annexe 18.1</vt:lpstr>
      <vt:lpstr>Annexe 18.2</vt:lpstr>
      <vt:lpstr>Annexe 19</vt:lpstr>
      <vt:lpstr>Annexe 20</vt:lpstr>
      <vt:lpstr>Annexe 21</vt:lpstr>
      <vt:lpstr>Annexe 22</vt:lpstr>
      <vt:lpstr>Annexe 23</vt:lpstr>
      <vt:lpstr>Annexe 24</vt:lpstr>
      <vt:lpstr>Annexe 25 </vt:lpstr>
      <vt:lpstr>Annexe 26</vt:lpstr>
      <vt:lpstr>Annexe 27</vt:lpstr>
      <vt:lpstr>Annexe 28 </vt:lpstr>
      <vt:lpstr>Annexe 29</vt:lpstr>
      <vt:lpstr>Annexe 30</vt:lpstr>
      <vt:lpstr>Annexe 31</vt:lpstr>
      <vt:lpstr>Annexe 32</vt:lpstr>
      <vt:lpstr>Annexe 33</vt:lpstr>
      <vt:lpstr>Annexe 34</vt:lpstr>
      <vt:lpstr>Annexe 35</vt:lpstr>
      <vt:lpstr>Annexe 36</vt:lpstr>
      <vt:lpstr>Annexe 37</vt:lpstr>
      <vt:lpstr>Annexe 38 </vt:lpstr>
      <vt:lpstr>Annexe 39 </vt:lpstr>
      <vt:lpstr>Annexe 40</vt:lpstr>
      <vt:lpstr>Annexe 41 </vt:lpstr>
      <vt:lpstr>Annexe 42 </vt:lpstr>
      <vt:lpstr>Annexe 43</vt:lpstr>
      <vt:lpstr>Annexe 44 </vt:lpstr>
      <vt:lpstr>Annexe 45</vt:lpstr>
      <vt:lpstr>Annexe 46</vt:lpstr>
      <vt:lpstr>Annexe 47</vt:lpstr>
      <vt:lpstr>Annexe 48</vt:lpstr>
      <vt:lpstr>Annexe 49 </vt:lpstr>
      <vt:lpstr>Annexe 50 </vt:lpstr>
      <vt:lpstr>Annexe 51</vt:lpstr>
      <vt:lpstr>Annexe 52</vt:lpstr>
      <vt:lpstr>Annexe 53</vt:lpstr>
      <vt:lpstr>Annexe 54</vt:lpstr>
      <vt:lpstr>Annexe 55</vt:lpstr>
      <vt:lpstr>Annexe 56 </vt:lpstr>
      <vt:lpstr>Annexe 57 </vt:lpstr>
      <vt:lpstr>Annexe 58</vt:lpstr>
      <vt:lpstr>Annexe 59 </vt:lpstr>
      <vt:lpstr>Annexe 60-1</vt:lpstr>
      <vt:lpstr>Annexe 60-2</vt:lpstr>
      <vt:lpstr>Annexe 61</vt:lpstr>
      <vt:lpstr>Annexe 62</vt:lpstr>
      <vt:lpstr>'Annexe 4'!Impression_des_titres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Gafsi Mahdi</dc:creator>
  <cp:lastModifiedBy>User</cp:lastModifiedBy>
  <dcterms:created xsi:type="dcterms:W3CDTF">2024-12-03T22:35:25Z</dcterms:created>
  <dcterms:modified xsi:type="dcterms:W3CDTF">2025-12-31T14:22:36Z</dcterms:modified>
</cp:coreProperties>
</file>